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sharedStrings.xml" ContentType="application/vnd.openxmlformats-officedocument.spreadsheetml.sharedStrings+xml"/>
  <Override PartName="/xl/worksheets/_rels/sheet3.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nstants" sheetId="2" state="visible" r:id="rId4"/>
    <sheet name="Dim_Team" sheetId="3" state="visible" r:id="rId5"/>
    <sheet name="Dim_Signoff" sheetId="4" state="visible" r:id="rId6"/>
    <sheet name="Dim_Fund" sheetId="5" state="visible" r:id="rId7"/>
    <sheet name="Dim_TOP" sheetId="6" state="visible" r:id="rId8"/>
    <sheet name="Fact_Milestone" sheetId="7" state="visible" r:id="rId9"/>
    <sheet name="Raw_Fund_Import" sheetId="8" state="visible" r:id="rId10"/>
    <sheet name="Mapping" sheetId="9" state="visible" r:id="rId11"/>
    <sheet name="Dim_Fund_Staging" sheetId="10" state="visible" r:id="rId12"/>
    <sheet name="Status_Log" sheetId="11" state="visible" r:id="rId13"/>
    <sheet name="Fact_Work" sheetId="12" state="visible" r:id="rId14"/>
    <sheet name="Checks" sheetId="13" state="visible" r:id="rId15"/>
    <sheet name="Dim_Analyst" sheetId="14" state="visible" r:id="rId16"/>
    <sheet name="Dim_Slot" sheetId="15" state="visible" r:id="rId17"/>
    <sheet name="Dim_Clock" sheetId="16" state="visible" r:id="rId18"/>
    <sheet name="Dim_BufferStep" sheetId="17" state="visible" r:id="rId19"/>
    <sheet name="Dim_SupplierType" sheetId="18" state="visible" r:id="rId20"/>
    <sheet name="Dim_WaitGroup" sheetId="19" state="visible" r:id="rId21"/>
    <sheet name="Dim_Cause" sheetId="20" state="visible" r:id="rId22"/>
    <sheet name="Dim_DetailRow" sheetId="21" state="visible" r:id="rId23"/>
    <sheet name="Dim_Hour" sheetId="22" state="visible" r:id="rId24"/>
    <sheet name="PBI_Mapping" sheetId="23" state="visible" r:id="rId25"/>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v4.5: Shift start + Constants!B18. Two-shift teams are treated as one shift: their second shift is not captured.</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C1" authorId="0">
      <text>
        <r>
          <rPr>
            <sz val="10"/>
            <rFont val="Arial"/>
            <family val="2"/>
          </rPr>
          <t xml:space="preserve">v4.5: 1 on the first fund of each client within a TOP. Dim_TOP[Clients_In_TOP] sums it to a distinct client count.</t>
        </r>
      </text>
    </comment>
    <comment ref="BD1" authorId="0">
      <text>
        <r>
          <rPr>
            <sz val="10"/>
            <rFont val="Arial"/>
            <family val="2"/>
          </rPr>
          <t xml:space="preserve">v4.5: Has_Broker_Process = Yes. The 'Broker (dependent)' supplier type on page 1.</t>
        </r>
      </text>
    </comment>
    <comment ref="BE1" authorId="0">
      <text>
        <r>
          <rPr>
            <sz val="10"/>
            <rFont val="Arial"/>
            <family val="2"/>
          </rPr>
          <t xml:space="preserve">v4.5: Slack_Custody_Mins at or below Constants!B17 (0 = zero tolerance).</t>
        </r>
      </text>
    </comment>
    <comment ref="BF1" authorId="0">
      <text>
        <r>
          <rPr>
            <sz val="10"/>
            <rFont val="Arial"/>
            <family val="2"/>
          </rPr>
          <t xml:space="preserve">v4.5: Slack_TA_Mins at or below Constants!B17.</t>
        </r>
      </text>
    </comment>
    <comment ref="BG1" authorId="0">
      <text>
        <r>
          <rPr>
            <sz val="10"/>
            <rFont val="Arial"/>
            <family val="2"/>
          </rPr>
          <t xml:space="preserve">v4.5: Slack_Broker_Mins at or below Constants!B17. The broker WATCHLIST still uses Constants!B14.</t>
        </r>
      </text>
    </comment>
    <comment ref="BH1" authorId="0">
      <text>
        <r>
          <rPr>
            <sz val="10"/>
            <rFont val="Arial"/>
            <family val="2"/>
          </rPr>
          <t xml:space="preserve">v4.5: Thin / Ample custody slack group used on page 1.</t>
        </r>
      </text>
    </comment>
    <comment ref="BI1" authorId="0">
      <text>
        <r>
          <rPr>
            <sz val="10"/>
            <rFont val="Arial"/>
            <family val="2"/>
          </rPr>
          <t xml:space="preserve">v4.5: Numeric copy of Slack_Custody_Mins, blank instead of n/a, so Power BI can take a MEDIAN.</t>
        </r>
      </text>
    </comment>
    <comment ref="BJ1" authorId="0">
      <text>
        <r>
          <rPr>
            <sz val="10"/>
            <rFont val="Arial"/>
            <family val="2"/>
          </rPr>
          <t xml:space="preserve">v4.5: Numeric copy of Slack_TA_Mins.</t>
        </r>
      </text>
    </comment>
    <comment ref="BK1" authorId="0">
      <text>
        <r>
          <rPr>
            <sz val="10"/>
            <rFont val="Arial"/>
            <family val="2"/>
          </rPr>
          <t xml:space="preserve">v4.5: Numeric copy of Slack_Broker_Mins.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J1" authorId="0">
      <text>
        <r>
          <rPr>
            <sz val="10"/>
            <rFont val="Arial"/>
            <family val="2"/>
          </rPr>
          <t xml:space="preserve">v4.5: Distinct clients with at least one fund in this TOP.</t>
        </r>
      </text>
    </comment>
    <comment ref="K1" authorId="0">
      <text>
        <r>
          <rPr>
            <sz val="10"/>
            <rFont val="Arial"/>
            <family val="2"/>
          </rPr>
          <t xml:space="preserve">v4.5: Funds_In_TOP as a share of all funds. 'Largest TOP' KPI.</t>
        </r>
      </text>
    </comment>
    <comment ref="L1" authorId="0">
      <text>
        <r>
          <rPr>
            <sz val="10"/>
            <rFont val="Arial"/>
            <family val="2"/>
          </rPr>
          <t xml:space="preserve">v4.5: Deliveries scored against a binding cut-off (a fund of the TOP ran that day).</t>
        </r>
      </text>
    </comment>
    <comment ref="M1" authorId="0">
      <text>
        <r>
          <rPr>
            <sz val="10"/>
            <rFont val="Arial"/>
            <family val="2"/>
          </rPr>
          <t xml:space="preserve">v4.5: Scored deliveries that missed the binding cut-off.</t>
        </r>
      </text>
    </comment>
    <comment ref="N1" authorId="0">
      <text>
        <r>
          <rPr>
            <sz val="10"/>
            <rFont val="Arial"/>
            <family val="2"/>
          </rPr>
          <t xml:space="preserve">v4.5: Sum of Late_Mins / 60. Static whole-period view; Power BI uses [Late Hours] instead.</t>
        </r>
      </text>
    </comment>
    <comment ref="O1" authorId="0">
      <text>
        <r>
          <rPr>
            <sz val="10"/>
            <rFont val="Arial"/>
            <family val="2"/>
          </rPr>
          <t xml:space="preserve">v4.5: Breached fund-days on days this TOP was late. Static view; Power BI uses the measure.</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L1" authorId="0">
      <text>
        <r>
          <rPr>
            <sz val="10"/>
            <rFont val="Arial"/>
            <family val="2"/>
          </rPr>
          <t xml:space="preserve">v4.5: Minutes the file arrived after the binding cut-off, 0 when on time. Page 1 'created' bar.</t>
        </r>
      </text>
    </comment>
    <comment ref="M1" authorId="0">
      <text>
        <r>
          <rPr>
            <sz val="10"/>
            <rFont val="Arial"/>
            <family val="2"/>
          </rPr>
          <t xml:space="preserve">v4.5: Fund-days of this TOP on this date that breached the client cut-off. Page 1 'reached' bar.</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I1" authorId="0">
      <text>
        <r>
          <rPr>
            <sz val="10"/>
            <rFont val="Arial"/>
            <family val="2"/>
          </rPr>
          <t xml:space="preserve">v4.5: Hour of the status change, counted from midnight of the processing date (14 = 14:00 to 14:59).</t>
        </r>
      </text>
    </comment>
    <comment ref="J1" authorId="0">
      <text>
        <r>
          <rPr>
            <sz val="10"/>
            <rFont val="Arial"/>
            <family val="2"/>
          </rPr>
          <t xml:space="preserve">v4.5: Yes when the person is an active analyst in Dim_Analyst. External approvers are No and not counted as team capacity.</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A1" authorId="0">
      <text>
        <r>
          <rPr>
            <sz val="10"/>
            <rFont val="Arial"/>
            <family val="2"/>
          </rPr>
          <t xml:space="preserve">v4.5: From Dim_Fund.</t>
        </r>
      </text>
    </comment>
    <comment ref="BB1" authorId="0">
      <text>
        <r>
          <rPr>
            <sz val="10"/>
            <rFont val="Arial"/>
            <family val="2"/>
          </rPr>
          <t xml:space="preserve">v4.5: Fact_Milestone[SLA_Met] for this fund's TOP on this process date (the supplier measure).</t>
        </r>
      </text>
    </comment>
    <comment ref="BC1" authorId="0">
      <text>
        <r>
          <rPr>
            <sz val="10"/>
            <rFont val="Arial"/>
            <family val="2"/>
          </rPr>
          <t xml:space="preserve">v4.5: REFERENCE ONLY. When this maker finished their previous fund on the same process date (latest Calculated before this fund's). Queue no longer uses it: see Queue_Wait_Mins.</t>
        </r>
      </text>
    </comment>
    <comment ref="BD1" authorId="0">
      <text>
        <r>
          <rPr>
            <sz val="10"/>
            <rFont val="Arial"/>
            <family val="2"/>
          </rPr>
          <t xml:space="preserve">v4.5: RECONSTRUCTED. Minutes, between pricing arrival and this fund's Calculated, when the same maker was WORKING on another fund that day: overlap with the other fund-days' work windows (BS to BT). Purple bar.</t>
        </r>
      </text>
    </comment>
    <comment ref="BE1" authorId="0">
      <text>
        <r>
          <rPr>
            <sz val="10"/>
            <rFont val="Arial"/>
            <family val="2"/>
          </rPr>
          <t xml:space="preserve">v4.5: RECONSTRUCTED. Part of the wait the maker spent on THIS fund's own reconciliation: its recon budget (Recon_Mins), capped at what is left after the queue. Same maker, real work, not idle.</t>
        </r>
      </text>
    </comment>
    <comment ref="BF1" authorId="0">
      <text>
        <r>
          <rPr>
            <sz val="10"/>
            <rFont val="Arial"/>
            <family val="2"/>
          </rPr>
          <t xml:space="preserve">v4.5: From Dim_Fund.</t>
        </r>
      </text>
    </comment>
    <comment ref="BG1" authorId="0">
      <text>
        <r>
          <rPr>
            <sz val="10"/>
            <rFont val="Arial"/>
            <family val="2"/>
          </rPr>
          <t xml:space="preserve">v4.5: From Dim_Fund.</t>
        </r>
      </text>
    </comment>
    <comment ref="BH1" authorId="0">
      <text>
        <r>
          <rPr>
            <sz val="10"/>
            <rFont val="Arial"/>
            <family val="2"/>
          </rPr>
          <t xml:space="preserve">v4.5: Breached fund-days only, first match wins: Pricing late, Thin custody slack, Broker-dependent, None of these. Only pricing is a measured cause; the others are possibilities.</t>
        </r>
      </text>
    </comment>
    <comment ref="BI1" authorId="0">
      <text>
        <r>
          <rPr>
            <sz val="10"/>
            <rFont val="Arial"/>
            <family val="2"/>
          </rPr>
          <t xml:space="preserve">v4.5: Client cut-off as hours of day. Page 2 red marker. Blank when missing (0).</t>
        </r>
      </text>
    </comment>
    <comment ref="BJ1" authorId="0">
      <text>
        <r>
          <rPr>
            <sz val="10"/>
            <rFont val="Arial"/>
            <family val="2"/>
          </rPr>
          <t xml:space="preserve">v4.5: Fund_ID with * for client sign-off funds (no Controlled step). Page 2 Y axis.</t>
        </r>
      </text>
    </comment>
    <comment ref="BK1" authorId="0">
      <text>
        <r>
          <rPr>
            <sz val="10"/>
            <rFont val="Arial"/>
            <family val="2"/>
          </rPr>
          <t xml:space="preserve">v4.5: NAV_End to Delivered: check plus external tail. For client sign-off funds, FA signed off to delivered.</t>
        </r>
      </text>
    </comment>
    <comment ref="BL1" authorId="0">
      <text>
        <r>
          <rPr>
            <sz val="10"/>
            <rFont val="Arial"/>
            <family val="2"/>
          </rPr>
          <t xml:space="preserve">v4.5: Client cut-off minus delivery. Negative = breach. Same number as Breach_Mins with the sign flipped.</t>
        </r>
      </text>
    </comment>
    <comment ref="BM1" authorId="0">
      <text>
        <r>
          <rPr>
            <sz val="10"/>
            <rFont val="Arial"/>
            <family val="2"/>
          </rPr>
          <t xml:space="preserve">v4.5: Transparent first segment of the page 2 timeline: pricing arrival, or NAV start if earlier.</t>
        </r>
      </text>
    </comment>
    <comment ref="BN1" authorId="0">
      <text>
        <r>
          <rPr>
            <sz val="10"/>
            <rFont val="Arial"/>
            <family val="2"/>
          </rPr>
          <t xml:space="preserve">v4.5: Purple: pricing arrived to NAV started, hours.</t>
        </r>
      </text>
    </comment>
    <comment ref="BO1" authorId="0">
      <text>
        <r>
          <rPr>
            <sz val="10"/>
            <rFont val="Arial"/>
            <family val="2"/>
          </rPr>
          <t xml:space="preserve">v4.5: Green: NAV started to NAV_End (Controlled; FA signed off for client sign-off funds), hours.</t>
        </r>
      </text>
    </comment>
    <comment ref="BP1" authorId="0">
      <text>
        <r>
          <rPr>
            <sz val="10"/>
            <rFont val="Arial"/>
            <family val="2"/>
          </rPr>
          <t xml:space="preserve">v4.5: Blue: Controlled to FA signed off, hours. 0 for client sign-off funds.</t>
        </r>
      </text>
    </comment>
    <comment ref="BQ1" authorId="0">
      <text>
        <r>
          <rPr>
            <sz val="10"/>
            <rFont val="Arial"/>
            <family val="2"/>
          </rPr>
          <t xml:space="preserve">v4.5: Amber: FA signed off to delivered, hours. Offset plus the four bars ends at Delivered.</t>
        </r>
      </text>
    </comment>
    <comment ref="BR1" authorId="0">
      <text>
        <r>
          <rPr>
            <sz val="10"/>
            <rFont val="Arial"/>
            <family val="2"/>
          </rPr>
          <t xml:space="preserve">v4.5: RECONSTRUCTED. Wait not explained by other funds or by this fund's recon budget: data not ready, breaks, recon running over budget, or work not in the status log.</t>
        </r>
      </text>
    </comment>
    <comment ref="BS1" authorId="0">
      <text>
        <r>
          <rPr>
            <sz val="10"/>
            <rFont val="Arial"/>
            <family val="2"/>
          </rPr>
          <t xml:space="preserve">v4.5: Helper for Queue_Wait_Mins: this fund-day's reconstructed work start (Implied_Work_Start_DT), 0 when unknown.</t>
        </r>
      </text>
    </comment>
    <comment ref="BT1" authorId="0">
      <text>
        <r>
          <rPr>
            <sz val="10"/>
            <rFont val="Arial"/>
            <family val="2"/>
          </rPr>
          <t xml:space="preserve">v4.5: Helper for Queue_Wait_Mins: this fund-day's Calculated time, 0 when unknown.</t>
        </r>
      </text>
    </comment>
    <comment ref="BU1" authorId="0">
      <text>
        <r>
          <rPr>
            <sz val="10"/>
            <rFont val="Arial"/>
            <family val="2"/>
          </rPr>
          <t xml:space="preserve">v4.5: Calculated time as hours from midnight of the processing date (14.5 = 14:30). Start of 'awaiting control'.</t>
        </r>
      </text>
    </comment>
    <comment ref="BV1" authorId="0">
      <text>
        <r>
          <rPr>
            <sz val="10"/>
            <rFont val="Arial"/>
            <family val="2"/>
          </rPr>
          <t xml:space="preserve">v4.5: NAV_End_DT as hours from midnight of the processing date: Controlled, or FA signed off for client sign-off funds.</t>
        </r>
      </text>
    </comment>
    <comment ref="BW1" authorId="0">
      <text>
        <r>
          <rPr>
            <sz val="10"/>
            <rFont val="Arial"/>
            <family val="2"/>
          </rPr>
          <t xml:space="preserve">v4.5: OK = counted in the control workload. Anything else is left out of the chart and counted on Checks.</t>
        </r>
      </text>
    </comment>
    <comment ref="BX1" authorId="0">
      <text>
        <r>
          <rPr>
            <sz val="10"/>
            <rFont val="Arial"/>
            <family val="2"/>
          </rPr>
          <t xml:space="preserve">v4.5: When the fund-day enters the team's hands: pricing arrival, or recon start if earlier. Hours from midnight of the processing date.</t>
        </r>
      </text>
    </comment>
    <comment ref="BY1" authorId="0">
      <text>
        <r>
          <rPr>
            <sz val="10"/>
            <rFont val="Arial"/>
            <family val="2"/>
          </rPr>
          <t xml:space="preserve">v4.5: Reconstructed recon start (Implied_Work_Start_DT: Calculated minus recon budget), in hours.</t>
        </r>
      </text>
    </comment>
    <comment ref="BZ1" authorId="0">
      <text>
        <r>
          <rPr>
            <sz val="10"/>
            <rFont val="Arial"/>
            <family val="2"/>
          </rPr>
          <t xml:space="preserve">v4.5: Calculated + NAV budget: when the maker's budgeted work on this fund-day is used up, in hours. Work left at time t = NAV_Done_Hr minus the later of t and Work_Start_Hr.</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Q1" authorId="0">
      <text>
        <r>
          <rPr>
            <sz val="10"/>
            <rFont val="Arial"/>
            <family val="2"/>
          </rPr>
          <t xml:space="preserve">v4.5: From Dim_Team. With Shift_Start_Hr (E) it says which hours this analyst is rostered.</t>
        </r>
      </text>
    </comment>
  </commentList>
</comments>
</file>

<file path=xl/sharedStrings.xml><?xml version="1.0" encoding="utf-8"?>
<sst xmlns="http://schemas.openxmlformats.org/spreadsheetml/2006/main" count="2040" uniqueCount="1002">
  <si>
    <t xml:space="preserve">HOW TO USE THIS TEMPLATE</t>
  </si>
  <si>
    <t xml:space="preserve">Colour rule</t>
  </si>
  <si>
    <t xml:space="preserve">BLUE text = you type it. BLACK text = a formula, do not overwrite.</t>
  </si>
  <si>
    <t xml:space="preserve">Header rule</t>
  </si>
  <si>
    <t xml:space="preserve">GREEN header = input column. NAVY header = derived column.</t>
  </si>
  <si>
    <t xml:space="preserve">Sample rows</t>
  </si>
  <si>
    <t xml:space="preserve">Every sheet has sample rows so you can see the formulas working. Delete them and paste your own data over the top.</t>
  </si>
  <si>
    <t xml:space="preserve">Extending</t>
  </si>
  <si>
    <t xml:space="preserve">Formulas are pre-filled and blank-guarded to row 201 (Dim_Fund, Fact_Work), 401 (Fact_Milestone), 60 (Dim_Analyst). For more, select the last formula row and drag down.</t>
  </si>
  <si>
    <t xml:space="preserve">Time entry</t>
  </si>
  <si>
    <t xml:space="preserve">Cut-offs as real times (04:30), not text. Actual events as full date-times.</t>
  </si>
  <si>
    <t xml:space="preserve">DECISIONS BUILT INTO THIS VERSION</t>
  </si>
  <si>
    <t xml:space="preserve">EUC adjustment</t>
  </si>
  <si>
    <t xml:space="preserve">Fifth product flag. EUC = 1 moves 5 points toward reconciliation, the same direction as ETD. Recon_Pct now ranges 55 to 85, so NAV calculation can fall to 15% of required time on a fund carrying ETD, both OTC types and EUC without PFC. Those funds have almost no room after the pricing gate — check the Feasibility_Flag on them first.</t>
  </si>
  <si>
    <t xml:space="preserve">Strategic client</t>
  </si>
  <si>
    <t xml:space="preserve">Captured as a Yes/No flag in Dim_Fund column E. The derived Client_Tier column turns it into Strategic or Non-strategic for use as a dashboard label and slicer. Use the YESNO transform if your export holds it as Y/N.</t>
  </si>
  <si>
    <t xml:space="preserve">A feed that does not apply</t>
  </si>
  <si>
    <t xml:space="preserve">Never leave the cut-off blank — blank reads as 00:00, which gives that fund the largest slack in the book and sorts it to the bottom of the watchlist. Set Has_&lt;feed&gt;_Process to No and put the PRICING cut-off in the time cell. Slack becomes zero, the feed is treated as never binding, and the slack, rank and watchlist columns all show n/a.</t>
  </si>
  <si>
    <t xml:space="preserve">A cut-off you do not know</t>
  </si>
  <si>
    <t xml:space="preserve">Different problem. Enter a conservative estimate and set Cutoff_Data_Quality to Estimated. Filter those funds out of supplier analysis — an estimated pricing cut-off produces phantom SLA breaches you do not want in a conversation with the pricing team.</t>
  </si>
  <si>
    <t xml:space="preserve">Pricing or client cut-off missing</t>
  </si>
  <si>
    <t xml:space="preserve">Not a gap, an exclusion. Those two anchor every calculation. Leave the fund out rather than guess.</t>
  </si>
  <si>
    <t xml:space="preserve">Custody and TA arrivals — NOT captured</t>
  </si>
  <si>
    <t xml:space="preserve">They carry 5–8 hours of slack before the pricing gate, so their lateness is absorbed and never reaches NAV. Chasing email trails for them buys nothing. Their cut-offs stay in Dim_Fund because they still define the slack calculation.</t>
  </si>
  <si>
    <t xml:space="preserve">Broker — ETA, not a cut-off</t>
  </si>
  <si>
    <t xml:space="preserve">Broker_ETA is the supplier's own estimate, not a contractual deadline. Treat 'on time vs ETA' with care: it says nothing about whether the ETA was reasonable. Once you have actuals, systematic optimism in the ETA is its own finding.</t>
  </si>
  <si>
    <t xml:space="preserve">Broker actuals — watchlist only</t>
  </si>
  <si>
    <t xml:space="preserve">Capture them only for funds flagged CAPTURE in Dim_Fund. Everything else has too much slack for a late broker to bind.</t>
  </si>
  <si>
    <t xml:space="preserve">Pricing — mandatory</t>
  </si>
  <si>
    <t xml:space="preserve">Slack of zero by definition, already in your system. Every minute late is a minute on NAV.</t>
  </si>
  <si>
    <t xml:space="preserve">Analyst — two fields, two jobs</t>
  </si>
  <si>
    <t xml:space="preserve">Dim_Fund.Default_Analyst_ID is the normal owner, used for PLANNED capacity. Fact_Work.Maker_ID is who actually did it, from the maker record, used for ACTUAL capacity. The gap between them is the reassignment rate.</t>
  </si>
  <si>
    <t xml:space="preserve">Checker — captured, unbudgeted</t>
  </si>
  <si>
    <t xml:space="preserve">The 450 minutes covers MAKER effort only. Check time is real time in someone's day that no capacity figure allows for. Dim_Analyst shows it in its own column and adds it into True_Load_Mins.</t>
  </si>
  <si>
    <t xml:space="preserve">SHEETS</t>
  </si>
  <si>
    <t xml:space="preserve">Constants</t>
  </si>
  <si>
    <t xml:space="preserve">20.38, 450, the five % adjustments, and the broker watchlist threshold.</t>
  </si>
  <si>
    <t xml:space="preserve">Dim_Team</t>
  </si>
  <si>
    <t xml:space="preserve">One row per team. Shift start, shifts, capacity.</t>
  </si>
  <si>
    <t xml:space="preserve">Dim_Signoff</t>
  </si>
  <si>
    <t xml:space="preserve">Three rows. Oversight and Client tails are PLACEHOLDERS — not yet agreed.</t>
  </si>
  <si>
    <t xml:space="preserve">Dim_Fund</t>
  </si>
  <si>
    <t xml:space="preserve">One row per fund. 19 inputs, 23 derived. v4.5 adds 9 derived columns (BC to BK).</t>
  </si>
  <si>
    <t xml:space="preserve">Dim_Analyst</t>
  </si>
  <si>
    <t xml:space="preserve">One row per analyst, 3 inputs. Planned load, actual load, check load and reassignment all calculate themselves.</t>
  </si>
  <si>
    <t xml:space="preserve">Fact_Milestone</t>
  </si>
  <si>
    <t xml:space="preserve">One row per fund per day per feed. Pricing always; Broker only for watchlist funds.</t>
  </si>
  <si>
    <t xml:space="preserve">Fact_Work</t>
  </si>
  <si>
    <t xml:space="preserve">One row per fund per day. 11 inputs, 18 derived. v4.5 adds 26 Power BI columns (BA to BZ).</t>
  </si>
  <si>
    <t xml:space="preserve">Checks</t>
  </si>
  <si>
    <t xml:space="preserve">Run after loading. Every check has a target.</t>
  </si>
  <si>
    <t xml:space="preserve">BUILD IN PHASES</t>
  </si>
  <si>
    <t xml:space="preserve">Phase 1</t>
  </si>
  <si>
    <t xml:space="preserve">Constants + Dim_Team + Dim_Fund + Dim_Analyst. No event data at all. Gives planned load, utilisation, the feasibility flag and the broker watchlist. Start here.</t>
  </si>
  <si>
    <t xml:space="preserve">Phase 2</t>
  </si>
  <si>
    <t xml:space="preserve">Add Fact_Milestone (pricing only, to begin with). Gives the whole pricing critical-path view.</t>
  </si>
  <si>
    <t xml:space="preserve">Phase 3</t>
  </si>
  <si>
    <t xml:space="preserve">Add Fact_Work. Maker ID comes free from the system record, so actual capacity and reassignment are available immediately — not a later phase.</t>
  </si>
  <si>
    <t xml:space="preserve">STILL OPEN</t>
  </si>
  <si>
    <t xml:space="preserve">Oversight and client tails</t>
  </si>
  <si>
    <t xml:space="preserve">No agreed target. Measure the actual for three months, take the 80th percentile, use that as a working assumption and negotiate from evidence.</t>
  </si>
  <si>
    <t xml:space="preserve">Shift assignment for two-shift teams</t>
  </si>
  <si>
    <t xml:space="preserve">Not captured. Build on single-shift teams and report the rest as unmeasurable — that is a legitimate output and a better case for capturing it than asking in the abstract.</t>
  </si>
  <si>
    <t xml:space="preserve">Check time budget</t>
  </si>
  <si>
    <t xml:space="preserve">If checking turns out to be a material share of the day, the 450 needs revisiting or checking needs its own weightage. The Check_Mins_PerDay column tells you whether it is material.</t>
  </si>
  <si>
    <t xml:space="preserve">TWO TRAPS WORTH CHECKING</t>
  </si>
  <si>
    <t xml:space="preserve">Pricing arrival meaning</t>
  </si>
  <si>
    <t xml:space="preserve">Is it when the file landed, or when someone marked it received? The second includes human lag and overstates supplier delay. Matters if you show these numbers to the pricing team.</t>
  </si>
  <si>
    <t xml:space="preserve">Delivered_DT meaning</t>
  </si>
  <si>
    <t xml:space="preserve">Is it FA completion or post-sign-off delivery? These differ on roughly 30% of funds and mixing them corrupts every breach rate.</t>
  </si>
  <si>
    <t xml:space="preserve">STATUS LOG — HOW FACT_WORK IS NOW BUILT</t>
  </si>
  <si>
    <t xml:space="preserve">What you paste</t>
  </si>
  <si>
    <t xml:space="preserve">Status_Log, long format: one row per status change, with Date, Fund_ID, Status text, Timestamp and the Person name. Paste the whole log — only four statuses are read, everything else is ignored.</t>
  </si>
  <si>
    <t xml:space="preserve">The four statuses</t>
  </si>
  <si>
    <t xml:space="preserve">"Changed to the status of Calculated", "...Controlled", "...Fund accounting signed off", "...signed off".</t>
  </si>
  <si>
    <t xml:space="preserve">Min or Max</t>
  </si>
  <si>
    <t xml:space="preserve">Calculated uses the EARLIEST row — first touch. The three end statuses use the LATEST — the version that counted. Max on Calculated would hide reruns: a fund done twice would look like a short job that started late.</t>
  </si>
  <si>
    <t xml:space="preserve">NAV_End differs by model</t>
  </si>
  <si>
    <t xml:space="preserve">Client sign-off funds have no Controlled status, so NAV_End is Fund accounting signed off. Everything else uses Controlled. Do NOT compare NAV durations across the two — use FA_Total_Mins, which spans Calculated to Fund accounting signed off for every fund.</t>
  </si>
  <si>
    <t xml:space="preserve">Check time</t>
  </si>
  <si>
    <t xml:space="preserve">Controlled to Fund accounting signed off. Available for non-client funds only, which is roughly half the book — better than none.</t>
  </si>
  <si>
    <t xml:space="preserve">Dim_Person</t>
  </si>
  <si>
    <t xml:space="preserve">The log holds names, the model needs IDs. Every distinct name must appear here or that fund-day drops out of the capacity view silently. The In_Dim_Analyst column flags names that do not resolve.</t>
  </si>
  <si>
    <t xml:space="preserve">Recon start is gone</t>
  </si>
  <si>
    <t xml:space="preserve">No system records it, so Implied_Work_Start_DT back-calculates from Calculated minus Recon_Mins. Queue_After_Pricing_Mins then measures how long a fund sat with pricing in hand and nobody free. It assumes work took exactly its budgeted minutes — so a fund that overran its budget is indistinguishable from one that started late. Label these as reconstructed, not observed.</t>
  </si>
  <si>
    <t xml:space="preserve">Broker actuals are gone</t>
  </si>
  <si>
    <t xml:space="preserve">Fact_Milestone is Pricing only. Broker_ETA still drives the slack and watchlist columns in Dim_Fund, so you can still say which funds have thin broker margin — just not how often the broker missed.</t>
  </si>
  <si>
    <t xml:space="preserve">Self_Checked</t>
  </si>
  <si>
    <t xml:space="preserve">Same person on Calculated and Controlled. A four-eyes breach, surfaced here as a by-product. Treat it as a control issue in its own right, separate from anything about bottlenecks.</t>
  </si>
  <si>
    <t xml:space="preserve">VERSION 3 — WHAT CHANGED</t>
  </si>
  <si>
    <t xml:space="preserve">Two dates, not one</t>
  </si>
  <si>
    <t xml:space="preserve">Fact_Work now carries NAV_Date (the valuation date, your reporting grain) and Process_Date (when the work happened). Cut-offs anchor to Process_Date, because 17:30 means 17:30 on the day you produce it. Processing_Lag_Days is the gap, and a fund drifting from T+1 to T+2 is a finding nothing else catches.</t>
  </si>
  <si>
    <t xml:space="preserve">Names, not IDs</t>
  </si>
  <si>
    <t xml:space="preserve">The status log holds names, so the whole model is keyed on Analyst_Name. Dim_Analyst has one row per name exactly as it appears in the log. External approvers such as Client Ops get Active = No — they consume no FA capacity but must be listed or their rows drop out silently.</t>
  </si>
  <si>
    <t xml:space="preserve">Planned load moved</t>
  </si>
  <si>
    <t xml:space="preserve">It used to sum every fund in an analyst's book as if all ran daily, which badly overstates anyone holding monthly funds. It now comes from Fact_Work rows grouped on Default_Analyst_Name — same denominator as actual, so the two are directly comparable and frequency handles itself.</t>
  </si>
  <si>
    <t xml:space="preserve">Frequency is derived</t>
  </si>
  <si>
    <t xml:space="preserve">Dim_Fund now shows Runs_Observed and NAV_Frequency_Observed, counted from Fact_Work. A fund whose observed frequency does not match expectation is visible without being an input.</t>
  </si>
  <si>
    <t xml:space="preserve">Month-end is the thing to look at</t>
  </si>
  <si>
    <t xml:space="preserve">Monthly funds land together on top of the daily book. Average utilisation can read 70% while month-end runs at 150%. Plot utilisation by Process_Date, not an average, or the spike is invisible.</t>
  </si>
  <si>
    <t xml:space="preserve">VERSION 4 — PRICING AT TOP LEVEL</t>
  </si>
  <si>
    <t xml:space="preserve">What changed</t>
  </si>
  <si>
    <t xml:space="preserve">Pricing arrives per TOP (pricing group), not per fund. Fact_Milestone is regrained to one row per TOP per process date — far smaller than fund level, and it matches how the supplier actually delivers.</t>
  </si>
  <si>
    <t xml:space="preserve">Dim_TOP</t>
  </si>
  <si>
    <t xml:space="preserve">New sheet, one row per pricing group. Fund count, earliest and latest fund cut-off, and the spread between them all derive from Dim_Fund.</t>
  </si>
  <si>
    <t xml:space="preserve">The binding cut-off</t>
  </si>
  <si>
    <t xml:space="preserve">The supplier sends one file for the whole group, so the deadline it must hit is the EARLIEST fund cut-off in that TOP. A file on time for one fund can be late for another in the same group.</t>
  </si>
  <si>
    <t xml:space="preserve">Two different late measures</t>
  </si>
  <si>
    <t xml:space="preserve">Fact_Milestone[SLA_Met] measures the TOP against its binding cut-off — the supplier conversation. Fact_Work[Pricing_Late_For_This_Fund] measures the same arrival against each fund's own PSA cut-off — the fund-level service conversation. They will not agree, and both are correct.</t>
  </si>
  <si>
    <t xml:space="preserve">Cut-off spread is a finding</t>
  </si>
  <si>
    <t xml:space="preserve">Dim_TOP[Cutoff_Spread_Mins] shows how far apart cut-offs are inside one group. A wide spread means either the earliest fund carries a deadline the others do not, or the later funds have slack nobody uses. Review before renegotiating any PSA.</t>
  </si>
  <si>
    <t xml:space="preserve">Blast radius</t>
  </si>
  <si>
    <t xml:space="preserve">Fact_Milestone[Fund_Days_Impacted] counts how many fund-days each late arrival touched. One late TOP with five funds is five late funds, not one — the concentration measure the fund-level model could not produce.</t>
  </si>
  <si>
    <t xml:space="preserve">PER-DAY BINDING CUT-OFF</t>
  </si>
  <si>
    <t xml:space="preserve">Fact_Milestone[Binding_Cutoff_Hr] is now the earliest cut-off among the funds of that TOP that actually ran on that date (found in Fact_Work). Before, it was the earliest across every fund assigned to the TOP, which made a TOP look late on days when its early-cut-off fund did not run.</t>
  </si>
  <si>
    <t xml:space="preserve">Funds_In_TOP on Fact_Milestone</t>
  </si>
  <si>
    <t xml:space="preserve">Now counts the funds of that TOP that ran that day, not every fund assigned to it. Fund_Days_Impacted uses it, so blast radius is no longer overstated. Column names are unchanged, so Power Query and measures need no edits.</t>
  </si>
  <si>
    <t xml:space="preserve">Days with no running funds</t>
  </si>
  <si>
    <t xml:space="preserve">If none of a TOP's funds ran on a date, Binding_Cutoff_Hr is blank and the delivery is not scored.</t>
  </si>
  <si>
    <t xml:space="preserve">Dim_TOP is a design view</t>
  </si>
  <si>
    <t xml:space="preserve">Earliest, Latest and Spread in Dim_TOP stay static, across all assigned funds. They drive the Group Design page, not the SLA.</t>
  </si>
  <si>
    <t xml:space="preserve">WHY MINIFS / MAXIFS</t>
  </si>
  <si>
    <t xml:space="preserve">What went wrong</t>
  </si>
  <si>
    <t xml:space="preserve">Dim_TOP Earliest and Latest, and Fact_Milestone Binding_Cutoff_Hr, used a min-via-max trick with IFERROR over a whole range inside SUMPRODUCT. LibreOffice reads that as an array and gets it right. Excel can evaluate the IFERROR part one row at a time, so every row returned its own fund's cut-off instead of the group's earliest and latest.</t>
  </si>
  <si>
    <t xml:space="preserve">The replacement</t>
  </si>
  <si>
    <t xml:space="preserve">MINIFS and MAXIFS need no array evaluation. They require Excel 2019 or Microsoft 365. On older Excel they show a name error rather than a wrong number.</t>
  </si>
  <si>
    <t xml:space="preserve">Fact_Work helper</t>
  </si>
  <si>
    <t xml:space="preserve">Column AN, Fund_Pricing_Cutoff_Hr, holds each fund-day's own pricing cut-off so Fact_Milestone can take the earliest among the funds that ran.</t>
  </si>
  <si>
    <t xml:space="preserve">ROW LIMITS — WHOLE-COLUMN FORMULAS</t>
  </si>
  <si>
    <t xml:space="preserve">The Fact_Milestone and Dim_TOP formulas read Fact_Work to row 301 and Dim_Fund to row 201. With real volumes the matching rows sit below that, so MINIFS found nothing and returned 0, which made the binding cut-off 00:00 and every delivery look hundreds of minutes late.</t>
  </si>
  <si>
    <t xml:space="preserve">The fix</t>
  </si>
  <si>
    <t xml:space="preserve">They now read whole columns, so they keep working however many rows you load, and they return blank, not 0, when nothing matches. A cut-off of 0 is treated as a missing input.</t>
  </si>
  <si>
    <t xml:space="preserve">Fixed ranges removed</t>
  </si>
  <si>
    <t xml:space="preserve">Every formula that totals, looks up or counts now reads whole columns, so none depends on how many rows you load. The only fixed sizes left are Dim_Slot and Dim_Clock (32 half-hour slots by design).</t>
  </si>
  <si>
    <t xml:space="preserve">BOTTLENECK ANALYSIS COLUMNS</t>
  </si>
  <si>
    <t xml:space="preserve">Where the buffer goes</t>
  </si>
  <si>
    <t xml:space="preserve">Planned_Buffer_Mins is the client cut-off minus the fund's PSA cut-off, NAV budget and planned tail. Var_Pricing, Pricing_To_Calc, Var_NAV_Stretch, Var_Control and Var_Approval are how much each stage used or saved against plan. They add up to the breach: Breach = sum of variances minus planned buffer. Bridge_Check tests that to within 2 minutes.</t>
  </si>
  <si>
    <t xml:space="preserve">Breach_Class</t>
  </si>
  <si>
    <t xml:space="preserve">Lost on arrival: pricing arrived with less headroom than the NAV budget plus tail, so even instant work could not have met the cut-off. Lost after arrival: there was time, and it was used up inside the team or in approval. The test uses the budget, so it is strict and will under-count lost-on-arrival.</t>
  </si>
  <si>
    <t xml:space="preserve">Due slots</t>
  </si>
  <si>
    <t xml:space="preserve">Due_Slot_Hr buckets each fund-day by the 30-minute slot in which its TOP's pricing was due: the earliest cut-off among that TOP's funds that ran that day, taken from Fact_Milestone (or the static Dim_TOP value when no delivery was logged). Every fund in a TOP shares one slot, because they are all released together when the file arrives. Dim_Slot counts fund-days per slot and flags Peak slots. Fact_Milestone gets the same slot from its binding cut-off.</t>
  </si>
  <si>
    <t xml:space="preserve">Clock columns</t>
  </si>
  <si>
    <t xml:space="preserve">Arrival_Hr, Start_Hr and End_Hr are time of day in hours. They feed the cumulative flow chart through Dim_Clock.</t>
  </si>
  <si>
    <t xml:space="preserve">Business days</t>
  </si>
  <si>
    <t xml:space="preserve">Constants!B13 now reads whole columns, so it keeps working above row 301.</t>
  </si>
  <si>
    <t xml:space="preserve">Dim_Slot</t>
  </si>
  <si>
    <t xml:space="preserve">One row per 30-minute slot by the time a TOP's pricing was DUE, not by a fund's own cut-off and not by when the file arrived. Funds are released in waves when their TOP lands, so their wait belongs to the TOP's slot. Keep the sheet free of notes: they would load as data.</t>
  </si>
  <si>
    <t xml:space="preserve">Dim_Clock</t>
  </si>
  <si>
    <t xml:space="preserve">Slot END times for the cumulative flow chart. Keep it disconnected from every other table.</t>
  </si>
  <si>
    <t xml:space="preserve">Dim_BufferStep</t>
  </si>
  <si>
    <t xml:space="preserve">Keep disconnected. The text in column A is matched exactly by the Bridge Mins measure, so do not reword it.</t>
  </si>
  <si>
    <t xml:space="preserve">FILLING FORMULAS DOWN TO YOUR LAST ROW</t>
  </si>
  <si>
    <t xml:space="preserve">The rule</t>
  </si>
  <si>
    <t xml:space="preserve">Formulas that read whole columns already cover every row you load. What does not extend itself is the row of formulas next to your pasted data. After pasting, select the formulas in the last pre-filled row and double-click the fill handle: Excel fills down as far as the data in the adjacent column goes.</t>
  </si>
  <si>
    <t xml:space="preserve">Where to do it</t>
  </si>
  <si>
    <t xml:space="preserve">Fact_Work (D to AZ, from the input columns A to C), Fact_Milestone (D to K), Dim_Fund (the derived block), Dim_Fund_Staging, and Status_Log columns G and H.</t>
  </si>
  <si>
    <t xml:space="preserve">How you will know</t>
  </si>
  <si>
    <t xml:space="preserve">The FORMULA COVERAGE block on the Checks sheet counts rows that have data but no formulas. Every line should read 0.</t>
  </si>
  <si>
    <t xml:space="preserve">Status_Log lookups</t>
  </si>
  <si>
    <t xml:space="preserve">Calculated, Controlled, FA signed off and signed off times, the rerun count, and the maker and checker names now use MINIFS and MAXIFS plus two helper columns (G Key, H Key_Time). They need Excel 2019 or Microsoft 365. A full recalculation on tens of thousands of fund-days can take minutes; doing this pivot in Power Query is the faster long-term route.</t>
  </si>
  <si>
    <t xml:space="preserve">Notes moved here</t>
  </si>
  <si>
    <t xml:space="preserve">The explanatory notes that sat in data columns of Dim_Analyst, Dim_TOP and Raw_Fund_Import were moved to this sheet, because text in a data column is read as data.</t>
  </si>
  <si>
    <t xml:space="preserve">Moved from Dim_Analyst</t>
  </si>
  <si>
    <t xml:space="preserve">One row per NAME exactly as it appears in Status_Log. Active = No for external approvers — they consume no FA capacity but must be listed or their rows drop.</t>
  </si>
  <si>
    <t xml:space="preserve">Moved from Dim_TOP</t>
  </si>
  <si>
    <t xml:space="preserve">One row per pricing group. Earliest, Latest and Spread are a STATIC design view across every fund assigned to the TOP. The daily SLA does not read them: Fact_Milestone[Binding_Cutoff_Hr] is recalculated for each TOP on each date from the funds that actually ran.</t>
  </si>
  <si>
    <t xml:space="preserve">Moved from Raw_Fund_Import</t>
  </si>
  <si>
    <t xml:space="preserve">PASTE YOUR EXPORT HERE — row 1 headers, row 2 onward data. Column order does not matter. Extra columns are ignored.</t>
  </si>
  <si>
    <t xml:space="preserve">VERSION 4.5 — POWER BI PAGES</t>
  </si>
  <si>
    <t xml:space="preserve">Columns added to the right of every existing table so the two report pages (Supplier Concentration Risk, Fund Level) can be built without Power Query logic. No existing column moved or was renamed. All DAX ships as a Tabular Editor C# script (NAV_Bottleneck_Measures_v4_5.csx). PBI_Mapping lists every visual, field and measure.</t>
  </si>
  <si>
    <t xml:space="preserve">New sheets</t>
  </si>
  <si>
    <t xml:space="preserve">Dim_SupplierType, Dim_WaitGroup, Dim_DetailRow: disconnected row lists for SWITCH measures. Dim_Cause: legend order for Possible_Cause, related to Fact_Work. Keep all four free of notes: they load as data. PBI_Mapping is documentation: do not load it.</t>
  </si>
  <si>
    <t xml:space="preserve">Thin slack</t>
  </si>
  <si>
    <t xml:space="preserve">Constants!B17, default 0 (zero tolerance). A feed is thin when its slack to the pricing cut-off is at or below it, so a late file reaches NAV directly. The broker watchlist keeps its own threshold in B14.</t>
  </si>
  <si>
    <t xml:space="preserve">Wait after pricing — three parts</t>
  </si>
  <si>
    <t xml:space="preserve">Wait_After_Pricing_Mins = Queue_Wait_Mins + Own_Recon_Mins + Other_Holdup_Mins. Queue = minutes between pricing arrival and this fund's Calculated when the same maker was WORKING on another fund that day, i.e. inside that fund-day's work window (Work_Start_Num to Work_End_Num: Calculated minus its recon budget, to Calculated). Hold-ups on the funds ahead are not passed down. Own recon = the same maker reconciling THIS fund, up to its Recon_Mins budget, taken from what is left. Other hold-up = the remainder: data not ready, breaks, recon over budget, or work not in the log. Nothing is called idle: the maker usually does both recon and calculation. RECONSTRUCTED, not observed: both queue and own recon use recon budgets, not actual work times, and only work in the status log is visible.</t>
  </si>
  <si>
    <t xml:space="preserve">Possible cause</t>
  </si>
  <si>
    <t xml:space="preserve">Breached fund-days only, first match wins: Pricing late (this fund's own PSA cut-off), Thin custody slack, Broker-dependent, None of these. Custody, TA and broker arrivals are not captured, so only pricing is a measured cause.</t>
  </si>
  <si>
    <t xml:space="preserve">Timeline bars</t>
  </si>
  <si>
    <t xml:space="preserve">Bar_Offset_Hr (transparent) + Bar_Wait_Hr + Bar_NAV_Hr + Bar_Control_Hr + Bar_Tail_Hr = delivery time of day. Client sign-off funds have no Controlled step: their NAV bar runs to FA signed off and the control bar is 0.</t>
  </si>
  <si>
    <t xml:space="preserve">Fix: missing client cut-off</t>
  </si>
  <si>
    <t xml:space="preserve">Fact_Work[Client_Cutoff_DT] used to fall back to midnight when the client cut-off was missing, inventing a breach. It is now blank, and Headroom_After_Pricing_Mins is guarded for it. Checks counts them.</t>
  </si>
  <si>
    <t xml:space="preserve">Fix: Checks C8</t>
  </si>
  <si>
    <t xml:space="preserve">Pointed to Constants!B13 (business days); the broker threshold is B14.</t>
  </si>
  <si>
    <t xml:space="preserve">Moved from Dim_Signoff</t>
  </si>
  <si>
    <t xml:space="preserve">Planned_Tail_Mins covers the EXTERNAL step only. Check time is separate and is not budgeted anywhere — see README. Until agreed: measure the actual tail for three months and use the 80th percentile.</t>
  </si>
  <si>
    <t xml:space="preserve">Team load by hour</t>
  </si>
  <si>
    <t xml:space="preserve">Page 2 chart for one processing date, whole team (client and fund filters ignored): Load % = work in hand / team time available, by hour. Work in hand = budgeted maker minutes (recon + NAV, from the weightage) still to do on fund-days in hand during the hour; a fund-day is in hand from pricing arrival (or recon start if earlier) until Calculated + its NAV budget (Fact_Work BX:BZ). Team time = makers of that date (active analysts who set at least one fund to Calculated) on shift in the hour (shift start to start + Constants!B18 hours), at the 450 basis: minutes on shift x Daily_Capacity_Mins / shift minutes, i.e. 50 per full hour on a 9-hour shift, prorated for part-hours. Makers who did no Calculated that day are not counted. Over 100% means more work in hand than the team can do in that hour, so it carries over. Check time is not budgeted in the template, so it is not in the load. Tooltips keep cut-offs due and funds awaiting control (BU:BW). Status_Log I:J are no longer used by the report and can stay or be deleted.</t>
  </si>
  <si>
    <t xml:space="preserve">Filling down</t>
  </si>
  <si>
    <t xml:space="preserve">Fact_Work formulas now run D to AZ and BA to BZ; Status_Log G to J; Dim_Analyst to Q; Dim_Team to G; Fact_Milestone D to M; Dim_Fund to BK; Dim_TOP to O.</t>
  </si>
  <si>
    <t xml:space="preserve">Power Query</t>
  </si>
  <si>
    <t xml:space="preserve">Pre-filled formula rows with no data load as empty rows, and blank formula results ("") load as empty text. In each table's query: (1) filter out rows whose first column is null or empty; (2) replace "" with null in number and date columns, e.g. Table.ReplaceValue(prev, "", null, Replacer.ReplaceValue, {"Queue_Wait_Mins", ...}); (3) set *_Hr, *_Mins, *_Num and Bar_* to Decimal Number, *_DT to Date/Time, NAV_Date and Process_Date to Date. Slack_*_Mins and Check_Mins hold 'n/a' and stay text; do the maths on the *_Num and Bar_* columns.</t>
  </si>
  <si>
    <t xml:space="preserve">CONSTANT</t>
  </si>
  <si>
    <t xml:space="preserve">VALUE</t>
  </si>
  <si>
    <t xml:space="preserve">NOTES</t>
  </si>
  <si>
    <t xml:space="preserve">FTE denominator</t>
  </si>
  <si>
    <t xml:space="preserve">INPUT — confirmed constant across all funds.</t>
  </si>
  <si>
    <t xml:space="preserve">Daily capacity (minutes)</t>
  </si>
  <si>
    <t xml:space="preserve">INPUT — one analyst's day. MAKER EFFORT ONLY. Checking is not inside this number.</t>
  </si>
  <si>
    <t xml:space="preserve">Minutes per weightage unit</t>
  </si>
  <si>
    <t xml:space="preserve">FORMULA — 450 / 20.38 = 22.08.</t>
  </si>
  <si>
    <t xml:space="preserve">Base reconciliation %</t>
  </si>
  <si>
    <t xml:space="preserve">INPUT — fund with none of the four products.</t>
  </si>
  <si>
    <t xml:space="preserve">ETD adjustment</t>
  </si>
  <si>
    <t xml:space="preserve">INPUT</t>
  </si>
  <si>
    <t xml:space="preserve">OTC (non-CFD) adjustment</t>
  </si>
  <si>
    <t xml:space="preserve">OTC (CFD) adjustment</t>
  </si>
  <si>
    <t xml:space="preserve">PFC adjustment</t>
  </si>
  <si>
    <t xml:space="preserve">INPUT — negative, moves the boundary toward NAV calculation.</t>
  </si>
  <si>
    <t xml:space="preserve">INPUT — positive, moves the boundary toward reconciliation (same direction as ETD).</t>
  </si>
  <si>
    <t xml:space="preserve">Business days in Fact_Work</t>
  </si>
  <si>
    <t xml:space="preserve">FORMULA — used to convert total actual minutes into a per-day figure.</t>
  </si>
  <si>
    <t xml:space="preserve">Broker slack watchlist threshold (mins)</t>
  </si>
  <si>
    <t xml:space="preserve">INPUT — funds with less broker margin than this are the only ones where a late broker can bind. Capture broker actuals for these funds only.</t>
  </si>
  <si>
    <t xml:space="preserve">Peak percentile</t>
  </si>
  <si>
    <t xml:space="preserve">INPUT — a time slot counts as Peak when its funds-due-per-day is at or above this percentile of the busy slots.</t>
  </si>
  <si>
    <t xml:space="preserve">WARNING</t>
  </si>
  <si>
    <t xml:space="preserve">Changing any INPUT moves every fund's target at once, including history. Version-control before editing.</t>
  </si>
  <si>
    <t xml:space="preserve">Thin slack threshold (mins)</t>
  </si>
  <si>
    <t xml:space="preserve">INPUT — v4.5. A custody, TA or broker feed is THIN when its slack to the pricing cut-off is at or below this. 0 = zero tolerance: thin only when the feed's cut-off is at or after the pricing cut-off, so any lateness reaches NAV directly. Separate from the broker watchlist threshold in B14.</t>
  </si>
  <si>
    <t xml:space="preserve">Shift length (hrs)</t>
  </si>
  <si>
    <t xml:space="preserve">INPUT — v4.5. Hours on desk including breaks, the same for every team. Shift end = Dim_Team shift start + this. Places each maker on the clock for the Team load by hour chart.</t>
  </si>
  <si>
    <t xml:space="preserve">Team_ID</t>
  </si>
  <si>
    <t xml:space="preserve">Team_Name</t>
  </si>
  <si>
    <t xml:space="preserve">Shift_Start</t>
  </si>
  <si>
    <t xml:space="preserve">Shifts_In_Team</t>
  </si>
  <si>
    <t xml:space="preserve">Daily_Capacity_Mins</t>
  </si>
  <si>
    <t xml:space="preserve">Shift_Start_Hr</t>
  </si>
  <si>
    <t xml:space="preserve">Shift_End_Hr</t>
  </si>
  <si>
    <t xml:space="preserve">TM01</t>
  </si>
  <si>
    <t xml:space="preserve">Equity Ops</t>
  </si>
  <si>
    <t xml:space="preserve">TM02</t>
  </si>
  <si>
    <t xml:space="preserve">Fixed Income Ops</t>
  </si>
  <si>
    <t xml:space="preserve">TM03</t>
  </si>
  <si>
    <t xml:space="preserve">Multi-Asset Ops</t>
  </si>
  <si>
    <t xml:space="preserve">TM04</t>
  </si>
  <si>
    <t xml:space="preserve">Derivatives Ops</t>
  </si>
  <si>
    <t xml:space="preserve">Signoff_Model</t>
  </si>
  <si>
    <t xml:space="preserve">Responsible_Party</t>
  </si>
  <si>
    <t xml:space="preserve">Planned_Tail_Mins</t>
  </si>
  <si>
    <t xml:space="preserve">Status</t>
  </si>
  <si>
    <t xml:space="preserve">FA</t>
  </si>
  <si>
    <t xml:space="preserve">FA team — checker only, no external step</t>
  </si>
  <si>
    <t xml:space="preserve">Defined</t>
  </si>
  <si>
    <t xml:space="preserve">Oversight</t>
  </si>
  <si>
    <t xml:space="preserve">Internal oversight team</t>
  </si>
  <si>
    <t xml:space="preserve">NOT AGREED — placeholder</t>
  </si>
  <si>
    <t xml:space="preserve">Client</t>
  </si>
  <si>
    <t xml:space="preserve">Client approves</t>
  </si>
  <si>
    <t xml:space="preserve">Fund_ID</t>
  </si>
  <si>
    <t xml:space="preserve">Fund_Name</t>
  </si>
  <si>
    <t xml:space="preserve">Client_ID</t>
  </si>
  <si>
    <t xml:space="preserve">Client_Name</t>
  </si>
  <si>
    <t xml:space="preserve">Strategic_Client</t>
  </si>
  <si>
    <t xml:space="preserve">Default_Analyst_Name</t>
  </si>
  <si>
    <t xml:space="preserve">Weightage</t>
  </si>
  <si>
    <t xml:space="preserve">ETD</t>
  </si>
  <si>
    <t xml:space="preserve">OTC_nonCFD</t>
  </si>
  <si>
    <t xml:space="preserve">OTC_CFD</t>
  </si>
  <si>
    <t xml:space="preserve">PFC</t>
  </si>
  <si>
    <t xml:space="preserve">EUC</t>
  </si>
  <si>
    <t xml:space="preserve">Has_Custody_Process</t>
  </si>
  <si>
    <t xml:space="preserve">Has_TA_Process</t>
  </si>
  <si>
    <t xml:space="preserve">Has_Broker_Process</t>
  </si>
  <si>
    <t xml:space="preserve">Custody_Cutoff</t>
  </si>
  <si>
    <t xml:space="preserve">TA_Cutoff</t>
  </si>
  <si>
    <t xml:space="preserve">Broker_ETA</t>
  </si>
  <si>
    <t xml:space="preserve">Pricing_Cutoff</t>
  </si>
  <si>
    <t xml:space="preserve">TOP_ID</t>
  </si>
  <si>
    <t xml:space="preserve">Client_Cutoff</t>
  </si>
  <si>
    <t xml:space="preserve">NAV_Deadline</t>
  </si>
  <si>
    <t xml:space="preserve">Cutoff_Data_Quality</t>
  </si>
  <si>
    <t xml:space="preserve">Recon_Pct</t>
  </si>
  <si>
    <t xml:space="preserve">NAV_Pct</t>
  </si>
  <si>
    <t xml:space="preserve">Required_Mins</t>
  </si>
  <si>
    <t xml:space="preserve">Recon_Mins</t>
  </si>
  <si>
    <t xml:space="preserve">NAV_Mins</t>
  </si>
  <si>
    <t xml:space="preserve">Custody_Cutoff_Hr</t>
  </si>
  <si>
    <t xml:space="preserve">TA_Cutoff_Hr</t>
  </si>
  <si>
    <t xml:space="preserve">Broker_ETA_Hr</t>
  </si>
  <si>
    <t xml:space="preserve">Pricing_Cutoff_Hr</t>
  </si>
  <si>
    <t xml:space="preserve">Client_Cutoff_Hr</t>
  </si>
  <si>
    <t xml:space="preserve">NAV_Deadline_Hr</t>
  </si>
  <si>
    <t xml:space="preserve">Slack_Custody_Mins</t>
  </si>
  <si>
    <t xml:space="preserve">Slack_TA_Mins</t>
  </si>
  <si>
    <t xml:space="preserve">Slack_Broker_Mins</t>
  </si>
  <si>
    <t xml:space="preserve">Avail_Recon_Mins</t>
  </si>
  <si>
    <t xml:space="preserve">Avail_NAV_Mins</t>
  </si>
  <si>
    <t xml:space="preserve">Recon_Feasible</t>
  </si>
  <si>
    <t xml:space="preserve">NAV_Feasible</t>
  </si>
  <si>
    <t xml:space="preserve">Feasibility_Flag</t>
  </si>
  <si>
    <t xml:space="preserve">Broker_Watchlist</t>
  </si>
  <si>
    <t xml:space="preserve">Broker_Slack_Rank</t>
  </si>
  <si>
    <t xml:space="preserve">Client_Tier</t>
  </si>
  <si>
    <t xml:space="preserve">Runs_Observed</t>
  </si>
  <si>
    <t xml:space="preserve">NAV_Frequency_Observed</t>
  </si>
  <si>
    <t xml:space="preserve">TOP_Binding_Cutoff_Hr</t>
  </si>
  <si>
    <t xml:space="preserve">Cutoff_Vs_TOP_Mins</t>
  </si>
  <si>
    <t xml:space="preserve">TOP_Cutoff_Risk</t>
  </si>
  <si>
    <t xml:space="preserve">Client_First_In_TOP</t>
  </si>
  <si>
    <t xml:space="preserve">Broker_Dependent</t>
  </si>
  <si>
    <t xml:space="preserve">Thin_Custody_Slack</t>
  </si>
  <si>
    <t xml:space="preserve">Thin_TA_Slack</t>
  </si>
  <si>
    <t xml:space="preserve">Thin_Broker_Slack</t>
  </si>
  <si>
    <t xml:space="preserve">Custody_Slack_Group</t>
  </si>
  <si>
    <t xml:space="preserve">Slack_Custody_Num</t>
  </si>
  <si>
    <t xml:space="preserve">Slack_TA_Num</t>
  </si>
  <si>
    <t xml:space="preserve">Slack_Broker_Num</t>
  </si>
  <si>
    <t xml:space="preserve">FD-1001</t>
  </si>
  <si>
    <t xml:space="preserve">Sample Fund 1001</t>
  </si>
  <si>
    <t xml:space="preserve">CL01</t>
  </si>
  <si>
    <t xml:space="preserve">Meridian Pensions</t>
  </si>
  <si>
    <t xml:space="preserve">Yes</t>
  </si>
  <si>
    <t xml:space="preserve">Lim Wei Ming</t>
  </si>
  <si>
    <t xml:space="preserve">No</t>
  </si>
  <si>
    <t xml:space="preserve">TOP-EQ1</t>
  </si>
  <si>
    <t xml:space="preserve">Estimated</t>
  </si>
  <si>
    <t xml:space="preserve">FD-1002</t>
  </si>
  <si>
    <t xml:space="preserve">Sample Fund 1002</t>
  </si>
  <si>
    <t xml:space="preserve">CL02</t>
  </si>
  <si>
    <t xml:space="preserve">Northgate Insurance</t>
  </si>
  <si>
    <t xml:space="preserve">Siti Noraini</t>
  </si>
  <si>
    <t xml:space="preserve">TOP-FI1</t>
  </si>
  <si>
    <t xml:space="preserve">Confirmed</t>
  </si>
  <si>
    <t xml:space="preserve">FD-1003</t>
  </si>
  <si>
    <t xml:space="preserve">Sample Fund 1003</t>
  </si>
  <si>
    <t xml:space="preserve">CL03</t>
  </si>
  <si>
    <t xml:space="preserve">Halvern Wealth</t>
  </si>
  <si>
    <t xml:space="preserve">Raj Kumar</t>
  </si>
  <si>
    <t xml:space="preserve">TOP-MA1</t>
  </si>
  <si>
    <t xml:space="preserve">FD-1004</t>
  </si>
  <si>
    <t xml:space="preserve">Sample Fund 1004</t>
  </si>
  <si>
    <t xml:space="preserve">Chen Xiao</t>
  </si>
  <si>
    <t xml:space="preserve">TOP-ALT</t>
  </si>
  <si>
    <t xml:space="preserve">FD-1005</t>
  </si>
  <si>
    <t xml:space="preserve">Sample Fund 1005</t>
  </si>
  <si>
    <t xml:space="preserve">Aisha Rahman</t>
  </si>
  <si>
    <t xml:space="preserve">FD-1006</t>
  </si>
  <si>
    <t xml:space="preserve">Sample Fund 1006</t>
  </si>
  <si>
    <t xml:space="preserve">Daniel Tan</t>
  </si>
  <si>
    <t xml:space="preserve">FD-1007</t>
  </si>
  <si>
    <t xml:space="preserve">Sample Fund 1007</t>
  </si>
  <si>
    <t xml:space="preserve">FD-1008</t>
  </si>
  <si>
    <t xml:space="preserve">Sample Fund 1008</t>
  </si>
  <si>
    <t xml:space="preserve">FD-1009</t>
  </si>
  <si>
    <t xml:space="preserve">Sample Fund 1009</t>
  </si>
  <si>
    <t xml:space="preserve">FD-1010</t>
  </si>
  <si>
    <t xml:space="preserve">Sample Fund 1010</t>
  </si>
  <si>
    <t xml:space="preserve">FD-1011</t>
  </si>
  <si>
    <t xml:space="preserve">Sample Fund 1011</t>
  </si>
  <si>
    <t xml:space="preserve">FD-1012</t>
  </si>
  <si>
    <t xml:space="preserve">Sample Fund 1012</t>
  </si>
  <si>
    <t xml:space="preserve">TOP_Name</t>
  </si>
  <si>
    <t xml:space="preserve">Pricing_Supplier</t>
  </si>
  <si>
    <t xml:space="preserve">Funds_In_TOP</t>
  </si>
  <si>
    <t xml:space="preserve">Earliest_Cutoff_Hr</t>
  </si>
  <si>
    <t xml:space="preserve">Latest_Cutoff_Hr</t>
  </si>
  <si>
    <t xml:space="preserve">Cutoff_Spread_Mins</t>
  </si>
  <si>
    <t xml:space="preserve">Binding_Cutoff_Hr</t>
  </si>
  <si>
    <t xml:space="preserve">Blast_Radius_Flag</t>
  </si>
  <si>
    <t xml:space="preserve">Clients_In_TOP</t>
  </si>
  <si>
    <t xml:space="preserve">Share_Of_Funds</t>
  </si>
  <si>
    <t xml:space="preserve">TOP_Days_Scored</t>
  </si>
  <si>
    <t xml:space="preserve">TOP_Days_Late</t>
  </si>
  <si>
    <t xml:space="preserve">Late_Hours_Total</t>
  </si>
  <si>
    <t xml:space="preserve">Breached_Fund_Days_When_Late</t>
  </si>
  <si>
    <t xml:space="preserve">Equity pricing group</t>
  </si>
  <si>
    <t xml:space="preserve">Internal Pricing Team</t>
  </si>
  <si>
    <t xml:space="preserve">Fixed income pricing group</t>
  </si>
  <si>
    <t xml:space="preserve">Multi-asset pricing group</t>
  </si>
  <si>
    <t xml:space="preserve">Alternatives pricing group</t>
  </si>
  <si>
    <t xml:space="preserve">Process_Date</t>
  </si>
  <si>
    <t xml:space="preserve">Actual_Arrival_DT</t>
  </si>
  <si>
    <t xml:space="preserve">Binding_Cutoff_DT</t>
  </si>
  <si>
    <t xml:space="preserve">Delay_Mins</t>
  </si>
  <si>
    <t xml:space="preserve">SLA_Met</t>
  </si>
  <si>
    <t xml:space="preserve">Fund_Days_Impacted</t>
  </si>
  <si>
    <t xml:space="preserve">Due_Slot_Hr</t>
  </si>
  <si>
    <t xml:space="preserve">Late_Mins</t>
  </si>
  <si>
    <t xml:space="preserve">Breached_Fund_Days</t>
  </si>
  <si>
    <t xml:space="preserve">FUND_CODE</t>
  </si>
  <si>
    <t xml:space="preserve">FUND_LONG_NAME</t>
  </si>
  <si>
    <t xml:space="preserve">PORTFOLIO_MGR</t>
  </si>
  <si>
    <t xml:space="preserve">CLIENT_CODE</t>
  </si>
  <si>
    <t xml:space="preserve">CLIENT_LONG_NAME</t>
  </si>
  <si>
    <t xml:space="preserve">STRATEGIC_FLAG</t>
  </si>
  <si>
    <t xml:space="preserve">OPS_TEAM</t>
  </si>
  <si>
    <t xml:space="preserve">PRIMARY_ANALYST</t>
  </si>
  <si>
    <t xml:space="preserve">FUND_WEIGHT</t>
  </si>
  <si>
    <t xml:space="preserve">HAS_ETD</t>
  </si>
  <si>
    <t xml:space="preserve">HAS_OTC_NONCFD</t>
  </si>
  <si>
    <t xml:space="preserve">HAS_OTC_CFD</t>
  </si>
  <si>
    <t xml:space="preserve">HAS_PFC</t>
  </si>
  <si>
    <t xml:space="preserve">CUST_CUTOFF_HHMM</t>
  </si>
  <si>
    <t xml:space="preserve">TA_CUTOFF_HHMM</t>
  </si>
  <si>
    <t xml:space="preserve">BROKER_ETA_HHMM</t>
  </si>
  <si>
    <t xml:space="preserve">PSA_CUTOFF_HHMM</t>
  </si>
  <si>
    <t xml:space="preserve">CLIENT_DEADLINE_HHMM</t>
  </si>
  <si>
    <t xml:space="preserve">NAV_DEADLINE_HHMM</t>
  </si>
  <si>
    <t xml:space="preserve">SIGNOFF_TYPE</t>
  </si>
  <si>
    <t xml:space="preserve">CCY</t>
  </si>
  <si>
    <t xml:space="preserve">DOMICILE</t>
  </si>
  <si>
    <t xml:space="preserve">CUSTODY_FLAG</t>
  </si>
  <si>
    <t xml:space="preserve">TA_FLAG</t>
  </si>
  <si>
    <t xml:space="preserve">BROKER_FLAG</t>
  </si>
  <si>
    <t xml:space="preserve">HAS_EUC</t>
  </si>
  <si>
    <t xml:space="preserve">PM Desk 3</t>
  </si>
  <si>
    <t xml:space="preserve">Y</t>
  </si>
  <si>
    <t xml:space="preserve">TM01-A1</t>
  </si>
  <si>
    <t xml:space="preserve">N</t>
  </si>
  <si>
    <t xml:space="preserve">EUR</t>
  </si>
  <si>
    <t xml:space="preserve">LU</t>
  </si>
  <si>
    <t xml:space="preserve">PM Desk 1</t>
  </si>
  <si>
    <t xml:space="preserve">TM01-A2</t>
  </si>
  <si>
    <t xml:space="preserve">PM Desk 2</t>
  </si>
  <si>
    <t xml:space="preserve">TM02-A1</t>
  </si>
  <si>
    <t xml:space="preserve">TM03-A1</t>
  </si>
  <si>
    <t xml:space="preserve">TM03-A2</t>
  </si>
  <si>
    <t xml:space="preserve">TM04-A1</t>
  </si>
  <si>
    <t xml:space="preserve">Target_Field</t>
  </si>
  <si>
    <t xml:space="preserve">Your_Column_Header</t>
  </si>
  <si>
    <t xml:space="preserve">Transform</t>
  </si>
  <si>
    <t xml:space="preserve">Default_If_Missing</t>
  </si>
  <si>
    <t xml:space="preserve">YESNO</t>
  </si>
  <si>
    <t xml:space="preserve">YN</t>
  </si>
  <si>
    <t xml:space="preserve">HHMM</t>
  </si>
  <si>
    <t xml:space="preserve">TRANSFORM CODES</t>
  </si>
  <si>
    <t xml:space="preserve">(blank)</t>
  </si>
  <si>
    <t xml:space="preserve">Copy the value as-is.</t>
  </si>
  <si>
    <t xml:space="preserve">Whole number like 430 or 1230 becomes a real time. Use for cut-offs held as integers.</t>
  </si>
  <si>
    <t xml:space="preserve">TIME_TEXT</t>
  </si>
  <si>
    <t xml:space="preserve">Text like "04:30" becomes a real time.</t>
  </si>
  <si>
    <t xml:space="preserve">DEC_HR</t>
  </si>
  <si>
    <t xml:space="preserve">Decimal hours like 4.5 becomes a real time.</t>
  </si>
  <si>
    <t xml:space="preserve">Y/N/Yes/True becomes 1, anything else 0. Use for the four product flags.</t>
  </si>
  <si>
    <t xml:space="preserve">Y/N/Yes/True becomes the text "Yes", anything else "No". Use for Strategic_Client and the three Has_*_Process flags.</t>
  </si>
  <si>
    <t xml:space="preserve">Row_OK</t>
  </si>
  <si>
    <t xml:space="preserve">Check every row reads OK, then copy A2:X201 and Paste Special &gt; Values into Dim_Fund cell A2.</t>
  </si>
  <si>
    <t xml:space="preserve">Log_NAV_Date</t>
  </si>
  <si>
    <t xml:space="preserve">Log_Process_Date</t>
  </si>
  <si>
    <t xml:space="preserve">Log_Fund_ID</t>
  </si>
  <si>
    <t xml:space="preserve">Log_Status</t>
  </si>
  <si>
    <t xml:space="preserve">Log_Timestamp</t>
  </si>
  <si>
    <t xml:space="preserve">Log_Person_Name</t>
  </si>
  <si>
    <t xml:space="preserve">Key</t>
  </si>
  <si>
    <t xml:space="preserve">Key_Time</t>
  </si>
  <si>
    <t xml:space="preserve">Log_Hr</t>
  </si>
  <si>
    <t xml:space="preserve">Active_Analyst</t>
  </si>
  <si>
    <t xml:space="preserve">Changed to the status of Calculated</t>
  </si>
  <si>
    <t xml:space="preserve">Changed to the status of Controlled</t>
  </si>
  <si>
    <t xml:space="preserve">Changed to the status of Fund accounting signed off</t>
  </si>
  <si>
    <t xml:space="preserve">Changed to the status of signed off</t>
  </si>
  <si>
    <t xml:space="preserve">Oversight Desk</t>
  </si>
  <si>
    <t xml:space="preserve">Client Ops</t>
  </si>
  <si>
    <t xml:space="preserve">PASTE YOUR STATUS LOG HERE. Both dates are required: NAV date is the valuation date, process date is when the work happened.</t>
  </si>
  <si>
    <t xml:space="preserve">NAV_Date</t>
  </si>
  <si>
    <t xml:space="preserve">Processing_Lag_Days</t>
  </si>
  <si>
    <t xml:space="preserve">Status_Calculated_DT</t>
  </si>
  <si>
    <t xml:space="preserve">Status_Controlled_DT</t>
  </si>
  <si>
    <t xml:space="preserve">Status_FA_SignedOff_DT</t>
  </si>
  <si>
    <t xml:space="preserve">Status_SignedOff_DT</t>
  </si>
  <si>
    <t xml:space="preserve">Recalc_Count</t>
  </si>
  <si>
    <t xml:space="preserve">Rework_Gap_Mins</t>
  </si>
  <si>
    <t xml:space="preserve">Maker_Name</t>
  </si>
  <si>
    <t xml:space="preserve">Checker_Name</t>
  </si>
  <si>
    <t xml:space="preserve">Reassigned</t>
  </si>
  <si>
    <t xml:space="preserve">Pricing_Arrival_DT</t>
  </si>
  <si>
    <t xml:space="preserve">Client_Cutoff_DT</t>
  </si>
  <si>
    <t xml:space="preserve">NAV_Start_DT</t>
  </si>
  <si>
    <t xml:space="preserve">NAV_End_DT</t>
  </si>
  <si>
    <t xml:space="preserve">Delivered_DT</t>
  </si>
  <si>
    <t xml:space="preserve">Implied_Work_Start_DT</t>
  </si>
  <si>
    <t xml:space="preserve">Headroom_After_Pricing_Mins</t>
  </si>
  <si>
    <t xml:space="preserve">Pricing_To_Calc_Mins</t>
  </si>
  <si>
    <t xml:space="preserve">Wait_After_Pricing_Mins</t>
  </si>
  <si>
    <t xml:space="preserve">NAV_Span_Mins</t>
  </si>
  <si>
    <t xml:space="preserve">Check_Mins</t>
  </si>
  <si>
    <t xml:space="preserve">External_Tail_Mins</t>
  </si>
  <si>
    <t xml:space="preserve">FA_Total_Mins</t>
  </si>
  <si>
    <t xml:space="preserve">Breach_Mins</t>
  </si>
  <si>
    <t xml:space="preserve">Breached</t>
  </si>
  <si>
    <t xml:space="preserve">Primary_Cause</t>
  </si>
  <si>
    <t xml:space="preserve">Row_Quality</t>
  </si>
  <si>
    <t xml:space="preserve">Pricing_Late_For_This_Fund</t>
  </si>
  <si>
    <t xml:space="preserve">Fund_Pricing_Cutoff_Hr</t>
  </si>
  <si>
    <t xml:space="preserve">Arrival_Hr</t>
  </si>
  <si>
    <t xml:space="preserve">Start_Hr</t>
  </si>
  <si>
    <t xml:space="preserve">End_Hr</t>
  </si>
  <si>
    <t xml:space="preserve">Planned_Buffer_Mins</t>
  </si>
  <si>
    <t xml:space="preserve">Var_Pricing_Mins</t>
  </si>
  <si>
    <t xml:space="preserve">Var_NAV_Stretch_Mins</t>
  </si>
  <si>
    <t xml:space="preserve">Var_Control_Mins</t>
  </si>
  <si>
    <t xml:space="preserve">Var_Approval_Mins</t>
  </si>
  <si>
    <t xml:space="preserve">Bridge_Check</t>
  </si>
  <si>
    <t xml:space="preserve">Bridge_OK</t>
  </si>
  <si>
    <t xml:space="preserve">TOP_SLA_Met</t>
  </si>
  <si>
    <t xml:space="preserve">Maker_Free_From_DT</t>
  </si>
  <si>
    <t xml:space="preserve">Queue_Wait_Mins</t>
  </si>
  <si>
    <t xml:space="preserve">Own_Recon_Mins</t>
  </si>
  <si>
    <t xml:space="preserve">Possible_Cause</t>
  </si>
  <si>
    <t xml:space="preserve">Fund_Label</t>
  </si>
  <si>
    <t xml:space="preserve">Controlled_To_Delivered_Mins</t>
  </si>
  <si>
    <t xml:space="preserve">Headroom_At_Delivery_Mins</t>
  </si>
  <si>
    <t xml:space="preserve">Bar_Offset_Hr</t>
  </si>
  <si>
    <t xml:space="preserve">Bar_Wait_Hr</t>
  </si>
  <si>
    <t xml:space="preserve">Bar_NAV_Hr</t>
  </si>
  <si>
    <t xml:space="preserve">Bar_Control_Hr</t>
  </si>
  <si>
    <t xml:space="preserve">Bar_Tail_Hr</t>
  </si>
  <si>
    <t xml:space="preserve">Other_Holdup_Mins</t>
  </si>
  <si>
    <t xml:space="preserve">Work_Start_Num</t>
  </si>
  <si>
    <t xml:space="preserve">Work_End_Num</t>
  </si>
  <si>
    <t xml:space="preserve">Control_Start_Hr</t>
  </si>
  <si>
    <t xml:space="preserve">Control_End_Hr</t>
  </si>
  <si>
    <t xml:space="preserve">Control_Window_Status</t>
  </si>
  <si>
    <t xml:space="preserve">InHand_Hr</t>
  </si>
  <si>
    <t xml:space="preserve">Work_Start_Hr</t>
  </si>
  <si>
    <t xml:space="preserve">NAV_Done_Hr</t>
  </si>
  <si>
    <t xml:space="preserve">DATA QUALITY CHECKS</t>
  </si>
  <si>
    <t xml:space="preserve">Run after pasting your data. Anything off target means the source needs fixing, not the formula.</t>
  </si>
  <si>
    <t xml:space="preserve">CHECK</t>
  </si>
  <si>
    <t xml:space="preserve">RESULT</t>
  </si>
  <si>
    <t xml:space="preserve">TARGET / MEANING</t>
  </si>
  <si>
    <t xml:space="preserve">Funds loaded</t>
  </si>
  <si>
    <t xml:space="preserve">Funds missing a default analyst</t>
  </si>
  <si>
    <t xml:space="preserve">Target 0 — planned capacity cannot be built for these</t>
  </si>
  <si>
    <t xml:space="preserve">Funds flagged REVIEW (infeasible)</t>
  </si>
  <si>
    <t xml:space="preserve">Schedule cannot be met even with perfect suppliers. Fix the schedule, not the supplier.</t>
  </si>
  <si>
    <t xml:space="preserve">Broker watchlist — capture actuals</t>
  </si>
  <si>
    <t xml:space="preserve">Funds with broker slack under the threshold on Constants!B14. These are the ONLY funds where a late broker can bind. Do not capture broker arrivals for the rest.</t>
  </si>
  <si>
    <t xml:space="preserve">Funds for strategic clients</t>
  </si>
  <si>
    <t xml:space="preserve">Strategic_Client = Yes. The Client_Tier column turns this into the label used on dashboards.</t>
  </si>
  <si>
    <t xml:space="preserve">Funds with Estimated cut-offs</t>
  </si>
  <si>
    <t xml:space="preserve">Exclude these from supplier SLA analysis — an estimated pricing cut-off produces phantom breaches. They still count for capacity.</t>
  </si>
  <si>
    <t xml:space="preserve">Funds with no broker process</t>
  </si>
  <si>
    <t xml:space="preserve">Broker_ETA should hold the pricing cut-off for these. Slack and rank show n/a.</t>
  </si>
  <si>
    <t xml:space="preserve">Funds with no TA process</t>
  </si>
  <si>
    <t xml:space="preserve">PRICING &amp; BROKER FEEDS</t>
  </si>
  <si>
    <t xml:space="preserve">Milestone rows</t>
  </si>
  <si>
    <t xml:space="preserve">Missing arrival timestamp</t>
  </si>
  <si>
    <t xml:space="preserve">Target 0</t>
  </si>
  <si>
    <t xml:space="preserve">Pricing SLA breaches</t>
  </si>
  <si>
    <t xml:space="preserve">Late vs the PSA cut-off</t>
  </si>
  <si>
    <t xml:space="preserve">Fund-days hit by a late TOP</t>
  </si>
  <si>
    <t xml:space="preserve">One late TOP hits every fund in the group at once. Blast radius, not a count of late deliveries.</t>
  </si>
  <si>
    <t xml:space="preserve">WORK &amp; CAPACITY (from Status_Log)</t>
  </si>
  <si>
    <t xml:space="preserve">Status log rows</t>
  </si>
  <si>
    <t xml:space="preserve">Fund-days built</t>
  </si>
  <si>
    <t xml:space="preserve">One row per fund per NAV date per process date</t>
  </si>
  <si>
    <t xml:space="preserve">Rows flagged CHECK</t>
  </si>
  <si>
    <t xml:space="preserve">Target 0. Missing status, or a maker name absent from Dim_Analyst.</t>
  </si>
  <si>
    <t xml:space="preserve">Processing lag — min / max</t>
  </si>
  <si>
    <t xml:space="preserve">T+1, T+2, T+30. A lag creeping upward on a fund is a finding nothing else catches.</t>
  </si>
  <si>
    <t xml:space="preserve">Breached cycles</t>
  </si>
  <si>
    <t xml:space="preserve">Reassignment rate</t>
  </si>
  <si>
    <t xml:space="preserve">Share of fund-days not worked by the default analyst.</t>
  </si>
  <si>
    <t xml:space="preserve">Recalculated cycles</t>
  </si>
  <si>
    <t xml:space="preserve">Rework. These rows carry an inflated NAV span — exclude from duration trending.</t>
  </si>
  <si>
    <t xml:space="preserve">FOUR-EYES BREACHES</t>
  </si>
  <si>
    <t xml:space="preserve">Same name on Calculated and Controlled. A control failure in its own right.</t>
  </si>
  <si>
    <t xml:space="preserve">Names not in Dim_Analyst</t>
  </si>
  <si>
    <t xml:space="preserve">Target 0. The log holds names only — every one must exist in Dim_Analyst or the row drops.</t>
  </si>
  <si>
    <t xml:space="preserve">Analysts over capacity</t>
  </si>
  <si>
    <t xml:space="preserve">True load, maker plus checker, above the 450.</t>
  </si>
  <si>
    <t xml:space="preserve">Avg wait after pricing (mins)</t>
  </si>
  <si>
    <t xml:space="preserve">Pricing in hand, nobody free. Back-calculated from the weightage.</t>
  </si>
  <si>
    <t xml:space="preserve">Funds never seen in Fact_Work</t>
  </si>
  <si>
    <t xml:space="preserve">In Dim_Fund but no runs in the period. Check whether they are dormant or the log is incomplete.</t>
  </si>
  <si>
    <t xml:space="preserve">PRICING GROUPS (TOP)</t>
  </si>
  <si>
    <t xml:space="preserve">Pricing groups</t>
  </si>
  <si>
    <t xml:space="preserve">Funds not assigned to a TOP</t>
  </si>
  <si>
    <t xml:space="preserve">Target 0. No TOP means no pricing arrival, so the wait calculation is blank for that fund.</t>
  </si>
  <si>
    <t xml:space="preserve">TOPs with 4+ funds</t>
  </si>
  <si>
    <t xml:space="preserve">High blast radius. One late arrival takes out every fund in the group at once.</t>
  </si>
  <si>
    <t xml:space="preserve">Widest cut-off spread in a TOP</t>
  </si>
  <si>
    <t xml:space="preserve">Funds in one group with different PSA cut-offs. The supplier can hit only one deadline, so the earliest binds.</t>
  </si>
  <si>
    <t xml:space="preserve">Funds later than their TOP peers</t>
  </si>
  <si>
    <t xml:space="preserve">Their own cut-off is later than the binding one. They inherit a deadline they did not negotiate.</t>
  </si>
  <si>
    <t xml:space="preserve">Fund-days where pricing missed THIS fund's cut-off</t>
  </si>
  <si>
    <t xml:space="preserve">Measured against the fund's own PSA cut-off. This is the fund-level service number.</t>
  </si>
  <si>
    <t xml:space="preserve">TOP deliveries on days none of its funds ran</t>
  </si>
  <si>
    <t xml:space="preserve">Not scored: nobody was waiting on that file. A high count means arrivals are being logged for TOPs that have no live funds.</t>
  </si>
  <si>
    <t xml:space="preserve">BOTTLENECK ANALYSIS (v4 add-on)</t>
  </si>
  <si>
    <t xml:space="preserve">Fund-days placed in a due slot</t>
  </si>
  <si>
    <t xml:space="preserve">Compare with Fund-days built. A shortfall means some pricing cut-offs fall outside 06:00 to 22:00 or are missing.</t>
  </si>
  <si>
    <t xml:space="preserve">Bridge rows failing the 2-minute tolerance</t>
  </si>
  <si>
    <t xml:space="preserve">Target 0. Rows where the stage variances do not add up to the breach: a missing pricing arrival, or timestamps spanning midnight.</t>
  </si>
  <si>
    <t xml:space="preserve">Breaches lost on arrival</t>
  </si>
  <si>
    <t xml:space="preserve">Breaches already unavoidable when pricing arrived: headroom was less than the NAV budget plus tail.</t>
  </si>
  <si>
    <t xml:space="preserve">Peak slots</t>
  </si>
  <si>
    <t xml:space="preserve">Slots at or above the peak percentile on Constants.</t>
  </si>
  <si>
    <t xml:space="preserve">FORMULA COVERAGE — formulas must reach your last data row</t>
  </si>
  <si>
    <t xml:space="preserve">Fact_Work rows without formulas</t>
  </si>
  <si>
    <t xml:space="preserve">Target 0. Data rows in columns A to C that have no formula in column D onward, or whose fund is missing from Dim_Fund. Select the formulas in the last formula row and double-click the fill handle.</t>
  </si>
  <si>
    <t xml:space="preserve">Fact_Milestone rows without formulas</t>
  </si>
  <si>
    <t xml:space="preserve">Target 0. Data rows with no formulas from column D onward, or a TOP_ID that is not in Dim_TOP.</t>
  </si>
  <si>
    <t xml:space="preserve">Dim_Fund rows without formulas</t>
  </si>
  <si>
    <t xml:space="preserve">Target 0. Funds with no derived columns. Fill down from the last formula row.</t>
  </si>
  <si>
    <t xml:space="preserve">Status_Log rows without key columns</t>
  </si>
  <si>
    <t xml:space="preserve">Target 0. Log rows with no formulas in columns G and H. Fill both down to the last log row, or the maker and checker lookups will miss them.</t>
  </si>
  <si>
    <t xml:space="preserve">Import rows not staged</t>
  </si>
  <si>
    <t xml:space="preserve">Target 0. Rows in Raw_Fund_Import with no formulas on Dim_Fund_Staging.</t>
  </si>
  <si>
    <t xml:space="preserve">POWER BI COLUMNS (v4.5)</t>
  </si>
  <si>
    <t xml:space="preserve">Fact_Work rows without v4.5 formulas</t>
  </si>
  <si>
    <t xml:space="preserve">Target 0. Fill Fact_Work BA to BZ down to the last data row, together with D to AZ.</t>
  </si>
  <si>
    <t xml:space="preserve">Fund-days with no client cut-off</t>
  </si>
  <si>
    <t xml:space="preserve">Target 0. The fund's client cut-off is missing (0) in Dim_Fund, so breach is not scored. Exclude, do not guess.</t>
  </si>
  <si>
    <t xml:space="preserve">Wait split does not add up</t>
  </si>
  <si>
    <t xml:space="preserve">Target 0. Other hold-up below zero means the three-way wait split is broken for that row.</t>
  </si>
  <si>
    <t xml:space="preserve">Share of wait behind other funds</t>
  </si>
  <si>
    <t xml:space="preserve">Same maker working on another fund (inside its reconstructed work window). Capacity signal.</t>
  </si>
  <si>
    <t xml:space="preserve">Share of wait on own recon</t>
  </si>
  <si>
    <t xml:space="preserve">Same maker reconciling this fund, up to its recon budget. Work, not idle.</t>
  </si>
  <si>
    <t xml:space="preserve">Share of wait other hold-up</t>
  </si>
  <si>
    <t xml:space="preserve">Not explained by queue or recon budget: data not ready, breaks, recon over budget, unlogged work.</t>
  </si>
  <si>
    <t xml:space="preserve">Funds with thin custody slack</t>
  </si>
  <si>
    <t xml:space="preserve">Slack at or below Constants!B17. With 0 tolerance, only funds whose custody cut-off is at or after pricing.</t>
  </si>
  <si>
    <t xml:space="preserve">Funds with thin TA slack</t>
  </si>
  <si>
    <t xml:space="preserve">As above for TA.</t>
  </si>
  <si>
    <t xml:space="preserve">Broker-dependent funds</t>
  </si>
  <si>
    <t xml:space="preserve">Has_Broker_Process = Yes.</t>
  </si>
  <si>
    <t xml:space="preserve">Breached fund-days with a possible cause</t>
  </si>
  <si>
    <t xml:space="preserve">Must equal 'Breached cycles' above.</t>
  </si>
  <si>
    <t xml:space="preserve">Fund-days left out of the control workload</t>
  </si>
  <si>
    <t xml:space="preserve">Target 0. No Calculated, no Controlled (or no FA signed off for client sign-off funds), or the end is before the start. Not shown on Team load by hour.</t>
  </si>
  <si>
    <t xml:space="preserve">Client cut-offs outside the chart hours</t>
  </si>
  <si>
    <t xml:space="preserve">Fund-days whose client cut-off falls before or after the hours listed in Dim_Hour. Add rows to Dim_Hour if this is not 0.</t>
  </si>
  <si>
    <t xml:space="preserve">Fund-days left out of the team load</t>
  </si>
  <si>
    <t xml:space="preserve">Target 0. No Calculated time or no NAV budget, so the fund-day's work cannot be placed on the clock.</t>
  </si>
  <si>
    <t xml:space="preserve">Teams with two shifts</t>
  </si>
  <si>
    <t xml:space="preserve">The rostered line treats every team as one 9-hour shift from Shift_Start. Two-shift teams are understated.</t>
  </si>
  <si>
    <t xml:space="preserve">Analyst_Name</t>
  </si>
  <si>
    <t xml:space="preserve">Active</t>
  </si>
  <si>
    <t xml:space="preserve">Capacity_Mins</t>
  </si>
  <si>
    <t xml:space="preserve">Funds_In_Default_Book</t>
  </si>
  <si>
    <t xml:space="preserve">Planned_Maker_Mins_PerDay</t>
  </si>
  <si>
    <t xml:space="preserve">Actual_Maker_Mins_PerDay</t>
  </si>
  <si>
    <t xml:space="preserve">Actual_Utilisation</t>
  </si>
  <si>
    <t xml:space="preserve">Funds_Checked_PerDay</t>
  </si>
  <si>
    <t xml:space="preserve">Check_Mins_PerDay</t>
  </si>
  <si>
    <t xml:space="preserve">True_Load_Mins</t>
  </si>
  <si>
    <t xml:space="preserve">True_Utilisation</t>
  </si>
  <si>
    <t xml:space="preserve">Reassignments_In</t>
  </si>
  <si>
    <t xml:space="preserve">Capacity_Flag</t>
  </si>
  <si>
    <t xml:space="preserve">Slot_Start_Hr</t>
  </si>
  <si>
    <t xml:space="preserve">Slot_End_Hr</t>
  </si>
  <si>
    <t xml:space="preserve">Slot_Label</t>
  </si>
  <si>
    <t xml:space="preserve">Slot_Order</t>
  </si>
  <si>
    <t xml:space="preserve">Fund_Days_Due</t>
  </si>
  <si>
    <t xml:space="preserve">Avg_Funds_Due_Per_Day</t>
  </si>
  <si>
    <t xml:space="preserve">Avg_Due_NonZero</t>
  </si>
  <si>
    <t xml:space="preserve">Peak_Flag</t>
  </si>
  <si>
    <t xml:space="preserve">Clock_Hr</t>
  </si>
  <si>
    <t xml:space="preserve">Clock_Label</t>
  </si>
  <si>
    <t xml:space="preserve">Step</t>
  </si>
  <si>
    <t xml:space="preserve">Step_Order</t>
  </si>
  <si>
    <t xml:space="preserve">Planned buffer</t>
  </si>
  <si>
    <t xml:space="preserve">Pricing vs its cut-off</t>
  </si>
  <si>
    <t xml:space="preserve">Wait before NAV starts</t>
  </si>
  <si>
    <t xml:space="preserve">NAV stretch vs budget</t>
  </si>
  <si>
    <t xml:space="preserve">Controlled → FA signed off</t>
  </si>
  <si>
    <t xml:space="preserve">Approval overrun</t>
  </si>
  <si>
    <t xml:space="preserve">Supplier_Type</t>
  </si>
  <si>
    <t xml:space="preserve">Type_Order</t>
  </si>
  <si>
    <t xml:space="preserve">Pricing (TOP)</t>
  </si>
  <si>
    <t xml:space="preserve">Custody</t>
  </si>
  <si>
    <t xml:space="preserve">TA</t>
  </si>
  <si>
    <t xml:space="preserve">Broker (dependent)</t>
  </si>
  <si>
    <t xml:space="preserve">Wait_Group</t>
  </si>
  <si>
    <t xml:space="preserve">Group_Order</t>
  </si>
  <si>
    <t xml:space="preserve">Broker-dependent</t>
  </si>
  <si>
    <t xml:space="preserve">Not broker-dependent</t>
  </si>
  <si>
    <t xml:space="preserve">Thin custody slack</t>
  </si>
  <si>
    <t xml:space="preserve">Ample custody slack</t>
  </si>
  <si>
    <t xml:space="preserve">Cause_Order</t>
  </si>
  <si>
    <t xml:space="preserve">Pricing late</t>
  </si>
  <si>
    <t xml:space="preserve">None of these</t>
  </si>
  <si>
    <t xml:space="preserve">Not breached</t>
  </si>
  <si>
    <t xml:space="preserve">Detail</t>
  </si>
  <si>
    <t xml:space="preserve">Detail_Order</t>
  </si>
  <si>
    <t xml:space="preserve">Pricing cut-off</t>
  </si>
  <si>
    <t xml:space="preserve">Pricing arrived</t>
  </si>
  <si>
    <t xml:space="preserve">NAV started</t>
  </si>
  <si>
    <t xml:space="preserve">Controlled</t>
  </si>
  <si>
    <t xml:space="preserve">FA signed off</t>
  </si>
  <si>
    <t xml:space="preserve">Delivered</t>
  </si>
  <si>
    <t xml:space="preserve">Client cut-off</t>
  </si>
  <si>
    <t xml:space="preserve">Headroom</t>
  </si>
  <si>
    <t xml:space="preserve">Waited after pricing</t>
  </si>
  <si>
    <t xml:space="preserve">NAV to Controlled</t>
  </si>
  <si>
    <t xml:space="preserve">Hour_Start</t>
  </si>
  <si>
    <t xml:space="preserve">Hour_End</t>
  </si>
  <si>
    <t xml:space="preserve">Hour_Label</t>
  </si>
  <si>
    <t xml:space="preserve">POWER BI MAPPING — documentation only, do not load this sheet</t>
  </si>
  <si>
    <t xml:space="preserve">Run NAV_Bottleneck_Measures_v4_5.csx in Tabular Editor (C# Script tab) against the model loaded from this workbook. It creates the relationships, sort orders and every measure below, and is safe to re-run.</t>
  </si>
  <si>
    <t xml:space="preserve">VISUALS</t>
  </si>
  <si>
    <t xml:space="preserve">Page</t>
  </si>
  <si>
    <t xml:space="preserve">Visual</t>
  </si>
  <si>
    <t xml:space="preserve">Type</t>
  </si>
  <si>
    <t xml:space="preserve">Axis / rows</t>
  </si>
  <si>
    <t xml:space="preserve">Values / measures</t>
  </si>
  <si>
    <t xml:space="preserve">Legend / filters / sort</t>
  </si>
  <si>
    <t xml:space="preserve">Notes</t>
  </si>
  <si>
    <t xml:space="preserve">1 Supplier Concentration Risk</t>
  </si>
  <si>
    <t xml:space="preserve">Header: Date</t>
  </si>
  <si>
    <t xml:space="preserve">Card / text</t>
  </si>
  <si>
    <t xml:space="preserve">[Date Range Label]</t>
  </si>
  <si>
    <t xml:space="preserve">Slicer: Fact_Work[Process_Date] (between)</t>
  </si>
  <si>
    <t xml:space="preserve">Header: Client</t>
  </si>
  <si>
    <t xml:space="preserve">[Client Label]</t>
  </si>
  <si>
    <t xml:space="preserve">Slicer: Dim_Fund[Client_Name]</t>
  </si>
  <si>
    <t xml:space="preserve">KPI Largest TOP</t>
  </si>
  <si>
    <t xml:space="preserve">Card</t>
  </si>
  <si>
    <t xml:space="preserve">[Largest TOP]; subtitle [Largest TOP Subtitle]</t>
  </si>
  <si>
    <t xml:space="preserve">KPI TOP late rate</t>
  </si>
  <si>
    <t xml:space="preserve">[TOP Late Rate]; subtitle text 'TOP-days arriving after the cut-off'</t>
  </si>
  <si>
    <t xml:space="preserve">Counts only TOP-days an in-view fund ran on. Date and client filters reach Fact_Milestone through TREATAS.</t>
  </si>
  <si>
    <t xml:space="preserve">KPI Breached fund-days</t>
  </si>
  <si>
    <t xml:space="preserve">[Breached Fund-Days]; subtitle [Breached Fund-Days Subtitle]</t>
  </si>
  <si>
    <t xml:space="preserve">KPI Breaches, pricing late</t>
  </si>
  <si>
    <t xml:space="preserve">[Breaches Pricing Late %]; subtitle text</t>
  </si>
  <si>
    <t xml:space="preserve">Against each fund's own PSA cut-off (Pricing_Late_For_This_Fund).</t>
  </si>
  <si>
    <t xml:space="preserve">KPI Share of wait behind other funds</t>
  </si>
  <si>
    <t xml:space="preserve">[Queue Share of Wait]; alternatives [Own Recon Share of Wait], [Other Holdup Share of Wait]</t>
  </si>
  <si>
    <t xml:space="preserve">Reconstructed, see README v4.5. The three shares add to 100%.</t>
  </si>
  <si>
    <t xml:space="preserve">Who is exposed — funds behind each TOP</t>
  </si>
  <si>
    <t xml:space="preserve">Clustered bar</t>
  </si>
  <si>
    <t xml:space="preserve">Y: Dim_TOP[TOP_ID]</t>
  </si>
  <si>
    <t xml:space="preserve">X: [Funds]</t>
  </si>
  <si>
    <t xml:space="preserve">Sort by [Funds] desc. Data label: [Funds Label] (custom label). Bar colour: fx field value [Exposure Bar Color]</t>
  </si>
  <si>
    <t xml:space="preserve">Design view: not limited by the date slicer.</t>
  </si>
  <si>
    <t xml:space="preserve">Dependency types — slack table</t>
  </si>
  <si>
    <t xml:space="preserve">Table</t>
  </si>
  <si>
    <t xml:space="preserve">Rows: Dim_SupplierType[Supplier_Type]</t>
  </si>
  <si>
    <t xml:space="preserve">[Supplier Funds], [Supplier Clients], [Median Slack Label], [Thin Slack Label]</t>
  </si>
  <si>
    <t xml:space="preserve">Sort by Type_Order. Font colour of Thin Slack Label: fx field value [Thin Slack Color]</t>
  </si>
  <si>
    <t xml:space="preserve">Thin = slack at or below Constants!B17 (0 = zero tolerance).</t>
  </si>
  <si>
    <t xml:space="preserve">Pricing delay — created</t>
  </si>
  <si>
    <t xml:space="preserve">X: [Late Hours]</t>
  </si>
  <si>
    <t xml:space="preserve">Sort by [Late Hours] desc. Label [Late Hours Label]</t>
  </si>
  <si>
    <t xml:space="preserve">Place side by side with the next visual, same sort.</t>
  </si>
  <si>
    <t xml:space="preserve">Pricing delay — reached the funds</t>
  </si>
  <si>
    <t xml:space="preserve">X: [Breached Fund-Days When Late]</t>
  </si>
  <si>
    <t xml:space="preserve">Sort by [Late Hours] desc (add it to tooltips to sort)</t>
  </si>
  <si>
    <t xml:space="preserve">Where funds waited after pricing</t>
  </si>
  <si>
    <t xml:space="preserve">Stacked bar</t>
  </si>
  <si>
    <t xml:space="preserve">Y: Dim_WaitGroup[Wait_Group]</t>
  </si>
  <si>
    <t xml:space="preserve">X: [Avg Queue Wait] (purple #7B5EA7) + [Avg Own Recon Wait] (blue #2F6FB0) + [Avg Other Holdup Wait] (amber #E8A33D)</t>
  </si>
  <si>
    <t xml:space="preserve">Sort by Group_Order. Label n: [Wait n Label] in tooltip or a side card</t>
  </si>
  <si>
    <t xml:space="preserve">Groups overlap: a fund-day is in one broker group and one custody group.</t>
  </si>
  <si>
    <t xml:space="preserve">Breached fund-days by possible cause</t>
  </si>
  <si>
    <t xml:space="preserve">Stacked column</t>
  </si>
  <si>
    <t xml:space="preserve">X: Dim_Fund[Client_Name]</t>
  </si>
  <si>
    <t xml:space="preserve">Y: [Breached Fund-Days]</t>
  </si>
  <si>
    <t xml:space="preserve">Legend: Dim_Cause[Possible_Cause]. Colours: Pricing late #C8423B, Thin custody slack #2F6FB0, Broker-dependent #7B5EA7, None of these #C9D1DB</t>
  </si>
  <si>
    <t xml:space="preserve">Only pricing is a measured cause.</t>
  </si>
  <si>
    <t xml:space="preserve">2 Fund Level</t>
  </si>
  <si>
    <t xml:space="preserve">Header: Date / Client / Fund</t>
  </si>
  <si>
    <t xml:space="preserve">Cards / slicers</t>
  </si>
  <si>
    <t xml:space="preserve">[Date Range Label], [Client Label], [Fund Filter Label]</t>
  </si>
  <si>
    <t xml:space="preserve">Slicers: Fact_Work[Process_Date] (single date), Dim_Fund[Client_Name] (single), Fact_Work[Fund_ID]</t>
  </si>
  <si>
    <t xml:space="preserve">KPI Funds in view</t>
  </si>
  <si>
    <t xml:space="preserve">[Funds In View]; subtitle [Funds In View Subtitle]</t>
  </si>
  <si>
    <t xml:space="preserve">KPI Waiting after pricing</t>
  </si>
  <si>
    <t xml:space="preserve">[Avg Wait After Pricing] min</t>
  </si>
  <si>
    <t xml:space="preserve">KPI NAV to Controlled</t>
  </si>
  <si>
    <t xml:space="preserve">[Avg NAV To Controlled] min</t>
  </si>
  <si>
    <t xml:space="preserve">KPI Controlled to delivered</t>
  </si>
  <si>
    <t xml:space="preserve">[Avg Controlled To Delivered] min</t>
  </si>
  <si>
    <t xml:space="preserve">KPI Headroom to cut-off</t>
  </si>
  <si>
    <t xml:space="preserve">[Avg Headroom] min</t>
  </si>
  <si>
    <t xml:space="preserve">NAV timeline by fund</t>
  </si>
  <si>
    <t xml:space="preserve">Y: Fact_Work[Fund_Label]</t>
  </si>
  <si>
    <t xml:space="preserve">X: [Bar Offset] (no fill) + [Bar Waiting After Pricing] (purple) + [Bar NAV To Controlled] (green #2E9E5B) + [Bar Controlled To FA Signed Off] (blue #2F6FB0) + [Bar FA Signed Off To Delivered] (amber)</t>
  </si>
  <si>
    <t xml:space="preserve">X axis min 9, max 17. Sort by [NAV Start Hr] asc (put it in tooltips). Tooltips: [Pricing Cutoff Hr], [Pricing Arrived Hr], [Client Cutoff Hr]</t>
  </si>
  <si>
    <t xml:space="preserve">The native bar chart has no point markers. For the cut-off/arrival markers use error bars on the matching measure, or a Deneb visual.</t>
  </si>
  <si>
    <t xml:space="preserve">Clustered column chart</t>
  </si>
  <si>
    <t xml:space="preserve">X: Dim_Hour[Hour_Label] (sorted by Hour_Start)</t>
  </si>
  <si>
    <t xml:space="preserve">Y: [Team Load %]. Bar colour: fx, Field value, [Team Load Color]. Data labels on.</t>
  </si>
  <si>
    <t xml:space="preserve">Analytics pane: Y-axis constant line at 1 (= 100%), dashed. Tooltips: [Work In Hand Mins], [Team Capacity Mins], [Rostered Analysts], [Cutoffs Due In Hour], [Funds Awaiting Control].</t>
  </si>
  <si>
    <t xml:space="preserve">Whole team for the selected date: ignores the client and fund slicers by design. Edit interactions: timeline to None. Needs Dim_Hour and Dim_Analyst loaded (Capacity_Mins, Shift_Start_Hr, Shift_End_Hr as numbers).</t>
  </si>
  <si>
    <t xml:space="preserve">Selected fund table</t>
  </si>
  <si>
    <t xml:space="preserve">Rows: Dim_DetailRow[Detail]</t>
  </si>
  <si>
    <t xml:space="preserve">[Detail Value]</t>
  </si>
  <si>
    <t xml:space="preserve">Sort by Detail_Order. Font colour: fx field value [Detail Font Color]. Title: [Selected Fund Title]</t>
  </si>
  <si>
    <t xml:space="preserve">Shows values when one fund is selected (click a bar; set the timeline to cross-filter this table).</t>
  </si>
  <si>
    <t xml:space="preserve">RELATIONSHIPS (created by the script)</t>
  </si>
  <si>
    <t xml:space="preserve">From (many)</t>
  </si>
  <si>
    <t xml:space="preserve">To (one)</t>
  </si>
  <si>
    <t xml:space="preserve">Fact_Work[Fund_ID]</t>
  </si>
  <si>
    <t xml:space="preserve">Dim_Fund[Fund_ID]</t>
  </si>
  <si>
    <t xml:space="preserve">Fund attributes and the client slicer filter the fund-days.</t>
  </si>
  <si>
    <t xml:space="preserve">Dim_Fund[TOP_ID]</t>
  </si>
  <si>
    <t xml:space="preserve">Dim_TOP[TOP_ID]</t>
  </si>
  <si>
    <t xml:space="preserve">A TOP filters its funds, and through them their fund-days.</t>
  </si>
  <si>
    <t xml:space="preserve">Fact_Milestone[TOP_ID]</t>
  </si>
  <si>
    <t xml:space="preserve">TOP axis on the pricing-delay visual.</t>
  </si>
  <si>
    <t xml:space="preserve">Fact_Work[Possible_Cause]</t>
  </si>
  <si>
    <t xml:space="preserve">Dim_Cause[Possible_Cause]</t>
  </si>
  <si>
    <t xml:space="preserve">Legend order on the cause chart.</t>
  </si>
  <si>
    <t xml:space="preserve">MEASURES (created by the script)</t>
  </si>
  <si>
    <t xml:space="preserve">Measure</t>
  </si>
  <si>
    <t xml:space="preserve">Home table</t>
  </si>
  <si>
    <t xml:space="preserve">Display folder</t>
  </si>
  <si>
    <t xml:space="preserve">Format</t>
  </si>
  <si>
    <t xml:space="preserve">DAX</t>
  </si>
  <si>
    <t xml:space="preserve">Description</t>
  </si>
  <si>
    <t xml:space="preserve">Fund-Days</t>
  </si>
  <si>
    <t xml:space="preserve">0 Base</t>
  </si>
  <si>
    <t xml:space="preserve">#,0</t>
  </si>
  <si>
    <t xml:space="preserve">COUNTROWS ( Fact_Work )</t>
  </si>
  <si>
    <t xml:space="preserve">Fund-days in view (one Fact_Work row per fund per NAV date per process date).</t>
  </si>
  <si>
    <t xml:space="preserve">Breached Fund-Days</t>
  </si>
  <si>
    <t xml:space="preserve">CALCULATE ( COUNTROWS ( Fact_Work ), KEEPFILTERS ( Fact_Work[Breached] = "Yes" ) )</t>
  </si>
  <si>
    <t xml:space="preserve">Fund-days delivered after the client cut-off.</t>
  </si>
  <si>
    <t xml:space="preserve">Breach Rate</t>
  </si>
  <si>
    <t xml:space="preserve">0.0%</t>
  </si>
  <si>
    <t xml:space="preserve">DIVIDE ( [Breached Fund-Days], [Fund-Days] )</t>
  </si>
  <si>
    <t xml:space="preserve">Breached fund-days / fund-days.</t>
  </si>
  <si>
    <t xml:space="preserve">Funds</t>
  </si>
  <si>
    <t xml:space="preserve">DISTINCTCOUNT ( Dim_Fund[Fund_ID] )</t>
  </si>
  <si>
    <t xml:space="preserve">Funds assigned (design view: not limited by the date slicer).</t>
  </si>
  <si>
    <t xml:space="preserve">Clients</t>
  </si>
  <si>
    <t xml:space="preserve">DISTINCTCOUNT ( Dim_Fund[Client_ID] )</t>
  </si>
  <si>
    <t xml:space="preserve">Distinct clients.</t>
  </si>
  <si>
    <t xml:space="preserve">Date Range Label</t>
  </si>
  <si>
    <t xml:space="preserve">VAR d0 = MIN ( Fact_Work[Process_Date] )
VAR d1 = MAX ( Fact_Work[Process_Date] )
RETURN
    IF (
        ISBLANK ( d0 ), "No data",
        IF (
            d0 = d1, FORMAT ( d0, "dd mmm yyyy" ),
            IF (
                YEAR ( d0 ) = YEAR ( d1 ) &amp;&amp; MONTH ( d0 ) = MONTH ( d1 ),
                FORMAT ( d0, "d" ),
                FORMAT ( d0, "d mmm yyyy" )
            ) &amp; "–" &amp; FORMAT ( d1, "d mmm yyyy" )
        )
    )</t>
  </si>
  <si>
    <t xml:space="preserve">Header text, e.g. 3–28 Aug 2026.</t>
  </si>
  <si>
    <t xml:space="preserve">Client Label</t>
  </si>
  <si>
    <t xml:space="preserve">VAR n = DISTINCTCOUNT ( Dim_Fund[Client_Name] )
RETURN
    IF (
        NOT ISFILTERED ( Dim_Fund[Client_Name] ), "All (" &amp; n &amp; ")",
        IF ( n = 1, SELECTEDVALUE ( Dim_Fund[Client_Name] ), n &amp; " selected" )
    )</t>
  </si>
  <si>
    <t xml:space="preserve">Header text: All (n), the client name, or n selected.</t>
  </si>
  <si>
    <t xml:space="preserve">Largest TOP</t>
  </si>
  <si>
    <t xml:space="preserve">1 Supplier Risk\KPIs</t>
  </si>
  <si>
    <t xml:space="preserve">VAR t =
    TOPN ( 1, FILTER ( VALUES ( Dim_TOP[TOP_ID] ), [Funds] &gt; 0 ), [Funds], DESC, Dim_TOP[TOP_ID], ASC )
RETURN
    MINX ( t, Dim_TOP[TOP_ID] )</t>
  </si>
  <si>
    <t xml:space="preserve">TOP with the most funds in view (ties: lowest TOP_ID).</t>
  </si>
  <si>
    <t xml:space="preserve">Largest TOP Funds</t>
  </si>
  <si>
    <t xml:space="preserve">VAR t = [Largest TOP]
RETURN CALCULATE ( [Funds], Dim_TOP[TOP_ID] = t )</t>
  </si>
  <si>
    <t xml:space="preserve">Largest TOP Clients</t>
  </si>
  <si>
    <t xml:space="preserve">VAR t = [Largest TOP]
RETURN CALCULATE ( [Clients], Dim_TOP[TOP_ID] = t )</t>
  </si>
  <si>
    <t xml:space="preserve">Largest TOP Share</t>
  </si>
  <si>
    <t xml:space="preserve">0%</t>
  </si>
  <si>
    <t xml:space="preserve">DIVIDE ( [Largest TOP Funds], [Funds] )</t>
  </si>
  <si>
    <t xml:space="preserve">Largest TOP's funds as a share of all funds in view.</t>
  </si>
  <si>
    <t xml:space="preserve">Largest TOP Subtitle</t>
  </si>
  <si>
    <t xml:space="preserve">FORMAT ( [Largest TOP Share], "0%" ) &amp; " of funds, " &amp; [Largest TOP Clients] &amp; " clients"</t>
  </si>
  <si>
    <t xml:space="preserve">e.g. 21% of funds, 5 clients</t>
  </si>
  <si>
    <t xml:space="preserve">TOP-Days Scored</t>
  </si>
  <si>
    <t xml:space="preserve">CALCULATE ( COUNTROWS ( Fact_Milestone ), KEEPFILTERS ( TREATAS ( SUMMARIZE ( Fact_Work, Fact_Work[Process_Date], Fact_Work[TOP_ID] ), Fact_Milestone[Process_Date], Fact_Milestone[TOP_ID] ) ), KEEPFILTERS ( Fact_Milestone[SLA_Met] IN { "Yes", "No" } ) )</t>
  </si>
  <si>
    <t xml:space="preserve">TOP deliveries scored against a binding cut-off, on TOP-days an in-view fund depended on.</t>
  </si>
  <si>
    <t xml:space="preserve">TOP-Days Late</t>
  </si>
  <si>
    <t xml:space="preserve">CALCULATE ( COUNTROWS ( Fact_Milestone ), KEEPFILTERS ( TREATAS ( SUMMARIZE ( Fact_Work, Fact_Work[Process_Date], Fact_Work[TOP_ID] ), Fact_Milestone[Process_Date], Fact_Milestone[TOP_ID] ) ), KEEPFILTERS ( Fact_Milestone[SLA_Met] = "No" ) )</t>
  </si>
  <si>
    <t xml:space="preserve">TOP Late Rate</t>
  </si>
  <si>
    <t xml:space="preserve">DIVIDE ( [TOP-Days Late], [TOP-Days Scored] )</t>
  </si>
  <si>
    <t xml:space="preserve">TOP-days arriving after the binding cut-off.</t>
  </si>
  <si>
    <t xml:space="preserve">Breached Fund-Days Subtitle</t>
  </si>
  <si>
    <t xml:space="preserve">FORMAT ( [Breach Rate], "0.0%" ) &amp; " of " &amp; FORMAT ( [Fund-Days], "#,0" ) &amp; " fund-days"</t>
  </si>
  <si>
    <t xml:space="preserve">e.g. 9.7% of 1,800 fund-days</t>
  </si>
  <si>
    <t xml:space="preserve">Breaches Pricing Late</t>
  </si>
  <si>
    <t xml:space="preserve">CALCULATE ( [Breached Fund-Days], KEEPFILTERS ( Fact_Work[Pricing_Late_For_This_Fund] = "Yes" ) )</t>
  </si>
  <si>
    <t xml:space="preserve">Breached fund-days where pricing arrived after the fund's own PSA cut-off.</t>
  </si>
  <si>
    <t xml:space="preserve">Breaches Pricing Late %</t>
  </si>
  <si>
    <t xml:space="preserve">DIVIDE ( [Breaches Pricing Late], [Breached Fund-Days] )</t>
  </si>
  <si>
    <t xml:space="preserve">Queue Share of Wait</t>
  </si>
  <si>
    <t xml:space="preserve">DIVIDE ( SUM ( Fact_Work[Queue_Wait_Mins] ), SUM ( Fact_Work[Wait_After_Pricing_Mins] ) )</t>
  </si>
  <si>
    <t xml:space="preserve">Share of the wait after pricing spent behind the maker's other funds (reconstructed). Capacity signal.</t>
  </si>
  <si>
    <t xml:space="preserve">Own Recon Share of Wait</t>
  </si>
  <si>
    <t xml:space="preserve">DIVIDE ( SUM ( Fact_Work[Own_Recon_Mins] ), SUM ( Fact_Work[Wait_After_Pricing_Mins] ) )</t>
  </si>
  <si>
    <t xml:space="preserve">Share of the wait the same maker spent reconciling this fund, up to its recon budget.</t>
  </si>
  <si>
    <t xml:space="preserve">Other Holdup Share of Wait</t>
  </si>
  <si>
    <t xml:space="preserve">DIVIDE ( SUM ( Fact_Work[Other_Holdup_Mins] ), SUM ( Fact_Work[Wait_After_Pricing_Mins] ) )</t>
  </si>
  <si>
    <t xml:space="preserve">Share of the wait not explained by other funds or the recon budget: data, breaks, recon over budget.</t>
  </si>
  <si>
    <t xml:space="preserve">Funds Label</t>
  </si>
  <si>
    <t xml:space="preserve">1 Supplier Risk\Exposure</t>
  </si>
  <si>
    <t xml:space="preserve">[Funds] &amp; " funds · " &amp; [Clients] &amp; " clients"</t>
  </si>
  <si>
    <t xml:space="preserve">Data label: 19 funds · 5 clients</t>
  </si>
  <si>
    <t xml:space="preserve">Exposure Bar Color</t>
  </si>
  <si>
    <t xml:space="preserve">VAR largest = CALCULATE ( [Largest TOP], ALLSELECTED ( Dim_TOP ) )
RETURN IF ( SELECTEDVALUE ( Dim_TOP[TOP_ID] ) = largest, "#C8423B", "#C9D1DB" )</t>
  </si>
  <si>
    <t xml:space="preserve">Conditional formatting (field value) for the exposure bars: red for the largest TOP.</t>
  </si>
  <si>
    <t xml:space="preserve">Supplier Funds</t>
  </si>
  <si>
    <t xml:space="preserve">1 Supplier Risk\Dependency Table</t>
  </si>
  <si>
    <t xml:space="preserve">VAR s = SELECTEDVALUE ( Dim_SupplierType[Supplier_Type] )
RETURN
    SWITCH (
        s,
        "Pricing (TOP)", CALCULATE ( [Funds], KEEPFILTERS ( Dim_Fund[TOP_ID] &lt;&gt; "" ) ),
        "Custody", CALCULATE ( [Funds], KEEPFILTERS ( Dim_Fund[Has_Custody_Process] = "Yes" ) ),
        "TA", CALCULATE ( [Funds], KEEPFILTERS ( Dim_Fund[Has_TA_Process] = "Yes" ) ),
        "Broker (dependent)", CALCULATE ( [Funds], KEEPFILTERS ( Dim_Fund[Broker_Dependent] = "Yes" ) )
    )</t>
  </si>
  <si>
    <t xml:space="preserve">Supplier Clients</t>
  </si>
  <si>
    <t xml:space="preserve">VAR s = SELECTEDVALUE ( Dim_SupplierType[Supplier_Type] )
RETURN
    SWITCH (
        s,
        "Pricing (TOP)", CALCULATE ( [Clients], KEEPFILTERS ( Dim_Fund[TOP_ID] &lt;&gt; "" ) ),
        "Custody", CALCULATE ( [Clients], KEEPFILTERS ( Dim_Fund[Has_Custody_Process] = "Yes" ) ),
        "TA", CALCULATE ( [Clients], KEEPFILTERS ( Dim_Fund[Has_TA_Process] = "Yes" ) ),
        "Broker (dependent)", CALCULATE ( [Clients], KEEPFILTERS ( Dim_Fund[Broker_Dependent] = "Yes" ) )
    )</t>
  </si>
  <si>
    <t xml:space="preserve">Median Slack Mins</t>
  </si>
  <si>
    <t xml:space="preserve">0</t>
  </si>
  <si>
    <t xml:space="preserve">VAR s = SELECTEDVALUE ( Dim_SupplierType[Supplier_Type] )
RETURN
    SWITCH (
        s,
        "Pricing (TOP)", IF ( [Supplier Funds] &gt; 0, 0 ),
        "Custody", MEDIAN ( Dim_Fund[Slack_Custody_Num] ),
        "TA", MEDIAN ( Dim_Fund[Slack_TA_Num] ),
        "Broker (dependent)", MEDIAN ( Dim_Fund[Slack_Broker_Num] )
    )</t>
  </si>
  <si>
    <t xml:space="preserve">Median minutes between the supplier's cut-off and the pricing gate. Pricing is 0 by definition.</t>
  </si>
  <si>
    <t xml:space="preserve">Median Slack Label</t>
  </si>
  <si>
    <t xml:space="preserve">VAR m = [Median Slack Mins]
RETURN
    IF ( ISBLANK ( m ), BLANK (), IF ( ABS ( m ) &lt; 60, FORMAT ( m, "0" ) &amp; " min", FORMAT ( m / 60, "0.0" ) &amp; " h" ) )</t>
  </si>
  <si>
    <t xml:space="preserve">0 min / 5.1 h</t>
  </si>
  <si>
    <t xml:space="preserve">Thin Slack Funds</t>
  </si>
  <si>
    <t xml:space="preserve">VAR s = SELECTEDVALUE ( Dim_SupplierType[Supplier_Type] )
RETURN
    SWITCH (
        s,
        "Pricing (TOP)", [Supplier Funds],
        "Custody", CALCULATE ( [Funds], KEEPFILTERS ( Dim_Fund[Thin_Custody_Slack] = "Yes" ) ) + 0,
        "TA", CALCULATE ( [Funds], KEEPFILTERS ( Dim_Fund[Thin_TA_Slack] = "Yes" ) ) + 0,
        "Broker (dependent)", CALCULATE ( [Funds], KEEPFILTERS ( Dim_Fund[Thin_Broker_Slack] = "Yes" ) ) + 0
    )</t>
  </si>
  <si>
    <t xml:space="preserve">Funds whose slack is at or below Constants!B17 (0 = zero tolerance). Pricing: every fund.</t>
  </si>
  <si>
    <t xml:space="preserve">Thin Slack Label</t>
  </si>
  <si>
    <t xml:space="preserve">IF (
    SELECTEDVALUE ( Dim_SupplierType[Supplier_Type] ) = "Pricing (TOP)", "all funds",
    IF ( ISBLANK ( [Thin Slack Funds] ), BLANK (), [Thin Slack Funds] &amp; " funds" )
)</t>
  </si>
  <si>
    <t xml:space="preserve">all funds / 23 funds</t>
  </si>
  <si>
    <t xml:space="preserve">Thin Slack Color</t>
  </si>
  <si>
    <t xml:space="preserve">IF (
    SELECTEDVALUE ( Dim_SupplierType[Supplier_Type] ) = "Pricing (TOP)", "#C8423B",
    IF ( [Thin Slack Funds] &gt; 0, "#E8A33D", "#1F2933" )
)</t>
  </si>
  <si>
    <t xml:space="preserve">Font colour for Thin Slack Label and Median Slack Label: red for pricing, amber when any fund is thin.</t>
  </si>
  <si>
    <t xml:space="preserve">Late Hours</t>
  </si>
  <si>
    <t xml:space="preserve">1 Supplier Risk\Pricing Delay</t>
  </si>
  <si>
    <t xml:space="preserve">0.0</t>
  </si>
  <si>
    <t xml:space="preserve">DIVIDE ( CALCULATE ( SUM ( Fact_Milestone[Late_Mins] ), KEEPFILTERS ( TREATAS ( SUMMARIZE ( Fact_Work, Fact_Work[Process_Date], Fact_Work[TOP_ID] ), Fact_Milestone[Process_Date], Fact_Milestone[TOP_ID] ) ) ), 60 )</t>
  </si>
  <si>
    <t xml:space="preserve">Hours the TOP file arrived after its binding cut-off, summed over the TOP-days in view ('created').</t>
  </si>
  <si>
    <t xml:space="preserve">Late Hours Label</t>
  </si>
  <si>
    <t xml:space="preserve">FORMAT ( [Late Hours] + 0, "0.0" ) &amp; "h"</t>
  </si>
  <si>
    <t xml:space="preserve">Breached Fund-Days When Late</t>
  </si>
  <si>
    <t xml:space="preserve">CALCULATE ( [Breached Fund-Days], KEEPFILTERS ( Fact_Work[TOP_SLA_Met] = "No" ) ) + 0</t>
  </si>
  <si>
    <t xml:space="preserve">Breached fund-days on days the fund's TOP missed its binding cut-off ('reached the funds').</t>
  </si>
  <si>
    <t xml:space="preserve">Avg Queue Wait</t>
  </si>
  <si>
    <t xml:space="preserve">1 Supplier Risk\Waiting</t>
  </si>
  <si>
    <t xml:space="preserve">VAR g = SELECTEDVALUE ( Dim_WaitGroup[Wait_Group] )
RETURN
    SWITCH (
        g,
        "Broker-dependent", CALCULATE ( AVERAGE ( Fact_Work[Queue_Wait_Mins] ), KEEPFILTERS ( Fact_Work[Broker_Dependent] = "Yes" ) ),
        "Not broker-dependent", CALCULATE ( AVERAGE ( Fact_Work[Queue_Wait_Mins] ), KEEPFILTERS ( Fact_Work[Broker_Dependent] = "No" ) ),
        "Thin custody slack", CALCULATE ( AVERAGE ( Fact_Work[Queue_Wait_Mins] ), KEEPFILTERS ( Fact_Work[Custody_Slack_Group] = "Thin custody slack" ) ),
        "Ample custody slack", CALCULATE ( AVERAGE ( Fact_Work[Queue_Wait_Mins] ), KEEPFILTERS ( Fact_Work[Custody_Slack_Group] = "Ample custody slack" ) ),
        AVERAGE ( Fact_Work[Queue_Wait_Mins] )
    )</t>
  </si>
  <si>
    <t xml:space="preserve">Avg minutes per fund-day behind the maker's other funds (purple). Group-aware via Dim_WaitGroup.</t>
  </si>
  <si>
    <t xml:space="preserve">Avg Own Recon Wait</t>
  </si>
  <si>
    <t xml:space="preserve">VAR g = SELECTEDVALUE ( Dim_WaitGroup[Wait_Group] )
RETURN
    SWITCH (
        g,
        "Broker-dependent", CALCULATE ( AVERAGE ( Fact_Work[Own_Recon_Mins] ), KEEPFILTERS ( Fact_Work[Broker_Dependent] = "Yes" ) ),
        "Not broker-dependent", CALCULATE ( AVERAGE ( Fact_Work[Own_Recon_Mins] ), KEEPFILTERS ( Fact_Work[Broker_Dependent] = "No" ) ),
        "Thin custody slack", CALCULATE ( AVERAGE ( Fact_Work[Own_Recon_Mins] ), KEEPFILTERS ( Fact_Work[Custody_Slack_Group] = "Thin custody slack" ) ),
        "Ample custody slack", CALCULATE ( AVERAGE ( Fact_Work[Own_Recon_Mins] ), KEEPFILTERS ( Fact_Work[Custody_Slack_Group] = "Ample custody slack" ) ),
        AVERAGE ( Fact_Work[Own_Recon_Mins] )
    )</t>
  </si>
  <si>
    <t xml:space="preserve">Avg minutes per fund-day the same maker spent reconciling this fund, up to its recon budget (blue). Group-aware.</t>
  </si>
  <si>
    <t xml:space="preserve">Avg Other Holdup Wait</t>
  </si>
  <si>
    <t xml:space="preserve">VAR g = SELECTEDVALUE ( Dim_WaitGroup[Wait_Group] )
RETURN
    SWITCH (
        g,
        "Broker-dependent", CALCULATE ( AVERAGE ( Fact_Work[Other_Holdup_Mins] ), KEEPFILTERS ( Fact_Work[Broker_Dependent] = "Yes" ) ),
        "Not broker-dependent", CALCULATE ( AVERAGE ( Fact_Work[Other_Holdup_Mins] ), KEEPFILTERS ( Fact_Work[Broker_Dependent] = "No" ) ),
        "Thin custody slack", CALCULATE ( AVERAGE ( Fact_Work[Other_Holdup_Mins] ), KEEPFILTERS ( Fact_Work[Custody_Slack_Group] = "Thin custody slack" ) ),
        "Ample custody slack", CALCULATE ( AVERAGE ( Fact_Work[Other_Holdup_Mins] ), KEEPFILTERS ( Fact_Work[Custody_Slack_Group] = "Ample custody slack" ) ),
        AVERAGE ( Fact_Work[Other_Holdup_Mins] )
    )</t>
  </si>
  <si>
    <t xml:space="preserve">Avg minutes per fund-day not explained by other funds or the recon budget (amber). Group-aware.</t>
  </si>
  <si>
    <t xml:space="preserve">Wait Fund-Days</t>
  </si>
  <si>
    <t xml:space="preserve">VAR g = SELECTEDVALUE ( Dim_WaitGroup[Wait_Group] )
RETURN
    SWITCH (
        g,
        "Broker-dependent", CALCULATE ( COUNT ( Fact_Work[Wait_After_Pricing_Mins] ), KEEPFILTERS ( Fact_Work[Broker_Dependent] = "Yes" ) ),
        "Not broker-dependent", CALCULATE ( COUNT ( Fact_Work[Wait_After_Pricing_Mins] ), KEEPFILTERS ( Fact_Work[Broker_Dependent] = "No" ) ),
        "Thin custody slack", CALCULATE ( COUNT ( Fact_Work[Wait_After_Pricing_Mins] ), KEEPFILTERS ( Fact_Work[Custody_Slack_Group] = "Thin custody slack" ) ),
        "Ample custody slack", CALCULATE ( COUNT ( Fact_Work[Wait_After_Pricing_Mins] ), KEEPFILTERS ( Fact_Work[Custody_Slack_Group] = "Ample custody slack" ) ),
        COUNT ( Fact_Work[Wait_After_Pricing_Mins] )
    )</t>
  </si>
  <si>
    <t xml:space="preserve">Fund-days with a measured wait (pricing arrival logged). Group-aware.</t>
  </si>
  <si>
    <t xml:space="preserve">Wait n Label</t>
  </si>
  <si>
    <t xml:space="preserve">"n=" &amp; FORMAT ( [Wait Fund-Days] + 0, "#,0" )</t>
  </si>
  <si>
    <t xml:space="preserve">n=640</t>
  </si>
  <si>
    <t xml:space="preserve">Funds In View</t>
  </si>
  <si>
    <t xml:space="preserve">2 Fund Level\KPIs</t>
  </si>
  <si>
    <t xml:space="preserve">DISTINCTCOUNT ( Fact_Work[Fund_ID] )</t>
  </si>
  <si>
    <t xml:space="preserve">Breached Funds</t>
  </si>
  <si>
    <t xml:space="preserve">CALCULATE ( DISTINCTCOUNT ( Fact_Work[Fund_ID] ), KEEPFILTERS ( Fact_Work[Breached] = "Yes" ) ) + 0</t>
  </si>
  <si>
    <t xml:space="preserve">Client Sign-off Funds</t>
  </si>
  <si>
    <t xml:space="preserve">CALCULATE ( DISTINCTCOUNT ( Fact_Work[Fund_ID] ), KEEPFILTERS ( Fact_Work[Signoff_Model] = "Client" ) ) + 0</t>
  </si>
  <si>
    <t xml:space="preserve">Funds In View Subtitle</t>
  </si>
  <si>
    <t xml:space="preserve">[Breached Funds] &amp; " breached, " &amp; [Client Sign-off Funds] &amp; " client sign-off"</t>
  </si>
  <si>
    <t xml:space="preserve">4 breached, 3 client sign-off</t>
  </si>
  <si>
    <t xml:space="preserve">Fund Filter Label</t>
  </si>
  <si>
    <t xml:space="preserve">VAR n = DISTINCTCOUNT ( Fact_Work[Fund_ID] )
RETURN
    IF (
        ISFILTERED ( Fact_Work[Fund_ID] ) || ISFILTERED ( Dim_Fund[Fund_ID] ),
        IF ( n = 1, SELECTEDVALUE ( Fact_Work[Fund_ID] ), n &amp; " selected" ),
        "All (" &amp; n &amp; ")"
    )</t>
  </si>
  <si>
    <t xml:space="preserve">Header text: All (n), the fund, or n selected.</t>
  </si>
  <si>
    <t xml:space="preserve">Avg Wait After Pricing</t>
  </si>
  <si>
    <t xml:space="preserve">AVERAGE ( Fact_Work[Wait_After_Pricing_Mins] )</t>
  </si>
  <si>
    <t xml:space="preserve">Avg minutes from pricing arrived to NAV started.</t>
  </si>
  <si>
    <t xml:space="preserve">Avg NAV To Controlled</t>
  </si>
  <si>
    <t xml:space="preserve">AVERAGE ( Fact_Work[NAV_Span_Mins] )</t>
  </si>
  <si>
    <t xml:space="preserve">Avg minutes FA spent: NAV start to Controlled (to FA signed off for client sign-off funds).</t>
  </si>
  <si>
    <t xml:space="preserve">Avg Controlled To Delivered</t>
  </si>
  <si>
    <t xml:space="preserve">AVERAGE ( Fact_Work[Controlled_To_Delivered_Mins] )</t>
  </si>
  <si>
    <t xml:space="preserve">Avg minutes after FA finished: NAV_End to Delivered.</t>
  </si>
  <si>
    <t xml:space="preserve">Avg Headroom</t>
  </si>
  <si>
    <t xml:space="preserve">AVERAGE ( Fact_Work[Headroom_At_Delivery_Mins] )</t>
  </si>
  <si>
    <t xml:space="preserve">Avg minutes delivered before the client cut-off (negative = after).</t>
  </si>
  <si>
    <t xml:space="preserve">Bar Offset</t>
  </si>
  <si>
    <t xml:space="preserve">2 Fund Level\Timeline</t>
  </si>
  <si>
    <t xml:space="preserve">0.00</t>
  </si>
  <si>
    <t xml:space="preserve">MIN ( Fact_Work[Bar_Offset_Hr] )</t>
  </si>
  <si>
    <t xml:space="preserve">Transparent first segment (hours of day). Set the X axis start to 9.</t>
  </si>
  <si>
    <t xml:space="preserve">Bar Waiting After Pricing</t>
  </si>
  <si>
    <t xml:space="preserve">SUM ( Fact_Work[Bar_Wait_Hr] )</t>
  </si>
  <si>
    <t xml:space="preserve">Bar NAV To Controlled</t>
  </si>
  <si>
    <t xml:space="preserve">SUM ( Fact_Work[Bar_NAV_Hr] )</t>
  </si>
  <si>
    <t xml:space="preserve">Bar Controlled To FA Signed Off</t>
  </si>
  <si>
    <t xml:space="preserve">SUM ( Fact_Work[Bar_Control_Hr] )</t>
  </si>
  <si>
    <t xml:space="preserve">Bar FA Signed Off To Delivered</t>
  </si>
  <si>
    <t xml:space="preserve">SUM ( Fact_Work[Bar_Tail_Hr] )</t>
  </si>
  <si>
    <t xml:space="preserve">NAV Start Hr</t>
  </si>
  <si>
    <t xml:space="preserve">MIN ( Fact_Work[Start_Hr] )</t>
  </si>
  <si>
    <t xml:space="preserve">Sort the timeline's Y axis by this, ascending.</t>
  </si>
  <si>
    <t xml:space="preserve">Pricing Cutoff Hr</t>
  </si>
  <si>
    <t xml:space="preserve">MIN ( Fact_Work[Fund_Pricing_Cutoff_Hr] )</t>
  </si>
  <si>
    <t xml:space="preserve">Pricing Arrived Hr</t>
  </si>
  <si>
    <t xml:space="preserve">MIN ( Fact_Work[Arrival_Hr] )</t>
  </si>
  <si>
    <t xml:space="preserve">Client Cutoff Hr</t>
  </si>
  <si>
    <t xml:space="preserve">MIN ( Fact_Work[Client_Cutoff_Hr] )</t>
  </si>
  <si>
    <t xml:space="preserve">Selected Fund Title</t>
  </si>
  <si>
    <t xml:space="preserve">2 Fund Level\Selected Fund</t>
  </si>
  <si>
    <t xml:space="preserve">"Selected fund — " &amp; IF ( HASONEVALUE ( Fact_Work[Fund_ID] ), VALUES ( Fact_Work[Fund_ID] ), "select one" )</t>
  </si>
  <si>
    <t xml:space="preserve">Detail Value</t>
  </si>
  <si>
    <t xml:space="preserve">VAR r = SELECTEDVALUE ( Dim_DetailRow[Detail] )
VAR pc = MIN ( Fact_Work[Fund_Pricing_Cutoff_Hr] )
VAR pa = MIN ( Fact_Work[Pricing_Arrival_DT] )
VAR vp = MIN ( Fact_Work[Var_Pricing_Mins] )
VAR ns = MIN ( Fact_Work[NAV_Start_DT] )
VAR ct = MIN ( Fact_Work[Status_Controlled_DT] )
VAR fa = MIN ( Fact_Work[Status_FA_SignedOff_DT] )
VAR dl = MIN ( Fact_Work[Delivered_DT] )
VAR cc = MIN ( Fact_Work[Client_Cutoff_Hr] )
VAR hd = MIN ( Fact_Work[Headroom_At_Delivery_Mins] )
VAR wt = MIN ( Fact_Work[Wait_After_Pricing_Mins] )
VAR nv = MIN ( Fact_Work[NAV_Span_Mins] )
VAR isClient = SELECTEDVALUE ( Fact_Work[Signoff_Model] ) = "Client"
RETURN
    IF (
        NOT HASONEVALUE ( Fact_Work[Fund_ID] ), BLANK (),
        SWITCH (
            r,
            "Pricing cut-off", IF ( ISBLANK ( pc ), "–", FORMAT ( pc / 24, "hh:mm" ) ),
            "Pricing arrived", IF ( ISBLANK ( pa ), "not logged",
                FORMAT ( pa, "hh:mm" ) &amp; IF ( ISBLANK ( vp ), "", " (" &amp; FORMAT ( vp, "+0;-0;0" ) &amp; " min)" ) ),
            "NAV started", IF ( ISBLANK ( ns ), "–", FORMAT ( ns, "hh:mm" ) ),
            "Controlled", IF ( isClient, "n/a — client sign-off", IF ( ISBLANK ( ct ), "–", FORMAT ( ct, "hh:mm" ) ) ),
            "FA signed off", IF ( ISBLANK ( fa ), "–", FORMAT ( fa, "hh:mm" ) ),
            "Delivered", IF ( ISBLANK ( dl ), "–", FORMAT ( dl, "hh:mm" ) ),
            "Client cut-off", IF ( ISBLANK ( cc ), "–", FORMAT ( cc / 24, "hh:mm" ) ),
            "Headroom", IF ( ISBLANK ( hd ), "–", FORMAT ( hd, "0;-0;0" ) &amp; " min" ),
            "Waited after pricing", IF ( ISBLANK ( wt ), "–", FORMAT ( wt, "0" ) &amp; " min" ),
            "NAV to Controlled", IF ( ISBLANK ( nv ), "–", FORMAT ( nv, "0" ) &amp; " min" )
        )
    )</t>
  </si>
  <si>
    <t xml:space="preserve">Value column of the selected-fund table (rows from Dim_DetailRow).</t>
  </si>
  <si>
    <t xml:space="preserve">Detail Font Color</t>
  </si>
  <si>
    <t xml:space="preserve">IF (
    SELECTEDVALUE ( Dim_DetailRow[Detail] ) = "Headroom" &amp;&amp; MIN ( Fact_Work[Headroom_At_Delivery_Mins] ) &lt; 0,
    "#C8423B", "#1F2933"
)</t>
  </si>
  <si>
    <t xml:space="preserve">Conditional font colour for the selected-fund table: red headroom when negative.</t>
  </si>
  <si>
    <t xml:space="preserve">Cutoffs Due In Hour</t>
  </si>
  <si>
    <t xml:space="preserve">2 Fund Level\Team Load</t>
  </si>
  <si>
    <t xml:space="preserve">VAR h0 = SELECTEDVALUE ( Dim_Hour[Hour_Start] )
VAR d =
    CALCULATETABLE (
        VALUES ( Fact_Work[Process_Date] ),
        REMOVEFILTERS ( Dim_Fund ), REMOVEFILTERS ( Dim_TOP ), REMOVEFILTERS ( Dim_Cause ),
        REMOVEFILTERS ( Fact_Work[Fund_ID] ), REMOVEFILTERS ( Fact_Work[Fund_Label] )
    )
RETURN
    IF (
        ISBLANK ( h0 ), BLANK (),
        CALCULATE (
            COUNTROWS ( Fact_Work ),
            REMOVEFILTERS ( Dim_Fund ), REMOVEFILTERS ( Dim_TOP ), REMOVEFILTERS ( Dim_Cause ), REMOVEFILTERS ( Fact_Work ), TREATAS ( d, Fact_Work[Process_Date] ),
            Fact_Work[Client_Cutoff_Hr] &gt;= h0, Fact_Work[Client_Cutoff_Hr] &lt; h0 + 1
        ) + 0
    )</t>
  </si>
  <si>
    <t xml:space="preserve">Whole team, selected date: fund-days whose client cut-off falls in this hour (Dim_Hour on the axis).</t>
  </si>
  <si>
    <t xml:space="preserve">Funds Awaiting Control</t>
  </si>
  <si>
    <t xml:space="preserve">VAR h0 = SELECTEDVALUE ( Dim_Hour[Hour_Start] )
VAR d =
    CALCULATETABLE (
        VALUES ( Fact_Work[Process_Date] ),
        REMOVEFILTERS ( Dim_Fund ), REMOVEFILTERS ( Dim_TOP ), REMOVEFILTERS ( Dim_Cause ),
        REMOVEFILTERS ( Fact_Work[Fund_ID] ), REMOVEFILTERS ( Fact_Work[Fund_Label] )
    )
RETURN
    IF (
        ISBLANK ( h0 ), BLANK (),
        CALCULATE (
            COUNTROWS ( Fact_Work ),
            REMOVEFILTERS ( Dim_Fund ), REMOVEFILTERS ( Dim_TOP ), REMOVEFILTERS ( Dim_Cause ), REMOVEFILTERS ( Fact_Work ), TREATAS ( d, Fact_Work[Process_Date] ),
            Fact_Work[Control_Window_Status] = "OK",
            Fact_Work[Control_Start_Hr] &lt; h0 + 1, Fact_Work[Control_End_Hr] &gt; h0
        ) + 0
    )</t>
  </si>
  <si>
    <t xml:space="preserve">Whole team, selected date: fund-days Calculated but not yet Controlled (FA signed off for client sign-off funds) at any time during this hour. Rows whose control window is not OK are left out.</t>
  </si>
  <si>
    <t xml:space="preserve">Rostered Analysts</t>
  </si>
  <si>
    <t xml:space="preserve">VAR h0 = SELECTEDVALUE ( Dim_Hour[Hour_Start] )
VAR d =
    CALCULATETABLE (
        VALUES ( Fact_Work[Process_Date] ),
        REMOVEFILTERS ( Dim_Fund ), REMOVEFILTERS ( Dim_TOP ), REMOVEFILTERS ( Dim_Cause ),
        REMOVEFILTERS ( Fact_Work[Fund_ID] ), REMOVEFILTERS ( Fact_Work[Fund_Label] )
    )
VAR makers = CALCULATETABLE ( VALUES ( Fact_Work[Maker_Name] ), REMOVEFILTERS ( Dim_Fund ), REMOVEFILTERS ( Dim_TOP ), REMOVEFILTERS ( Dim_Cause ), REMOVEFILTERS ( Fact_Work ), TREATAS ( d, Fact_Work[Process_Date] ) )
RETURN
    IF (
        ISBLANK ( h0 ), BLANK (),
        COUNTROWS (
            FILTER (
                CALCULATETABLE ( Dim_Analyst, REMOVEFILTERS ( Dim_Analyst ), TREATAS ( makers, Dim_Analyst[Analyst_Name] ) ),
                Dim_Analyst[Active] = "Yes"
                    &amp;&amp; Dim_Analyst[Shift_Start_Hr] &lt; h0 + 1
                    &amp;&amp; Dim_Analyst[Shift_End_Hr] &gt; h0
            )
        ) + 0
    )</t>
  </si>
  <si>
    <t xml:space="preserve">Makers on the selected date (active analysts who set at least one fund to Calculated that day) whose shift (team start to start + Constants!B18 hours) covers any part of this hour.</t>
  </si>
  <si>
    <t xml:space="preserve">Work In Hand Mins</t>
  </si>
  <si>
    <t xml:space="preserve">VAR h0 = SELECTEDVALUE ( Dim_Hour[Hour_Start] )
VAR d =
    CALCULATETABLE (
        VALUES ( Fact_Work[Process_Date] ),
        REMOVEFILTERS ( Dim_Fund ), REMOVEFILTERS ( Dim_TOP ), REMOVEFILTERS ( Dim_Cause ),
        REMOVEFILTERS ( Fact_Work[Fund_ID] ), REMOVEFILTERS ( Fact_Work[Fund_Label] )
    )
RETURN
    IF (
        ISBLANK ( h0 ), BLANK (),
        CALCULATE (
            SUMX (
                FILTER (
                    Fact_Work,
                    NOT ISBLANK ( Fact_Work[InHand_Hr] )
                        &amp;&amp; NOT ISBLANK ( Fact_Work[NAV_Done_Hr] )
                        &amp;&amp; Fact_Work[InHand_Hr] &lt; h0 + 1
                        &amp;&amp; Fact_Work[NAV_Done_Hr] &gt; h0
                ),
                VAR t = MAX ( h0, Fact_Work[InHand_Hr] )
                VAR s = MAX ( t, Fact_Work[Work_Start_Hr] )
                RETURN 60 * MAX ( 0, Fact_Work[NAV_Done_Hr] - s )
            ),
            REMOVEFILTERS ( Dim_Fund ), REMOVEFILTERS ( Dim_TOP ), REMOVEFILTERS ( Dim_Cause ), REMOVEFILTERS ( Fact_Work ), TREATAS ( d, Fact_Work[Process_Date] )
        ) + 0
    )</t>
  </si>
  <si>
    <t xml:space="preserve">Whole team, selected date: budgeted maker minutes (recon + NAV) still to do on fund-days in hand during this hour. In hand = from pricing arrival, or from recon start if earlier, until the NAV budget is used up.</t>
  </si>
  <si>
    <t xml:space="preserve">Team Capacity Mins</t>
  </si>
  <si>
    <t xml:space="preserve">VAR h0 = SELECTEDVALUE ( Dim_Hour[Hour_Start] )
VAR d =
    CALCULATETABLE (
        VALUES ( Fact_Work[Process_Date] ),
        REMOVEFILTERS ( Dim_Fund ), REMOVEFILTERS ( Dim_TOP ), REMOVEFILTERS ( Dim_Cause ),
        REMOVEFILTERS ( Fact_Work[Fund_ID] ), REMOVEFILTERS ( Fact_Work[Fund_Label] )
    )
VAR makers = CALCULATETABLE ( VALUES ( Fact_Work[Maker_Name] ), REMOVEFILTERS ( Dim_Fund ), REMOVEFILTERS ( Dim_TOP ), REMOVEFILTERS ( Dim_Cause ), REMOVEFILTERS ( Fact_Work ), TREATAS ( d, Fact_Work[Process_Date] ) )
RETURN
    IF (
        ISBLANK ( h0 ), BLANK (),
        SUMX (
            FILTER (
                CALCULATETABLE ( Dim_Analyst, REMOVEFILTERS ( Dim_Analyst ), TREATAS ( makers, Dim_Analyst[Analyst_Name] ) ),
                Dim_Analyst[Active] = "Yes"
                    &amp;&amp; Dim_Analyst[Shift_Start_Hr] &lt; h0 + 1
                    &amp;&amp; Dim_Analyst[Shift_End_Hr] &gt; h0
            ),
            VAR onShift = MIN ( h0 + 1, Dim_Analyst[Shift_End_Hr] ) - MAX ( h0, Dim_Analyst[Shift_Start_Hr] )
            VAR perMin = DIVIDE ( Dim_Analyst[Capacity_Mins], ( Dim_Analyst[Shift_End_Hr] - Dim_Analyst[Shift_Start_Hr] ) * 60 )
            RETURN 60 * onShift * perMin
        ) + 0
    )</t>
  </si>
  <si>
    <t xml:space="preserve">Maker minutes available in this hour, 450 basis: for each maker of the selected date, minutes of their shift inside the hour x (team Daily_Capacity_Mins / shift minutes). A full hour on a 9-hour, 450-minute day = 50.</t>
  </si>
  <si>
    <t xml:space="preserve">Team Load %</t>
  </si>
  <si>
    <t xml:space="preserve">DIVIDE ( [Work In Hand Mins], [Team Capacity Mins] )</t>
  </si>
  <si>
    <t xml:space="preserve">Work in hand / team time available in the hour. Over 100%: more work in hand than the team can do in that hour, so it carries over.</t>
  </si>
  <si>
    <t xml:space="preserve">Team Load Color</t>
  </si>
  <si>
    <t xml:space="preserve">VAR l = [Team Load %]
RETURN SWITCH ( TRUE (), ISBLANK ( l ), BLANK (), l &gt; 1, "#C8423B", l &gt; 0.8, "#E8A33D", "#2E9E5B" )</t>
  </si>
  <si>
    <t xml:space="preserve">Conditional formatting (field value) for the load bars: green under 80%, amber 80-100%, red over 100%.</t>
  </si>
</sst>
</file>

<file path=xl/styles.xml><?xml version="1.0" encoding="utf-8"?>
<styleSheet xmlns="http://schemas.openxmlformats.org/spreadsheetml/2006/main">
  <numFmts count="14">
    <numFmt numFmtId="164" formatCode="General"/>
    <numFmt numFmtId="165" formatCode="0.0000"/>
    <numFmt numFmtId="166" formatCode="#,##0"/>
    <numFmt numFmtId="167" formatCode="0%"/>
    <numFmt numFmtId="168" formatCode="0"/>
    <numFmt numFmtId="169" formatCode="hh:mm"/>
    <numFmt numFmtId="170" formatCode="0.00"/>
    <numFmt numFmtId="171" formatCode="0.000"/>
    <numFmt numFmtId="172" formatCode="#,##0.0"/>
    <numFmt numFmtId="173" formatCode="0.0"/>
    <numFmt numFmtId="174" formatCode="yyyy\-mm\-dd"/>
    <numFmt numFmtId="175" formatCode="yyyy\-mm\-dd\ hh:mm"/>
    <numFmt numFmtId="176" formatCode="#,##0;\(#,##0\);\-"/>
    <numFmt numFmtId="177" formatCode="0.0%"/>
  </numFmts>
  <fonts count="14">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6B7684"/>
      <name val="Arial"/>
      <family val="0"/>
      <charset val="1"/>
    </font>
    <font>
      <sz val="10"/>
      <color rgb="FF0000FF"/>
      <name val="Arial"/>
      <family val="0"/>
      <charset val="1"/>
    </font>
    <font>
      <sz val="10"/>
      <name val="Arial"/>
      <family val="2"/>
    </font>
    <font>
      <sz val="10"/>
      <color rgb="FF2E9E5B"/>
      <name val="Arial"/>
      <family val="0"/>
      <charset val="1"/>
    </font>
    <font>
      <sz val="10"/>
      <color rgb="FFC8433B"/>
      <name val="Arial"/>
      <family val="0"/>
      <charset val="1"/>
    </font>
    <font>
      <i val="true"/>
      <sz val="10"/>
      <color rgb="FF6B7684"/>
      <name val="Arial"/>
      <family val="0"/>
      <charset val="1"/>
    </font>
    <font>
      <b val="true"/>
      <sz val="10"/>
      <color rgb="FFC8433B"/>
      <name val="Arial"/>
      <family val="0"/>
      <charset val="1"/>
    </font>
    <font>
      <sz val="10"/>
      <color rgb="FF1B2733"/>
      <name val="Arial"/>
      <family val="0"/>
      <charset val="1"/>
    </font>
  </fonts>
  <fills count="5">
    <fill>
      <patternFill patternType="none"/>
    </fill>
    <fill>
      <patternFill patternType="gray125"/>
    </fill>
    <fill>
      <patternFill patternType="solid">
        <fgColor rgb="FF123A5E"/>
        <bgColor rgb="FF1B2733"/>
      </patternFill>
    </fill>
    <fill>
      <patternFill patternType="solid">
        <fgColor rgb="FF1F6F5C"/>
        <bgColor rgb="FF008080"/>
      </patternFill>
    </fill>
    <fill>
      <patternFill patternType="solid">
        <fgColor rgb="FFC8433B"/>
        <bgColor rgb="FF99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7" fontId="7" fillId="0" borderId="0" xfId="0" applyFont="true" applyBorder="false" applyAlignment="true" applyProtection="false">
      <alignment horizontal="general" vertical="top" textRotation="0" wrapText="tru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72" fontId="5"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true" applyProtection="false">
      <alignment horizontal="general" vertical="bottom" textRotation="0" wrapText="false" indent="0" shrinkToFit="false"/>
      <protection locked="true" hidden="false"/>
    </xf>
    <xf numFmtId="175" fontId="7"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75" fontId="5" fillId="0" borderId="0" xfId="0" applyFont="true" applyBorder="false" applyAlignment="true" applyProtection="false">
      <alignment horizontal="general" vertical="bottom" textRotation="0" wrapText="false" indent="0" shrinkToFit="false"/>
      <protection locked="true" hidden="false"/>
    </xf>
    <xf numFmtId="176" fontId="5" fillId="0" borderId="0" xfId="0" applyFont="true" applyBorder="false" applyAlignment="tru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7" fontId="5" fillId="0" borderId="0" xfId="0" applyFont="true" applyBorder="false" applyAlignment="true" applyProtection="false">
      <alignment horizontal="general" vertical="top" textRotation="0" wrapText="true" indent="0" shrinkToFit="false"/>
      <protection locked="true" hidden="false"/>
    </xf>
    <xf numFmtId="177" fontId="5" fillId="0"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top" textRotation="0" wrapText="true" indent="0" shrinkToFit="false"/>
      <protection locked="true" hidden="false"/>
    </xf>
    <xf numFmtId="173" fontId="5" fillId="0"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5C"/>
      <rgbColor rgb="FFC0C0C0"/>
      <rgbColor rgb="FF6B7684"/>
      <rgbColor rgb="FF9999FF"/>
      <rgbColor rgb="FFC8433B"/>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23A5E"/>
      <rgbColor rgb="FF2E9E5B"/>
      <rgbColor rgb="FF003300"/>
      <rgbColor rgb="FF333300"/>
      <rgbColor rgb="FF993300"/>
      <rgbColor rgb="FF993366"/>
      <rgbColor rgb="FF333399"/>
      <rgbColor rgb="FF1B27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2"/>
    <col collapsed="false" customWidth="true" hidden="false" outlineLevel="0" max="3" min="3" style="1" width="6"/>
  </cols>
  <sheetData>
    <row r="1" customFormat="false" ht="15" hidden="false" customHeight="true" outlineLevel="0" collapsed="false">
      <c r="A1" s="2" t="s">
        <v>0</v>
      </c>
      <c r="B1" s="3"/>
      <c r="C1" s="3"/>
    </row>
    <row r="2" customFormat="false" ht="15" hidden="false" customHeight="true" outlineLevel="0" collapsed="false">
      <c r="A2" s="4" t="s">
        <v>1</v>
      </c>
      <c r="B2" s="5" t="s">
        <v>2</v>
      </c>
      <c r="C2" s="6"/>
    </row>
    <row r="3" customFormat="false" ht="15" hidden="false" customHeight="true" outlineLevel="0" collapsed="false">
      <c r="A3" s="4" t="s">
        <v>3</v>
      </c>
      <c r="B3" s="5" t="s">
        <v>4</v>
      </c>
      <c r="C3" s="6"/>
    </row>
    <row r="4" customFormat="false" ht="15" hidden="false" customHeight="true" outlineLevel="0" collapsed="false">
      <c r="A4" s="4" t="s">
        <v>5</v>
      </c>
      <c r="B4" s="5" t="s">
        <v>6</v>
      </c>
      <c r="C4" s="6"/>
    </row>
    <row r="5" customFormat="false" ht="23.25" hidden="false" customHeight="true" outlineLevel="0" collapsed="false">
      <c r="A5" s="4" t="s">
        <v>7</v>
      </c>
      <c r="B5" s="5" t="s">
        <v>8</v>
      </c>
      <c r="C5" s="6"/>
    </row>
    <row r="6" customFormat="false" ht="15" hidden="false" customHeight="true" outlineLevel="0" collapsed="false">
      <c r="A6" s="4" t="s">
        <v>9</v>
      </c>
      <c r="B6" s="5" t="s">
        <v>10</v>
      </c>
      <c r="C6" s="6"/>
    </row>
    <row r="7" customFormat="false" ht="15" hidden="false" customHeight="true" outlineLevel="0" collapsed="false">
      <c r="A7" s="4"/>
      <c r="B7" s="5"/>
      <c r="C7" s="6"/>
    </row>
    <row r="8" customFormat="false" ht="15" hidden="false" customHeight="true" outlineLevel="0" collapsed="false">
      <c r="A8" s="2" t="s">
        <v>11</v>
      </c>
      <c r="B8" s="3"/>
      <c r="C8" s="3"/>
    </row>
    <row r="9" customFormat="false" ht="23.25" hidden="false" customHeight="true" outlineLevel="0" collapsed="false">
      <c r="A9" s="4" t="s">
        <v>12</v>
      </c>
      <c r="B9" s="5" t="s">
        <v>13</v>
      </c>
    </row>
    <row r="10" customFormat="false" ht="34.5" hidden="false" customHeight="true" outlineLevel="0" collapsed="false">
      <c r="A10" s="4" t="s">
        <v>14</v>
      </c>
      <c r="B10" s="5" t="s">
        <v>15</v>
      </c>
      <c r="C10" s="6"/>
    </row>
    <row r="11" customFormat="false" ht="23.25" hidden="false" customHeight="true" outlineLevel="0" collapsed="false">
      <c r="A11" s="4" t="s">
        <v>16</v>
      </c>
      <c r="B11" s="5" t="s">
        <v>17</v>
      </c>
      <c r="C11" s="6"/>
    </row>
    <row r="12" customFormat="false" ht="15" hidden="false" customHeight="true" outlineLevel="0" collapsed="false">
      <c r="A12" s="4" t="s">
        <v>18</v>
      </c>
      <c r="B12" s="5" t="s">
        <v>19</v>
      </c>
      <c r="C12" s="6"/>
    </row>
    <row r="13" customFormat="false" ht="23.25" hidden="false" customHeight="true" outlineLevel="0" collapsed="false">
      <c r="A13" s="4" t="s">
        <v>20</v>
      </c>
      <c r="B13" s="5" t="s">
        <v>21</v>
      </c>
      <c r="C13" s="6"/>
    </row>
    <row r="14" customFormat="false" ht="23.25" hidden="false" customHeight="true" outlineLevel="0" collapsed="false">
      <c r="A14" s="4" t="s">
        <v>22</v>
      </c>
      <c r="B14" s="5" t="s">
        <v>23</v>
      </c>
      <c r="C14" s="6"/>
    </row>
    <row r="15" customFormat="false" ht="15" hidden="false" customHeight="true" outlineLevel="0" collapsed="false">
      <c r="A15" s="4" t="s">
        <v>24</v>
      </c>
      <c r="B15" s="5" t="s">
        <v>25</v>
      </c>
      <c r="C15" s="6"/>
    </row>
    <row r="16" customFormat="false" ht="15" hidden="false" customHeight="true" outlineLevel="0" collapsed="false">
      <c r="A16" s="4" t="s">
        <v>26</v>
      </c>
      <c r="B16" s="5" t="s">
        <v>27</v>
      </c>
      <c r="C16" s="6"/>
    </row>
    <row r="17" customFormat="false" ht="23.25" hidden="false" customHeight="true" outlineLevel="0" collapsed="false">
      <c r="A17" s="4" t="s">
        <v>28</v>
      </c>
      <c r="B17" s="5" t="s">
        <v>29</v>
      </c>
      <c r="C17" s="6"/>
    </row>
    <row r="18" customFormat="false" ht="23.25" hidden="false" customHeight="true" outlineLevel="0" collapsed="false">
      <c r="A18" s="4" t="s">
        <v>30</v>
      </c>
      <c r="B18" s="5" t="s">
        <v>31</v>
      </c>
      <c r="C18" s="6"/>
    </row>
    <row r="19" customFormat="false" ht="15" hidden="false" customHeight="true" outlineLevel="0" collapsed="false">
      <c r="A19" s="4" t="s">
        <v>32</v>
      </c>
      <c r="B19" s="5" t="s">
        <v>33</v>
      </c>
      <c r="C19" s="6"/>
    </row>
    <row r="20" customFormat="false" ht="15" hidden="false" customHeight="true" outlineLevel="0" collapsed="false">
      <c r="A20" s="4"/>
      <c r="B20" s="5"/>
      <c r="C20" s="6"/>
    </row>
    <row r="21" customFormat="false" ht="15" hidden="false" customHeight="true" outlineLevel="0" collapsed="false">
      <c r="A21" s="2" t="s">
        <v>34</v>
      </c>
      <c r="B21" s="3"/>
      <c r="C21" s="3"/>
    </row>
    <row r="22" customFormat="false" ht="15" hidden="false" customHeight="true" outlineLevel="0" collapsed="false">
      <c r="A22" s="4" t="s">
        <v>35</v>
      </c>
      <c r="B22" s="5" t="s">
        <v>36</v>
      </c>
      <c r="C22" s="6"/>
    </row>
    <row r="23" customFormat="false" ht="15" hidden="false" customHeight="true" outlineLevel="0" collapsed="false">
      <c r="A23" s="4" t="s">
        <v>37</v>
      </c>
      <c r="B23" s="5" t="s">
        <v>38</v>
      </c>
      <c r="C23" s="6"/>
    </row>
    <row r="24" customFormat="false" ht="15" hidden="false" customHeight="true" outlineLevel="0" collapsed="false">
      <c r="A24" s="4" t="s">
        <v>39</v>
      </c>
      <c r="B24" s="5" t="s">
        <v>40</v>
      </c>
      <c r="C24" s="6"/>
    </row>
    <row r="25" customFormat="false" ht="15" hidden="false" customHeight="true" outlineLevel="0" collapsed="false">
      <c r="A25" s="4" t="s">
        <v>41</v>
      </c>
      <c r="B25" s="7" t="s">
        <v>42</v>
      </c>
      <c r="C25" s="6"/>
    </row>
    <row r="26" customFormat="false" ht="15" hidden="false" customHeight="true" outlineLevel="0" collapsed="false">
      <c r="A26" s="4" t="s">
        <v>43</v>
      </c>
      <c r="B26" s="5" t="s">
        <v>44</v>
      </c>
      <c r="C26" s="6"/>
    </row>
    <row r="27" customFormat="false" ht="15" hidden="false" customHeight="true" outlineLevel="0" collapsed="false">
      <c r="A27" s="4" t="s">
        <v>45</v>
      </c>
      <c r="B27" s="5" t="s">
        <v>46</v>
      </c>
      <c r="C27" s="6"/>
    </row>
    <row r="28" customFormat="false" ht="15" hidden="false" customHeight="true" outlineLevel="0" collapsed="false">
      <c r="A28" s="4" t="s">
        <v>47</v>
      </c>
      <c r="B28" s="7" t="s">
        <v>48</v>
      </c>
      <c r="C28" s="6"/>
    </row>
    <row r="29" customFormat="false" ht="15" hidden="false" customHeight="true" outlineLevel="0" collapsed="false">
      <c r="A29" s="4" t="s">
        <v>49</v>
      </c>
      <c r="B29" s="5" t="s">
        <v>50</v>
      </c>
      <c r="C29" s="6"/>
    </row>
    <row r="30" customFormat="false" ht="15" hidden="false" customHeight="true" outlineLevel="0" collapsed="false">
      <c r="A30" s="4"/>
      <c r="B30" s="5"/>
      <c r="C30" s="6"/>
    </row>
    <row r="31" customFormat="false" ht="23.25" hidden="false" customHeight="true" outlineLevel="0" collapsed="false">
      <c r="A31" s="2" t="s">
        <v>51</v>
      </c>
      <c r="B31" s="3"/>
      <c r="C31" s="3"/>
    </row>
    <row r="32" customFormat="false" ht="15" hidden="false" customHeight="true" outlineLevel="0" collapsed="false">
      <c r="A32" s="4" t="s">
        <v>52</v>
      </c>
      <c r="B32" s="5" t="s">
        <v>53</v>
      </c>
      <c r="C32" s="6"/>
    </row>
    <row r="33" customFormat="false" ht="23.25" hidden="false" customHeight="true" outlineLevel="0" collapsed="false">
      <c r="A33" s="4" t="s">
        <v>54</v>
      </c>
      <c r="B33" s="5" t="s">
        <v>55</v>
      </c>
      <c r="C33" s="6"/>
    </row>
    <row r="34" customFormat="false" ht="15" hidden="false" customHeight="true" outlineLevel="0" collapsed="false">
      <c r="A34" s="4" t="s">
        <v>56</v>
      </c>
      <c r="B34" s="5" t="s">
        <v>57</v>
      </c>
      <c r="C34" s="6"/>
    </row>
    <row r="35" customFormat="false" ht="15" hidden="false" customHeight="true" outlineLevel="0" collapsed="false">
      <c r="A35" s="4"/>
      <c r="B35" s="5"/>
      <c r="C35" s="6"/>
    </row>
    <row r="36" customFormat="false" ht="23.25" hidden="false" customHeight="true" outlineLevel="0" collapsed="false">
      <c r="A36" s="2" t="s">
        <v>58</v>
      </c>
      <c r="B36" s="3"/>
      <c r="C36" s="3"/>
    </row>
    <row r="37" customFormat="false" ht="23.25" hidden="false" customHeight="true" outlineLevel="0" collapsed="false">
      <c r="A37" s="4" t="s">
        <v>59</v>
      </c>
      <c r="B37" s="5" t="s">
        <v>60</v>
      </c>
      <c r="C37" s="6"/>
    </row>
    <row r="38" customFormat="false" ht="23.25" hidden="false" customHeight="true" outlineLevel="0" collapsed="false">
      <c r="A38" s="4" t="s">
        <v>61</v>
      </c>
      <c r="B38" s="5" t="s">
        <v>62</v>
      </c>
      <c r="C38" s="6"/>
    </row>
    <row r="39" customFormat="false" ht="15" hidden="false" customHeight="true" outlineLevel="0" collapsed="false">
      <c r="A39" s="4" t="s">
        <v>63</v>
      </c>
      <c r="B39" s="5" t="s">
        <v>64</v>
      </c>
      <c r="C39" s="6"/>
    </row>
    <row r="40" customFormat="false" ht="15" hidden="false" customHeight="true" outlineLevel="0" collapsed="false">
      <c r="A40" s="4"/>
      <c r="B40" s="5"/>
      <c r="C40" s="6"/>
    </row>
    <row r="41" customFormat="false" ht="23.25" hidden="false" customHeight="true" outlineLevel="0" collapsed="false">
      <c r="A41" s="2" t="s">
        <v>65</v>
      </c>
      <c r="B41" s="3"/>
      <c r="C41" s="3"/>
    </row>
    <row r="42" customFormat="false" ht="15" hidden="false" customHeight="true" outlineLevel="0" collapsed="false">
      <c r="A42" s="4" t="s">
        <v>66</v>
      </c>
      <c r="B42" s="5" t="s">
        <v>67</v>
      </c>
      <c r="C42" s="6"/>
    </row>
    <row r="43" customFormat="false" ht="15" hidden="false" customHeight="true" outlineLevel="0" collapsed="false">
      <c r="A43" s="4" t="s">
        <v>68</v>
      </c>
      <c r="B43" s="5" t="s">
        <v>69</v>
      </c>
      <c r="C43" s="6"/>
    </row>
    <row r="45" customFormat="false" ht="15" hidden="false" customHeight="true" outlineLevel="0" collapsed="false">
      <c r="A45" s="2" t="s">
        <v>70</v>
      </c>
      <c r="B45" s="3"/>
      <c r="C45" s="2"/>
    </row>
    <row r="46" customFormat="false" ht="23.25" hidden="false" customHeight="true" outlineLevel="0" collapsed="false">
      <c r="A46" s="4" t="s">
        <v>71</v>
      </c>
      <c r="B46" s="5" t="s">
        <v>72</v>
      </c>
    </row>
    <row r="47" customFormat="false" ht="15" hidden="false" customHeight="true" outlineLevel="0" collapsed="false">
      <c r="A47" s="4" t="s">
        <v>73</v>
      </c>
      <c r="B47" s="5" t="s">
        <v>74</v>
      </c>
    </row>
    <row r="48" customFormat="false" ht="23.25" hidden="false" customHeight="true" outlineLevel="0" collapsed="false">
      <c r="A48" s="4" t="s">
        <v>75</v>
      </c>
      <c r="B48" s="5" t="s">
        <v>76</v>
      </c>
    </row>
    <row r="49" customFormat="false" ht="23.25" hidden="false" customHeight="true" outlineLevel="0" collapsed="false">
      <c r="A49" s="4" t="s">
        <v>77</v>
      </c>
      <c r="B49" s="5" t="s">
        <v>78</v>
      </c>
    </row>
    <row r="50" customFormat="false" ht="15" hidden="false" customHeight="true" outlineLevel="0" collapsed="false">
      <c r="A50" s="4" t="s">
        <v>79</v>
      </c>
      <c r="B50" s="5" t="s">
        <v>80</v>
      </c>
    </row>
    <row r="51" customFormat="false" ht="23.25" hidden="false" customHeight="true" outlineLevel="0" collapsed="false">
      <c r="A51" s="4" t="s">
        <v>81</v>
      </c>
      <c r="B51" s="5" t="s">
        <v>82</v>
      </c>
    </row>
    <row r="52" customFormat="false" ht="34.5" hidden="false" customHeight="true" outlineLevel="0" collapsed="false">
      <c r="A52" s="4" t="s">
        <v>83</v>
      </c>
      <c r="B52" s="5" t="s">
        <v>84</v>
      </c>
    </row>
    <row r="53" customFormat="false" ht="23.25" hidden="false" customHeight="true" outlineLevel="0" collapsed="false">
      <c r="A53" s="4" t="s">
        <v>85</v>
      </c>
      <c r="B53" s="5" t="s">
        <v>86</v>
      </c>
    </row>
    <row r="54" customFormat="false" ht="23.25" hidden="false" customHeight="true" outlineLevel="0" collapsed="false">
      <c r="A54" s="4" t="s">
        <v>87</v>
      </c>
      <c r="B54" s="5" t="s">
        <v>88</v>
      </c>
    </row>
    <row r="56" customFormat="false" ht="15" hidden="false" customHeight="true" outlineLevel="0" collapsed="false">
      <c r="A56" s="2" t="s">
        <v>89</v>
      </c>
      <c r="B56" s="3"/>
      <c r="C56" s="2"/>
    </row>
    <row r="57" customFormat="false" ht="34.5" hidden="false" customHeight="true" outlineLevel="0" collapsed="false">
      <c r="A57" s="4" t="s">
        <v>90</v>
      </c>
      <c r="B57" s="5" t="s">
        <v>91</v>
      </c>
    </row>
    <row r="58" customFormat="false" ht="34.5" hidden="false" customHeight="true" outlineLevel="0" collapsed="false">
      <c r="A58" s="4" t="s">
        <v>92</v>
      </c>
      <c r="B58" s="5" t="s">
        <v>93</v>
      </c>
    </row>
    <row r="59" customFormat="false" ht="34.5" hidden="false" customHeight="true" outlineLevel="0" collapsed="false">
      <c r="A59" s="4" t="s">
        <v>94</v>
      </c>
      <c r="B59" s="5" t="s">
        <v>95</v>
      </c>
    </row>
    <row r="60" customFormat="false" ht="23.25" hidden="false" customHeight="true" outlineLevel="0" collapsed="false">
      <c r="A60" s="4" t="s">
        <v>96</v>
      </c>
      <c r="B60" s="5" t="s">
        <v>97</v>
      </c>
    </row>
    <row r="61" customFormat="false" ht="23.25" hidden="false" customHeight="true" outlineLevel="0" collapsed="false">
      <c r="A61" s="4" t="s">
        <v>98</v>
      </c>
      <c r="B61" s="5" t="s">
        <v>99</v>
      </c>
    </row>
    <row r="63" customFormat="false" ht="15" hidden="false" customHeight="true" outlineLevel="0" collapsed="false">
      <c r="A63" s="2" t="s">
        <v>100</v>
      </c>
      <c r="B63" s="3"/>
      <c r="C63" s="2"/>
    </row>
    <row r="64" customFormat="false" ht="23.25" hidden="false" customHeight="true" outlineLevel="0" collapsed="false">
      <c r="A64" s="4" t="s">
        <v>101</v>
      </c>
      <c r="B64" s="5" t="s">
        <v>102</v>
      </c>
    </row>
    <row r="65" customFormat="false" ht="15" hidden="false" customHeight="true" outlineLevel="0" collapsed="false">
      <c r="A65" s="4" t="s">
        <v>103</v>
      </c>
      <c r="B65" s="5" t="s">
        <v>104</v>
      </c>
    </row>
    <row r="66" customFormat="false" ht="23.25" hidden="false" customHeight="true" outlineLevel="0" collapsed="false">
      <c r="A66" s="4" t="s">
        <v>105</v>
      </c>
      <c r="B66" s="5" t="s">
        <v>106</v>
      </c>
    </row>
    <row r="67" customFormat="false" ht="34.5" hidden="false" customHeight="true" outlineLevel="0" collapsed="false">
      <c r="A67" s="4" t="s">
        <v>107</v>
      </c>
      <c r="B67" s="5" t="s">
        <v>108</v>
      </c>
    </row>
    <row r="68" customFormat="false" ht="23.25" hidden="false" customHeight="true" outlineLevel="0" collapsed="false">
      <c r="A68" s="4" t="s">
        <v>109</v>
      </c>
      <c r="B68" s="5" t="s">
        <v>110</v>
      </c>
    </row>
    <row r="69" customFormat="false" ht="23.25" hidden="false" customHeight="true" outlineLevel="0" collapsed="false">
      <c r="A69" s="4" t="s">
        <v>111</v>
      </c>
      <c r="B69" s="5" t="s">
        <v>112</v>
      </c>
    </row>
    <row r="71" customFormat="false" ht="15" hidden="false" customHeight="true" outlineLevel="0" collapsed="false">
      <c r="A71" s="2" t="s">
        <v>113</v>
      </c>
      <c r="B71" s="3"/>
      <c r="C71" s="2"/>
    </row>
    <row r="72" customFormat="false" ht="34.5" hidden="false" customHeight="true" outlineLevel="0" collapsed="false">
      <c r="A72" s="4" t="s">
        <v>101</v>
      </c>
      <c r="B72" s="5" t="s">
        <v>114</v>
      </c>
    </row>
    <row r="73" customFormat="false" ht="23.25" hidden="false" customHeight="true" outlineLevel="0" collapsed="false">
      <c r="A73" s="4" t="s">
        <v>115</v>
      </c>
      <c r="B73" s="5" t="s">
        <v>116</v>
      </c>
    </row>
    <row r="74" customFormat="false" ht="15" hidden="false" customHeight="true" outlineLevel="0" collapsed="false">
      <c r="A74" s="4" t="s">
        <v>117</v>
      </c>
      <c r="B74" s="5" t="s">
        <v>118</v>
      </c>
    </row>
    <row r="75" customFormat="false" ht="15" hidden="false" customHeight="true" outlineLevel="0" collapsed="false">
      <c r="A75" s="4" t="s">
        <v>119</v>
      </c>
      <c r="B75" s="5" t="s">
        <v>120</v>
      </c>
    </row>
    <row r="77" customFormat="false" ht="15" hidden="false" customHeight="true" outlineLevel="0" collapsed="false">
      <c r="A77" s="2" t="s">
        <v>121</v>
      </c>
      <c r="B77" s="3"/>
      <c r="C77" s="2"/>
    </row>
    <row r="78" customFormat="false" ht="34.5" hidden="false" customHeight="true" outlineLevel="0" collapsed="false">
      <c r="A78" s="4" t="s">
        <v>122</v>
      </c>
      <c r="B78" s="5" t="s">
        <v>123</v>
      </c>
    </row>
    <row r="79" customFormat="false" ht="23.25" hidden="false" customHeight="true" outlineLevel="0" collapsed="false">
      <c r="A79" s="4" t="s">
        <v>124</v>
      </c>
      <c r="B79" s="5" t="s">
        <v>125</v>
      </c>
    </row>
    <row r="80" customFormat="false" ht="23.25" hidden="false" customHeight="true" outlineLevel="0" collapsed="false">
      <c r="A80" s="4" t="s">
        <v>126</v>
      </c>
      <c r="B80" s="5" t="s">
        <v>127</v>
      </c>
    </row>
    <row r="82" customFormat="false" ht="15" hidden="false" customHeight="true" outlineLevel="0" collapsed="false">
      <c r="A82" s="2" t="s">
        <v>128</v>
      </c>
      <c r="B82" s="3"/>
      <c r="C82" s="2"/>
    </row>
    <row r="83" customFormat="false" ht="34.5" hidden="false" customHeight="true" outlineLevel="0" collapsed="false">
      <c r="A83" s="4" t="s">
        <v>122</v>
      </c>
      <c r="B83" s="5" t="s">
        <v>129</v>
      </c>
    </row>
    <row r="84" customFormat="false" ht="23.25" hidden="false" customHeight="true" outlineLevel="0" collapsed="false">
      <c r="A84" s="4" t="s">
        <v>130</v>
      </c>
      <c r="B84" s="5" t="s">
        <v>131</v>
      </c>
    </row>
    <row r="85" customFormat="false" ht="23.25" hidden="false" customHeight="true" outlineLevel="0" collapsed="false">
      <c r="A85" s="4" t="s">
        <v>132</v>
      </c>
      <c r="B85" s="5" t="s">
        <v>133</v>
      </c>
    </row>
    <row r="87" customFormat="false" ht="15" hidden="false" customHeight="true" outlineLevel="0" collapsed="false">
      <c r="A87" s="2" t="s">
        <v>134</v>
      </c>
      <c r="B87" s="3"/>
      <c r="C87" s="2"/>
    </row>
    <row r="88" customFormat="false" ht="34.5" hidden="false" customHeight="true" outlineLevel="0" collapsed="false">
      <c r="A88" s="4" t="s">
        <v>135</v>
      </c>
      <c r="B88" s="5" t="s">
        <v>136</v>
      </c>
    </row>
    <row r="89" customFormat="false" ht="34.5" hidden="false" customHeight="true" outlineLevel="0" collapsed="false">
      <c r="A89" s="4" t="s">
        <v>137</v>
      </c>
      <c r="B89" s="5" t="s">
        <v>138</v>
      </c>
    </row>
    <row r="90" customFormat="false" ht="23.25" hidden="false" customHeight="true" outlineLevel="0" collapsed="false">
      <c r="A90" s="4" t="s">
        <v>139</v>
      </c>
      <c r="B90" s="5" t="s">
        <v>140</v>
      </c>
    </row>
    <row r="91" customFormat="false" ht="15" hidden="false" customHeight="true" outlineLevel="0" collapsed="false">
      <c r="A91" s="4" t="s">
        <v>141</v>
      </c>
      <c r="B91" s="5" t="s">
        <v>142</v>
      </c>
    </row>
    <row r="92" customFormat="false" ht="15" hidden="false" customHeight="true" outlineLevel="0" collapsed="false">
      <c r="A92" s="4" t="s">
        <v>143</v>
      </c>
      <c r="B92" s="5" t="s">
        <v>144</v>
      </c>
    </row>
    <row r="93" customFormat="false" ht="23.25" hidden="false" customHeight="true" outlineLevel="0" collapsed="false">
      <c r="A93" s="4" t="s">
        <v>145</v>
      </c>
      <c r="B93" s="5" t="s">
        <v>146</v>
      </c>
    </row>
    <row r="94" customFormat="false" ht="15" hidden="false" customHeight="true" outlineLevel="0" collapsed="false">
      <c r="A94" s="4" t="s">
        <v>147</v>
      </c>
      <c r="B94" s="5" t="s">
        <v>148</v>
      </c>
    </row>
    <row r="95" customFormat="false" ht="15" hidden="false" customHeight="true" outlineLevel="0" collapsed="false">
      <c r="A95" s="4" t="s">
        <v>149</v>
      </c>
      <c r="B95" s="5" t="s">
        <v>150</v>
      </c>
    </row>
    <row r="97" customFormat="false" ht="15" hidden="false" customHeight="true" outlineLevel="0" collapsed="false">
      <c r="A97" s="2" t="s">
        <v>151</v>
      </c>
      <c r="B97" s="3"/>
      <c r="C97" s="2"/>
    </row>
    <row r="98" customFormat="false" ht="34.5" hidden="false" customHeight="true" outlineLevel="0" collapsed="false">
      <c r="A98" s="4" t="s">
        <v>152</v>
      </c>
      <c r="B98" s="5" t="s">
        <v>153</v>
      </c>
    </row>
    <row r="99" customFormat="false" ht="23.25" hidden="false" customHeight="true" outlineLevel="0" collapsed="false">
      <c r="A99" s="4" t="s">
        <v>154</v>
      </c>
      <c r="B99" s="5" t="s">
        <v>155</v>
      </c>
    </row>
    <row r="100" customFormat="false" ht="15" hidden="false" customHeight="true" outlineLevel="0" collapsed="false">
      <c r="A100" s="4" t="s">
        <v>156</v>
      </c>
      <c r="B100" s="5" t="s">
        <v>157</v>
      </c>
    </row>
    <row r="101" customFormat="false" ht="34.5" hidden="false" customHeight="true" outlineLevel="0" collapsed="false">
      <c r="A101" s="4" t="s">
        <v>158</v>
      </c>
      <c r="B101" s="5" t="s">
        <v>159</v>
      </c>
    </row>
    <row r="102" customFormat="false" ht="23.25" hidden="false" customHeight="true" outlineLevel="0" collapsed="false">
      <c r="A102" s="4" t="s">
        <v>160</v>
      </c>
      <c r="B102" s="5" t="s">
        <v>161</v>
      </c>
    </row>
    <row r="103" customFormat="false" ht="23.25" hidden="false" customHeight="true" outlineLevel="0" collapsed="false">
      <c r="A103" s="4" t="s">
        <v>162</v>
      </c>
      <c r="B103" s="5" t="s">
        <v>163</v>
      </c>
    </row>
    <row r="104" customFormat="false" ht="23.25" hidden="false" customHeight="true" outlineLevel="0" collapsed="false">
      <c r="A104" s="4" t="s">
        <v>164</v>
      </c>
      <c r="B104" s="5" t="s">
        <v>165</v>
      </c>
    </row>
    <row r="105" customFormat="false" ht="15" hidden="false" customHeight="true" outlineLevel="0" collapsed="false">
      <c r="A105" s="4" t="s">
        <v>166</v>
      </c>
      <c r="B105" s="5" t="s">
        <v>167</v>
      </c>
    </row>
    <row r="107" customFormat="false" ht="15" hidden="false" customHeight="false" outlineLevel="0" collapsed="false">
      <c r="A107" s="8" t="s">
        <v>168</v>
      </c>
      <c r="B107" s="9"/>
    </row>
    <row r="108" customFormat="false" ht="35.05" hidden="false" customHeight="false" outlineLevel="0" collapsed="false">
      <c r="A108" s="10" t="s">
        <v>101</v>
      </c>
      <c r="B108" s="5" t="s">
        <v>169</v>
      </c>
    </row>
    <row r="109" customFormat="false" ht="23.85" hidden="false" customHeight="false" outlineLevel="0" collapsed="false">
      <c r="A109" s="10" t="s">
        <v>170</v>
      </c>
      <c r="B109" s="5" t="s">
        <v>171</v>
      </c>
    </row>
    <row r="110" customFormat="false" ht="23.85" hidden="false" customHeight="false" outlineLevel="0" collapsed="false">
      <c r="A110" s="10" t="s">
        <v>172</v>
      </c>
      <c r="B110" s="5" t="s">
        <v>173</v>
      </c>
    </row>
    <row r="111" customFormat="false" ht="79.85" hidden="false" customHeight="false" outlineLevel="0" collapsed="false">
      <c r="A111" s="10" t="s">
        <v>174</v>
      </c>
      <c r="B111" s="5" t="s">
        <v>175</v>
      </c>
    </row>
    <row r="112" customFormat="false" ht="23.85" hidden="false" customHeight="false" outlineLevel="0" collapsed="false">
      <c r="A112" s="10" t="s">
        <v>176</v>
      </c>
      <c r="B112" s="5" t="s">
        <v>177</v>
      </c>
    </row>
    <row r="113" customFormat="false" ht="23.85" hidden="false" customHeight="false" outlineLevel="0" collapsed="false">
      <c r="A113" s="10" t="s">
        <v>178</v>
      </c>
      <c r="B113" s="5" t="s">
        <v>179</v>
      </c>
    </row>
    <row r="114" customFormat="false" ht="23.85" hidden="false" customHeight="false" outlineLevel="0" collapsed="false">
      <c r="A114" s="10" t="s">
        <v>180</v>
      </c>
      <c r="B114" s="5" t="s">
        <v>181</v>
      </c>
    </row>
    <row r="115" customFormat="false" ht="15" hidden="false" customHeight="false" outlineLevel="0" collapsed="false">
      <c r="A115" s="10" t="s">
        <v>182</v>
      </c>
      <c r="B115" s="5" t="s">
        <v>183</v>
      </c>
    </row>
    <row r="116" customFormat="false" ht="23.85" hidden="false" customHeight="false" outlineLevel="0" collapsed="false">
      <c r="A116" s="10" t="s">
        <v>184</v>
      </c>
      <c r="B116" s="5" t="s">
        <v>185</v>
      </c>
    </row>
    <row r="117" customFormat="false" ht="91" hidden="false" customHeight="false" outlineLevel="0" collapsed="false">
      <c r="A117" s="10" t="s">
        <v>186</v>
      </c>
      <c r="B117" s="5" t="s">
        <v>187</v>
      </c>
    </row>
    <row r="118" customFormat="false" ht="23.85" hidden="false" customHeight="false" outlineLevel="0" collapsed="false">
      <c r="A118" s="10" t="s">
        <v>188</v>
      </c>
      <c r="B118" s="5" t="s">
        <v>189</v>
      </c>
    </row>
    <row r="119" customFormat="false" ht="57.45" hidden="false" customHeight="false" outlineLevel="0" collapsed="false">
      <c r="A119" s="10" t="s">
        <v>190</v>
      </c>
      <c r="B119" s="5" t="s">
        <v>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92"/>
  </cols>
  <sheetData>
    <row r="1" customFormat="false" ht="15" hidden="false" customHeight="true" outlineLevel="0" collapsed="false">
      <c r="A1" s="2" t="s">
        <v>192</v>
      </c>
      <c r="B1" s="3" t="s">
        <v>193</v>
      </c>
      <c r="C1" s="3" t="s">
        <v>194</v>
      </c>
    </row>
    <row r="2" customFormat="false" ht="15" hidden="false" customHeight="true" outlineLevel="0" collapsed="false">
      <c r="A2" s="4" t="s">
        <v>195</v>
      </c>
      <c r="B2" s="11" t="n">
        <v>20.38</v>
      </c>
      <c r="C2" s="6" t="s">
        <v>196</v>
      </c>
    </row>
    <row r="3" customFormat="false" ht="15" hidden="false" customHeight="true" outlineLevel="0" collapsed="false">
      <c r="A3" s="4" t="s">
        <v>197</v>
      </c>
      <c r="B3" s="11" t="n">
        <v>450</v>
      </c>
      <c r="C3" s="6" t="s">
        <v>198</v>
      </c>
    </row>
    <row r="4" customFormat="false" ht="15" hidden="false" customHeight="true" outlineLevel="0" collapsed="false">
      <c r="A4" s="4" t="s">
        <v>199</v>
      </c>
      <c r="B4" s="12" t="n">
        <f aca="false">B3/B2</f>
        <v>22.0804710500491</v>
      </c>
      <c r="C4" s="6" t="s">
        <v>200</v>
      </c>
    </row>
    <row r="5" customFormat="false" ht="15" hidden="false" customHeight="true" outlineLevel="0" collapsed="false">
      <c r="A5" s="4"/>
      <c r="B5" s="5"/>
      <c r="C5" s="6"/>
    </row>
    <row r="6" customFormat="false" ht="15" hidden="false" customHeight="true" outlineLevel="0" collapsed="false">
      <c r="A6" s="4" t="s">
        <v>201</v>
      </c>
      <c r="B6" s="11" t="n">
        <v>60</v>
      </c>
      <c r="C6" s="6" t="s">
        <v>202</v>
      </c>
    </row>
    <row r="7" customFormat="false" ht="15" hidden="false" customHeight="true" outlineLevel="0" collapsed="false">
      <c r="A7" s="4" t="s">
        <v>203</v>
      </c>
      <c r="B7" s="11" t="n">
        <v>5</v>
      </c>
      <c r="C7" s="6" t="s">
        <v>204</v>
      </c>
    </row>
    <row r="8" customFormat="false" ht="15" hidden="false" customHeight="true" outlineLevel="0" collapsed="false">
      <c r="A8" s="4" t="s">
        <v>205</v>
      </c>
      <c r="B8" s="11" t="n">
        <v>5</v>
      </c>
      <c r="C8" s="6" t="s">
        <v>204</v>
      </c>
    </row>
    <row r="9" customFormat="false" ht="15" hidden="false" customHeight="true" outlineLevel="0" collapsed="false">
      <c r="A9" s="4" t="s">
        <v>206</v>
      </c>
      <c r="B9" s="11" t="n">
        <v>10</v>
      </c>
      <c r="C9" s="6" t="s">
        <v>204</v>
      </c>
    </row>
    <row r="10" customFormat="false" ht="15" hidden="false" customHeight="true" outlineLevel="0" collapsed="false">
      <c r="A10" s="4" t="s">
        <v>207</v>
      </c>
      <c r="B10" s="11" t="n">
        <v>-5</v>
      </c>
      <c r="C10" s="6" t="s">
        <v>208</v>
      </c>
    </row>
    <row r="11" customFormat="false" ht="15" hidden="false" customHeight="true" outlineLevel="0" collapsed="false">
      <c r="A11" s="4" t="s">
        <v>12</v>
      </c>
      <c r="B11" s="13" t="n">
        <v>5</v>
      </c>
      <c r="C11" s="6" t="s">
        <v>209</v>
      </c>
    </row>
    <row r="12" customFormat="false" ht="15" hidden="false" customHeight="true" outlineLevel="0" collapsed="false">
      <c r="A12" s="4"/>
      <c r="B12" s="5"/>
      <c r="C12" s="6"/>
    </row>
    <row r="13" customFormat="false" ht="23.25" hidden="false" customHeight="true" outlineLevel="0" collapsed="false">
      <c r="A13" s="4" t="s">
        <v>210</v>
      </c>
      <c r="B13" s="14" t="n">
        <f aca="false">IF(COUNT(Fact_Work!$B:$B)=0,1,NETWORKDAYS(MIN(Fact_Work!$B:$B),MAX(Fact_Work!$B:$B)))</f>
        <v>3</v>
      </c>
      <c r="C13" s="6" t="s">
        <v>211</v>
      </c>
    </row>
    <row r="14" customFormat="false" ht="15" hidden="false" customHeight="true" outlineLevel="0" collapsed="false">
      <c r="A14" s="4" t="s">
        <v>212</v>
      </c>
      <c r="B14" s="11" t="n">
        <v>90</v>
      </c>
      <c r="C14" s="6" t="s">
        <v>213</v>
      </c>
    </row>
    <row r="15" customFormat="false" ht="15" hidden="false" customHeight="true" outlineLevel="0" collapsed="false">
      <c r="A15" s="4" t="s">
        <v>214</v>
      </c>
      <c r="B15" s="15" t="n">
        <v>0.75</v>
      </c>
      <c r="C15" s="6" t="s">
        <v>215</v>
      </c>
    </row>
    <row r="16" customFormat="false" ht="15" hidden="false" customHeight="true" outlineLevel="0" collapsed="false">
      <c r="A16" s="2" t="s">
        <v>216</v>
      </c>
      <c r="B16" s="3"/>
      <c r="C16" s="3" t="s">
        <v>217</v>
      </c>
    </row>
    <row r="17" customFormat="false" ht="35.05" hidden="false" customHeight="false" outlineLevel="0" collapsed="false">
      <c r="A17" s="10" t="s">
        <v>218</v>
      </c>
      <c r="B17" s="16" t="n">
        <v>0</v>
      </c>
      <c r="C17" s="6" t="s">
        <v>219</v>
      </c>
    </row>
    <row r="18" customFormat="false" ht="23.85" hidden="false" customHeight="false" outlineLevel="0" collapsed="false">
      <c r="A18" s="10" t="s">
        <v>220</v>
      </c>
      <c r="B18" s="16" t="n">
        <v>9</v>
      </c>
      <c r="C18" s="6" t="s">
        <v>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13"/>
    <col collapsed="false" customWidth="true" hidden="false" outlineLevel="0" max="4" min="4" style="1" width="16"/>
    <col collapsed="false" customWidth="true" hidden="false" outlineLevel="0" max="6" min="5" style="1" width="21"/>
    <col collapsed="false" customWidth="true" hidden="false" outlineLevel="0" max="7" min="7" style="0" width="12"/>
  </cols>
  <sheetData>
    <row r="1" customFormat="false" ht="36" hidden="false" customHeight="true" outlineLevel="0" collapsed="false">
      <c r="A1" s="17" t="s">
        <v>222</v>
      </c>
      <c r="B1" s="17" t="s">
        <v>223</v>
      </c>
      <c r="C1" s="17" t="s">
        <v>224</v>
      </c>
      <c r="D1" s="17" t="s">
        <v>225</v>
      </c>
      <c r="E1" s="17" t="s">
        <v>226</v>
      </c>
      <c r="F1" s="18" t="s">
        <v>227</v>
      </c>
      <c r="G1" s="19" t="s">
        <v>228</v>
      </c>
    </row>
    <row r="2" customFormat="false" ht="15" hidden="false" customHeight="true" outlineLevel="0" collapsed="false">
      <c r="A2" s="13" t="s">
        <v>229</v>
      </c>
      <c r="B2" s="13" t="s">
        <v>230</v>
      </c>
      <c r="C2" s="20" t="n">
        <v>0.375</v>
      </c>
      <c r="D2" s="13" t="n">
        <v>1</v>
      </c>
      <c r="E2" s="21" t="n">
        <v>450</v>
      </c>
      <c r="F2" s="22" t="n">
        <f aca="false">IF($A2="","",HOUR($C2)+MINUTE($C2)/60)</f>
        <v>9</v>
      </c>
      <c r="G2" s="23" t="n">
        <f aca="false">IF($A2="","",$F2+Constants!$B$18)</f>
        <v>18</v>
      </c>
    </row>
    <row r="3" customFormat="false" ht="15" hidden="false" customHeight="true" outlineLevel="0" collapsed="false">
      <c r="A3" s="13" t="s">
        <v>231</v>
      </c>
      <c r="B3" s="13" t="s">
        <v>232</v>
      </c>
      <c r="C3" s="20" t="n">
        <v>0.375</v>
      </c>
      <c r="D3" s="13" t="n">
        <v>1</v>
      </c>
      <c r="E3" s="21" t="n">
        <v>450</v>
      </c>
      <c r="F3" s="22" t="n">
        <f aca="false">IF($A3="","",HOUR($C3)+MINUTE($C3)/60)</f>
        <v>9</v>
      </c>
      <c r="G3" s="23" t="n">
        <f aca="false">IF($A3="","",$F3+Constants!$B$18)</f>
        <v>18</v>
      </c>
    </row>
    <row r="4" customFormat="false" ht="15" hidden="false" customHeight="true" outlineLevel="0" collapsed="false">
      <c r="A4" s="13" t="s">
        <v>233</v>
      </c>
      <c r="B4" s="13" t="s">
        <v>234</v>
      </c>
      <c r="C4" s="20" t="n">
        <v>0.416666666666667</v>
      </c>
      <c r="D4" s="13" t="n">
        <v>1</v>
      </c>
      <c r="E4" s="21" t="n">
        <v>450</v>
      </c>
      <c r="F4" s="22" t="n">
        <f aca="false">IF($A4="","",HOUR($C4)+MINUTE($C4)/60)</f>
        <v>10</v>
      </c>
      <c r="G4" s="23" t="n">
        <f aca="false">IF($A4="","",$F4+Constants!$B$18)</f>
        <v>19</v>
      </c>
    </row>
    <row r="5" customFormat="false" ht="15" hidden="false" customHeight="true" outlineLevel="0" collapsed="false">
      <c r="A5" s="13" t="s">
        <v>235</v>
      </c>
      <c r="B5" s="13" t="s">
        <v>236</v>
      </c>
      <c r="C5" s="20" t="n">
        <v>0.375</v>
      </c>
      <c r="D5" s="13" t="n">
        <v>2</v>
      </c>
      <c r="E5" s="21" t="n">
        <v>450</v>
      </c>
      <c r="F5" s="22" t="n">
        <f aca="false">IF($A5="","",HOUR($C5)+MINUTE($C5)/60)</f>
        <v>9</v>
      </c>
      <c r="G5" s="23" t="n">
        <f aca="false">IF($A5="","",$F5+Constants!$B$18)</f>
        <v>18</v>
      </c>
    </row>
    <row r="6" customFormat="false" ht="15" hidden="false" customHeight="true" outlineLevel="0" collapsed="false">
      <c r="F6" s="22" t="str">
        <f aca="false">IF($A6="","",HOUR($C6)+MINUTE($C6)/60)</f>
        <v/>
      </c>
      <c r="G6" s="23" t="str">
        <f aca="false">IF($A6="","",$F6+Constants!$B$18)</f>
        <v/>
      </c>
    </row>
    <row r="7" customFormat="false" ht="15" hidden="false" customHeight="true" outlineLevel="0" collapsed="false">
      <c r="F7" s="22" t="str">
        <f aca="false">IF($A7="","",HOUR($C7)+MINUTE($C7)/60)</f>
        <v/>
      </c>
      <c r="G7" s="23" t="str">
        <f aca="false">IF($A7="","",$F7+Constants!$B$18)</f>
        <v/>
      </c>
    </row>
    <row r="8" customFormat="false" ht="15" hidden="false" customHeight="true" outlineLevel="0" collapsed="false">
      <c r="F8" s="22" t="str">
        <f aca="false">IF($A8="","",HOUR($C8)+MINUTE($C8)/60)</f>
        <v/>
      </c>
      <c r="G8" s="23" t="str">
        <f aca="false">IF($A8="","",$F8+Constants!$B$18)</f>
        <v/>
      </c>
    </row>
    <row r="9" customFormat="false" ht="15" hidden="false" customHeight="true" outlineLevel="0" collapsed="false">
      <c r="F9" s="22" t="str">
        <f aca="false">IF($A9="","",HOUR($C9)+MINUTE($C9)/60)</f>
        <v/>
      </c>
      <c r="G9" s="23" t="str">
        <f aca="false">IF($A9="","",$F9+Constants!$B$18)</f>
        <v/>
      </c>
    </row>
    <row r="10" customFormat="false" ht="15" hidden="false" customHeight="true" outlineLevel="0" collapsed="false">
      <c r="F10" s="22" t="str">
        <f aca="false">IF($A10="","",HOUR($C10)+MINUTE($C10)/60)</f>
        <v/>
      </c>
      <c r="G10" s="23" t="str">
        <f aca="false">IF($A10="","",$F10+Constants!$B$18)</f>
        <v/>
      </c>
    </row>
    <row r="11" customFormat="false" ht="15" hidden="false" customHeight="true" outlineLevel="0" collapsed="false">
      <c r="F11" s="22" t="str">
        <f aca="false">IF($A11="","",HOUR($C11)+MINUTE($C11)/60)</f>
        <v/>
      </c>
      <c r="G11" s="23" t="str">
        <f aca="false">IF($A11="","",$F11+Constants!$B$18)</f>
        <v/>
      </c>
    </row>
    <row r="12" customFormat="false" ht="15" hidden="false" customHeight="true" outlineLevel="0" collapsed="false">
      <c r="F12" s="22" t="str">
        <f aca="false">IF($A12="","",HOUR($C12)+MINUTE($C12)/60)</f>
        <v/>
      </c>
      <c r="G12" s="23" t="str">
        <f aca="false">IF($A12="","",$F12+Constants!$B$18)</f>
        <v/>
      </c>
    </row>
    <row r="13" customFormat="false" ht="15" hidden="false" customHeight="true" outlineLevel="0" collapsed="false">
      <c r="F13" s="22" t="str">
        <f aca="false">IF($A13="","",HOUR($C13)+MINUTE($C13)/60)</f>
        <v/>
      </c>
      <c r="G13" s="23" t="str">
        <f aca="false">IF($A13="","",$F13+Constants!$B$18)</f>
        <v/>
      </c>
    </row>
    <row r="14" customFormat="false" ht="15" hidden="false" customHeight="true" outlineLevel="0" collapsed="false">
      <c r="F14" s="22" t="str">
        <f aca="false">IF($A14="","",HOUR($C14)+MINUTE($C14)/60)</f>
        <v/>
      </c>
      <c r="G14" s="23" t="str">
        <f aca="false">IF($A14="","",$F14+Constants!$B$18)</f>
        <v/>
      </c>
    </row>
    <row r="15" customFormat="false" ht="15" hidden="false" customHeight="true" outlineLevel="0" collapsed="false">
      <c r="F15" s="22" t="str">
        <f aca="false">IF($A15="","",HOUR($C15)+MINUTE($C15)/60)</f>
        <v/>
      </c>
      <c r="G15" s="23" t="str">
        <f aca="false">IF($A15="","",$F15+Constants!$B$18)</f>
        <v/>
      </c>
    </row>
    <row r="16" customFormat="false" ht="15" hidden="false" customHeight="true" outlineLevel="0" collapsed="false">
      <c r="F16" s="22" t="str">
        <f aca="false">IF($A16="","",HOUR($C16)+MINUTE($C16)/60)</f>
        <v/>
      </c>
      <c r="G16" s="23" t="str">
        <f aca="false">IF($A16="","",$F16+Constants!$B$18)</f>
        <v/>
      </c>
    </row>
    <row r="17" customFormat="false" ht="15" hidden="false" customHeight="true" outlineLevel="0" collapsed="false">
      <c r="F17" s="22" t="str">
        <f aca="false">IF($A17="","",HOUR($C17)+MINUTE($C17)/60)</f>
        <v/>
      </c>
      <c r="G17" s="23" t="str">
        <f aca="false">IF($A17="","",$F17+Constants!$B$18)</f>
        <v/>
      </c>
    </row>
    <row r="18" customFormat="false" ht="15" hidden="false" customHeight="true" outlineLevel="0" collapsed="false">
      <c r="F18" s="22" t="str">
        <f aca="false">IF($A18="","",HOUR($C18)+MINUTE($C18)/60)</f>
        <v/>
      </c>
      <c r="G18" s="23" t="str">
        <f aca="false">IF($A18="","",$F18+Constants!$B$18)</f>
        <v/>
      </c>
    </row>
    <row r="19" customFormat="false" ht="15" hidden="false" customHeight="true" outlineLevel="0" collapsed="false">
      <c r="F19" s="22" t="str">
        <f aca="false">IF($A19="","",HOUR($C19)+MINUTE($C19)/60)</f>
        <v/>
      </c>
      <c r="G19" s="23" t="str">
        <f aca="false">IF($A19="","",$F19+Constants!$B$18)</f>
        <v/>
      </c>
    </row>
    <row r="20" customFormat="false" ht="15" hidden="false" customHeight="true" outlineLevel="0" collapsed="false">
      <c r="F20" s="22" t="str">
        <f aca="false">IF($A20="","",HOUR($C20)+MINUTE($C20)/60)</f>
        <v/>
      </c>
      <c r="G20" s="23" t="str">
        <f aca="false">IF($A20="","",$F20+Constants!$B$18)</f>
        <v/>
      </c>
    </row>
    <row r="21" customFormat="false" ht="15" hidden="false" customHeight="true" outlineLevel="0" collapsed="false">
      <c r="F21" s="22" t="str">
        <f aca="false">IF($A21="","",HOUR($C21)+MINUTE($C21)/60)</f>
        <v/>
      </c>
      <c r="G21" s="23" t="str">
        <f aca="false">IF($A21="","",$F21+Constants!$B$18)</f>
        <v/>
      </c>
    </row>
    <row r="22" customFormat="false" ht="15" hidden="false" customHeight="true" outlineLevel="0" collapsed="false">
      <c r="F22" s="22" t="str">
        <f aca="false">IF($A22="","",HOUR($C22)+MINUTE($C22)/60)</f>
        <v/>
      </c>
      <c r="G22" s="23" t="str">
        <f aca="false">IF($A22="","",$F22+Constants!$B$18)</f>
        <v/>
      </c>
    </row>
    <row r="23" customFormat="false" ht="15" hidden="false" customHeight="true" outlineLevel="0" collapsed="false">
      <c r="F23" s="22" t="str">
        <f aca="false">IF($A23="","",HOUR($C23)+MINUTE($C23)/60)</f>
        <v/>
      </c>
      <c r="G23" s="23" t="str">
        <f aca="false">IF($A23="","",$F23+Constants!$B$18)</f>
        <v/>
      </c>
    </row>
    <row r="24" customFormat="false" ht="15" hidden="false" customHeight="true" outlineLevel="0" collapsed="false">
      <c r="F24" s="22" t="str">
        <f aca="false">IF($A24="","",HOUR($C24)+MINUTE($C24)/60)</f>
        <v/>
      </c>
      <c r="G24" s="23" t="str">
        <f aca="false">IF($A24="","",$F24+Constants!$B$18)</f>
        <v/>
      </c>
    </row>
    <row r="25" customFormat="false" ht="15" hidden="false" customHeight="true" outlineLevel="0" collapsed="false">
      <c r="F25" s="22" t="str">
        <f aca="false">IF($A25="","",HOUR($C25)+MINUTE($C25)/60)</f>
        <v/>
      </c>
      <c r="G25" s="23" t="str">
        <f aca="false">IF($A25="","",$F25+Constants!$B$18)</f>
        <v/>
      </c>
    </row>
    <row r="26" customFormat="false" ht="15" hidden="false" customHeight="true" outlineLevel="0" collapsed="false">
      <c r="F26" s="22" t="str">
        <f aca="false">IF($A26="","",HOUR($C26)+MINUTE($C26)/60)</f>
        <v/>
      </c>
      <c r="G26" s="23" t="str">
        <f aca="false">IF($A26="","",$F26+Constants!$B$18)</f>
        <v/>
      </c>
    </row>
    <row r="27" customFormat="false" ht="15" hidden="false" customHeight="true" outlineLevel="0" collapsed="false">
      <c r="F27" s="22" t="str">
        <f aca="false">IF($A27="","",HOUR($C27)+MINUTE($C27)/60)</f>
        <v/>
      </c>
      <c r="G27" s="23" t="str">
        <f aca="false">IF($A27="","",$F27+Constants!$B$18)</f>
        <v/>
      </c>
    </row>
    <row r="28" customFormat="false" ht="15" hidden="false" customHeight="true" outlineLevel="0" collapsed="false">
      <c r="F28" s="22" t="str">
        <f aca="false">IF($A28="","",HOUR($C28)+MINUTE($C28)/60)</f>
        <v/>
      </c>
      <c r="G28" s="23" t="str">
        <f aca="false">IF($A28="","",$F28+Constants!$B$18)</f>
        <v/>
      </c>
    </row>
    <row r="29" customFormat="false" ht="15" hidden="false" customHeight="true" outlineLevel="0" collapsed="false">
      <c r="F29" s="22" t="str">
        <f aca="false">IF($A29="","",HOUR($C29)+MINUTE($C29)/60)</f>
        <v/>
      </c>
      <c r="G29" s="23" t="str">
        <f aca="false">IF($A29="","",$F29+Constants!$B$18)</f>
        <v/>
      </c>
    </row>
    <row r="30" customFormat="false" ht="15" hidden="false" customHeight="true" outlineLevel="0" collapsed="false">
      <c r="F30" s="22" t="str">
        <f aca="false">IF($A30="","",HOUR($C30)+MINUTE($C30)/60)</f>
        <v/>
      </c>
      <c r="G30" s="23" t="str">
        <f aca="false">IF($A30="","",$F30+Constants!$B$18)</f>
        <v/>
      </c>
    </row>
    <row r="31" customFormat="false" ht="15" hidden="false" customHeight="true" outlineLevel="0" collapsed="false">
      <c r="F31" s="22" t="str">
        <f aca="false">IF($A31="","",HOUR($C31)+MINUTE($C31)/60)</f>
        <v/>
      </c>
      <c r="G31" s="23" t="str">
        <f aca="false">IF($A31="","",$F31+Constants!$B$18)</f>
        <v/>
      </c>
    </row>
    <row r="32" customFormat="false" ht="15" hidden="false" customHeight="true" outlineLevel="0" collapsed="false">
      <c r="F32" s="22" t="str">
        <f aca="false">IF($A32="","",HOUR($C32)+MINUTE($C32)/60)</f>
        <v/>
      </c>
      <c r="G32" s="23" t="str">
        <f aca="false">IF($A32="","",$F32+Constants!$B$18)</f>
        <v/>
      </c>
    </row>
    <row r="33" customFormat="false" ht="15" hidden="false" customHeight="true" outlineLevel="0" collapsed="false">
      <c r="F33" s="22" t="str">
        <f aca="false">IF($A33="","",HOUR($C33)+MINUTE($C33)/60)</f>
        <v/>
      </c>
      <c r="G33" s="23" t="str">
        <f aca="false">IF($A33="","",$F33+Constants!$B$18)</f>
        <v/>
      </c>
    </row>
    <row r="34" customFormat="false" ht="15" hidden="false" customHeight="true" outlineLevel="0" collapsed="false">
      <c r="F34" s="22" t="str">
        <f aca="false">IF($A34="","",HOUR($C34)+MINUTE($C34)/60)</f>
        <v/>
      </c>
      <c r="G34" s="23" t="str">
        <f aca="false">IF($A34="","",$F34+Constants!$B$18)</f>
        <v/>
      </c>
    </row>
    <row r="35" customFormat="false" ht="15" hidden="false" customHeight="true" outlineLevel="0" collapsed="false">
      <c r="F35" s="22" t="str">
        <f aca="false">IF($A35="","",HOUR($C35)+MINUTE($C35)/60)</f>
        <v/>
      </c>
      <c r="G35" s="23" t="str">
        <f aca="false">IF($A35="","",$F35+Constants!$B$18)</f>
        <v/>
      </c>
    </row>
    <row r="36" customFormat="false" ht="15" hidden="false" customHeight="true" outlineLevel="0" collapsed="false">
      <c r="F36" s="22" t="str">
        <f aca="false">IF($A36="","",HOUR($C36)+MINUTE($C36)/60)</f>
        <v/>
      </c>
      <c r="G36" s="23" t="str">
        <f aca="false">IF($A36="","",$F36+Constants!$B$18)</f>
        <v/>
      </c>
    </row>
    <row r="37" customFormat="false" ht="15" hidden="false" customHeight="true" outlineLevel="0" collapsed="false">
      <c r="F37" s="22" t="str">
        <f aca="false">IF($A37="","",HOUR($C37)+MINUTE($C37)/60)</f>
        <v/>
      </c>
      <c r="G37" s="23" t="str">
        <f aca="false">IF($A37="","",$F37+Constants!$B$18)</f>
        <v/>
      </c>
    </row>
    <row r="38" customFormat="false" ht="15" hidden="false" customHeight="true" outlineLevel="0" collapsed="false">
      <c r="F38" s="22" t="str">
        <f aca="false">IF($A38="","",HOUR($C38)+MINUTE($C38)/60)</f>
        <v/>
      </c>
      <c r="G38" s="23" t="str">
        <f aca="false">IF($A38="","",$F38+Constants!$B$18)</f>
        <v/>
      </c>
    </row>
    <row r="39" customFormat="false" ht="15" hidden="false" customHeight="true" outlineLevel="0" collapsed="false">
      <c r="F39" s="22" t="str">
        <f aca="false">IF($A39="","",HOUR($C39)+MINUTE($C39)/60)</f>
        <v/>
      </c>
      <c r="G39" s="23" t="str">
        <f aca="false">IF($A39="","",$F39+Constants!$B$18)</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21"/>
    <col collapsed="false" customWidth="true" hidden="false" outlineLevel="0" max="3" min="3" style="1" width="19"/>
    <col collapsed="false" customWidth="true" hidden="false" outlineLevel="0" max="4" min="4" style="1" width="21"/>
  </cols>
  <sheetData>
    <row r="1" customFormat="false" ht="36" hidden="false" customHeight="true" outlineLevel="0" collapsed="false">
      <c r="A1" s="17" t="s">
        <v>237</v>
      </c>
      <c r="B1" s="17" t="s">
        <v>238</v>
      </c>
      <c r="C1" s="17" t="s">
        <v>239</v>
      </c>
      <c r="D1" s="18" t="s">
        <v>240</v>
      </c>
    </row>
    <row r="2" customFormat="false" ht="15" hidden="false" customHeight="true" outlineLevel="0" collapsed="false">
      <c r="A2" s="13" t="s">
        <v>241</v>
      </c>
      <c r="B2" s="13" t="s">
        <v>242</v>
      </c>
      <c r="C2" s="13" t="n">
        <v>0</v>
      </c>
      <c r="D2" s="24" t="s">
        <v>243</v>
      </c>
    </row>
    <row r="3" customFormat="false" ht="15" hidden="false" customHeight="true" outlineLevel="0" collapsed="false">
      <c r="A3" s="13" t="s">
        <v>244</v>
      </c>
      <c r="B3" s="13" t="s">
        <v>245</v>
      </c>
      <c r="C3" s="13" t="n">
        <v>25</v>
      </c>
      <c r="D3" s="25" t="s">
        <v>246</v>
      </c>
    </row>
    <row r="4" customFormat="false" ht="15" hidden="false" customHeight="true" outlineLevel="0" collapsed="false">
      <c r="A4" s="13" t="s">
        <v>247</v>
      </c>
      <c r="B4" s="13" t="s">
        <v>248</v>
      </c>
      <c r="C4" s="13" t="n">
        <v>46</v>
      </c>
      <c r="D4" s="25" t="s">
        <v>246</v>
      </c>
    </row>
    <row r="6" customFormat="false" ht="15" hidden="false" customHeight="true" outlineLevel="0" collapsed="false">
      <c r="A6" s="26"/>
    </row>
    <row r="7" customFormat="false" ht="15" hidden="false" customHeight="true" outlineLevel="0" collapsed="false">
      <c r="A7" s="2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3" ySplit="1" topLeftCell="X2" activePane="bottomRight" state="frozen"/>
      <selection pane="topLeft" activeCell="A1" activeCellId="0" sqref="A1"/>
      <selection pane="topRight" activeCell="X1" activeCellId="0" sqref="X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12"/>
    <col collapsed="false" customWidth="true" hidden="false" outlineLevel="0" max="4" min="4" style="1" width="21"/>
    <col collapsed="false" customWidth="true" hidden="false" outlineLevel="0" max="5" min="5" style="1" width="18"/>
    <col collapsed="false" customWidth="true" hidden="false" outlineLevel="0" max="6" min="6" style="1" width="12"/>
    <col collapsed="false" customWidth="true" hidden="false" outlineLevel="0" max="7" min="7" style="1" width="24"/>
    <col collapsed="false" customWidth="true" hidden="false" outlineLevel="0" max="13" min="8" style="1" width="12"/>
    <col collapsed="false" customWidth="true" hidden="false" outlineLevel="0" max="14" min="14" style="1" width="16"/>
    <col collapsed="false" customWidth="true" hidden="false" outlineLevel="0" max="15" min="15" style="1" width="20"/>
    <col collapsed="false" customWidth="true" hidden="false" outlineLevel="0" max="21" min="16" style="1" width="17"/>
    <col collapsed="false" customWidth="true" hidden="false" outlineLevel="0" max="22" min="22" style="1" width="15"/>
    <col collapsed="false" customWidth="true" hidden="false" outlineLevel="0" max="47" min="23" style="1" width="21"/>
    <col collapsed="false" customWidth="true" hidden="false" outlineLevel="0" max="48" min="48" style="1" width="19"/>
    <col collapsed="false" customWidth="true" hidden="false" outlineLevel="0" max="50" min="49" style="1" width="13"/>
    <col collapsed="false" customWidth="true" hidden="false" outlineLevel="0" max="52" min="51" style="1" width="23"/>
    <col collapsed="false" customWidth="true" hidden="false" outlineLevel="0" max="53" min="53" style="1" width="20"/>
    <col collapsed="false" customWidth="true" hidden="false" outlineLevel="0" max="54" min="54" style="1" width="17"/>
    <col collapsed="false" customWidth="true" hidden="false" outlineLevel="0" max="59" min="55" style="0" width="12"/>
    <col collapsed="false" customWidth="true" hidden="false" outlineLevel="0" max="60" min="60" style="0" width="20"/>
    <col collapsed="false" customWidth="true" hidden="false" outlineLevel="0" max="63" min="61" style="0" width="12"/>
  </cols>
  <sheetData>
    <row r="1" customFormat="false" ht="36" hidden="false" customHeight="true" outlineLevel="0" collapsed="false">
      <c r="A1" s="17" t="s">
        <v>249</v>
      </c>
      <c r="B1" s="17" t="s">
        <v>250</v>
      </c>
      <c r="C1" s="17" t="s">
        <v>251</v>
      </c>
      <c r="D1" s="17" t="s">
        <v>252</v>
      </c>
      <c r="E1" s="17" t="s">
        <v>253</v>
      </c>
      <c r="F1" s="17" t="s">
        <v>222</v>
      </c>
      <c r="G1" s="17" t="s">
        <v>254</v>
      </c>
      <c r="H1" s="17" t="s">
        <v>255</v>
      </c>
      <c r="I1" s="17" t="s">
        <v>256</v>
      </c>
      <c r="J1" s="17" t="s">
        <v>257</v>
      </c>
      <c r="K1" s="17" t="s">
        <v>258</v>
      </c>
      <c r="L1" s="17" t="s">
        <v>259</v>
      </c>
      <c r="M1" s="17" t="s">
        <v>260</v>
      </c>
      <c r="N1" s="17" t="s">
        <v>261</v>
      </c>
      <c r="O1" s="17" t="s">
        <v>262</v>
      </c>
      <c r="P1" s="17" t="s">
        <v>263</v>
      </c>
      <c r="Q1" s="17" t="s">
        <v>264</v>
      </c>
      <c r="R1" s="17" t="s">
        <v>265</v>
      </c>
      <c r="S1" s="17" t="s">
        <v>266</v>
      </c>
      <c r="T1" s="17" t="s">
        <v>267</v>
      </c>
      <c r="U1" s="17" t="s">
        <v>268</v>
      </c>
      <c r="V1" s="17" t="s">
        <v>269</v>
      </c>
      <c r="W1" s="17" t="s">
        <v>270</v>
      </c>
      <c r="X1" s="17" t="s">
        <v>237</v>
      </c>
      <c r="Y1" s="17" t="s">
        <v>271</v>
      </c>
      <c r="Z1" s="18" t="s">
        <v>272</v>
      </c>
      <c r="AA1" s="18" t="s">
        <v>273</v>
      </c>
      <c r="AB1" s="18" t="s">
        <v>274</v>
      </c>
      <c r="AC1" s="18" t="s">
        <v>275</v>
      </c>
      <c r="AD1" s="18" t="s">
        <v>276</v>
      </c>
      <c r="AE1" s="18" t="s">
        <v>277</v>
      </c>
      <c r="AF1" s="18" t="s">
        <v>278</v>
      </c>
      <c r="AG1" s="18" t="s">
        <v>279</v>
      </c>
      <c r="AH1" s="18" t="s">
        <v>280</v>
      </c>
      <c r="AI1" s="18" t="s">
        <v>281</v>
      </c>
      <c r="AJ1" s="18" t="s">
        <v>282</v>
      </c>
      <c r="AK1" s="18" t="s">
        <v>227</v>
      </c>
      <c r="AL1" s="18" t="s">
        <v>239</v>
      </c>
      <c r="AM1" s="18" t="s">
        <v>283</v>
      </c>
      <c r="AN1" s="18" t="s">
        <v>284</v>
      </c>
      <c r="AO1" s="18" t="s">
        <v>285</v>
      </c>
      <c r="AP1" s="18" t="s">
        <v>286</v>
      </c>
      <c r="AQ1" s="18" t="s">
        <v>287</v>
      </c>
      <c r="AR1" s="18" t="s">
        <v>288</v>
      </c>
      <c r="AS1" s="18" t="s">
        <v>289</v>
      </c>
      <c r="AT1" s="18" t="s">
        <v>290</v>
      </c>
      <c r="AU1" s="18" t="s">
        <v>291</v>
      </c>
      <c r="AV1" s="18" t="s">
        <v>292</v>
      </c>
      <c r="AW1" s="18" t="s">
        <v>293</v>
      </c>
      <c r="AX1" s="18" t="s">
        <v>294</v>
      </c>
      <c r="AY1" s="18" t="s">
        <v>295</v>
      </c>
      <c r="AZ1" s="18" t="s">
        <v>296</v>
      </c>
      <c r="BA1" s="18" t="s">
        <v>297</v>
      </c>
      <c r="BB1" s="18" t="s">
        <v>298</v>
      </c>
      <c r="BC1" s="19" t="s">
        <v>299</v>
      </c>
      <c r="BD1" s="19" t="s">
        <v>300</v>
      </c>
      <c r="BE1" s="19" t="s">
        <v>301</v>
      </c>
      <c r="BF1" s="19" t="s">
        <v>302</v>
      </c>
      <c r="BG1" s="19" t="s">
        <v>303</v>
      </c>
      <c r="BH1" s="19" t="s">
        <v>304</v>
      </c>
      <c r="BI1" s="19" t="s">
        <v>305</v>
      </c>
      <c r="BJ1" s="19" t="s">
        <v>306</v>
      </c>
      <c r="BK1" s="19" t="s">
        <v>307</v>
      </c>
    </row>
    <row r="2" customFormat="false" ht="15" hidden="false" customHeight="true" outlineLevel="0" collapsed="false">
      <c r="A2" s="13" t="s">
        <v>308</v>
      </c>
      <c r="B2" s="13" t="s">
        <v>309</v>
      </c>
      <c r="C2" s="13" t="s">
        <v>310</v>
      </c>
      <c r="D2" s="13" t="s">
        <v>311</v>
      </c>
      <c r="E2" s="13" t="s">
        <v>312</v>
      </c>
      <c r="F2" s="13" t="s">
        <v>229</v>
      </c>
      <c r="G2" s="13" t="s">
        <v>313</v>
      </c>
      <c r="H2" s="27" t="n">
        <v>2.152</v>
      </c>
      <c r="I2" s="13" t="n">
        <v>1</v>
      </c>
      <c r="J2" s="13" t="n">
        <v>0</v>
      </c>
      <c r="K2" s="13" t="n">
        <v>0</v>
      </c>
      <c r="L2" s="13" t="n">
        <v>1</v>
      </c>
      <c r="M2" s="13" t="n">
        <v>0</v>
      </c>
      <c r="N2" s="13" t="s">
        <v>312</v>
      </c>
      <c r="O2" s="13" t="s">
        <v>314</v>
      </c>
      <c r="P2" s="13" t="s">
        <v>314</v>
      </c>
      <c r="Q2" s="20" t="n">
        <v>0.202371793981482</v>
      </c>
      <c r="R2" s="20" t="n">
        <v>0.520664178240741</v>
      </c>
      <c r="S2" s="20" t="n">
        <v>0.520664178240741</v>
      </c>
      <c r="T2" s="20" t="n">
        <v>0.520664178240741</v>
      </c>
      <c r="U2" s="13" t="s">
        <v>315</v>
      </c>
      <c r="V2" s="20" t="n">
        <v>0.697032511574074</v>
      </c>
      <c r="W2" s="20" t="n">
        <v>0.721855381944444</v>
      </c>
      <c r="X2" s="13" t="s">
        <v>241</v>
      </c>
      <c r="Y2" s="13" t="s">
        <v>316</v>
      </c>
      <c r="Z2" s="28" t="n">
        <f aca="false">IF($A2="","",Constants!$B$6+$I2*Constants!$B$7+$J2*Constants!$B$8+$K2*Constants!$B$9+$L2*Constants!$B$10+$M2*Constants!$B$11)</f>
        <v>60</v>
      </c>
      <c r="AA2" s="28" t="n">
        <f aca="false">IF($A2="","",100-Z2)</f>
        <v>40</v>
      </c>
      <c r="AB2" s="28" t="n">
        <f aca="false">IF($A2="","",ROUND($H2*Constants!$B$4,1))</f>
        <v>47.5</v>
      </c>
      <c r="AC2" s="28" t="n">
        <f aca="false">IF($A2="","",ROUND(AB2*Z2/100,1))</f>
        <v>28.5</v>
      </c>
      <c r="AD2" s="28" t="n">
        <f aca="false">IF($A2="","",ROUND(AB2*AA2/100,1))</f>
        <v>19</v>
      </c>
      <c r="AE2" s="22" t="n">
        <f aca="false">IF($A2="","",HOUR($Q2)+MINUTE($Q2)/60)</f>
        <v>4.85</v>
      </c>
      <c r="AF2" s="22" t="n">
        <f aca="false">IF($A2="","",HOUR($R2)+MINUTE($R2)/60)</f>
        <v>12.4833333333333</v>
      </c>
      <c r="AG2" s="22" t="n">
        <f aca="false">IF($A2="","",HOUR($S2)+MINUTE($S2)/60)</f>
        <v>12.4833333333333</v>
      </c>
      <c r="AH2" s="22" t="n">
        <f aca="false">IF($A2="","",HOUR($T2)+MINUTE($T2)/60)</f>
        <v>12.4833333333333</v>
      </c>
      <c r="AI2" s="22" t="n">
        <f aca="false">IF($A2="","",HOUR($V2)+MINUTE($V2)/60)</f>
        <v>16.7166666666667</v>
      </c>
      <c r="AJ2" s="22" t="n">
        <f aca="false">IF($A2="","",HOUR($W2)+MINUTE($W2)/60)</f>
        <v>17.3166666666667</v>
      </c>
      <c r="AK2" s="22" t="n">
        <f aca="false">IF($A2="","",VLOOKUP($F2,Dim_Team!$A:$F,6,0))</f>
        <v>9</v>
      </c>
      <c r="AL2" s="28" t="n">
        <f aca="false">IF($A2="","",VLOOKUP($X2,Dim_Signoff!$A:$C,3,0))</f>
        <v>0</v>
      </c>
      <c r="AM2" s="28" t="n">
        <f aca="false">IF($A2="","",IF($N2="No","n/a",ROUND((AH2-AE2)*60,0)))</f>
        <v>458</v>
      </c>
      <c r="AN2" s="28" t="str">
        <f aca="false">IF($A2="","",IF($O2="No","n/a",ROUND((AH2-AF2)*60,0)))</f>
        <v>n/a</v>
      </c>
      <c r="AO2" s="28" t="str">
        <f aca="false">IF($A2="","",IF($P2="No","n/a",ROUND((AH2-AG2)*60,0)))</f>
        <v>n/a</v>
      </c>
      <c r="AP2" s="28" t="n">
        <f aca="false">IF($A2="","",ROUND((AH2-AK2)*60,0))</f>
        <v>209</v>
      </c>
      <c r="AQ2" s="28" t="n">
        <f aca="false">IF($A2="","",ROUND((AI2-AH2)*60,0))</f>
        <v>254</v>
      </c>
      <c r="AR2" s="4" t="str">
        <f aca="false">IF($A2="","",IF(AP2&gt;=AC2,"Yes","No"))</f>
        <v>Yes</v>
      </c>
      <c r="AS2" s="4" t="str">
        <f aca="false">IF($A2="","",IF(AQ2&gt;=AD2+AL2,"Yes","No"))</f>
        <v>Yes</v>
      </c>
      <c r="AT2" s="4" t="str">
        <f aca="false">IF($A2="","",IF(AND(AR2="Yes",AS2="Yes"),"OK","REVIEW"))</f>
        <v>OK</v>
      </c>
      <c r="AU2" s="4" t="str">
        <f aca="false">IF($A2="","",IF($P2="No","Not applicable",IF(AO2&lt;Constants!$B$14,"CAPTURE","Not needed")))</f>
        <v>Not applicable</v>
      </c>
      <c r="AV2" s="4" t="str">
        <f aca="false">IF($A2="","",IF($P2="No","n/a",RANK(AO2,AO:AO,1)))</f>
        <v>n/a</v>
      </c>
      <c r="AW2" s="4" t="str">
        <f aca="false">IF($A2="","",IF(UPPER($E2)="YES","Strategic","Non-strategic"))</f>
        <v>Strategic</v>
      </c>
      <c r="AX2" s="4" t="n">
        <f aca="false">IF($A2="","",COUNTIFS(Fact_Work!$C:$C,$A2))</f>
        <v>3</v>
      </c>
      <c r="AY2" s="4" t="str">
        <f aca="false">IF($A2="","",IF(AX2=0,"Not seen",IF(AX2&gt;=Constants!$B$13*0.6,"Daily",IF(AX2&gt;=Constants!$B$13*0.12,"Weekly","Monthly or ad hoc"))))</f>
        <v>Daily</v>
      </c>
      <c r="AZ2" s="22" t="n">
        <f aca="false">IF($A2="","",IFERROR(VLOOKUP($U2,Dim_TOP!$A:$H,8,0),""))</f>
        <v>11.65</v>
      </c>
      <c r="BA2" s="28" t="n">
        <f aca="false">IF($A2="","",IFERROR(ROUND((AH2-AZ2)*60,0),""))</f>
        <v>50</v>
      </c>
      <c r="BB2" s="4" t="str">
        <f aca="false">IF($A2="","",IF(BA2="","",IF(BA2&lt;=0,"Sets the deadline","Later than peers by "&amp;BA2&amp;" min")))</f>
        <v>Later than peers by 50 min</v>
      </c>
      <c r="BC2" s="29" t="n">
        <f aca="false">IF($A2="","",IF($U2="",0,IF(COUNTIFS($U$2:$U2,$U2,$C$2:$C2,$C2)=1,1,0)))</f>
        <v>1</v>
      </c>
      <c r="BD2" s="10" t="str">
        <f aca="false">IF($A2="","",IF(UPPER($P2)="YES","Yes","No"))</f>
        <v>No</v>
      </c>
      <c r="BE2" s="10" t="str">
        <f aca="false">IF($A2="","",IF($N2="No","n/a",IF(AM2&lt;=Constants!$B$17,"Yes","No")))</f>
        <v>No</v>
      </c>
      <c r="BF2" s="10" t="str">
        <f aca="false">IF($A2="","",IF($O2="No","n/a",IF(AN2&lt;=Constants!$B$17,"Yes","No")))</f>
        <v>n/a</v>
      </c>
      <c r="BG2" s="10" t="str">
        <f aca="false">IF($A2="","",IF($P2="No","n/a",IF(AO2&lt;=Constants!$B$17,"Yes","No")))</f>
        <v>n/a</v>
      </c>
      <c r="BH2" s="10" t="str">
        <f aca="false">IF($A2="","",IF($N2="No","No custody process",IF(BE2="Yes","Thin custody slack","Ample custody slack")))</f>
        <v>Ample custody slack</v>
      </c>
      <c r="BI2" s="30" t="n">
        <f aca="false">IF($A2="","",IF($N2="No","",AM2))</f>
        <v>458</v>
      </c>
      <c r="BJ2" s="30" t="str">
        <f aca="false">IF($A2="","",IF($O2="No","",AN2))</f>
        <v/>
      </c>
      <c r="BK2" s="30" t="str">
        <f aca="false">IF($A2="","",IF($P2="No","",AO2))</f>
        <v/>
      </c>
    </row>
    <row r="3" customFormat="false" ht="15" hidden="false" customHeight="true" outlineLevel="0" collapsed="false">
      <c r="A3" s="13" t="s">
        <v>317</v>
      </c>
      <c r="B3" s="13" t="s">
        <v>318</v>
      </c>
      <c r="C3" s="13" t="s">
        <v>319</v>
      </c>
      <c r="D3" s="13" t="s">
        <v>320</v>
      </c>
      <c r="E3" s="13" t="s">
        <v>312</v>
      </c>
      <c r="F3" s="13" t="s">
        <v>229</v>
      </c>
      <c r="G3" s="13" t="s">
        <v>321</v>
      </c>
      <c r="H3" s="27" t="n">
        <v>1.213</v>
      </c>
      <c r="I3" s="13" t="n">
        <v>0</v>
      </c>
      <c r="J3" s="13" t="n">
        <v>0</v>
      </c>
      <c r="K3" s="13" t="n">
        <v>0</v>
      </c>
      <c r="L3" s="13" t="n">
        <v>0</v>
      </c>
      <c r="M3" s="13" t="n">
        <v>1</v>
      </c>
      <c r="N3" s="13" t="s">
        <v>312</v>
      </c>
      <c r="O3" s="13" t="s">
        <v>312</v>
      </c>
      <c r="P3" s="13" t="s">
        <v>312</v>
      </c>
      <c r="Q3" s="20" t="n">
        <v>0.195588321759259</v>
      </c>
      <c r="R3" s="20" t="n">
        <v>0.15141525462963</v>
      </c>
      <c r="S3" s="20" t="n">
        <v>0.349891319444445</v>
      </c>
      <c r="T3" s="20" t="n">
        <v>0.519356446759259</v>
      </c>
      <c r="U3" s="13" t="s">
        <v>322</v>
      </c>
      <c r="V3" s="20" t="n">
        <v>0.6841465625</v>
      </c>
      <c r="W3" s="20" t="n">
        <v>0.710534456018519</v>
      </c>
      <c r="X3" s="13" t="s">
        <v>241</v>
      </c>
      <c r="Y3" s="13" t="s">
        <v>323</v>
      </c>
      <c r="Z3" s="28" t="n">
        <f aca="false">IF($A3="","",Constants!$B$6+$I3*Constants!$B$7+$J3*Constants!$B$8+$K3*Constants!$B$9+$L3*Constants!$B$10+$M3*Constants!$B$11)</f>
        <v>65</v>
      </c>
      <c r="AA3" s="28" t="n">
        <f aca="false">IF($A3="","",100-Z3)</f>
        <v>35</v>
      </c>
      <c r="AB3" s="28" t="n">
        <f aca="false">IF($A3="","",ROUND($H3*Constants!$B$4,1))</f>
        <v>26.8</v>
      </c>
      <c r="AC3" s="28" t="n">
        <f aca="false">IF($A3="","",ROUND(AB3*Z3/100,1))</f>
        <v>17.4</v>
      </c>
      <c r="AD3" s="28" t="n">
        <f aca="false">IF($A3="","",ROUND(AB3*AA3/100,1))</f>
        <v>9.4</v>
      </c>
      <c r="AE3" s="22" t="n">
        <f aca="false">IF($A3="","",HOUR($Q3)+MINUTE($Q3)/60)</f>
        <v>4.68333333333333</v>
      </c>
      <c r="AF3" s="22" t="n">
        <f aca="false">IF($A3="","",HOUR($R3)+MINUTE($R3)/60)</f>
        <v>3.63333333333333</v>
      </c>
      <c r="AG3" s="22" t="n">
        <f aca="false">IF($A3="","",HOUR($S3)+MINUTE($S3)/60)</f>
        <v>8.38333333333333</v>
      </c>
      <c r="AH3" s="22" t="n">
        <f aca="false">IF($A3="","",HOUR($T3)+MINUTE($T3)/60)</f>
        <v>12.45</v>
      </c>
      <c r="AI3" s="22" t="n">
        <f aca="false">IF($A3="","",HOUR($V3)+MINUTE($V3)/60)</f>
        <v>16.4166666666667</v>
      </c>
      <c r="AJ3" s="22" t="n">
        <f aca="false">IF($A3="","",HOUR($W3)+MINUTE($W3)/60)</f>
        <v>17.05</v>
      </c>
      <c r="AK3" s="22" t="n">
        <f aca="false">IF($A3="","",VLOOKUP($F3,Dim_Team!$A:$F,6,0))</f>
        <v>9</v>
      </c>
      <c r="AL3" s="28" t="n">
        <f aca="false">IF($A3="","",VLOOKUP($X3,Dim_Signoff!$A:$C,3,0))</f>
        <v>0</v>
      </c>
      <c r="AM3" s="28" t="n">
        <f aca="false">IF($A3="","",IF($N3="No","n/a",ROUND((AH3-AE3)*60,0)))</f>
        <v>466</v>
      </c>
      <c r="AN3" s="28" t="n">
        <f aca="false">IF($A3="","",IF($O3="No","n/a",ROUND((AH3-AF3)*60,0)))</f>
        <v>529</v>
      </c>
      <c r="AO3" s="28" t="n">
        <f aca="false">IF($A3="","",IF($P3="No","n/a",ROUND((AH3-AG3)*60,0)))</f>
        <v>244</v>
      </c>
      <c r="AP3" s="28" t="n">
        <f aca="false">IF($A3="","",ROUND((AH3-AK3)*60,0))</f>
        <v>207</v>
      </c>
      <c r="AQ3" s="28" t="n">
        <f aca="false">IF($A3="","",ROUND((AI3-AH3)*60,0))</f>
        <v>238</v>
      </c>
      <c r="AR3" s="4" t="str">
        <f aca="false">IF($A3="","",IF(AP3&gt;=AC3,"Yes","No"))</f>
        <v>Yes</v>
      </c>
      <c r="AS3" s="4" t="str">
        <f aca="false">IF($A3="","",IF(AQ3&gt;=AD3+AL3,"Yes","No"))</f>
        <v>Yes</v>
      </c>
      <c r="AT3" s="4" t="str">
        <f aca="false">IF($A3="","",IF(AND(AR3="Yes",AS3="Yes"),"OK","REVIEW"))</f>
        <v>OK</v>
      </c>
      <c r="AU3" s="4" t="str">
        <f aca="false">IF($A3="","",IF($P3="No","Not applicable",IF(AO3&lt;Constants!$B$14,"CAPTURE","Not needed")))</f>
        <v>Not needed</v>
      </c>
      <c r="AV3" s="4" t="n">
        <f aca="false">IF($A3="","",IF($P3="No","n/a",RANK(AO3,AO:AO,1)))</f>
        <v>5</v>
      </c>
      <c r="AW3" s="4" t="str">
        <f aca="false">IF($A3="","",IF(UPPER($E3)="YES","Strategic","Non-strategic"))</f>
        <v>Strategic</v>
      </c>
      <c r="AX3" s="4" t="n">
        <f aca="false">IF($A3="","",COUNTIFS(Fact_Work!$C:$C,$A3))</f>
        <v>3</v>
      </c>
      <c r="AY3" s="4" t="str">
        <f aca="false">IF($A3="","",IF(AX3=0,"Not seen",IF(AX3&gt;=Constants!$B$13*0.6,"Daily",IF(AX3&gt;=Constants!$B$13*0.12,"Weekly","Monthly or ad hoc"))))</f>
        <v>Daily</v>
      </c>
      <c r="AZ3" s="22" t="n">
        <f aca="false">IF($A3="","",IFERROR(VLOOKUP($U3,Dim_TOP!$A:$H,8,0),""))</f>
        <v>12.45</v>
      </c>
      <c r="BA3" s="28" t="n">
        <f aca="false">IF($A3="","",IFERROR(ROUND((AH3-AZ3)*60,0),""))</f>
        <v>0</v>
      </c>
      <c r="BB3" s="4" t="str">
        <f aca="false">IF($A3="","",IF(BA3="","",IF(BA3&lt;=0,"Sets the deadline","Later than peers by "&amp;BA3&amp;" min")))</f>
        <v>Sets the deadline</v>
      </c>
      <c r="BC3" s="29" t="n">
        <f aca="false">IF($A3="","",IF($U3="",0,IF(COUNTIFS($U$2:$U3,$U3,$C$2:$C3,$C3)=1,1,0)))</f>
        <v>1</v>
      </c>
      <c r="BD3" s="10" t="str">
        <f aca="false">IF($A3="","",IF(UPPER($P3)="YES","Yes","No"))</f>
        <v>Yes</v>
      </c>
      <c r="BE3" s="10" t="str">
        <f aca="false">IF($A3="","",IF($N3="No","n/a",IF(AM3&lt;=Constants!$B$17,"Yes","No")))</f>
        <v>No</v>
      </c>
      <c r="BF3" s="10" t="str">
        <f aca="false">IF($A3="","",IF($O3="No","n/a",IF(AN3&lt;=Constants!$B$17,"Yes","No")))</f>
        <v>No</v>
      </c>
      <c r="BG3" s="10" t="str">
        <f aca="false">IF($A3="","",IF($P3="No","n/a",IF(AO3&lt;=Constants!$B$17,"Yes","No")))</f>
        <v>No</v>
      </c>
      <c r="BH3" s="10" t="str">
        <f aca="false">IF($A3="","",IF($N3="No","No custody process",IF(BE3="Yes","Thin custody slack","Ample custody slack")))</f>
        <v>Ample custody slack</v>
      </c>
      <c r="BI3" s="30" t="n">
        <f aca="false">IF($A3="","",IF($N3="No","",AM3))</f>
        <v>466</v>
      </c>
      <c r="BJ3" s="30" t="n">
        <f aca="false">IF($A3="","",IF($O3="No","",AN3))</f>
        <v>529</v>
      </c>
      <c r="BK3" s="30" t="n">
        <f aca="false">IF($A3="","",IF($P3="No","",AO3))</f>
        <v>244</v>
      </c>
    </row>
    <row r="4" customFormat="false" ht="15" hidden="false" customHeight="true" outlineLevel="0" collapsed="false">
      <c r="A4" s="13" t="s">
        <v>324</v>
      </c>
      <c r="B4" s="13" t="s">
        <v>325</v>
      </c>
      <c r="C4" s="13" t="s">
        <v>326</v>
      </c>
      <c r="D4" s="13" t="s">
        <v>327</v>
      </c>
      <c r="E4" s="13" t="s">
        <v>314</v>
      </c>
      <c r="F4" s="13" t="s">
        <v>231</v>
      </c>
      <c r="G4" s="13" t="s">
        <v>328</v>
      </c>
      <c r="H4" s="27" t="n">
        <v>2.073</v>
      </c>
      <c r="I4" s="13" t="n">
        <v>0</v>
      </c>
      <c r="J4" s="13" t="n">
        <v>0</v>
      </c>
      <c r="K4" s="13" t="n">
        <v>0</v>
      </c>
      <c r="L4" s="13" t="n">
        <v>0</v>
      </c>
      <c r="M4" s="13" t="n">
        <v>0</v>
      </c>
      <c r="N4" s="13" t="s">
        <v>312</v>
      </c>
      <c r="O4" s="13" t="s">
        <v>312</v>
      </c>
      <c r="P4" s="13" t="s">
        <v>312</v>
      </c>
      <c r="Q4" s="20" t="n">
        <v>0.189132615740741</v>
      </c>
      <c r="R4" s="20" t="n">
        <v>0.191782094907407</v>
      </c>
      <c r="S4" s="20" t="n">
        <v>0.317433078703704</v>
      </c>
      <c r="T4" s="20" t="n">
        <v>0.488783784722222</v>
      </c>
      <c r="U4" s="13" t="s">
        <v>329</v>
      </c>
      <c r="V4" s="20" t="n">
        <v>0.663475208333333</v>
      </c>
      <c r="W4" s="20" t="n">
        <v>0.695326087962963</v>
      </c>
      <c r="X4" s="13" t="s">
        <v>241</v>
      </c>
      <c r="Y4" s="13" t="s">
        <v>323</v>
      </c>
      <c r="Z4" s="28" t="n">
        <f aca="false">IF($A4="","",Constants!$B$6+$I4*Constants!$B$7+$J4*Constants!$B$8+$K4*Constants!$B$9+$L4*Constants!$B$10+$M4*Constants!$B$11)</f>
        <v>60</v>
      </c>
      <c r="AA4" s="28" t="n">
        <f aca="false">IF($A4="","",100-Z4)</f>
        <v>40</v>
      </c>
      <c r="AB4" s="28" t="n">
        <f aca="false">IF($A4="","",ROUND($H4*Constants!$B$4,1))</f>
        <v>45.8</v>
      </c>
      <c r="AC4" s="28" t="n">
        <f aca="false">IF($A4="","",ROUND(AB4*Z4/100,1))</f>
        <v>27.5</v>
      </c>
      <c r="AD4" s="28" t="n">
        <f aca="false">IF($A4="","",ROUND(AB4*AA4/100,1))</f>
        <v>18.3</v>
      </c>
      <c r="AE4" s="22" t="n">
        <f aca="false">IF($A4="","",HOUR($Q4)+MINUTE($Q4)/60)</f>
        <v>4.53333333333333</v>
      </c>
      <c r="AF4" s="22" t="n">
        <f aca="false">IF($A4="","",HOUR($R4)+MINUTE($R4)/60)</f>
        <v>4.6</v>
      </c>
      <c r="AG4" s="22" t="n">
        <f aca="false">IF($A4="","",HOUR($S4)+MINUTE($S4)/60)</f>
        <v>7.61666666666667</v>
      </c>
      <c r="AH4" s="22" t="n">
        <f aca="false">IF($A4="","",HOUR($T4)+MINUTE($T4)/60)</f>
        <v>11.7166666666667</v>
      </c>
      <c r="AI4" s="22" t="n">
        <f aca="false">IF($A4="","",HOUR($V4)+MINUTE($V4)/60)</f>
        <v>15.9166666666667</v>
      </c>
      <c r="AJ4" s="22" t="n">
        <f aca="false">IF($A4="","",HOUR($W4)+MINUTE($W4)/60)</f>
        <v>16.6833333333333</v>
      </c>
      <c r="AK4" s="22" t="n">
        <f aca="false">IF($A4="","",VLOOKUP($F4,Dim_Team!$A:$F,6,0))</f>
        <v>9</v>
      </c>
      <c r="AL4" s="28" t="n">
        <f aca="false">IF($A4="","",VLOOKUP($X4,Dim_Signoff!$A:$C,3,0))</f>
        <v>0</v>
      </c>
      <c r="AM4" s="28" t="n">
        <f aca="false">IF($A4="","",IF($N4="No","n/a",ROUND((AH4-AE4)*60,0)))</f>
        <v>431</v>
      </c>
      <c r="AN4" s="28" t="n">
        <f aca="false">IF($A4="","",IF($O4="No","n/a",ROUND((AH4-AF4)*60,0)))</f>
        <v>427</v>
      </c>
      <c r="AO4" s="28" t="n">
        <f aca="false">IF($A4="","",IF($P4="No","n/a",ROUND((AH4-AG4)*60,0)))</f>
        <v>246</v>
      </c>
      <c r="AP4" s="28" t="n">
        <f aca="false">IF($A4="","",ROUND((AH4-AK4)*60,0))</f>
        <v>163</v>
      </c>
      <c r="AQ4" s="28" t="n">
        <f aca="false">IF($A4="","",ROUND((AI4-AH4)*60,0))</f>
        <v>252</v>
      </c>
      <c r="AR4" s="4" t="str">
        <f aca="false">IF($A4="","",IF(AP4&gt;=AC4,"Yes","No"))</f>
        <v>Yes</v>
      </c>
      <c r="AS4" s="4" t="str">
        <f aca="false">IF($A4="","",IF(AQ4&gt;=AD4+AL4,"Yes","No"))</f>
        <v>Yes</v>
      </c>
      <c r="AT4" s="4" t="str">
        <f aca="false">IF($A4="","",IF(AND(AR4="Yes",AS4="Yes"),"OK","REVIEW"))</f>
        <v>OK</v>
      </c>
      <c r="AU4" s="4" t="str">
        <f aca="false">IF($A4="","",IF($P4="No","Not applicable",IF(AO4&lt;Constants!$B$14,"CAPTURE","Not needed")))</f>
        <v>Not needed</v>
      </c>
      <c r="AV4" s="4" t="n">
        <f aca="false">IF($A4="","",IF($P4="No","n/a",RANK(AO4,AO:AO,1)))</f>
        <v>6</v>
      </c>
      <c r="AW4" s="4" t="str">
        <f aca="false">IF($A4="","",IF(UPPER($E4)="YES","Strategic","Non-strategic"))</f>
        <v>Non-strategic</v>
      </c>
      <c r="AX4" s="4" t="n">
        <f aca="false">IF($A4="","",COUNTIFS(Fact_Work!$C:$C,$A4))</f>
        <v>3</v>
      </c>
      <c r="AY4" s="4" t="str">
        <f aca="false">IF($A4="","",IF(AX4=0,"Not seen",IF(AX4&gt;=Constants!$B$13*0.6,"Daily",IF(AX4&gt;=Constants!$B$13*0.12,"Weekly","Monthly or ad hoc"))))</f>
        <v>Daily</v>
      </c>
      <c r="AZ4" s="22" t="n">
        <f aca="false">IF($A4="","",IFERROR(VLOOKUP($U4,Dim_TOP!$A:$H,8,0),""))</f>
        <v>11.7166666666667</v>
      </c>
      <c r="BA4" s="28" t="n">
        <f aca="false">IF($A4="","",IFERROR(ROUND((AH4-AZ4)*60,0),""))</f>
        <v>0</v>
      </c>
      <c r="BB4" s="4" t="str">
        <f aca="false">IF($A4="","",IF(BA4="","",IF(BA4&lt;=0,"Sets the deadline","Later than peers by "&amp;BA4&amp;" min")))</f>
        <v>Sets the deadline</v>
      </c>
      <c r="BC4" s="29" t="n">
        <f aca="false">IF($A4="","",IF($U4="",0,IF(COUNTIFS($U$2:$U4,$U4,$C$2:$C4,$C4)=1,1,0)))</f>
        <v>1</v>
      </c>
      <c r="BD4" s="10" t="str">
        <f aca="false">IF($A4="","",IF(UPPER($P4)="YES","Yes","No"))</f>
        <v>Yes</v>
      </c>
      <c r="BE4" s="10" t="str">
        <f aca="false">IF($A4="","",IF($N4="No","n/a",IF(AM4&lt;=Constants!$B$17,"Yes","No")))</f>
        <v>No</v>
      </c>
      <c r="BF4" s="10" t="str">
        <f aca="false">IF($A4="","",IF($O4="No","n/a",IF(AN4&lt;=Constants!$B$17,"Yes","No")))</f>
        <v>No</v>
      </c>
      <c r="BG4" s="10" t="str">
        <f aca="false">IF($A4="","",IF($P4="No","n/a",IF(AO4&lt;=Constants!$B$17,"Yes","No")))</f>
        <v>No</v>
      </c>
      <c r="BH4" s="10" t="str">
        <f aca="false">IF($A4="","",IF($N4="No","No custody process",IF(BE4="Yes","Thin custody slack","Ample custody slack")))</f>
        <v>Ample custody slack</v>
      </c>
      <c r="BI4" s="30" t="n">
        <f aca="false">IF($A4="","",IF($N4="No","",AM4))</f>
        <v>431</v>
      </c>
      <c r="BJ4" s="30" t="n">
        <f aca="false">IF($A4="","",IF($O4="No","",AN4))</f>
        <v>427</v>
      </c>
      <c r="BK4" s="30" t="n">
        <f aca="false">IF($A4="","",IF($P4="No","",AO4))</f>
        <v>246</v>
      </c>
    </row>
    <row r="5" customFormat="false" ht="15" hidden="false" customHeight="true" outlineLevel="0" collapsed="false">
      <c r="A5" s="13" t="s">
        <v>330</v>
      </c>
      <c r="B5" s="13" t="s">
        <v>331</v>
      </c>
      <c r="C5" s="13" t="s">
        <v>310</v>
      </c>
      <c r="D5" s="13" t="s">
        <v>311</v>
      </c>
      <c r="E5" s="13" t="s">
        <v>312</v>
      </c>
      <c r="F5" s="13" t="s">
        <v>233</v>
      </c>
      <c r="G5" s="13" t="s">
        <v>332</v>
      </c>
      <c r="H5" s="27" t="n">
        <v>2.099</v>
      </c>
      <c r="I5" s="13" t="n">
        <v>0</v>
      </c>
      <c r="J5" s="13" t="n">
        <v>0</v>
      </c>
      <c r="K5" s="13" t="n">
        <v>0</v>
      </c>
      <c r="L5" s="13" t="n">
        <v>0</v>
      </c>
      <c r="M5" s="13" t="n">
        <v>0</v>
      </c>
      <c r="N5" s="13" t="s">
        <v>312</v>
      </c>
      <c r="O5" s="13" t="s">
        <v>312</v>
      </c>
      <c r="P5" s="13" t="s">
        <v>312</v>
      </c>
      <c r="Q5" s="20" t="n">
        <v>0.186266018518519</v>
      </c>
      <c r="R5" s="20" t="n">
        <v>0.161153032407407</v>
      </c>
      <c r="S5" s="20" t="n">
        <v>0.317272118055556</v>
      </c>
      <c r="T5" s="20" t="n">
        <v>0.528417581018519</v>
      </c>
      <c r="U5" s="13" t="s">
        <v>333</v>
      </c>
      <c r="V5" s="20" t="n">
        <v>0.707135497685185</v>
      </c>
      <c r="W5" s="20" t="n">
        <v>0.733480439814815</v>
      </c>
      <c r="X5" s="13" t="s">
        <v>244</v>
      </c>
      <c r="Y5" s="13" t="s">
        <v>323</v>
      </c>
      <c r="Z5" s="28" t="n">
        <f aca="false">IF($A5="","",Constants!$B$6+$I5*Constants!$B$7+$J5*Constants!$B$8+$K5*Constants!$B$9+$L5*Constants!$B$10+$M5*Constants!$B$11)</f>
        <v>60</v>
      </c>
      <c r="AA5" s="28" t="n">
        <f aca="false">IF($A5="","",100-Z5)</f>
        <v>40</v>
      </c>
      <c r="AB5" s="28" t="n">
        <f aca="false">IF($A5="","",ROUND($H5*Constants!$B$4,1))</f>
        <v>46.3</v>
      </c>
      <c r="AC5" s="28" t="n">
        <f aca="false">IF($A5="","",ROUND(AB5*Z5/100,1))</f>
        <v>27.8</v>
      </c>
      <c r="AD5" s="28" t="n">
        <f aca="false">IF($A5="","",ROUND(AB5*AA5/100,1))</f>
        <v>18.5</v>
      </c>
      <c r="AE5" s="22" t="n">
        <f aca="false">IF($A5="","",HOUR($Q5)+MINUTE($Q5)/60)</f>
        <v>4.46666666666667</v>
      </c>
      <c r="AF5" s="22" t="n">
        <f aca="false">IF($A5="","",HOUR($R5)+MINUTE($R5)/60)</f>
        <v>3.86666666666667</v>
      </c>
      <c r="AG5" s="22" t="n">
        <f aca="false">IF($A5="","",HOUR($S5)+MINUTE($S5)/60)</f>
        <v>7.6</v>
      </c>
      <c r="AH5" s="22" t="n">
        <f aca="false">IF($A5="","",HOUR($T5)+MINUTE($T5)/60)</f>
        <v>12.6666666666667</v>
      </c>
      <c r="AI5" s="22" t="n">
        <f aca="false">IF($A5="","",HOUR($V5)+MINUTE($V5)/60)</f>
        <v>16.9666666666667</v>
      </c>
      <c r="AJ5" s="22" t="n">
        <f aca="false">IF($A5="","",HOUR($W5)+MINUTE($W5)/60)</f>
        <v>17.6</v>
      </c>
      <c r="AK5" s="22" t="n">
        <f aca="false">IF($A5="","",VLOOKUP($F5,Dim_Team!$A:$F,6,0))</f>
        <v>10</v>
      </c>
      <c r="AL5" s="28" t="n">
        <f aca="false">IF($A5="","",VLOOKUP($X5,Dim_Signoff!$A:$C,3,0))</f>
        <v>25</v>
      </c>
      <c r="AM5" s="28" t="n">
        <f aca="false">IF($A5="","",IF($N5="No","n/a",ROUND((AH5-AE5)*60,0)))</f>
        <v>492</v>
      </c>
      <c r="AN5" s="28" t="n">
        <f aca="false">IF($A5="","",IF($O5="No","n/a",ROUND((AH5-AF5)*60,0)))</f>
        <v>528</v>
      </c>
      <c r="AO5" s="28" t="n">
        <f aca="false">IF($A5="","",IF($P5="No","n/a",ROUND((AH5-AG5)*60,0)))</f>
        <v>304</v>
      </c>
      <c r="AP5" s="28" t="n">
        <f aca="false">IF($A5="","",ROUND((AH5-AK5)*60,0))</f>
        <v>160</v>
      </c>
      <c r="AQ5" s="28" t="n">
        <f aca="false">IF($A5="","",ROUND((AI5-AH5)*60,0))</f>
        <v>258</v>
      </c>
      <c r="AR5" s="4" t="str">
        <f aca="false">IF($A5="","",IF(AP5&gt;=AC5,"Yes","No"))</f>
        <v>Yes</v>
      </c>
      <c r="AS5" s="4" t="str">
        <f aca="false">IF($A5="","",IF(AQ5&gt;=AD5+AL5,"Yes","No"))</f>
        <v>Yes</v>
      </c>
      <c r="AT5" s="4" t="str">
        <f aca="false">IF($A5="","",IF(AND(AR5="Yes",AS5="Yes"),"OK","REVIEW"))</f>
        <v>OK</v>
      </c>
      <c r="AU5" s="4" t="str">
        <f aca="false">IF($A5="","",IF($P5="No","Not applicable",IF(AO5&lt;Constants!$B$14,"CAPTURE","Not needed")))</f>
        <v>Not needed</v>
      </c>
      <c r="AV5" s="4" t="n">
        <f aca="false">IF($A5="","",IF($P5="No","n/a",RANK(AO5,AO:AO,1)))</f>
        <v>8</v>
      </c>
      <c r="AW5" s="4" t="str">
        <f aca="false">IF($A5="","",IF(UPPER($E5)="YES","Strategic","Non-strategic"))</f>
        <v>Strategic</v>
      </c>
      <c r="AX5" s="4" t="n">
        <f aca="false">IF($A5="","",COUNTIFS(Fact_Work!$C:$C,$A5))</f>
        <v>3</v>
      </c>
      <c r="AY5" s="4" t="str">
        <f aca="false">IF($A5="","",IF(AX5=0,"Not seen",IF(AX5&gt;=Constants!$B$13*0.6,"Daily",IF(AX5&gt;=Constants!$B$13*0.12,"Weekly","Monthly or ad hoc"))))</f>
        <v>Daily</v>
      </c>
      <c r="AZ5" s="22" t="n">
        <f aca="false">IF($A5="","",IFERROR(VLOOKUP($U5,Dim_TOP!$A:$H,8,0),""))</f>
        <v>11.6333333333333</v>
      </c>
      <c r="BA5" s="28" t="n">
        <f aca="false">IF($A5="","",IFERROR(ROUND((AH5-AZ5)*60,0),""))</f>
        <v>62</v>
      </c>
      <c r="BB5" s="4" t="str">
        <f aca="false">IF($A5="","",IF(BA5="","",IF(BA5&lt;=0,"Sets the deadline","Later than peers by "&amp;BA5&amp;" min")))</f>
        <v>Later than peers by 62 min</v>
      </c>
      <c r="BC5" s="29" t="n">
        <f aca="false">IF($A5="","",IF($U5="",0,IF(COUNTIFS($U$2:$U5,$U5,$C$2:$C5,$C5)=1,1,0)))</f>
        <v>1</v>
      </c>
      <c r="BD5" s="10" t="str">
        <f aca="false">IF($A5="","",IF(UPPER($P5)="YES","Yes","No"))</f>
        <v>Yes</v>
      </c>
      <c r="BE5" s="10" t="str">
        <f aca="false">IF($A5="","",IF($N5="No","n/a",IF(AM5&lt;=Constants!$B$17,"Yes","No")))</f>
        <v>No</v>
      </c>
      <c r="BF5" s="10" t="str">
        <f aca="false">IF($A5="","",IF($O5="No","n/a",IF(AN5&lt;=Constants!$B$17,"Yes","No")))</f>
        <v>No</v>
      </c>
      <c r="BG5" s="10" t="str">
        <f aca="false">IF($A5="","",IF($P5="No","n/a",IF(AO5&lt;=Constants!$B$17,"Yes","No")))</f>
        <v>No</v>
      </c>
      <c r="BH5" s="10" t="str">
        <f aca="false">IF($A5="","",IF($N5="No","No custody process",IF(BE5="Yes","Thin custody slack","Ample custody slack")))</f>
        <v>Ample custody slack</v>
      </c>
      <c r="BI5" s="30" t="n">
        <f aca="false">IF($A5="","",IF($N5="No","",AM5))</f>
        <v>492</v>
      </c>
      <c r="BJ5" s="30" t="n">
        <f aca="false">IF($A5="","",IF($O5="No","",AN5))</f>
        <v>528</v>
      </c>
      <c r="BK5" s="30" t="n">
        <f aca="false">IF($A5="","",IF($P5="No","",AO5))</f>
        <v>304</v>
      </c>
    </row>
    <row r="6" customFormat="false" ht="15" hidden="false" customHeight="true" outlineLevel="0" collapsed="false">
      <c r="A6" s="13" t="s">
        <v>334</v>
      </c>
      <c r="B6" s="13" t="s">
        <v>335</v>
      </c>
      <c r="C6" s="13" t="s">
        <v>319</v>
      </c>
      <c r="D6" s="13" t="s">
        <v>320</v>
      </c>
      <c r="E6" s="13" t="s">
        <v>312</v>
      </c>
      <c r="F6" s="13" t="s">
        <v>233</v>
      </c>
      <c r="G6" s="13" t="s">
        <v>336</v>
      </c>
      <c r="H6" s="27" t="n">
        <v>1.597</v>
      </c>
      <c r="I6" s="13" t="n">
        <v>0</v>
      </c>
      <c r="J6" s="13" t="n">
        <v>0</v>
      </c>
      <c r="K6" s="13" t="n">
        <v>0</v>
      </c>
      <c r="L6" s="13" t="n">
        <v>0</v>
      </c>
      <c r="M6" s="13" t="n">
        <v>1</v>
      </c>
      <c r="N6" s="13" t="s">
        <v>312</v>
      </c>
      <c r="O6" s="13" t="s">
        <v>314</v>
      </c>
      <c r="P6" s="13" t="s">
        <v>312</v>
      </c>
      <c r="Q6" s="20" t="n">
        <v>0.191028414351852</v>
      </c>
      <c r="R6" s="20" t="n">
        <v>0.54287619212963</v>
      </c>
      <c r="S6" s="20" t="n">
        <v>0.293860601851852</v>
      </c>
      <c r="T6" s="20" t="n">
        <v>0.54287619212963</v>
      </c>
      <c r="U6" s="13" t="s">
        <v>315</v>
      </c>
      <c r="V6" s="20" t="n">
        <v>0.683695439814815</v>
      </c>
      <c r="W6" s="20" t="n">
        <v>0.717246400462963</v>
      </c>
      <c r="X6" s="13" t="s">
        <v>247</v>
      </c>
      <c r="Y6" s="13" t="s">
        <v>323</v>
      </c>
      <c r="Z6" s="28" t="n">
        <f aca="false">IF($A6="","",Constants!$B$6+$I6*Constants!$B$7+$J6*Constants!$B$8+$K6*Constants!$B$9+$L6*Constants!$B$10+$M6*Constants!$B$11)</f>
        <v>65</v>
      </c>
      <c r="AA6" s="28" t="n">
        <f aca="false">IF($A6="","",100-Z6)</f>
        <v>35</v>
      </c>
      <c r="AB6" s="28" t="n">
        <f aca="false">IF($A6="","",ROUND($H6*Constants!$B$4,1))</f>
        <v>35.3</v>
      </c>
      <c r="AC6" s="28" t="n">
        <f aca="false">IF($A6="","",ROUND(AB6*Z6/100,1))</f>
        <v>22.9</v>
      </c>
      <c r="AD6" s="28" t="n">
        <f aca="false">IF($A6="","",ROUND(AB6*AA6/100,1))</f>
        <v>12.4</v>
      </c>
      <c r="AE6" s="22" t="n">
        <f aca="false">IF($A6="","",HOUR($Q6)+MINUTE($Q6)/60)</f>
        <v>4.58333333333333</v>
      </c>
      <c r="AF6" s="22" t="n">
        <f aca="false">IF($A6="","",HOUR($R6)+MINUTE($R6)/60)</f>
        <v>13.0166666666667</v>
      </c>
      <c r="AG6" s="22" t="n">
        <f aca="false">IF($A6="","",HOUR($S6)+MINUTE($S6)/60)</f>
        <v>7.05</v>
      </c>
      <c r="AH6" s="22" t="n">
        <f aca="false">IF($A6="","",HOUR($T6)+MINUTE($T6)/60)</f>
        <v>13.0166666666667</v>
      </c>
      <c r="AI6" s="22" t="n">
        <f aca="false">IF($A6="","",HOUR($V6)+MINUTE($V6)/60)</f>
        <v>16.4</v>
      </c>
      <c r="AJ6" s="22" t="n">
        <f aca="false">IF($A6="","",HOUR($W6)+MINUTE($W6)/60)</f>
        <v>17.2</v>
      </c>
      <c r="AK6" s="22" t="n">
        <f aca="false">IF($A6="","",VLOOKUP($F6,Dim_Team!$A:$F,6,0))</f>
        <v>10</v>
      </c>
      <c r="AL6" s="28" t="n">
        <f aca="false">IF($A6="","",VLOOKUP($X6,Dim_Signoff!$A:$C,3,0))</f>
        <v>46</v>
      </c>
      <c r="AM6" s="28" t="n">
        <f aca="false">IF($A6="","",IF($N6="No","n/a",ROUND((AH6-AE6)*60,0)))</f>
        <v>506</v>
      </c>
      <c r="AN6" s="28" t="str">
        <f aca="false">IF($A6="","",IF($O6="No","n/a",ROUND((AH6-AF6)*60,0)))</f>
        <v>n/a</v>
      </c>
      <c r="AO6" s="28" t="n">
        <f aca="false">IF($A6="","",IF($P6="No","n/a",ROUND((AH6-AG6)*60,0)))</f>
        <v>358</v>
      </c>
      <c r="AP6" s="28" t="n">
        <f aca="false">IF($A6="","",ROUND((AH6-AK6)*60,0))</f>
        <v>181</v>
      </c>
      <c r="AQ6" s="28" t="n">
        <f aca="false">IF($A6="","",ROUND((AI6-AH6)*60,0))</f>
        <v>203</v>
      </c>
      <c r="AR6" s="4" t="str">
        <f aca="false">IF($A6="","",IF(AP6&gt;=AC6,"Yes","No"))</f>
        <v>Yes</v>
      </c>
      <c r="AS6" s="4" t="str">
        <f aca="false">IF($A6="","",IF(AQ6&gt;=AD6+AL6,"Yes","No"))</f>
        <v>Yes</v>
      </c>
      <c r="AT6" s="4" t="str">
        <f aca="false">IF($A6="","",IF(AND(AR6="Yes",AS6="Yes"),"OK","REVIEW"))</f>
        <v>OK</v>
      </c>
      <c r="AU6" s="4" t="str">
        <f aca="false">IF($A6="","",IF($P6="No","Not applicable",IF(AO6&lt;Constants!$B$14,"CAPTURE","Not needed")))</f>
        <v>Not needed</v>
      </c>
      <c r="AV6" s="4" t="n">
        <f aca="false">IF($A6="","",IF($P6="No","n/a",RANK(AO6,AO:AO,1)))</f>
        <v>10</v>
      </c>
      <c r="AW6" s="4" t="str">
        <f aca="false">IF($A6="","",IF(UPPER($E6)="YES","Strategic","Non-strategic"))</f>
        <v>Strategic</v>
      </c>
      <c r="AX6" s="4" t="n">
        <f aca="false">IF($A6="","",COUNTIFS(Fact_Work!$C:$C,$A6))</f>
        <v>3</v>
      </c>
      <c r="AY6" s="4" t="str">
        <f aca="false">IF($A6="","",IF(AX6=0,"Not seen",IF(AX6&gt;=Constants!$B$13*0.6,"Daily",IF(AX6&gt;=Constants!$B$13*0.12,"Weekly","Monthly or ad hoc"))))</f>
        <v>Daily</v>
      </c>
      <c r="AZ6" s="22" t="n">
        <f aca="false">IF($A6="","",IFERROR(VLOOKUP($U6,Dim_TOP!$A:$H,8,0),""))</f>
        <v>11.65</v>
      </c>
      <c r="BA6" s="28" t="n">
        <f aca="false">IF($A6="","",IFERROR(ROUND((AH6-AZ6)*60,0),""))</f>
        <v>82</v>
      </c>
      <c r="BB6" s="4" t="str">
        <f aca="false">IF($A6="","",IF(BA6="","",IF(BA6&lt;=0,"Sets the deadline","Later than peers by "&amp;BA6&amp;" min")))</f>
        <v>Later than peers by 82 min</v>
      </c>
      <c r="BC6" s="29" t="n">
        <f aca="false">IF($A6="","",IF($U6="",0,IF(COUNTIFS($U$2:$U6,$U6,$C$2:$C6,$C6)=1,1,0)))</f>
        <v>1</v>
      </c>
      <c r="BD6" s="10" t="str">
        <f aca="false">IF($A6="","",IF(UPPER($P6)="YES","Yes","No"))</f>
        <v>Yes</v>
      </c>
      <c r="BE6" s="10" t="str">
        <f aca="false">IF($A6="","",IF($N6="No","n/a",IF(AM6&lt;=Constants!$B$17,"Yes","No")))</f>
        <v>No</v>
      </c>
      <c r="BF6" s="10" t="str">
        <f aca="false">IF($A6="","",IF($O6="No","n/a",IF(AN6&lt;=Constants!$B$17,"Yes","No")))</f>
        <v>n/a</v>
      </c>
      <c r="BG6" s="10" t="str">
        <f aca="false">IF($A6="","",IF($P6="No","n/a",IF(AO6&lt;=Constants!$B$17,"Yes","No")))</f>
        <v>No</v>
      </c>
      <c r="BH6" s="10" t="str">
        <f aca="false">IF($A6="","",IF($N6="No","No custody process",IF(BE6="Yes","Thin custody slack","Ample custody slack")))</f>
        <v>Ample custody slack</v>
      </c>
      <c r="BI6" s="30" t="n">
        <f aca="false">IF($A6="","",IF($N6="No","",AM6))</f>
        <v>506</v>
      </c>
      <c r="BJ6" s="30" t="str">
        <f aca="false">IF($A6="","",IF($O6="No","",AN6))</f>
        <v/>
      </c>
      <c r="BK6" s="30" t="n">
        <f aca="false">IF($A6="","",IF($P6="No","",AO6))</f>
        <v>358</v>
      </c>
    </row>
    <row r="7" customFormat="false" ht="15" hidden="false" customHeight="true" outlineLevel="0" collapsed="false">
      <c r="A7" s="13" t="s">
        <v>337</v>
      </c>
      <c r="B7" s="13" t="s">
        <v>338</v>
      </c>
      <c r="C7" s="13" t="s">
        <v>326</v>
      </c>
      <c r="D7" s="13" t="s">
        <v>327</v>
      </c>
      <c r="E7" s="13" t="s">
        <v>314</v>
      </c>
      <c r="F7" s="13" t="s">
        <v>235</v>
      </c>
      <c r="G7" s="13" t="s">
        <v>339</v>
      </c>
      <c r="H7" s="27" t="n">
        <v>1.147</v>
      </c>
      <c r="I7" s="13" t="n">
        <v>1</v>
      </c>
      <c r="J7" s="13" t="n">
        <v>0</v>
      </c>
      <c r="K7" s="13" t="n">
        <v>0</v>
      </c>
      <c r="L7" s="13" t="n">
        <v>1</v>
      </c>
      <c r="M7" s="13" t="n">
        <v>0</v>
      </c>
      <c r="N7" s="13" t="s">
        <v>312</v>
      </c>
      <c r="O7" s="13" t="s">
        <v>312</v>
      </c>
      <c r="P7" s="13" t="s">
        <v>312</v>
      </c>
      <c r="Q7" s="20" t="n">
        <v>0.196994097222222</v>
      </c>
      <c r="R7" s="20" t="n">
        <v>0.162188877314815</v>
      </c>
      <c r="S7" s="20" t="n">
        <v>0.494865613425926</v>
      </c>
      <c r="T7" s="20" t="n">
        <v>0.553171944444444</v>
      </c>
      <c r="U7" s="13" t="s">
        <v>322</v>
      </c>
      <c r="V7" s="20" t="n">
        <v>0.739341493055556</v>
      </c>
      <c r="W7" s="20" t="n">
        <v>0.766316030092593</v>
      </c>
      <c r="X7" s="13" t="s">
        <v>241</v>
      </c>
      <c r="Y7" s="13" t="s">
        <v>323</v>
      </c>
      <c r="Z7" s="28" t="n">
        <f aca="false">IF($A7="","",Constants!$B$6+$I7*Constants!$B$7+$J7*Constants!$B$8+$K7*Constants!$B$9+$L7*Constants!$B$10+$M7*Constants!$B$11)</f>
        <v>60</v>
      </c>
      <c r="AA7" s="28" t="n">
        <f aca="false">IF($A7="","",100-Z7)</f>
        <v>40</v>
      </c>
      <c r="AB7" s="28" t="n">
        <f aca="false">IF($A7="","",ROUND($H7*Constants!$B$4,1))</f>
        <v>25.3</v>
      </c>
      <c r="AC7" s="28" t="n">
        <f aca="false">IF($A7="","",ROUND(AB7*Z7/100,1))</f>
        <v>15.2</v>
      </c>
      <c r="AD7" s="28" t="n">
        <f aca="false">IF($A7="","",ROUND(AB7*AA7/100,1))</f>
        <v>10.1</v>
      </c>
      <c r="AE7" s="22" t="n">
        <f aca="false">IF($A7="","",HOUR($Q7)+MINUTE($Q7)/60)</f>
        <v>4.71666666666667</v>
      </c>
      <c r="AF7" s="22" t="n">
        <f aca="false">IF($A7="","",HOUR($R7)+MINUTE($R7)/60)</f>
        <v>3.88333333333333</v>
      </c>
      <c r="AG7" s="22" t="n">
        <f aca="false">IF($A7="","",HOUR($S7)+MINUTE($S7)/60)</f>
        <v>11.8666666666667</v>
      </c>
      <c r="AH7" s="22" t="n">
        <f aca="false">IF($A7="","",HOUR($T7)+MINUTE($T7)/60)</f>
        <v>13.2666666666667</v>
      </c>
      <c r="AI7" s="22" t="n">
        <f aca="false">IF($A7="","",HOUR($V7)+MINUTE($V7)/60)</f>
        <v>17.7333333333333</v>
      </c>
      <c r="AJ7" s="22" t="n">
        <f aca="false">IF($A7="","",HOUR($W7)+MINUTE($W7)/60)</f>
        <v>18.3833333333333</v>
      </c>
      <c r="AK7" s="22" t="n">
        <f aca="false">IF($A7="","",VLOOKUP($F7,Dim_Team!$A:$F,6,0))</f>
        <v>9</v>
      </c>
      <c r="AL7" s="28" t="n">
        <f aca="false">IF($A7="","",VLOOKUP($X7,Dim_Signoff!$A:$C,3,0))</f>
        <v>0</v>
      </c>
      <c r="AM7" s="28" t="n">
        <f aca="false">IF($A7="","",IF($N7="No","n/a",ROUND((AH7-AE7)*60,0)))</f>
        <v>513</v>
      </c>
      <c r="AN7" s="28" t="n">
        <f aca="false">IF($A7="","",IF($O7="No","n/a",ROUND((AH7-AF7)*60,0)))</f>
        <v>563</v>
      </c>
      <c r="AO7" s="28" t="n">
        <f aca="false">IF($A7="","",IF($P7="No","n/a",ROUND((AH7-AG7)*60,0)))</f>
        <v>84</v>
      </c>
      <c r="AP7" s="28" t="n">
        <f aca="false">IF($A7="","",ROUND((AH7-AK7)*60,0))</f>
        <v>256</v>
      </c>
      <c r="AQ7" s="28" t="n">
        <f aca="false">IF($A7="","",ROUND((AI7-AH7)*60,0))</f>
        <v>268</v>
      </c>
      <c r="AR7" s="4" t="str">
        <f aca="false">IF($A7="","",IF(AP7&gt;=AC7,"Yes","No"))</f>
        <v>Yes</v>
      </c>
      <c r="AS7" s="4" t="str">
        <f aca="false">IF($A7="","",IF(AQ7&gt;=AD7+AL7,"Yes","No"))</f>
        <v>Yes</v>
      </c>
      <c r="AT7" s="4" t="str">
        <f aca="false">IF($A7="","",IF(AND(AR7="Yes",AS7="Yes"),"OK","REVIEW"))</f>
        <v>OK</v>
      </c>
      <c r="AU7" s="4" t="str">
        <f aca="false">IF($A7="","",IF($P7="No","Not applicable",IF(AO7&lt;Constants!$B$14,"CAPTURE","Not needed")))</f>
        <v>CAPTURE</v>
      </c>
      <c r="AV7" s="4" t="n">
        <f aca="false">IF($A7="","",IF($P7="No","n/a",RANK(AO7,AO:AO,1)))</f>
        <v>2</v>
      </c>
      <c r="AW7" s="4" t="str">
        <f aca="false">IF($A7="","",IF(UPPER($E7)="YES","Strategic","Non-strategic"))</f>
        <v>Non-strategic</v>
      </c>
      <c r="AX7" s="4" t="n">
        <f aca="false">IF($A7="","",COUNTIFS(Fact_Work!$C:$C,$A7))</f>
        <v>3</v>
      </c>
      <c r="AY7" s="4" t="str">
        <f aca="false">IF($A7="","",IF(AX7=0,"Not seen",IF(AX7&gt;=Constants!$B$13*0.6,"Daily",IF(AX7&gt;=Constants!$B$13*0.12,"Weekly","Monthly or ad hoc"))))</f>
        <v>Daily</v>
      </c>
      <c r="AZ7" s="22" t="n">
        <f aca="false">IF($A7="","",IFERROR(VLOOKUP($U7,Dim_TOP!$A:$H,8,0),""))</f>
        <v>12.45</v>
      </c>
      <c r="BA7" s="28" t="n">
        <f aca="false">IF($A7="","",IFERROR(ROUND((AH7-AZ7)*60,0),""))</f>
        <v>49</v>
      </c>
      <c r="BB7" s="4" t="str">
        <f aca="false">IF($A7="","",IF(BA7="","",IF(BA7&lt;=0,"Sets the deadline","Later than peers by "&amp;BA7&amp;" min")))</f>
        <v>Later than peers by 49 min</v>
      </c>
      <c r="BC7" s="29" t="n">
        <f aca="false">IF($A7="","",IF($U7="",0,IF(COUNTIFS($U$2:$U7,$U7,$C$2:$C7,$C7)=1,1,0)))</f>
        <v>1</v>
      </c>
      <c r="BD7" s="10" t="str">
        <f aca="false">IF($A7="","",IF(UPPER($P7)="YES","Yes","No"))</f>
        <v>Yes</v>
      </c>
      <c r="BE7" s="10" t="str">
        <f aca="false">IF($A7="","",IF($N7="No","n/a",IF(AM7&lt;=Constants!$B$17,"Yes","No")))</f>
        <v>No</v>
      </c>
      <c r="BF7" s="10" t="str">
        <f aca="false">IF($A7="","",IF($O7="No","n/a",IF(AN7&lt;=Constants!$B$17,"Yes","No")))</f>
        <v>No</v>
      </c>
      <c r="BG7" s="10" t="str">
        <f aca="false">IF($A7="","",IF($P7="No","n/a",IF(AO7&lt;=Constants!$B$17,"Yes","No")))</f>
        <v>No</v>
      </c>
      <c r="BH7" s="10" t="str">
        <f aca="false">IF($A7="","",IF($N7="No","No custody process",IF(BE7="Yes","Thin custody slack","Ample custody slack")))</f>
        <v>Ample custody slack</v>
      </c>
      <c r="BI7" s="30" t="n">
        <f aca="false">IF($A7="","",IF($N7="No","",AM7))</f>
        <v>513</v>
      </c>
      <c r="BJ7" s="30" t="n">
        <f aca="false">IF($A7="","",IF($O7="No","",AN7))</f>
        <v>563</v>
      </c>
      <c r="BK7" s="30" t="n">
        <f aca="false">IF($A7="","",IF($P7="No","",AO7))</f>
        <v>84</v>
      </c>
    </row>
    <row r="8" customFormat="false" ht="15" hidden="false" customHeight="true" outlineLevel="0" collapsed="false">
      <c r="A8" s="13" t="s">
        <v>340</v>
      </c>
      <c r="B8" s="13" t="s">
        <v>341</v>
      </c>
      <c r="C8" s="13" t="s">
        <v>310</v>
      </c>
      <c r="D8" s="13" t="s">
        <v>311</v>
      </c>
      <c r="E8" s="13" t="s">
        <v>312</v>
      </c>
      <c r="F8" s="13" t="s">
        <v>229</v>
      </c>
      <c r="G8" s="13" t="s">
        <v>313</v>
      </c>
      <c r="H8" s="27" t="n">
        <v>1.347</v>
      </c>
      <c r="I8" s="13" t="n">
        <v>0</v>
      </c>
      <c r="J8" s="13" t="n">
        <v>1</v>
      </c>
      <c r="K8" s="13" t="n">
        <v>1</v>
      </c>
      <c r="L8" s="13" t="n">
        <v>1</v>
      </c>
      <c r="M8" s="13" t="n">
        <v>0</v>
      </c>
      <c r="N8" s="13" t="s">
        <v>312</v>
      </c>
      <c r="O8" s="13" t="s">
        <v>312</v>
      </c>
      <c r="P8" s="13" t="s">
        <v>314</v>
      </c>
      <c r="Q8" s="20" t="n">
        <v>0.148519537037037</v>
      </c>
      <c r="R8" s="20" t="n">
        <v>0.195056215277778</v>
      </c>
      <c r="S8" s="20" t="n">
        <v>0.546736064814815</v>
      </c>
      <c r="T8" s="20" t="n">
        <v>0.546736064814815</v>
      </c>
      <c r="U8" s="13" t="s">
        <v>329</v>
      </c>
      <c r="V8" s="20" t="n">
        <v>0.723727534722222</v>
      </c>
      <c r="W8" s="20" t="n">
        <v>0.762426412037037</v>
      </c>
      <c r="X8" s="13" t="s">
        <v>241</v>
      </c>
      <c r="Y8" s="13" t="s">
        <v>323</v>
      </c>
      <c r="Z8" s="28" t="n">
        <f aca="false">IF($A8="","",Constants!$B$6+$I8*Constants!$B$7+$J8*Constants!$B$8+$K8*Constants!$B$9+$L8*Constants!$B$10+$M8*Constants!$B$11)</f>
        <v>70</v>
      </c>
      <c r="AA8" s="28" t="n">
        <f aca="false">IF($A8="","",100-Z8)</f>
        <v>30</v>
      </c>
      <c r="AB8" s="28" t="n">
        <f aca="false">IF($A8="","",ROUND($H8*Constants!$B$4,1))</f>
        <v>29.7</v>
      </c>
      <c r="AC8" s="28" t="n">
        <f aca="false">IF($A8="","",ROUND(AB8*Z8/100,1))</f>
        <v>20.8</v>
      </c>
      <c r="AD8" s="28" t="n">
        <f aca="false">IF($A8="","",ROUND(AB8*AA8/100,1))</f>
        <v>8.9</v>
      </c>
      <c r="AE8" s="22" t="n">
        <f aca="false">IF($A8="","",HOUR($Q8)+MINUTE($Q8)/60)</f>
        <v>3.55</v>
      </c>
      <c r="AF8" s="22" t="n">
        <f aca="false">IF($A8="","",HOUR($R8)+MINUTE($R8)/60)</f>
        <v>4.66666666666667</v>
      </c>
      <c r="AG8" s="22" t="n">
        <f aca="false">IF($A8="","",HOUR($S8)+MINUTE($S8)/60)</f>
        <v>13.1166666666667</v>
      </c>
      <c r="AH8" s="22" t="n">
        <f aca="false">IF($A8="","",HOUR($T8)+MINUTE($T8)/60)</f>
        <v>13.1166666666667</v>
      </c>
      <c r="AI8" s="22" t="n">
        <f aca="false">IF($A8="","",HOUR($V8)+MINUTE($V8)/60)</f>
        <v>17.3666666666667</v>
      </c>
      <c r="AJ8" s="22" t="n">
        <f aca="false">IF($A8="","",HOUR($W8)+MINUTE($W8)/60)</f>
        <v>18.2833333333333</v>
      </c>
      <c r="AK8" s="22" t="n">
        <f aca="false">IF($A8="","",VLOOKUP($F8,Dim_Team!$A:$F,6,0))</f>
        <v>9</v>
      </c>
      <c r="AL8" s="28" t="n">
        <f aca="false">IF($A8="","",VLOOKUP($X8,Dim_Signoff!$A:$C,3,0))</f>
        <v>0</v>
      </c>
      <c r="AM8" s="28" t="n">
        <f aca="false">IF($A8="","",IF($N8="No","n/a",ROUND((AH8-AE8)*60,0)))</f>
        <v>574</v>
      </c>
      <c r="AN8" s="28" t="n">
        <f aca="false">IF($A8="","",IF($O8="No","n/a",ROUND((AH8-AF8)*60,0)))</f>
        <v>507</v>
      </c>
      <c r="AO8" s="28" t="str">
        <f aca="false">IF($A8="","",IF($P8="No","n/a",ROUND((AH8-AG8)*60,0)))</f>
        <v>n/a</v>
      </c>
      <c r="AP8" s="28" t="n">
        <f aca="false">IF($A8="","",ROUND((AH8-AK8)*60,0))</f>
        <v>247</v>
      </c>
      <c r="AQ8" s="28" t="n">
        <f aca="false">IF($A8="","",ROUND((AI8-AH8)*60,0))</f>
        <v>255</v>
      </c>
      <c r="AR8" s="4" t="str">
        <f aca="false">IF($A8="","",IF(AP8&gt;=AC8,"Yes","No"))</f>
        <v>Yes</v>
      </c>
      <c r="AS8" s="4" t="str">
        <f aca="false">IF($A8="","",IF(AQ8&gt;=AD8+AL8,"Yes","No"))</f>
        <v>Yes</v>
      </c>
      <c r="AT8" s="4" t="str">
        <f aca="false">IF($A8="","",IF(AND(AR8="Yes",AS8="Yes"),"OK","REVIEW"))</f>
        <v>OK</v>
      </c>
      <c r="AU8" s="4" t="str">
        <f aca="false">IF($A8="","",IF($P8="No","Not applicable",IF(AO8&lt;Constants!$B$14,"CAPTURE","Not needed")))</f>
        <v>Not applicable</v>
      </c>
      <c r="AV8" s="4" t="str">
        <f aca="false">IF($A8="","",IF($P8="No","n/a",RANK(AO8,AO:AO,1)))</f>
        <v>n/a</v>
      </c>
      <c r="AW8" s="4" t="str">
        <f aca="false">IF($A8="","",IF(UPPER($E8)="YES","Strategic","Non-strategic"))</f>
        <v>Strategic</v>
      </c>
      <c r="AX8" s="4" t="n">
        <f aca="false">IF($A8="","",COUNTIFS(Fact_Work!$C:$C,$A8))</f>
        <v>3</v>
      </c>
      <c r="AY8" s="4" t="str">
        <f aca="false">IF($A8="","",IF(AX8=0,"Not seen",IF(AX8&gt;=Constants!$B$13*0.6,"Daily",IF(AX8&gt;=Constants!$B$13*0.12,"Weekly","Monthly or ad hoc"))))</f>
        <v>Daily</v>
      </c>
      <c r="AZ8" s="22" t="n">
        <f aca="false">IF($A8="","",IFERROR(VLOOKUP($U8,Dim_TOP!$A:$H,8,0),""))</f>
        <v>11.7166666666667</v>
      </c>
      <c r="BA8" s="28" t="n">
        <f aca="false">IF($A8="","",IFERROR(ROUND((AH8-AZ8)*60,0),""))</f>
        <v>84</v>
      </c>
      <c r="BB8" s="4" t="str">
        <f aca="false">IF($A8="","",IF(BA8="","",IF(BA8&lt;=0,"Sets the deadline","Later than peers by "&amp;BA8&amp;" min")))</f>
        <v>Later than peers by 84 min</v>
      </c>
      <c r="BC8" s="29" t="n">
        <f aca="false">IF($A8="","",IF($U8="",0,IF(COUNTIFS($U$2:$U8,$U8,$C$2:$C8,$C8)=1,1,0)))</f>
        <v>1</v>
      </c>
      <c r="BD8" s="10" t="str">
        <f aca="false">IF($A8="","",IF(UPPER($P8)="YES","Yes","No"))</f>
        <v>No</v>
      </c>
      <c r="BE8" s="10" t="str">
        <f aca="false">IF($A8="","",IF($N8="No","n/a",IF(AM8&lt;=Constants!$B$17,"Yes","No")))</f>
        <v>No</v>
      </c>
      <c r="BF8" s="10" t="str">
        <f aca="false">IF($A8="","",IF($O8="No","n/a",IF(AN8&lt;=Constants!$B$17,"Yes","No")))</f>
        <v>No</v>
      </c>
      <c r="BG8" s="10" t="str">
        <f aca="false">IF($A8="","",IF($P8="No","n/a",IF(AO8&lt;=Constants!$B$17,"Yes","No")))</f>
        <v>n/a</v>
      </c>
      <c r="BH8" s="10" t="str">
        <f aca="false">IF($A8="","",IF($N8="No","No custody process",IF(BE8="Yes","Thin custody slack","Ample custody slack")))</f>
        <v>Ample custody slack</v>
      </c>
      <c r="BI8" s="30" t="n">
        <f aca="false">IF($A8="","",IF($N8="No","",AM8))</f>
        <v>574</v>
      </c>
      <c r="BJ8" s="30" t="n">
        <f aca="false">IF($A8="","",IF($O8="No","",AN8))</f>
        <v>507</v>
      </c>
      <c r="BK8" s="30" t="str">
        <f aca="false">IF($A8="","",IF($P8="No","",AO8))</f>
        <v/>
      </c>
    </row>
    <row r="9" customFormat="false" ht="15" hidden="false" customHeight="true" outlineLevel="0" collapsed="false">
      <c r="A9" s="13" t="s">
        <v>342</v>
      </c>
      <c r="B9" s="13" t="s">
        <v>343</v>
      </c>
      <c r="C9" s="13" t="s">
        <v>319</v>
      </c>
      <c r="D9" s="13" t="s">
        <v>320</v>
      </c>
      <c r="E9" s="13" t="s">
        <v>312</v>
      </c>
      <c r="F9" s="13" t="s">
        <v>229</v>
      </c>
      <c r="G9" s="13" t="s">
        <v>321</v>
      </c>
      <c r="H9" s="27" t="n">
        <v>1.769</v>
      </c>
      <c r="I9" s="13" t="n">
        <v>0</v>
      </c>
      <c r="J9" s="13" t="n">
        <v>0</v>
      </c>
      <c r="K9" s="13" t="n">
        <v>1</v>
      </c>
      <c r="L9" s="13" t="n">
        <v>0</v>
      </c>
      <c r="M9" s="13" t="n">
        <v>1</v>
      </c>
      <c r="N9" s="13" t="s">
        <v>312</v>
      </c>
      <c r="O9" s="13" t="s">
        <v>312</v>
      </c>
      <c r="P9" s="13" t="s">
        <v>312</v>
      </c>
      <c r="Q9" s="20" t="n">
        <v>0.187493402777778</v>
      </c>
      <c r="R9" s="20" t="n">
        <v>0.167951782407407</v>
      </c>
      <c r="S9" s="20" t="n">
        <v>0.331334224537037</v>
      </c>
      <c r="T9" s="20" t="n">
        <v>0.492712407407407</v>
      </c>
      <c r="U9" s="13" t="s">
        <v>333</v>
      </c>
      <c r="V9" s="20" t="n">
        <v>0.672596724537037</v>
      </c>
      <c r="W9" s="20" t="n">
        <v>0.699557291666667</v>
      </c>
      <c r="X9" s="13" t="s">
        <v>241</v>
      </c>
      <c r="Y9" s="13" t="s">
        <v>316</v>
      </c>
      <c r="Z9" s="28" t="n">
        <f aca="false">IF($A9="","",Constants!$B$6+$I9*Constants!$B$7+$J9*Constants!$B$8+$K9*Constants!$B$9+$L9*Constants!$B$10+$M9*Constants!$B$11)</f>
        <v>75</v>
      </c>
      <c r="AA9" s="28" t="n">
        <f aca="false">IF($A9="","",100-Z9)</f>
        <v>25</v>
      </c>
      <c r="AB9" s="28" t="n">
        <f aca="false">IF($A9="","",ROUND($H9*Constants!$B$4,1))</f>
        <v>39.1</v>
      </c>
      <c r="AC9" s="28" t="n">
        <f aca="false">IF($A9="","",ROUND(AB9*Z9/100,1))</f>
        <v>29.3</v>
      </c>
      <c r="AD9" s="28" t="n">
        <f aca="false">IF($A9="","",ROUND(AB9*AA9/100,1))</f>
        <v>9.8</v>
      </c>
      <c r="AE9" s="22" t="n">
        <f aca="false">IF($A9="","",HOUR($Q9)+MINUTE($Q9)/60)</f>
        <v>4.48333333333333</v>
      </c>
      <c r="AF9" s="22" t="n">
        <f aca="false">IF($A9="","",HOUR($R9)+MINUTE($R9)/60)</f>
        <v>4.01666666666667</v>
      </c>
      <c r="AG9" s="22" t="n">
        <f aca="false">IF($A9="","",HOUR($S9)+MINUTE($S9)/60)</f>
        <v>7.95</v>
      </c>
      <c r="AH9" s="22" t="n">
        <f aca="false">IF($A9="","",HOUR($T9)+MINUTE($T9)/60)</f>
        <v>11.8166666666667</v>
      </c>
      <c r="AI9" s="22" t="n">
        <f aca="false">IF($A9="","",HOUR($V9)+MINUTE($V9)/60)</f>
        <v>16.1333333333333</v>
      </c>
      <c r="AJ9" s="22" t="n">
        <f aca="false">IF($A9="","",HOUR($W9)+MINUTE($W9)/60)</f>
        <v>16.7833333333333</v>
      </c>
      <c r="AK9" s="22" t="n">
        <f aca="false">IF($A9="","",VLOOKUP($F9,Dim_Team!$A:$F,6,0))</f>
        <v>9</v>
      </c>
      <c r="AL9" s="28" t="n">
        <f aca="false">IF($A9="","",VLOOKUP($X9,Dim_Signoff!$A:$C,3,0))</f>
        <v>0</v>
      </c>
      <c r="AM9" s="28" t="n">
        <f aca="false">IF($A9="","",IF($N9="No","n/a",ROUND((AH9-AE9)*60,0)))</f>
        <v>440</v>
      </c>
      <c r="AN9" s="28" t="n">
        <f aca="false">IF($A9="","",IF($O9="No","n/a",ROUND((AH9-AF9)*60,0)))</f>
        <v>468</v>
      </c>
      <c r="AO9" s="28" t="n">
        <f aca="false">IF($A9="","",IF($P9="No","n/a",ROUND((AH9-AG9)*60,0)))</f>
        <v>232</v>
      </c>
      <c r="AP9" s="28" t="n">
        <f aca="false">IF($A9="","",ROUND((AH9-AK9)*60,0))</f>
        <v>169</v>
      </c>
      <c r="AQ9" s="28" t="n">
        <f aca="false">IF($A9="","",ROUND((AI9-AH9)*60,0))</f>
        <v>259</v>
      </c>
      <c r="AR9" s="4" t="str">
        <f aca="false">IF($A9="","",IF(AP9&gt;=AC9,"Yes","No"))</f>
        <v>Yes</v>
      </c>
      <c r="AS9" s="4" t="str">
        <f aca="false">IF($A9="","",IF(AQ9&gt;=AD9+AL9,"Yes","No"))</f>
        <v>Yes</v>
      </c>
      <c r="AT9" s="4" t="str">
        <f aca="false">IF($A9="","",IF(AND(AR9="Yes",AS9="Yes"),"OK","REVIEW"))</f>
        <v>OK</v>
      </c>
      <c r="AU9" s="4" t="str">
        <f aca="false">IF($A9="","",IF($P9="No","Not applicable",IF(AO9&lt;Constants!$B$14,"CAPTURE","Not needed")))</f>
        <v>Not needed</v>
      </c>
      <c r="AV9" s="4" t="n">
        <f aca="false">IF($A9="","",IF($P9="No","n/a",RANK(AO9,AO:AO,1)))</f>
        <v>4</v>
      </c>
      <c r="AW9" s="4" t="str">
        <f aca="false">IF($A9="","",IF(UPPER($E9)="YES","Strategic","Non-strategic"))</f>
        <v>Strategic</v>
      </c>
      <c r="AX9" s="4" t="n">
        <f aca="false">IF($A9="","",COUNTIFS(Fact_Work!$C:$C,$A9))</f>
        <v>1</v>
      </c>
      <c r="AY9" s="4" t="str">
        <f aca="false">IF($A9="","",IF(AX9=0,"Not seen",IF(AX9&gt;=Constants!$B$13*0.6,"Daily",IF(AX9&gt;=Constants!$B$13*0.12,"Weekly","Monthly or ad hoc"))))</f>
        <v>Weekly</v>
      </c>
      <c r="AZ9" s="22" t="n">
        <f aca="false">IF($A9="","",IFERROR(VLOOKUP($U9,Dim_TOP!$A:$H,8,0),""))</f>
        <v>11.6333333333333</v>
      </c>
      <c r="BA9" s="28" t="n">
        <f aca="false">IF($A9="","",IFERROR(ROUND((AH9-AZ9)*60,0),""))</f>
        <v>11</v>
      </c>
      <c r="BB9" s="4" t="str">
        <f aca="false">IF($A9="","",IF(BA9="","",IF(BA9&lt;=0,"Sets the deadline","Later than peers by "&amp;BA9&amp;" min")))</f>
        <v>Later than peers by 11 min</v>
      </c>
      <c r="BC9" s="29" t="n">
        <f aca="false">IF($A9="","",IF($U9="",0,IF(COUNTIFS($U$2:$U9,$U9,$C$2:$C9,$C9)=1,1,0)))</f>
        <v>1</v>
      </c>
      <c r="BD9" s="10" t="str">
        <f aca="false">IF($A9="","",IF(UPPER($P9)="YES","Yes","No"))</f>
        <v>Yes</v>
      </c>
      <c r="BE9" s="10" t="str">
        <f aca="false">IF($A9="","",IF($N9="No","n/a",IF(AM9&lt;=Constants!$B$17,"Yes","No")))</f>
        <v>No</v>
      </c>
      <c r="BF9" s="10" t="str">
        <f aca="false">IF($A9="","",IF($O9="No","n/a",IF(AN9&lt;=Constants!$B$17,"Yes","No")))</f>
        <v>No</v>
      </c>
      <c r="BG9" s="10" t="str">
        <f aca="false">IF($A9="","",IF($P9="No","n/a",IF(AO9&lt;=Constants!$B$17,"Yes","No")))</f>
        <v>No</v>
      </c>
      <c r="BH9" s="10" t="str">
        <f aca="false">IF($A9="","",IF($N9="No","No custody process",IF(BE9="Yes","Thin custody slack","Ample custody slack")))</f>
        <v>Ample custody slack</v>
      </c>
      <c r="BI9" s="30" t="n">
        <f aca="false">IF($A9="","",IF($N9="No","",AM9))</f>
        <v>440</v>
      </c>
      <c r="BJ9" s="30" t="n">
        <f aca="false">IF($A9="","",IF($O9="No","",AN9))</f>
        <v>468</v>
      </c>
      <c r="BK9" s="30" t="n">
        <f aca="false">IF($A9="","",IF($P9="No","",AO9))</f>
        <v>232</v>
      </c>
    </row>
    <row r="10" customFormat="false" ht="15" hidden="false" customHeight="true" outlineLevel="0" collapsed="false">
      <c r="A10" s="13" t="s">
        <v>344</v>
      </c>
      <c r="B10" s="13" t="s">
        <v>345</v>
      </c>
      <c r="C10" s="13" t="s">
        <v>326</v>
      </c>
      <c r="D10" s="13" t="s">
        <v>327</v>
      </c>
      <c r="E10" s="13" t="s">
        <v>314</v>
      </c>
      <c r="F10" s="13" t="s">
        <v>231</v>
      </c>
      <c r="G10" s="13" t="s">
        <v>328</v>
      </c>
      <c r="H10" s="27" t="n">
        <v>1.487</v>
      </c>
      <c r="I10" s="13" t="n">
        <v>0</v>
      </c>
      <c r="J10" s="13" t="n">
        <v>1</v>
      </c>
      <c r="K10" s="13" t="n">
        <v>0</v>
      </c>
      <c r="L10" s="13" t="n">
        <v>0</v>
      </c>
      <c r="M10" s="13" t="n">
        <v>0</v>
      </c>
      <c r="N10" s="13" t="s">
        <v>312</v>
      </c>
      <c r="O10" s="13" t="s">
        <v>314</v>
      </c>
      <c r="P10" s="13" t="s">
        <v>312</v>
      </c>
      <c r="Q10" s="20" t="n">
        <v>0.179329456018519</v>
      </c>
      <c r="R10" s="20" t="n">
        <v>0.485644050925926</v>
      </c>
      <c r="S10" s="20" t="n">
        <v>0.309412210648148</v>
      </c>
      <c r="T10" s="20" t="n">
        <v>0.485644050925926</v>
      </c>
      <c r="U10" s="13" t="s">
        <v>315</v>
      </c>
      <c r="V10" s="20" t="n">
        <v>0.632473622685185</v>
      </c>
      <c r="W10" s="20" t="n">
        <v>0.668105833333333</v>
      </c>
      <c r="X10" s="13" t="s">
        <v>244</v>
      </c>
      <c r="Y10" s="13" t="s">
        <v>323</v>
      </c>
      <c r="Z10" s="28" t="n">
        <f aca="false">IF($A10="","",Constants!$B$6+$I10*Constants!$B$7+$J10*Constants!$B$8+$K10*Constants!$B$9+$L10*Constants!$B$10+$M10*Constants!$B$11)</f>
        <v>65</v>
      </c>
      <c r="AA10" s="28" t="n">
        <f aca="false">IF($A10="","",100-Z10)</f>
        <v>35</v>
      </c>
      <c r="AB10" s="28" t="n">
        <f aca="false">IF($A10="","",ROUND($H10*Constants!$B$4,1))</f>
        <v>32.8</v>
      </c>
      <c r="AC10" s="28" t="n">
        <f aca="false">IF($A10="","",ROUND(AB10*Z10/100,1))</f>
        <v>21.3</v>
      </c>
      <c r="AD10" s="28" t="n">
        <f aca="false">IF($A10="","",ROUND(AB10*AA10/100,1))</f>
        <v>11.5</v>
      </c>
      <c r="AE10" s="22" t="n">
        <f aca="false">IF($A10="","",HOUR($Q10)+MINUTE($Q10)/60)</f>
        <v>4.3</v>
      </c>
      <c r="AF10" s="22" t="n">
        <f aca="false">IF($A10="","",HOUR($R10)+MINUTE($R10)/60)</f>
        <v>11.65</v>
      </c>
      <c r="AG10" s="22" t="n">
        <f aca="false">IF($A10="","",HOUR($S10)+MINUTE($S10)/60)</f>
        <v>7.41666666666667</v>
      </c>
      <c r="AH10" s="22" t="n">
        <f aca="false">IF($A10="","",HOUR($T10)+MINUTE($T10)/60)</f>
        <v>11.65</v>
      </c>
      <c r="AI10" s="22" t="n">
        <f aca="false">IF($A10="","",HOUR($V10)+MINUTE($V10)/60)</f>
        <v>15.1666666666667</v>
      </c>
      <c r="AJ10" s="22" t="n">
        <f aca="false">IF($A10="","",HOUR($W10)+MINUTE($W10)/60)</f>
        <v>16.0333333333333</v>
      </c>
      <c r="AK10" s="22" t="n">
        <f aca="false">IF($A10="","",VLOOKUP($F10,Dim_Team!$A:$F,6,0))</f>
        <v>9</v>
      </c>
      <c r="AL10" s="28" t="n">
        <f aca="false">IF($A10="","",VLOOKUP($X10,Dim_Signoff!$A:$C,3,0))</f>
        <v>25</v>
      </c>
      <c r="AM10" s="28" t="n">
        <f aca="false">IF($A10="","",IF($N10="No","n/a",ROUND((AH10-AE10)*60,0)))</f>
        <v>441</v>
      </c>
      <c r="AN10" s="28" t="str">
        <f aca="false">IF($A10="","",IF($O10="No","n/a",ROUND((AH10-AF10)*60,0)))</f>
        <v>n/a</v>
      </c>
      <c r="AO10" s="28" t="n">
        <f aca="false">IF($A10="","",IF($P10="No","n/a",ROUND((AH10-AG10)*60,0)))</f>
        <v>254</v>
      </c>
      <c r="AP10" s="28" t="n">
        <f aca="false">IF($A10="","",ROUND((AH10-AK10)*60,0))</f>
        <v>159</v>
      </c>
      <c r="AQ10" s="28" t="n">
        <f aca="false">IF($A10="","",ROUND((AI10-AH10)*60,0))</f>
        <v>211</v>
      </c>
      <c r="AR10" s="4" t="str">
        <f aca="false">IF($A10="","",IF(AP10&gt;=AC10,"Yes","No"))</f>
        <v>Yes</v>
      </c>
      <c r="AS10" s="4" t="str">
        <f aca="false">IF($A10="","",IF(AQ10&gt;=AD10+AL10,"Yes","No"))</f>
        <v>Yes</v>
      </c>
      <c r="AT10" s="4" t="str">
        <f aca="false">IF($A10="","",IF(AND(AR10="Yes",AS10="Yes"),"OK","REVIEW"))</f>
        <v>OK</v>
      </c>
      <c r="AU10" s="4" t="str">
        <f aca="false">IF($A10="","",IF($P10="No","Not applicable",IF(AO10&lt;Constants!$B$14,"CAPTURE","Not needed")))</f>
        <v>Not needed</v>
      </c>
      <c r="AV10" s="4" t="n">
        <f aca="false">IF($A10="","",IF($P10="No","n/a",RANK(AO10,AO:AO,1)))</f>
        <v>7</v>
      </c>
      <c r="AW10" s="4" t="str">
        <f aca="false">IF($A10="","",IF(UPPER($E10)="YES","Strategic","Non-strategic"))</f>
        <v>Non-strategic</v>
      </c>
      <c r="AX10" s="4" t="n">
        <f aca="false">IF($A10="","",COUNTIFS(Fact_Work!$C:$C,$A10))</f>
        <v>1</v>
      </c>
      <c r="AY10" s="4" t="str">
        <f aca="false">IF($A10="","",IF(AX10=0,"Not seen",IF(AX10&gt;=Constants!$B$13*0.6,"Daily",IF(AX10&gt;=Constants!$B$13*0.12,"Weekly","Monthly or ad hoc"))))</f>
        <v>Weekly</v>
      </c>
      <c r="AZ10" s="22" t="n">
        <f aca="false">IF($A10="","",IFERROR(VLOOKUP($U10,Dim_TOP!$A:$H,8,0),""))</f>
        <v>11.65</v>
      </c>
      <c r="BA10" s="28" t="n">
        <f aca="false">IF($A10="","",IFERROR(ROUND((AH10-AZ10)*60,0),""))</f>
        <v>0</v>
      </c>
      <c r="BB10" s="4" t="str">
        <f aca="false">IF($A10="","",IF(BA10="","",IF(BA10&lt;=0,"Sets the deadline","Later than peers by "&amp;BA10&amp;" min")))</f>
        <v>Sets the deadline</v>
      </c>
      <c r="BC10" s="29" t="n">
        <f aca="false">IF($A10="","",IF($U10="",0,IF(COUNTIFS($U$2:$U10,$U10,$C$2:$C10,$C10)=1,1,0)))</f>
        <v>1</v>
      </c>
      <c r="BD10" s="10" t="str">
        <f aca="false">IF($A10="","",IF(UPPER($P10)="YES","Yes","No"))</f>
        <v>Yes</v>
      </c>
      <c r="BE10" s="10" t="str">
        <f aca="false">IF($A10="","",IF($N10="No","n/a",IF(AM10&lt;=Constants!$B$17,"Yes","No")))</f>
        <v>No</v>
      </c>
      <c r="BF10" s="10" t="str">
        <f aca="false">IF($A10="","",IF($O10="No","n/a",IF(AN10&lt;=Constants!$B$17,"Yes","No")))</f>
        <v>n/a</v>
      </c>
      <c r="BG10" s="10" t="str">
        <f aca="false">IF($A10="","",IF($P10="No","n/a",IF(AO10&lt;=Constants!$B$17,"Yes","No")))</f>
        <v>No</v>
      </c>
      <c r="BH10" s="10" t="str">
        <f aca="false">IF($A10="","",IF($N10="No","No custody process",IF(BE10="Yes","Thin custody slack","Ample custody slack")))</f>
        <v>Ample custody slack</v>
      </c>
      <c r="BI10" s="30" t="n">
        <f aca="false">IF($A10="","",IF($N10="No","",AM10))</f>
        <v>441</v>
      </c>
      <c r="BJ10" s="30" t="str">
        <f aca="false">IF($A10="","",IF($O10="No","",AN10))</f>
        <v/>
      </c>
      <c r="BK10" s="30" t="n">
        <f aca="false">IF($A10="","",IF($P10="No","",AO10))</f>
        <v>254</v>
      </c>
    </row>
    <row r="11" customFormat="false" ht="15" hidden="false" customHeight="true" outlineLevel="0" collapsed="false">
      <c r="A11" s="13" t="s">
        <v>346</v>
      </c>
      <c r="B11" s="13" t="s">
        <v>347</v>
      </c>
      <c r="C11" s="13" t="s">
        <v>310</v>
      </c>
      <c r="D11" s="13" t="s">
        <v>311</v>
      </c>
      <c r="E11" s="13" t="s">
        <v>312</v>
      </c>
      <c r="F11" s="13" t="s">
        <v>233</v>
      </c>
      <c r="G11" s="13" t="s">
        <v>332</v>
      </c>
      <c r="H11" s="27" t="n">
        <v>1.091</v>
      </c>
      <c r="I11" s="13" t="n">
        <v>0</v>
      </c>
      <c r="J11" s="13" t="n">
        <v>0</v>
      </c>
      <c r="K11" s="13" t="n">
        <v>0</v>
      </c>
      <c r="L11" s="13" t="n">
        <v>0</v>
      </c>
      <c r="M11" s="13" t="n">
        <v>0</v>
      </c>
      <c r="N11" s="13" t="s">
        <v>312</v>
      </c>
      <c r="O11" s="13" t="s">
        <v>312</v>
      </c>
      <c r="P11" s="13" t="s">
        <v>312</v>
      </c>
      <c r="Q11" s="20" t="n">
        <v>0.16531099537037</v>
      </c>
      <c r="R11" s="20" t="n">
        <v>0.15386900462963</v>
      </c>
      <c r="S11" s="20" t="n">
        <v>0.353696006944444</v>
      </c>
      <c r="T11" s="20" t="n">
        <v>0.577374155092593</v>
      </c>
      <c r="U11" s="13" t="s">
        <v>322</v>
      </c>
      <c r="V11" s="20" t="n">
        <v>0.730030462962963</v>
      </c>
      <c r="W11" s="20" t="n">
        <v>0.762788391203704</v>
      </c>
      <c r="X11" s="13" t="s">
        <v>247</v>
      </c>
      <c r="Y11" s="13" t="s">
        <v>323</v>
      </c>
      <c r="Z11" s="28" t="n">
        <f aca="false">IF($A11="","",Constants!$B$6+$I11*Constants!$B$7+$J11*Constants!$B$8+$K11*Constants!$B$9+$L11*Constants!$B$10+$M11*Constants!$B$11)</f>
        <v>60</v>
      </c>
      <c r="AA11" s="28" t="n">
        <f aca="false">IF($A11="","",100-Z11)</f>
        <v>40</v>
      </c>
      <c r="AB11" s="28" t="n">
        <f aca="false">IF($A11="","",ROUND($H11*Constants!$B$4,1))</f>
        <v>24.1</v>
      </c>
      <c r="AC11" s="28" t="n">
        <f aca="false">IF($A11="","",ROUND(AB11*Z11/100,1))</f>
        <v>14.5</v>
      </c>
      <c r="AD11" s="28" t="n">
        <f aca="false">IF($A11="","",ROUND(AB11*AA11/100,1))</f>
        <v>9.6</v>
      </c>
      <c r="AE11" s="22" t="n">
        <f aca="false">IF($A11="","",HOUR($Q11)+MINUTE($Q11)/60)</f>
        <v>3.96666666666667</v>
      </c>
      <c r="AF11" s="22" t="n">
        <f aca="false">IF($A11="","",HOUR($R11)+MINUTE($R11)/60)</f>
        <v>3.68333333333333</v>
      </c>
      <c r="AG11" s="22" t="n">
        <f aca="false">IF($A11="","",HOUR($S11)+MINUTE($S11)/60)</f>
        <v>8.48333333333333</v>
      </c>
      <c r="AH11" s="22" t="n">
        <f aca="false">IF($A11="","",HOUR($T11)+MINUTE($T11)/60)</f>
        <v>13.85</v>
      </c>
      <c r="AI11" s="22" t="n">
        <f aca="false">IF($A11="","",HOUR($V11)+MINUTE($V11)/60)</f>
        <v>17.5166666666667</v>
      </c>
      <c r="AJ11" s="22" t="n">
        <f aca="false">IF($A11="","",HOUR($W11)+MINUTE($W11)/60)</f>
        <v>18.3</v>
      </c>
      <c r="AK11" s="22" t="n">
        <f aca="false">IF($A11="","",VLOOKUP($F11,Dim_Team!$A:$F,6,0))</f>
        <v>10</v>
      </c>
      <c r="AL11" s="28" t="n">
        <f aca="false">IF($A11="","",VLOOKUP($X11,Dim_Signoff!$A:$C,3,0))</f>
        <v>46</v>
      </c>
      <c r="AM11" s="28" t="n">
        <f aca="false">IF($A11="","",IF($N11="No","n/a",ROUND((AH11-AE11)*60,0)))</f>
        <v>593</v>
      </c>
      <c r="AN11" s="28" t="n">
        <f aca="false">IF($A11="","",IF($O11="No","n/a",ROUND((AH11-AF11)*60,0)))</f>
        <v>610</v>
      </c>
      <c r="AO11" s="28" t="n">
        <f aca="false">IF($A11="","",IF($P11="No","n/a",ROUND((AH11-AG11)*60,0)))</f>
        <v>322</v>
      </c>
      <c r="AP11" s="28" t="n">
        <f aca="false">IF($A11="","",ROUND((AH11-AK11)*60,0))</f>
        <v>231</v>
      </c>
      <c r="AQ11" s="28" t="n">
        <f aca="false">IF($A11="","",ROUND((AI11-AH11)*60,0))</f>
        <v>220</v>
      </c>
      <c r="AR11" s="4" t="str">
        <f aca="false">IF($A11="","",IF(AP11&gt;=AC11,"Yes","No"))</f>
        <v>Yes</v>
      </c>
      <c r="AS11" s="4" t="str">
        <f aca="false">IF($A11="","",IF(AQ11&gt;=AD11+AL11,"Yes","No"))</f>
        <v>Yes</v>
      </c>
      <c r="AT11" s="4" t="str">
        <f aca="false">IF($A11="","",IF(AND(AR11="Yes",AS11="Yes"),"OK","REVIEW"))</f>
        <v>OK</v>
      </c>
      <c r="AU11" s="4" t="str">
        <f aca="false">IF($A11="","",IF($P11="No","Not applicable",IF(AO11&lt;Constants!$B$14,"CAPTURE","Not needed")))</f>
        <v>Not needed</v>
      </c>
      <c r="AV11" s="4" t="n">
        <f aca="false">IF($A11="","",IF($P11="No","n/a",RANK(AO11,AO:AO,1)))</f>
        <v>9</v>
      </c>
      <c r="AW11" s="4" t="str">
        <f aca="false">IF($A11="","",IF(UPPER($E11)="YES","Strategic","Non-strategic"))</f>
        <v>Strategic</v>
      </c>
      <c r="AX11" s="4" t="n">
        <f aca="false">IF($A11="","",COUNTIFS(Fact_Work!$C:$C,$A11))</f>
        <v>1</v>
      </c>
      <c r="AY11" s="4" t="str">
        <f aca="false">IF($A11="","",IF(AX11=0,"Not seen",IF(AX11&gt;=Constants!$B$13*0.6,"Daily",IF(AX11&gt;=Constants!$B$13*0.12,"Weekly","Monthly or ad hoc"))))</f>
        <v>Weekly</v>
      </c>
      <c r="AZ11" s="22" t="n">
        <f aca="false">IF($A11="","",IFERROR(VLOOKUP($U11,Dim_TOP!$A:$H,8,0),""))</f>
        <v>12.45</v>
      </c>
      <c r="BA11" s="28" t="n">
        <f aca="false">IF($A11="","",IFERROR(ROUND((AH11-AZ11)*60,0),""))</f>
        <v>84</v>
      </c>
      <c r="BB11" s="4" t="str">
        <f aca="false">IF($A11="","",IF(BA11="","",IF(BA11&lt;=0,"Sets the deadline","Later than peers by "&amp;BA11&amp;" min")))</f>
        <v>Later than peers by 84 min</v>
      </c>
      <c r="BC11" s="29" t="n">
        <f aca="false">IF($A11="","",IF($U11="",0,IF(COUNTIFS($U$2:$U11,$U11,$C$2:$C11,$C11)=1,1,0)))</f>
        <v>1</v>
      </c>
      <c r="BD11" s="10" t="str">
        <f aca="false">IF($A11="","",IF(UPPER($P11)="YES","Yes","No"))</f>
        <v>Yes</v>
      </c>
      <c r="BE11" s="10" t="str">
        <f aca="false">IF($A11="","",IF($N11="No","n/a",IF(AM11&lt;=Constants!$B$17,"Yes","No")))</f>
        <v>No</v>
      </c>
      <c r="BF11" s="10" t="str">
        <f aca="false">IF($A11="","",IF($O11="No","n/a",IF(AN11&lt;=Constants!$B$17,"Yes","No")))</f>
        <v>No</v>
      </c>
      <c r="BG11" s="10" t="str">
        <f aca="false">IF($A11="","",IF($P11="No","n/a",IF(AO11&lt;=Constants!$B$17,"Yes","No")))</f>
        <v>No</v>
      </c>
      <c r="BH11" s="10" t="str">
        <f aca="false">IF($A11="","",IF($N11="No","No custody process",IF(BE11="Yes","Thin custody slack","Ample custody slack")))</f>
        <v>Ample custody slack</v>
      </c>
      <c r="BI11" s="30" t="n">
        <f aca="false">IF($A11="","",IF($N11="No","",AM11))</f>
        <v>593</v>
      </c>
      <c r="BJ11" s="30" t="n">
        <f aca="false">IF($A11="","",IF($O11="No","",AN11))</f>
        <v>610</v>
      </c>
      <c r="BK11" s="30" t="n">
        <f aca="false">IF($A11="","",IF($P11="No","",AO11))</f>
        <v>322</v>
      </c>
    </row>
    <row r="12" customFormat="false" ht="15" hidden="false" customHeight="true" outlineLevel="0" collapsed="false">
      <c r="A12" s="13" t="s">
        <v>348</v>
      </c>
      <c r="B12" s="13" t="s">
        <v>349</v>
      </c>
      <c r="C12" s="13" t="s">
        <v>319</v>
      </c>
      <c r="D12" s="13" t="s">
        <v>320</v>
      </c>
      <c r="E12" s="13" t="s">
        <v>312</v>
      </c>
      <c r="F12" s="13" t="s">
        <v>233</v>
      </c>
      <c r="G12" s="13" t="s">
        <v>336</v>
      </c>
      <c r="H12" s="27" t="n">
        <v>1.958</v>
      </c>
      <c r="I12" s="13" t="n">
        <v>1</v>
      </c>
      <c r="J12" s="13" t="n">
        <v>0</v>
      </c>
      <c r="K12" s="13" t="n">
        <v>1</v>
      </c>
      <c r="L12" s="13" t="n">
        <v>0</v>
      </c>
      <c r="M12" s="13" t="n">
        <v>1</v>
      </c>
      <c r="N12" s="13" t="s">
        <v>312</v>
      </c>
      <c r="O12" s="13" t="s">
        <v>312</v>
      </c>
      <c r="P12" s="13" t="s">
        <v>312</v>
      </c>
      <c r="Q12" s="20" t="n">
        <v>0.155969479166667</v>
      </c>
      <c r="R12" s="20" t="n">
        <v>0.206350104166667</v>
      </c>
      <c r="S12" s="20" t="n">
        <v>0.487357164351852</v>
      </c>
      <c r="T12" s="20" t="n">
        <v>0.509747060185185</v>
      </c>
      <c r="U12" s="13" t="s">
        <v>329</v>
      </c>
      <c r="V12" s="20" t="n">
        <v>0.698438043981482</v>
      </c>
      <c r="W12" s="20" t="n">
        <v>0.735604513888889</v>
      </c>
      <c r="X12" s="13" t="s">
        <v>241</v>
      </c>
      <c r="Y12" s="13" t="s">
        <v>323</v>
      </c>
      <c r="Z12" s="28" t="n">
        <f aca="false">IF($A12="","",Constants!$B$6+$I12*Constants!$B$7+$J12*Constants!$B$8+$K12*Constants!$B$9+$L12*Constants!$B$10+$M12*Constants!$B$11)</f>
        <v>80</v>
      </c>
      <c r="AA12" s="28" t="n">
        <f aca="false">IF($A12="","",100-Z12)</f>
        <v>20</v>
      </c>
      <c r="AB12" s="28" t="n">
        <f aca="false">IF($A12="","",ROUND($H12*Constants!$B$4,1))</f>
        <v>43.2</v>
      </c>
      <c r="AC12" s="28" t="n">
        <f aca="false">IF($A12="","",ROUND(AB12*Z12/100,1))</f>
        <v>34.6</v>
      </c>
      <c r="AD12" s="28" t="n">
        <f aca="false">IF($A12="","",ROUND(AB12*AA12/100,1))</f>
        <v>8.6</v>
      </c>
      <c r="AE12" s="22" t="n">
        <f aca="false">IF($A12="","",HOUR($Q12)+MINUTE($Q12)/60)</f>
        <v>3.73333333333333</v>
      </c>
      <c r="AF12" s="22" t="n">
        <f aca="false">IF($A12="","",HOUR($R12)+MINUTE($R12)/60)</f>
        <v>4.95</v>
      </c>
      <c r="AG12" s="22" t="n">
        <f aca="false">IF($A12="","",HOUR($S12)+MINUTE($S12)/60)</f>
        <v>11.6833333333333</v>
      </c>
      <c r="AH12" s="22" t="n">
        <f aca="false">IF($A12="","",HOUR($T12)+MINUTE($T12)/60)</f>
        <v>12.2333333333333</v>
      </c>
      <c r="AI12" s="22" t="n">
        <f aca="false">IF($A12="","",HOUR($V12)+MINUTE($V12)/60)</f>
        <v>16.75</v>
      </c>
      <c r="AJ12" s="22" t="n">
        <f aca="false">IF($A12="","",HOUR($W12)+MINUTE($W12)/60)</f>
        <v>17.65</v>
      </c>
      <c r="AK12" s="22" t="n">
        <f aca="false">IF($A12="","",VLOOKUP($F12,Dim_Team!$A:$F,6,0))</f>
        <v>10</v>
      </c>
      <c r="AL12" s="28" t="n">
        <f aca="false">IF($A12="","",VLOOKUP($X12,Dim_Signoff!$A:$C,3,0))</f>
        <v>0</v>
      </c>
      <c r="AM12" s="28" t="n">
        <f aca="false">IF($A12="","",IF($N12="No","n/a",ROUND((AH12-AE12)*60,0)))</f>
        <v>510</v>
      </c>
      <c r="AN12" s="28" t="n">
        <f aca="false">IF($A12="","",IF($O12="No","n/a",ROUND((AH12-AF12)*60,0)))</f>
        <v>437</v>
      </c>
      <c r="AO12" s="28" t="n">
        <f aca="false">IF($A12="","",IF($P12="No","n/a",ROUND((AH12-AG12)*60,0)))</f>
        <v>33</v>
      </c>
      <c r="AP12" s="28" t="n">
        <f aca="false">IF($A12="","",ROUND((AH12-AK12)*60,0))</f>
        <v>134</v>
      </c>
      <c r="AQ12" s="28" t="n">
        <f aca="false">IF($A12="","",ROUND((AI12-AH12)*60,0))</f>
        <v>271</v>
      </c>
      <c r="AR12" s="4" t="str">
        <f aca="false">IF($A12="","",IF(AP12&gt;=AC12,"Yes","No"))</f>
        <v>Yes</v>
      </c>
      <c r="AS12" s="4" t="str">
        <f aca="false">IF($A12="","",IF(AQ12&gt;=AD12+AL12,"Yes","No"))</f>
        <v>Yes</v>
      </c>
      <c r="AT12" s="4" t="str">
        <f aca="false">IF($A12="","",IF(AND(AR12="Yes",AS12="Yes"),"OK","REVIEW"))</f>
        <v>OK</v>
      </c>
      <c r="AU12" s="4" t="str">
        <f aca="false">IF($A12="","",IF($P12="No","Not applicable",IF(AO12&lt;Constants!$B$14,"CAPTURE","Not needed")))</f>
        <v>CAPTURE</v>
      </c>
      <c r="AV12" s="4" t="n">
        <f aca="false">IF($A12="","",IF($P12="No","n/a",RANK(AO12,AO:AO,1)))</f>
        <v>1</v>
      </c>
      <c r="AW12" s="4" t="str">
        <f aca="false">IF($A12="","",IF(UPPER($E12)="YES","Strategic","Non-strategic"))</f>
        <v>Strategic</v>
      </c>
      <c r="AX12" s="4" t="n">
        <f aca="false">IF($A12="","",COUNTIFS(Fact_Work!$C:$C,$A12))</f>
        <v>1</v>
      </c>
      <c r="AY12" s="4" t="str">
        <f aca="false">IF($A12="","",IF(AX12=0,"Not seen",IF(AX12&gt;=Constants!$B$13*0.6,"Daily",IF(AX12&gt;=Constants!$B$13*0.12,"Weekly","Monthly or ad hoc"))))</f>
        <v>Weekly</v>
      </c>
      <c r="AZ12" s="22" t="n">
        <f aca="false">IF($A12="","",IFERROR(VLOOKUP($U12,Dim_TOP!$A:$H,8,0),""))</f>
        <v>11.7166666666667</v>
      </c>
      <c r="BA12" s="28" t="n">
        <f aca="false">IF($A12="","",IFERROR(ROUND((AH12-AZ12)*60,0),""))</f>
        <v>31</v>
      </c>
      <c r="BB12" s="4" t="str">
        <f aca="false">IF($A12="","",IF(BA12="","",IF(BA12&lt;=0,"Sets the deadline","Later than peers by "&amp;BA12&amp;" min")))</f>
        <v>Later than peers by 31 min</v>
      </c>
      <c r="BC12" s="29" t="n">
        <f aca="false">IF($A12="","",IF($U12="",0,IF(COUNTIFS($U$2:$U12,$U12,$C$2:$C12,$C12)=1,1,0)))</f>
        <v>1</v>
      </c>
      <c r="BD12" s="10" t="str">
        <f aca="false">IF($A12="","",IF(UPPER($P12)="YES","Yes","No"))</f>
        <v>Yes</v>
      </c>
      <c r="BE12" s="10" t="str">
        <f aca="false">IF($A12="","",IF($N12="No","n/a",IF(AM12&lt;=Constants!$B$17,"Yes","No")))</f>
        <v>No</v>
      </c>
      <c r="BF12" s="10" t="str">
        <f aca="false">IF($A12="","",IF($O12="No","n/a",IF(AN12&lt;=Constants!$B$17,"Yes","No")))</f>
        <v>No</v>
      </c>
      <c r="BG12" s="10" t="str">
        <f aca="false">IF($A12="","",IF($P12="No","n/a",IF(AO12&lt;=Constants!$B$17,"Yes","No")))</f>
        <v>No</v>
      </c>
      <c r="BH12" s="10" t="str">
        <f aca="false">IF($A12="","",IF($N12="No","No custody process",IF(BE12="Yes","Thin custody slack","Ample custody slack")))</f>
        <v>Ample custody slack</v>
      </c>
      <c r="BI12" s="30" t="n">
        <f aca="false">IF($A12="","",IF($N12="No","",AM12))</f>
        <v>510</v>
      </c>
      <c r="BJ12" s="30" t="n">
        <f aca="false">IF($A12="","",IF($O12="No","",AN12))</f>
        <v>437</v>
      </c>
      <c r="BK12" s="30" t="n">
        <f aca="false">IF($A12="","",IF($P12="No","",AO12))</f>
        <v>33</v>
      </c>
    </row>
    <row r="13" customFormat="false" ht="15" hidden="false" customHeight="true" outlineLevel="0" collapsed="false">
      <c r="A13" s="13" t="s">
        <v>350</v>
      </c>
      <c r="B13" s="13" t="s">
        <v>351</v>
      </c>
      <c r="C13" s="13" t="s">
        <v>326</v>
      </c>
      <c r="D13" s="13" t="s">
        <v>327</v>
      </c>
      <c r="E13" s="13" t="s">
        <v>314</v>
      </c>
      <c r="F13" s="13" t="s">
        <v>235</v>
      </c>
      <c r="G13" s="13" t="s">
        <v>339</v>
      </c>
      <c r="H13" s="27" t="n">
        <v>2.148</v>
      </c>
      <c r="I13" s="13" t="n">
        <v>0</v>
      </c>
      <c r="J13" s="13" t="n">
        <v>0</v>
      </c>
      <c r="K13" s="13" t="n">
        <v>0</v>
      </c>
      <c r="L13" s="13" t="n">
        <v>0</v>
      </c>
      <c r="M13" s="13" t="n">
        <v>0</v>
      </c>
      <c r="N13" s="13" t="s">
        <v>312</v>
      </c>
      <c r="O13" s="13" t="s">
        <v>312</v>
      </c>
      <c r="P13" s="13" t="s">
        <v>312</v>
      </c>
      <c r="Q13" s="20" t="n">
        <v>0.154637766203704</v>
      </c>
      <c r="R13" s="20" t="n">
        <v>0.227146747685185</v>
      </c>
      <c r="S13" s="20" t="n">
        <v>0.328320196759259</v>
      </c>
      <c r="T13" s="20" t="n">
        <v>0.484975243055556</v>
      </c>
      <c r="U13" s="13" t="s">
        <v>333</v>
      </c>
      <c r="V13" s="20" t="n">
        <v>0.626964050925926</v>
      </c>
      <c r="W13" s="20" t="n">
        <v>0.661547268518519</v>
      </c>
      <c r="X13" s="13" t="s">
        <v>241</v>
      </c>
      <c r="Y13" s="13" t="s">
        <v>323</v>
      </c>
      <c r="Z13" s="28" t="n">
        <f aca="false">IF($A13="","",Constants!$B$6+$I13*Constants!$B$7+$J13*Constants!$B$8+$K13*Constants!$B$9+$L13*Constants!$B$10+$M13*Constants!$B$11)</f>
        <v>60</v>
      </c>
      <c r="AA13" s="28" t="n">
        <f aca="false">IF($A13="","",100-Z13)</f>
        <v>40</v>
      </c>
      <c r="AB13" s="28" t="n">
        <f aca="false">IF($A13="","",ROUND($H13*Constants!$B$4,1))</f>
        <v>47.4</v>
      </c>
      <c r="AC13" s="28" t="n">
        <f aca="false">IF($A13="","",ROUND(AB13*Z13/100,1))</f>
        <v>28.4</v>
      </c>
      <c r="AD13" s="28" t="n">
        <f aca="false">IF($A13="","",ROUND(AB13*AA13/100,1))</f>
        <v>19</v>
      </c>
      <c r="AE13" s="22" t="n">
        <f aca="false">IF($A13="","",HOUR($Q13)+MINUTE($Q13)/60)</f>
        <v>3.7</v>
      </c>
      <c r="AF13" s="22" t="n">
        <f aca="false">IF($A13="","",HOUR($R13)+MINUTE($R13)/60)</f>
        <v>5.45</v>
      </c>
      <c r="AG13" s="22" t="n">
        <f aca="false">IF($A13="","",HOUR($S13)+MINUTE($S13)/60)</f>
        <v>7.86666666666667</v>
      </c>
      <c r="AH13" s="22" t="n">
        <f aca="false">IF($A13="","",HOUR($T13)+MINUTE($T13)/60)</f>
        <v>11.6333333333333</v>
      </c>
      <c r="AI13" s="22" t="n">
        <f aca="false">IF($A13="","",HOUR($V13)+MINUTE($V13)/60)</f>
        <v>15.0333333333333</v>
      </c>
      <c r="AJ13" s="22" t="n">
        <f aca="false">IF($A13="","",HOUR($W13)+MINUTE($W13)/60)</f>
        <v>15.8666666666667</v>
      </c>
      <c r="AK13" s="22" t="n">
        <f aca="false">IF($A13="","",VLOOKUP($F13,Dim_Team!$A:$F,6,0))</f>
        <v>9</v>
      </c>
      <c r="AL13" s="28" t="n">
        <f aca="false">IF($A13="","",VLOOKUP($X13,Dim_Signoff!$A:$C,3,0))</f>
        <v>0</v>
      </c>
      <c r="AM13" s="28" t="n">
        <f aca="false">IF($A13="","",IF($N13="No","n/a",ROUND((AH13-AE13)*60,0)))</f>
        <v>476</v>
      </c>
      <c r="AN13" s="28" t="n">
        <f aca="false">IF($A13="","",IF($O13="No","n/a",ROUND((AH13-AF13)*60,0)))</f>
        <v>371</v>
      </c>
      <c r="AO13" s="28" t="n">
        <f aca="false">IF($A13="","",IF($P13="No","n/a",ROUND((AH13-AG13)*60,0)))</f>
        <v>226</v>
      </c>
      <c r="AP13" s="28" t="n">
        <f aca="false">IF($A13="","",ROUND((AH13-AK13)*60,0))</f>
        <v>158</v>
      </c>
      <c r="AQ13" s="28" t="n">
        <f aca="false">IF($A13="","",ROUND((AI13-AH13)*60,0))</f>
        <v>204</v>
      </c>
      <c r="AR13" s="4" t="str">
        <f aca="false">IF($A13="","",IF(AP13&gt;=AC13,"Yes","No"))</f>
        <v>Yes</v>
      </c>
      <c r="AS13" s="4" t="str">
        <f aca="false">IF($A13="","",IF(AQ13&gt;=AD13+AL13,"Yes","No"))</f>
        <v>Yes</v>
      </c>
      <c r="AT13" s="4" t="str">
        <f aca="false">IF($A13="","",IF(AND(AR13="Yes",AS13="Yes"),"OK","REVIEW"))</f>
        <v>OK</v>
      </c>
      <c r="AU13" s="4" t="str">
        <f aca="false">IF($A13="","",IF($P13="No","Not applicable",IF(AO13&lt;Constants!$B$14,"CAPTURE","Not needed")))</f>
        <v>Not needed</v>
      </c>
      <c r="AV13" s="4" t="n">
        <f aca="false">IF($A13="","",IF($P13="No","n/a",RANK(AO13,AO:AO,1)))</f>
        <v>3</v>
      </c>
      <c r="AW13" s="4" t="str">
        <f aca="false">IF($A13="","",IF(UPPER($E13)="YES","Strategic","Non-strategic"))</f>
        <v>Non-strategic</v>
      </c>
      <c r="AX13" s="4" t="n">
        <f aca="false">IF($A13="","",COUNTIFS(Fact_Work!$C:$C,$A13))</f>
        <v>1</v>
      </c>
      <c r="AY13" s="4" t="str">
        <f aca="false">IF($A13="","",IF(AX13=0,"Not seen",IF(AX13&gt;=Constants!$B$13*0.6,"Daily",IF(AX13&gt;=Constants!$B$13*0.12,"Weekly","Monthly or ad hoc"))))</f>
        <v>Weekly</v>
      </c>
      <c r="AZ13" s="22" t="n">
        <f aca="false">IF($A13="","",IFERROR(VLOOKUP($U13,Dim_TOP!$A:$H,8,0),""))</f>
        <v>11.6333333333333</v>
      </c>
      <c r="BA13" s="28" t="n">
        <f aca="false">IF($A13="","",IFERROR(ROUND((AH13-AZ13)*60,0),""))</f>
        <v>0</v>
      </c>
      <c r="BB13" s="4" t="str">
        <f aca="false">IF($A13="","",IF(BA13="","",IF(BA13&lt;=0,"Sets the deadline","Later than peers by "&amp;BA13&amp;" min")))</f>
        <v>Sets the deadline</v>
      </c>
      <c r="BC13" s="29" t="n">
        <f aca="false">IF($A13="","",IF($U13="",0,IF(COUNTIFS($U$2:$U13,$U13,$C$2:$C13,$C13)=1,1,0)))</f>
        <v>1</v>
      </c>
      <c r="BD13" s="10" t="str">
        <f aca="false">IF($A13="","",IF(UPPER($P13)="YES","Yes","No"))</f>
        <v>Yes</v>
      </c>
      <c r="BE13" s="10" t="str">
        <f aca="false">IF($A13="","",IF($N13="No","n/a",IF(AM13&lt;=Constants!$B$17,"Yes","No")))</f>
        <v>No</v>
      </c>
      <c r="BF13" s="10" t="str">
        <f aca="false">IF($A13="","",IF($O13="No","n/a",IF(AN13&lt;=Constants!$B$17,"Yes","No")))</f>
        <v>No</v>
      </c>
      <c r="BG13" s="10" t="str">
        <f aca="false">IF($A13="","",IF($P13="No","n/a",IF(AO13&lt;=Constants!$B$17,"Yes","No")))</f>
        <v>No</v>
      </c>
      <c r="BH13" s="10" t="str">
        <f aca="false">IF($A13="","",IF($N13="No","No custody process",IF(BE13="Yes","Thin custody slack","Ample custody slack")))</f>
        <v>Ample custody slack</v>
      </c>
      <c r="BI13" s="30" t="n">
        <f aca="false">IF($A13="","",IF($N13="No","",AM13))</f>
        <v>476</v>
      </c>
      <c r="BJ13" s="30" t="n">
        <f aca="false">IF($A13="","",IF($O13="No","",AN13))</f>
        <v>371</v>
      </c>
      <c r="BK13" s="30" t="n">
        <f aca="false">IF($A13="","",IF($P13="No","",AO13))</f>
        <v>226</v>
      </c>
    </row>
    <row r="14" customFormat="false" ht="15" hidden="false" customHeight="true" outlineLevel="0" collapsed="false">
      <c r="Z14" s="28" t="str">
        <f aca="false">IF($A14="","",Constants!$B$6+$I14*Constants!$B$7+$J14*Constants!$B$8+$K14*Constants!$B$9+$L14*Constants!$B$10+$M14*Constants!$B$11)</f>
        <v/>
      </c>
      <c r="AA14" s="28" t="str">
        <f aca="false">IF($A14="","",100-Z14)</f>
        <v/>
      </c>
      <c r="AB14" s="28" t="str">
        <f aca="false">IF($A14="","",ROUND($H14*Constants!$B$4,1))</f>
        <v/>
      </c>
      <c r="AC14" s="28" t="str">
        <f aca="false">IF($A14="","",ROUND(AB14*Z14/100,1))</f>
        <v/>
      </c>
      <c r="AD14" s="28" t="str">
        <f aca="false">IF($A14="","",ROUND(AB14*AA14/100,1))</f>
        <v/>
      </c>
      <c r="AE14" s="22" t="str">
        <f aca="false">IF($A14="","",HOUR($Q14)+MINUTE($Q14)/60)</f>
        <v/>
      </c>
      <c r="AF14" s="22" t="str">
        <f aca="false">IF($A14="","",HOUR($R14)+MINUTE($R14)/60)</f>
        <v/>
      </c>
      <c r="AG14" s="22" t="str">
        <f aca="false">IF($A14="","",HOUR($S14)+MINUTE($S14)/60)</f>
        <v/>
      </c>
      <c r="AH14" s="22" t="str">
        <f aca="false">IF($A14="","",HOUR($T14)+MINUTE($T14)/60)</f>
        <v/>
      </c>
      <c r="AI14" s="22" t="str">
        <f aca="false">IF($A14="","",HOUR($V14)+MINUTE($V14)/60)</f>
        <v/>
      </c>
      <c r="AJ14" s="22" t="str">
        <f aca="false">IF($A14="","",HOUR($W14)+MINUTE($W14)/60)</f>
        <v/>
      </c>
      <c r="AK14" s="22" t="str">
        <f aca="false">IF($A14="","",VLOOKUP($F14,Dim_Team!$A:$F,6,0))</f>
        <v/>
      </c>
      <c r="AL14" s="28" t="str">
        <f aca="false">IF($A14="","",VLOOKUP($X14,Dim_Signoff!$A:$C,3,0))</f>
        <v/>
      </c>
      <c r="AM14" s="28" t="str">
        <f aca="false">IF($A14="","",IF($N14="No","n/a",ROUND((AH14-AE14)*60,0)))</f>
        <v/>
      </c>
      <c r="AN14" s="28" t="str">
        <f aca="false">IF($A14="","",IF($O14="No","n/a",ROUND((AH14-AF14)*60,0)))</f>
        <v/>
      </c>
      <c r="AO14" s="28" t="str">
        <f aca="false">IF($A14="","",IF($P14="No","n/a",ROUND((AH14-AG14)*60,0)))</f>
        <v/>
      </c>
      <c r="AP14" s="28" t="str">
        <f aca="false">IF($A14="","",ROUND((AH14-AK14)*60,0))</f>
        <v/>
      </c>
      <c r="AQ14" s="28" t="str">
        <f aca="false">IF($A14="","",ROUND((AI14-AH14)*60,0))</f>
        <v/>
      </c>
      <c r="AR14" s="4" t="str">
        <f aca="false">IF($A14="","",IF(AP14&gt;=AC14,"Yes","No"))</f>
        <v/>
      </c>
      <c r="AS14" s="4" t="str">
        <f aca="false">IF($A14="","",IF(AQ14&gt;=AD14+AL14,"Yes","No"))</f>
        <v/>
      </c>
      <c r="AT14" s="4" t="str">
        <f aca="false">IF($A14="","",IF(AND(AR14="Yes",AS14="Yes"),"OK","REVIEW"))</f>
        <v/>
      </c>
      <c r="AU14" s="4" t="str">
        <f aca="false">IF($A14="","",IF($P14="No","Not applicable",IF(AO14&lt;Constants!$B$14,"CAPTURE","Not needed")))</f>
        <v/>
      </c>
      <c r="AV14" s="4" t="str">
        <f aca="false">IF($A14="","",IF($P14="No","n/a",RANK(AO14,AO:AO,1)))</f>
        <v/>
      </c>
      <c r="AW14" s="4" t="str">
        <f aca="false">IF($A14="","",IF(UPPER($E14)="YES","Strategic","Non-strategic"))</f>
        <v/>
      </c>
      <c r="AX14" s="4" t="str">
        <f aca="false">IF($A14="","",COUNTIFS(Fact_Work!$C:$C,$A14))</f>
        <v/>
      </c>
      <c r="AY14" s="4" t="str">
        <f aca="false">IF($A14="","",IF(AX14=0,"Not seen",IF(AX14&gt;=Constants!$B$13*0.6,"Daily",IF(AX14&gt;=Constants!$B$13*0.12,"Weekly","Monthly or ad hoc"))))</f>
        <v/>
      </c>
      <c r="AZ14" s="22" t="str">
        <f aca="false">IF($A14="","",IFERROR(VLOOKUP($U14,Dim_TOP!$A:$H,8,0),""))</f>
        <v/>
      </c>
      <c r="BA14" s="28" t="str">
        <f aca="false">IF($A14="","",IFERROR(ROUND((AH14-AZ14)*60,0),""))</f>
        <v/>
      </c>
      <c r="BB14" s="4" t="str">
        <f aca="false">IF($A14="","",IF(BA14="","",IF(BA14&lt;=0,"Sets the deadline","Later than peers by "&amp;BA14&amp;" min")))</f>
        <v/>
      </c>
      <c r="BC14" s="29" t="str">
        <f aca="false">IF($A14="","",IF($U14="",0,IF(COUNTIFS($U$2:$U14,$U14,$C$2:$C14,$C14)=1,1,0)))</f>
        <v/>
      </c>
      <c r="BD14" s="10" t="str">
        <f aca="false">IF($A14="","",IF(UPPER($P14)="YES","Yes","No"))</f>
        <v/>
      </c>
      <c r="BE14" s="10" t="str">
        <f aca="false">IF($A14="","",IF($N14="No","n/a",IF(AM14&lt;=Constants!$B$17,"Yes","No")))</f>
        <v/>
      </c>
      <c r="BF14" s="10" t="str">
        <f aca="false">IF($A14="","",IF($O14="No","n/a",IF(AN14&lt;=Constants!$B$17,"Yes","No")))</f>
        <v/>
      </c>
      <c r="BG14" s="10" t="str">
        <f aca="false">IF($A14="","",IF($P14="No","n/a",IF(AO14&lt;=Constants!$B$17,"Yes","No")))</f>
        <v/>
      </c>
      <c r="BH14" s="10" t="str">
        <f aca="false">IF($A14="","",IF($N14="No","No custody process",IF(BE14="Yes","Thin custody slack","Ample custody slack")))</f>
        <v/>
      </c>
      <c r="BI14" s="30" t="str">
        <f aca="false">IF($A14="","",IF($N14="No","",AM14))</f>
        <v/>
      </c>
      <c r="BJ14" s="30" t="str">
        <f aca="false">IF($A14="","",IF($O14="No","",AN14))</f>
        <v/>
      </c>
      <c r="BK14" s="30" t="str">
        <f aca="false">IF($A14="","",IF($P14="No","",AO14))</f>
        <v/>
      </c>
    </row>
    <row r="15" customFormat="false" ht="15" hidden="false" customHeight="true" outlineLevel="0" collapsed="false">
      <c r="Z15" s="28" t="str">
        <f aca="false">IF($A15="","",Constants!$B$6+$I15*Constants!$B$7+$J15*Constants!$B$8+$K15*Constants!$B$9+$L15*Constants!$B$10+$M15*Constants!$B$11)</f>
        <v/>
      </c>
      <c r="AA15" s="28" t="str">
        <f aca="false">IF($A15="","",100-Z15)</f>
        <v/>
      </c>
      <c r="AB15" s="28" t="str">
        <f aca="false">IF($A15="","",ROUND($H15*Constants!$B$4,1))</f>
        <v/>
      </c>
      <c r="AC15" s="28" t="str">
        <f aca="false">IF($A15="","",ROUND(AB15*Z15/100,1))</f>
        <v/>
      </c>
      <c r="AD15" s="28" t="str">
        <f aca="false">IF($A15="","",ROUND(AB15*AA15/100,1))</f>
        <v/>
      </c>
      <c r="AE15" s="22" t="str">
        <f aca="false">IF($A15="","",HOUR($Q15)+MINUTE($Q15)/60)</f>
        <v/>
      </c>
      <c r="AF15" s="22" t="str">
        <f aca="false">IF($A15="","",HOUR($R15)+MINUTE($R15)/60)</f>
        <v/>
      </c>
      <c r="AG15" s="22" t="str">
        <f aca="false">IF($A15="","",HOUR($S15)+MINUTE($S15)/60)</f>
        <v/>
      </c>
      <c r="AH15" s="22" t="str">
        <f aca="false">IF($A15="","",HOUR($T15)+MINUTE($T15)/60)</f>
        <v/>
      </c>
      <c r="AI15" s="22" t="str">
        <f aca="false">IF($A15="","",HOUR($V15)+MINUTE($V15)/60)</f>
        <v/>
      </c>
      <c r="AJ15" s="22" t="str">
        <f aca="false">IF($A15="","",HOUR($W15)+MINUTE($W15)/60)</f>
        <v/>
      </c>
      <c r="AK15" s="22" t="str">
        <f aca="false">IF($A15="","",VLOOKUP($F15,Dim_Team!$A:$F,6,0))</f>
        <v/>
      </c>
      <c r="AL15" s="28" t="str">
        <f aca="false">IF($A15="","",VLOOKUP($X15,Dim_Signoff!$A:$C,3,0))</f>
        <v/>
      </c>
      <c r="AM15" s="28" t="str">
        <f aca="false">IF($A15="","",IF($N15="No","n/a",ROUND((AH15-AE15)*60,0)))</f>
        <v/>
      </c>
      <c r="AN15" s="28" t="str">
        <f aca="false">IF($A15="","",IF($O15="No","n/a",ROUND((AH15-AF15)*60,0)))</f>
        <v/>
      </c>
      <c r="AO15" s="28" t="str">
        <f aca="false">IF($A15="","",IF($P15="No","n/a",ROUND((AH15-AG15)*60,0)))</f>
        <v/>
      </c>
      <c r="AP15" s="28" t="str">
        <f aca="false">IF($A15="","",ROUND((AH15-AK15)*60,0))</f>
        <v/>
      </c>
      <c r="AQ15" s="28" t="str">
        <f aca="false">IF($A15="","",ROUND((AI15-AH15)*60,0))</f>
        <v/>
      </c>
      <c r="AR15" s="4" t="str">
        <f aca="false">IF($A15="","",IF(AP15&gt;=AC15,"Yes","No"))</f>
        <v/>
      </c>
      <c r="AS15" s="4" t="str">
        <f aca="false">IF($A15="","",IF(AQ15&gt;=AD15+AL15,"Yes","No"))</f>
        <v/>
      </c>
      <c r="AT15" s="4" t="str">
        <f aca="false">IF($A15="","",IF(AND(AR15="Yes",AS15="Yes"),"OK","REVIEW"))</f>
        <v/>
      </c>
      <c r="AU15" s="4" t="str">
        <f aca="false">IF($A15="","",IF($P15="No","Not applicable",IF(AO15&lt;Constants!$B$14,"CAPTURE","Not needed")))</f>
        <v/>
      </c>
      <c r="AV15" s="4" t="str">
        <f aca="false">IF($A15="","",IF($P15="No","n/a",RANK(AO15,AO:AO,1)))</f>
        <v/>
      </c>
      <c r="AW15" s="4" t="str">
        <f aca="false">IF($A15="","",IF(UPPER($E15)="YES","Strategic","Non-strategic"))</f>
        <v/>
      </c>
      <c r="AX15" s="4" t="str">
        <f aca="false">IF($A15="","",COUNTIFS(Fact_Work!$C:$C,$A15))</f>
        <v/>
      </c>
      <c r="AY15" s="4" t="str">
        <f aca="false">IF($A15="","",IF(AX15=0,"Not seen",IF(AX15&gt;=Constants!$B$13*0.6,"Daily",IF(AX15&gt;=Constants!$B$13*0.12,"Weekly","Monthly or ad hoc"))))</f>
        <v/>
      </c>
      <c r="AZ15" s="22" t="str">
        <f aca="false">IF($A15="","",IFERROR(VLOOKUP($U15,Dim_TOP!$A:$H,8,0),""))</f>
        <v/>
      </c>
      <c r="BA15" s="28" t="str">
        <f aca="false">IF($A15="","",IFERROR(ROUND((AH15-AZ15)*60,0),""))</f>
        <v/>
      </c>
      <c r="BB15" s="4" t="str">
        <f aca="false">IF($A15="","",IF(BA15="","",IF(BA15&lt;=0,"Sets the deadline","Later than peers by "&amp;BA15&amp;" min")))</f>
        <v/>
      </c>
      <c r="BC15" s="29" t="str">
        <f aca="false">IF($A15="","",IF($U15="",0,IF(COUNTIFS($U$2:$U15,$U15,$C$2:$C15,$C15)=1,1,0)))</f>
        <v/>
      </c>
      <c r="BD15" s="10" t="str">
        <f aca="false">IF($A15="","",IF(UPPER($P15)="YES","Yes","No"))</f>
        <v/>
      </c>
      <c r="BE15" s="10" t="str">
        <f aca="false">IF($A15="","",IF($N15="No","n/a",IF(AM15&lt;=Constants!$B$17,"Yes","No")))</f>
        <v/>
      </c>
      <c r="BF15" s="10" t="str">
        <f aca="false">IF($A15="","",IF($O15="No","n/a",IF(AN15&lt;=Constants!$B$17,"Yes","No")))</f>
        <v/>
      </c>
      <c r="BG15" s="10" t="str">
        <f aca="false">IF($A15="","",IF($P15="No","n/a",IF(AO15&lt;=Constants!$B$17,"Yes","No")))</f>
        <v/>
      </c>
      <c r="BH15" s="10" t="str">
        <f aca="false">IF($A15="","",IF($N15="No","No custody process",IF(BE15="Yes","Thin custody slack","Ample custody slack")))</f>
        <v/>
      </c>
      <c r="BI15" s="30" t="str">
        <f aca="false">IF($A15="","",IF($N15="No","",AM15))</f>
        <v/>
      </c>
      <c r="BJ15" s="30" t="str">
        <f aca="false">IF($A15="","",IF($O15="No","",AN15))</f>
        <v/>
      </c>
      <c r="BK15" s="30" t="str">
        <f aca="false">IF($A15="","",IF($P15="No","",AO15))</f>
        <v/>
      </c>
    </row>
    <row r="16" customFormat="false" ht="15" hidden="false" customHeight="true" outlineLevel="0" collapsed="false">
      <c r="Z16" s="28" t="str">
        <f aca="false">IF($A16="","",Constants!$B$6+$I16*Constants!$B$7+$J16*Constants!$B$8+$K16*Constants!$B$9+$L16*Constants!$B$10+$M16*Constants!$B$11)</f>
        <v/>
      </c>
      <c r="AA16" s="28" t="str">
        <f aca="false">IF($A16="","",100-Z16)</f>
        <v/>
      </c>
      <c r="AB16" s="28" t="str">
        <f aca="false">IF($A16="","",ROUND($H16*Constants!$B$4,1))</f>
        <v/>
      </c>
      <c r="AC16" s="28" t="str">
        <f aca="false">IF($A16="","",ROUND(AB16*Z16/100,1))</f>
        <v/>
      </c>
      <c r="AD16" s="28" t="str">
        <f aca="false">IF($A16="","",ROUND(AB16*AA16/100,1))</f>
        <v/>
      </c>
      <c r="AE16" s="22" t="str">
        <f aca="false">IF($A16="","",HOUR($Q16)+MINUTE($Q16)/60)</f>
        <v/>
      </c>
      <c r="AF16" s="22" t="str">
        <f aca="false">IF($A16="","",HOUR($R16)+MINUTE($R16)/60)</f>
        <v/>
      </c>
      <c r="AG16" s="22" t="str">
        <f aca="false">IF($A16="","",HOUR($S16)+MINUTE($S16)/60)</f>
        <v/>
      </c>
      <c r="AH16" s="22" t="str">
        <f aca="false">IF($A16="","",HOUR($T16)+MINUTE($T16)/60)</f>
        <v/>
      </c>
      <c r="AI16" s="22" t="str">
        <f aca="false">IF($A16="","",HOUR($V16)+MINUTE($V16)/60)</f>
        <v/>
      </c>
      <c r="AJ16" s="22" t="str">
        <f aca="false">IF($A16="","",HOUR($W16)+MINUTE($W16)/60)</f>
        <v/>
      </c>
      <c r="AK16" s="22" t="str">
        <f aca="false">IF($A16="","",VLOOKUP($F16,Dim_Team!$A:$F,6,0))</f>
        <v/>
      </c>
      <c r="AL16" s="28" t="str">
        <f aca="false">IF($A16="","",VLOOKUP($X16,Dim_Signoff!$A:$C,3,0))</f>
        <v/>
      </c>
      <c r="AM16" s="28" t="str">
        <f aca="false">IF($A16="","",IF($N16="No","n/a",ROUND((AH16-AE16)*60,0)))</f>
        <v/>
      </c>
      <c r="AN16" s="28" t="str">
        <f aca="false">IF($A16="","",IF($O16="No","n/a",ROUND((AH16-AF16)*60,0)))</f>
        <v/>
      </c>
      <c r="AO16" s="28" t="str">
        <f aca="false">IF($A16="","",IF($P16="No","n/a",ROUND((AH16-AG16)*60,0)))</f>
        <v/>
      </c>
      <c r="AP16" s="28" t="str">
        <f aca="false">IF($A16="","",ROUND((AH16-AK16)*60,0))</f>
        <v/>
      </c>
      <c r="AQ16" s="28" t="str">
        <f aca="false">IF($A16="","",ROUND((AI16-AH16)*60,0))</f>
        <v/>
      </c>
      <c r="AR16" s="4" t="str">
        <f aca="false">IF($A16="","",IF(AP16&gt;=AC16,"Yes","No"))</f>
        <v/>
      </c>
      <c r="AS16" s="4" t="str">
        <f aca="false">IF($A16="","",IF(AQ16&gt;=AD16+AL16,"Yes","No"))</f>
        <v/>
      </c>
      <c r="AT16" s="4" t="str">
        <f aca="false">IF($A16="","",IF(AND(AR16="Yes",AS16="Yes"),"OK","REVIEW"))</f>
        <v/>
      </c>
      <c r="AU16" s="4" t="str">
        <f aca="false">IF($A16="","",IF($P16="No","Not applicable",IF(AO16&lt;Constants!$B$14,"CAPTURE","Not needed")))</f>
        <v/>
      </c>
      <c r="AV16" s="4" t="str">
        <f aca="false">IF($A16="","",IF($P16="No","n/a",RANK(AO16,AO:AO,1)))</f>
        <v/>
      </c>
      <c r="AW16" s="4" t="str">
        <f aca="false">IF($A16="","",IF(UPPER($E16)="YES","Strategic","Non-strategic"))</f>
        <v/>
      </c>
      <c r="AX16" s="4" t="str">
        <f aca="false">IF($A16="","",COUNTIFS(Fact_Work!$C:$C,$A16))</f>
        <v/>
      </c>
      <c r="AY16" s="4" t="str">
        <f aca="false">IF($A16="","",IF(AX16=0,"Not seen",IF(AX16&gt;=Constants!$B$13*0.6,"Daily",IF(AX16&gt;=Constants!$B$13*0.12,"Weekly","Monthly or ad hoc"))))</f>
        <v/>
      </c>
      <c r="AZ16" s="22" t="str">
        <f aca="false">IF($A16="","",IFERROR(VLOOKUP($U16,Dim_TOP!$A:$H,8,0),""))</f>
        <v/>
      </c>
      <c r="BA16" s="28" t="str">
        <f aca="false">IF($A16="","",IFERROR(ROUND((AH16-AZ16)*60,0),""))</f>
        <v/>
      </c>
      <c r="BB16" s="4" t="str">
        <f aca="false">IF($A16="","",IF(BA16="","",IF(BA16&lt;=0,"Sets the deadline","Later than peers by "&amp;BA16&amp;" min")))</f>
        <v/>
      </c>
      <c r="BC16" s="29" t="str">
        <f aca="false">IF($A16="","",IF($U16="",0,IF(COUNTIFS($U$2:$U16,$U16,$C$2:$C16,$C16)=1,1,0)))</f>
        <v/>
      </c>
      <c r="BD16" s="10" t="str">
        <f aca="false">IF($A16="","",IF(UPPER($P16)="YES","Yes","No"))</f>
        <v/>
      </c>
      <c r="BE16" s="10" t="str">
        <f aca="false">IF($A16="","",IF($N16="No","n/a",IF(AM16&lt;=Constants!$B$17,"Yes","No")))</f>
        <v/>
      </c>
      <c r="BF16" s="10" t="str">
        <f aca="false">IF($A16="","",IF($O16="No","n/a",IF(AN16&lt;=Constants!$B$17,"Yes","No")))</f>
        <v/>
      </c>
      <c r="BG16" s="10" t="str">
        <f aca="false">IF($A16="","",IF($P16="No","n/a",IF(AO16&lt;=Constants!$B$17,"Yes","No")))</f>
        <v/>
      </c>
      <c r="BH16" s="10" t="str">
        <f aca="false">IF($A16="","",IF($N16="No","No custody process",IF(BE16="Yes","Thin custody slack","Ample custody slack")))</f>
        <v/>
      </c>
      <c r="BI16" s="30" t="str">
        <f aca="false">IF($A16="","",IF($N16="No","",AM16))</f>
        <v/>
      </c>
      <c r="BJ16" s="30" t="str">
        <f aca="false">IF($A16="","",IF($O16="No","",AN16))</f>
        <v/>
      </c>
      <c r="BK16" s="30" t="str">
        <f aca="false">IF($A16="","",IF($P16="No","",AO16))</f>
        <v/>
      </c>
    </row>
    <row r="17" customFormat="false" ht="15" hidden="false" customHeight="true" outlineLevel="0" collapsed="false">
      <c r="Z17" s="28" t="str">
        <f aca="false">IF($A17="","",Constants!$B$6+$I17*Constants!$B$7+$J17*Constants!$B$8+$K17*Constants!$B$9+$L17*Constants!$B$10+$M17*Constants!$B$11)</f>
        <v/>
      </c>
      <c r="AA17" s="28" t="str">
        <f aca="false">IF($A17="","",100-Z17)</f>
        <v/>
      </c>
      <c r="AB17" s="28" t="str">
        <f aca="false">IF($A17="","",ROUND($H17*Constants!$B$4,1))</f>
        <v/>
      </c>
      <c r="AC17" s="28" t="str">
        <f aca="false">IF($A17="","",ROUND(AB17*Z17/100,1))</f>
        <v/>
      </c>
      <c r="AD17" s="28" t="str">
        <f aca="false">IF($A17="","",ROUND(AB17*AA17/100,1))</f>
        <v/>
      </c>
      <c r="AE17" s="22" t="str">
        <f aca="false">IF($A17="","",HOUR($Q17)+MINUTE($Q17)/60)</f>
        <v/>
      </c>
      <c r="AF17" s="22" t="str">
        <f aca="false">IF($A17="","",HOUR($R17)+MINUTE($R17)/60)</f>
        <v/>
      </c>
      <c r="AG17" s="22" t="str">
        <f aca="false">IF($A17="","",HOUR($S17)+MINUTE($S17)/60)</f>
        <v/>
      </c>
      <c r="AH17" s="22" t="str">
        <f aca="false">IF($A17="","",HOUR($T17)+MINUTE($T17)/60)</f>
        <v/>
      </c>
      <c r="AI17" s="22" t="str">
        <f aca="false">IF($A17="","",HOUR($V17)+MINUTE($V17)/60)</f>
        <v/>
      </c>
      <c r="AJ17" s="22" t="str">
        <f aca="false">IF($A17="","",HOUR($W17)+MINUTE($W17)/60)</f>
        <v/>
      </c>
      <c r="AK17" s="22" t="str">
        <f aca="false">IF($A17="","",VLOOKUP($F17,Dim_Team!$A:$F,6,0))</f>
        <v/>
      </c>
      <c r="AL17" s="28" t="str">
        <f aca="false">IF($A17="","",VLOOKUP($X17,Dim_Signoff!$A:$C,3,0))</f>
        <v/>
      </c>
      <c r="AM17" s="28" t="str">
        <f aca="false">IF($A17="","",IF($N17="No","n/a",ROUND((AH17-AE17)*60,0)))</f>
        <v/>
      </c>
      <c r="AN17" s="28" t="str">
        <f aca="false">IF($A17="","",IF($O17="No","n/a",ROUND((AH17-AF17)*60,0)))</f>
        <v/>
      </c>
      <c r="AO17" s="28" t="str">
        <f aca="false">IF($A17="","",IF($P17="No","n/a",ROUND((AH17-AG17)*60,0)))</f>
        <v/>
      </c>
      <c r="AP17" s="28" t="str">
        <f aca="false">IF($A17="","",ROUND((AH17-AK17)*60,0))</f>
        <v/>
      </c>
      <c r="AQ17" s="28" t="str">
        <f aca="false">IF($A17="","",ROUND((AI17-AH17)*60,0))</f>
        <v/>
      </c>
      <c r="AR17" s="4" t="str">
        <f aca="false">IF($A17="","",IF(AP17&gt;=AC17,"Yes","No"))</f>
        <v/>
      </c>
      <c r="AS17" s="4" t="str">
        <f aca="false">IF($A17="","",IF(AQ17&gt;=AD17+AL17,"Yes","No"))</f>
        <v/>
      </c>
      <c r="AT17" s="4" t="str">
        <f aca="false">IF($A17="","",IF(AND(AR17="Yes",AS17="Yes"),"OK","REVIEW"))</f>
        <v/>
      </c>
      <c r="AU17" s="4" t="str">
        <f aca="false">IF($A17="","",IF($P17="No","Not applicable",IF(AO17&lt;Constants!$B$14,"CAPTURE","Not needed")))</f>
        <v/>
      </c>
      <c r="AV17" s="4" t="str">
        <f aca="false">IF($A17="","",IF($P17="No","n/a",RANK(AO17,AO:AO,1)))</f>
        <v/>
      </c>
      <c r="AW17" s="4" t="str">
        <f aca="false">IF($A17="","",IF(UPPER($E17)="YES","Strategic","Non-strategic"))</f>
        <v/>
      </c>
      <c r="AX17" s="4" t="str">
        <f aca="false">IF($A17="","",COUNTIFS(Fact_Work!$C:$C,$A17))</f>
        <v/>
      </c>
      <c r="AY17" s="4" t="str">
        <f aca="false">IF($A17="","",IF(AX17=0,"Not seen",IF(AX17&gt;=Constants!$B$13*0.6,"Daily",IF(AX17&gt;=Constants!$B$13*0.12,"Weekly","Monthly or ad hoc"))))</f>
        <v/>
      </c>
      <c r="AZ17" s="22" t="str">
        <f aca="false">IF($A17="","",IFERROR(VLOOKUP($U17,Dim_TOP!$A:$H,8,0),""))</f>
        <v/>
      </c>
      <c r="BA17" s="28" t="str">
        <f aca="false">IF($A17="","",IFERROR(ROUND((AH17-AZ17)*60,0),""))</f>
        <v/>
      </c>
      <c r="BB17" s="4" t="str">
        <f aca="false">IF($A17="","",IF(BA17="","",IF(BA17&lt;=0,"Sets the deadline","Later than peers by "&amp;BA17&amp;" min")))</f>
        <v/>
      </c>
      <c r="BC17" s="29" t="str">
        <f aca="false">IF($A17="","",IF($U17="",0,IF(COUNTIFS($U$2:$U17,$U17,$C$2:$C17,$C17)=1,1,0)))</f>
        <v/>
      </c>
      <c r="BD17" s="10" t="str">
        <f aca="false">IF($A17="","",IF(UPPER($P17)="YES","Yes","No"))</f>
        <v/>
      </c>
      <c r="BE17" s="10" t="str">
        <f aca="false">IF($A17="","",IF($N17="No","n/a",IF(AM17&lt;=Constants!$B$17,"Yes","No")))</f>
        <v/>
      </c>
      <c r="BF17" s="10" t="str">
        <f aca="false">IF($A17="","",IF($O17="No","n/a",IF(AN17&lt;=Constants!$B$17,"Yes","No")))</f>
        <v/>
      </c>
      <c r="BG17" s="10" t="str">
        <f aca="false">IF($A17="","",IF($P17="No","n/a",IF(AO17&lt;=Constants!$B$17,"Yes","No")))</f>
        <v/>
      </c>
      <c r="BH17" s="10" t="str">
        <f aca="false">IF($A17="","",IF($N17="No","No custody process",IF(BE17="Yes","Thin custody slack","Ample custody slack")))</f>
        <v/>
      </c>
      <c r="BI17" s="30" t="str">
        <f aca="false">IF($A17="","",IF($N17="No","",AM17))</f>
        <v/>
      </c>
      <c r="BJ17" s="30" t="str">
        <f aca="false">IF($A17="","",IF($O17="No","",AN17))</f>
        <v/>
      </c>
      <c r="BK17" s="30" t="str">
        <f aca="false">IF($A17="","",IF($P17="No","",AO17))</f>
        <v/>
      </c>
    </row>
    <row r="18" customFormat="false" ht="15" hidden="false" customHeight="true" outlineLevel="0" collapsed="false">
      <c r="Z18" s="28" t="str">
        <f aca="false">IF($A18="","",Constants!$B$6+$I18*Constants!$B$7+$J18*Constants!$B$8+$K18*Constants!$B$9+$L18*Constants!$B$10+$M18*Constants!$B$11)</f>
        <v/>
      </c>
      <c r="AA18" s="28" t="str">
        <f aca="false">IF($A18="","",100-Z18)</f>
        <v/>
      </c>
      <c r="AB18" s="28" t="str">
        <f aca="false">IF($A18="","",ROUND($H18*Constants!$B$4,1))</f>
        <v/>
      </c>
      <c r="AC18" s="28" t="str">
        <f aca="false">IF($A18="","",ROUND(AB18*Z18/100,1))</f>
        <v/>
      </c>
      <c r="AD18" s="28" t="str">
        <f aca="false">IF($A18="","",ROUND(AB18*AA18/100,1))</f>
        <v/>
      </c>
      <c r="AE18" s="22" t="str">
        <f aca="false">IF($A18="","",HOUR($Q18)+MINUTE($Q18)/60)</f>
        <v/>
      </c>
      <c r="AF18" s="22" t="str">
        <f aca="false">IF($A18="","",HOUR($R18)+MINUTE($R18)/60)</f>
        <v/>
      </c>
      <c r="AG18" s="22" t="str">
        <f aca="false">IF($A18="","",HOUR($S18)+MINUTE($S18)/60)</f>
        <v/>
      </c>
      <c r="AH18" s="22" t="str">
        <f aca="false">IF($A18="","",HOUR($T18)+MINUTE($T18)/60)</f>
        <v/>
      </c>
      <c r="AI18" s="22" t="str">
        <f aca="false">IF($A18="","",HOUR($V18)+MINUTE($V18)/60)</f>
        <v/>
      </c>
      <c r="AJ18" s="22" t="str">
        <f aca="false">IF($A18="","",HOUR($W18)+MINUTE($W18)/60)</f>
        <v/>
      </c>
      <c r="AK18" s="22" t="str">
        <f aca="false">IF($A18="","",VLOOKUP($F18,Dim_Team!$A:$F,6,0))</f>
        <v/>
      </c>
      <c r="AL18" s="28" t="str">
        <f aca="false">IF($A18="","",VLOOKUP($X18,Dim_Signoff!$A:$C,3,0))</f>
        <v/>
      </c>
      <c r="AM18" s="28" t="str">
        <f aca="false">IF($A18="","",IF($N18="No","n/a",ROUND((AH18-AE18)*60,0)))</f>
        <v/>
      </c>
      <c r="AN18" s="28" t="str">
        <f aca="false">IF($A18="","",IF($O18="No","n/a",ROUND((AH18-AF18)*60,0)))</f>
        <v/>
      </c>
      <c r="AO18" s="28" t="str">
        <f aca="false">IF($A18="","",IF($P18="No","n/a",ROUND((AH18-AG18)*60,0)))</f>
        <v/>
      </c>
      <c r="AP18" s="28" t="str">
        <f aca="false">IF($A18="","",ROUND((AH18-AK18)*60,0))</f>
        <v/>
      </c>
      <c r="AQ18" s="28" t="str">
        <f aca="false">IF($A18="","",ROUND((AI18-AH18)*60,0))</f>
        <v/>
      </c>
      <c r="AR18" s="4" t="str">
        <f aca="false">IF($A18="","",IF(AP18&gt;=AC18,"Yes","No"))</f>
        <v/>
      </c>
      <c r="AS18" s="4" t="str">
        <f aca="false">IF($A18="","",IF(AQ18&gt;=AD18+AL18,"Yes","No"))</f>
        <v/>
      </c>
      <c r="AT18" s="4" t="str">
        <f aca="false">IF($A18="","",IF(AND(AR18="Yes",AS18="Yes"),"OK","REVIEW"))</f>
        <v/>
      </c>
      <c r="AU18" s="4" t="str">
        <f aca="false">IF($A18="","",IF($P18="No","Not applicable",IF(AO18&lt;Constants!$B$14,"CAPTURE","Not needed")))</f>
        <v/>
      </c>
      <c r="AV18" s="4" t="str">
        <f aca="false">IF($A18="","",IF($P18="No","n/a",RANK(AO18,AO:AO,1)))</f>
        <v/>
      </c>
      <c r="AW18" s="4" t="str">
        <f aca="false">IF($A18="","",IF(UPPER($E18)="YES","Strategic","Non-strategic"))</f>
        <v/>
      </c>
      <c r="AX18" s="4" t="str">
        <f aca="false">IF($A18="","",COUNTIFS(Fact_Work!$C:$C,$A18))</f>
        <v/>
      </c>
      <c r="AY18" s="4" t="str">
        <f aca="false">IF($A18="","",IF(AX18=0,"Not seen",IF(AX18&gt;=Constants!$B$13*0.6,"Daily",IF(AX18&gt;=Constants!$B$13*0.12,"Weekly","Monthly or ad hoc"))))</f>
        <v/>
      </c>
      <c r="AZ18" s="22" t="str">
        <f aca="false">IF($A18="","",IFERROR(VLOOKUP($U18,Dim_TOP!$A:$H,8,0),""))</f>
        <v/>
      </c>
      <c r="BA18" s="28" t="str">
        <f aca="false">IF($A18="","",IFERROR(ROUND((AH18-AZ18)*60,0),""))</f>
        <v/>
      </c>
      <c r="BB18" s="4" t="str">
        <f aca="false">IF($A18="","",IF(BA18="","",IF(BA18&lt;=0,"Sets the deadline","Later than peers by "&amp;BA18&amp;" min")))</f>
        <v/>
      </c>
      <c r="BC18" s="29" t="str">
        <f aca="false">IF($A18="","",IF($U18="",0,IF(COUNTIFS($U$2:$U18,$U18,$C$2:$C18,$C18)=1,1,0)))</f>
        <v/>
      </c>
      <c r="BD18" s="10" t="str">
        <f aca="false">IF($A18="","",IF(UPPER($P18)="YES","Yes","No"))</f>
        <v/>
      </c>
      <c r="BE18" s="10" t="str">
        <f aca="false">IF($A18="","",IF($N18="No","n/a",IF(AM18&lt;=Constants!$B$17,"Yes","No")))</f>
        <v/>
      </c>
      <c r="BF18" s="10" t="str">
        <f aca="false">IF($A18="","",IF($O18="No","n/a",IF(AN18&lt;=Constants!$B$17,"Yes","No")))</f>
        <v/>
      </c>
      <c r="BG18" s="10" t="str">
        <f aca="false">IF($A18="","",IF($P18="No","n/a",IF(AO18&lt;=Constants!$B$17,"Yes","No")))</f>
        <v/>
      </c>
      <c r="BH18" s="10" t="str">
        <f aca="false">IF($A18="","",IF($N18="No","No custody process",IF(BE18="Yes","Thin custody slack","Ample custody slack")))</f>
        <v/>
      </c>
      <c r="BI18" s="30" t="str">
        <f aca="false">IF($A18="","",IF($N18="No","",AM18))</f>
        <v/>
      </c>
      <c r="BJ18" s="30" t="str">
        <f aca="false">IF($A18="","",IF($O18="No","",AN18))</f>
        <v/>
      </c>
      <c r="BK18" s="30" t="str">
        <f aca="false">IF($A18="","",IF($P18="No","",AO18))</f>
        <v/>
      </c>
    </row>
    <row r="19" customFormat="false" ht="15" hidden="false" customHeight="true" outlineLevel="0" collapsed="false">
      <c r="Z19" s="28" t="str">
        <f aca="false">IF($A19="","",Constants!$B$6+$I19*Constants!$B$7+$J19*Constants!$B$8+$K19*Constants!$B$9+$L19*Constants!$B$10+$M19*Constants!$B$11)</f>
        <v/>
      </c>
      <c r="AA19" s="28" t="str">
        <f aca="false">IF($A19="","",100-Z19)</f>
        <v/>
      </c>
      <c r="AB19" s="28" t="str">
        <f aca="false">IF($A19="","",ROUND($H19*Constants!$B$4,1))</f>
        <v/>
      </c>
      <c r="AC19" s="28" t="str">
        <f aca="false">IF($A19="","",ROUND(AB19*Z19/100,1))</f>
        <v/>
      </c>
      <c r="AD19" s="28" t="str">
        <f aca="false">IF($A19="","",ROUND(AB19*AA19/100,1))</f>
        <v/>
      </c>
      <c r="AE19" s="22" t="str">
        <f aca="false">IF($A19="","",HOUR($Q19)+MINUTE($Q19)/60)</f>
        <v/>
      </c>
      <c r="AF19" s="22" t="str">
        <f aca="false">IF($A19="","",HOUR($R19)+MINUTE($R19)/60)</f>
        <v/>
      </c>
      <c r="AG19" s="22" t="str">
        <f aca="false">IF($A19="","",HOUR($S19)+MINUTE($S19)/60)</f>
        <v/>
      </c>
      <c r="AH19" s="22" t="str">
        <f aca="false">IF($A19="","",HOUR($T19)+MINUTE($T19)/60)</f>
        <v/>
      </c>
      <c r="AI19" s="22" t="str">
        <f aca="false">IF($A19="","",HOUR($V19)+MINUTE($V19)/60)</f>
        <v/>
      </c>
      <c r="AJ19" s="22" t="str">
        <f aca="false">IF($A19="","",HOUR($W19)+MINUTE($W19)/60)</f>
        <v/>
      </c>
      <c r="AK19" s="22" t="str">
        <f aca="false">IF($A19="","",VLOOKUP($F19,Dim_Team!$A:$F,6,0))</f>
        <v/>
      </c>
      <c r="AL19" s="28" t="str">
        <f aca="false">IF($A19="","",VLOOKUP($X19,Dim_Signoff!$A:$C,3,0))</f>
        <v/>
      </c>
      <c r="AM19" s="28" t="str">
        <f aca="false">IF($A19="","",IF($N19="No","n/a",ROUND((AH19-AE19)*60,0)))</f>
        <v/>
      </c>
      <c r="AN19" s="28" t="str">
        <f aca="false">IF($A19="","",IF($O19="No","n/a",ROUND((AH19-AF19)*60,0)))</f>
        <v/>
      </c>
      <c r="AO19" s="28" t="str">
        <f aca="false">IF($A19="","",IF($P19="No","n/a",ROUND((AH19-AG19)*60,0)))</f>
        <v/>
      </c>
      <c r="AP19" s="28" t="str">
        <f aca="false">IF($A19="","",ROUND((AH19-AK19)*60,0))</f>
        <v/>
      </c>
      <c r="AQ19" s="28" t="str">
        <f aca="false">IF($A19="","",ROUND((AI19-AH19)*60,0))</f>
        <v/>
      </c>
      <c r="AR19" s="4" t="str">
        <f aca="false">IF($A19="","",IF(AP19&gt;=AC19,"Yes","No"))</f>
        <v/>
      </c>
      <c r="AS19" s="4" t="str">
        <f aca="false">IF($A19="","",IF(AQ19&gt;=AD19+AL19,"Yes","No"))</f>
        <v/>
      </c>
      <c r="AT19" s="4" t="str">
        <f aca="false">IF($A19="","",IF(AND(AR19="Yes",AS19="Yes"),"OK","REVIEW"))</f>
        <v/>
      </c>
      <c r="AU19" s="4" t="str">
        <f aca="false">IF($A19="","",IF($P19="No","Not applicable",IF(AO19&lt;Constants!$B$14,"CAPTURE","Not needed")))</f>
        <v/>
      </c>
      <c r="AV19" s="4" t="str">
        <f aca="false">IF($A19="","",IF($P19="No","n/a",RANK(AO19,AO:AO,1)))</f>
        <v/>
      </c>
      <c r="AW19" s="4" t="str">
        <f aca="false">IF($A19="","",IF(UPPER($E19)="YES","Strategic","Non-strategic"))</f>
        <v/>
      </c>
      <c r="AX19" s="4" t="str">
        <f aca="false">IF($A19="","",COUNTIFS(Fact_Work!$C:$C,$A19))</f>
        <v/>
      </c>
      <c r="AY19" s="4" t="str">
        <f aca="false">IF($A19="","",IF(AX19=0,"Not seen",IF(AX19&gt;=Constants!$B$13*0.6,"Daily",IF(AX19&gt;=Constants!$B$13*0.12,"Weekly","Monthly or ad hoc"))))</f>
        <v/>
      </c>
      <c r="AZ19" s="22" t="str">
        <f aca="false">IF($A19="","",IFERROR(VLOOKUP($U19,Dim_TOP!$A:$H,8,0),""))</f>
        <v/>
      </c>
      <c r="BA19" s="28" t="str">
        <f aca="false">IF($A19="","",IFERROR(ROUND((AH19-AZ19)*60,0),""))</f>
        <v/>
      </c>
      <c r="BB19" s="4" t="str">
        <f aca="false">IF($A19="","",IF(BA19="","",IF(BA19&lt;=0,"Sets the deadline","Later than peers by "&amp;BA19&amp;" min")))</f>
        <v/>
      </c>
      <c r="BC19" s="29" t="str">
        <f aca="false">IF($A19="","",IF($U19="",0,IF(COUNTIFS($U$2:$U19,$U19,$C$2:$C19,$C19)=1,1,0)))</f>
        <v/>
      </c>
      <c r="BD19" s="10" t="str">
        <f aca="false">IF($A19="","",IF(UPPER($P19)="YES","Yes","No"))</f>
        <v/>
      </c>
      <c r="BE19" s="10" t="str">
        <f aca="false">IF($A19="","",IF($N19="No","n/a",IF(AM19&lt;=Constants!$B$17,"Yes","No")))</f>
        <v/>
      </c>
      <c r="BF19" s="10" t="str">
        <f aca="false">IF($A19="","",IF($O19="No","n/a",IF(AN19&lt;=Constants!$B$17,"Yes","No")))</f>
        <v/>
      </c>
      <c r="BG19" s="10" t="str">
        <f aca="false">IF($A19="","",IF($P19="No","n/a",IF(AO19&lt;=Constants!$B$17,"Yes","No")))</f>
        <v/>
      </c>
      <c r="BH19" s="10" t="str">
        <f aca="false">IF($A19="","",IF($N19="No","No custody process",IF(BE19="Yes","Thin custody slack","Ample custody slack")))</f>
        <v/>
      </c>
      <c r="BI19" s="30" t="str">
        <f aca="false">IF($A19="","",IF($N19="No","",AM19))</f>
        <v/>
      </c>
      <c r="BJ19" s="30" t="str">
        <f aca="false">IF($A19="","",IF($O19="No","",AN19))</f>
        <v/>
      </c>
      <c r="BK19" s="30" t="str">
        <f aca="false">IF($A19="","",IF($P19="No","",AO19))</f>
        <v/>
      </c>
    </row>
    <row r="20" customFormat="false" ht="15" hidden="false" customHeight="true" outlineLevel="0" collapsed="false">
      <c r="Z20" s="28" t="str">
        <f aca="false">IF($A20="","",Constants!$B$6+$I20*Constants!$B$7+$J20*Constants!$B$8+$K20*Constants!$B$9+$L20*Constants!$B$10+$M20*Constants!$B$11)</f>
        <v/>
      </c>
      <c r="AA20" s="28" t="str">
        <f aca="false">IF($A20="","",100-Z20)</f>
        <v/>
      </c>
      <c r="AB20" s="28" t="str">
        <f aca="false">IF($A20="","",ROUND($H20*Constants!$B$4,1))</f>
        <v/>
      </c>
      <c r="AC20" s="28" t="str">
        <f aca="false">IF($A20="","",ROUND(AB20*Z20/100,1))</f>
        <v/>
      </c>
      <c r="AD20" s="28" t="str">
        <f aca="false">IF($A20="","",ROUND(AB20*AA20/100,1))</f>
        <v/>
      </c>
      <c r="AE20" s="22" t="str">
        <f aca="false">IF($A20="","",HOUR($Q20)+MINUTE($Q20)/60)</f>
        <v/>
      </c>
      <c r="AF20" s="22" t="str">
        <f aca="false">IF($A20="","",HOUR($R20)+MINUTE($R20)/60)</f>
        <v/>
      </c>
      <c r="AG20" s="22" t="str">
        <f aca="false">IF($A20="","",HOUR($S20)+MINUTE($S20)/60)</f>
        <v/>
      </c>
      <c r="AH20" s="22" t="str">
        <f aca="false">IF($A20="","",HOUR($T20)+MINUTE($T20)/60)</f>
        <v/>
      </c>
      <c r="AI20" s="22" t="str">
        <f aca="false">IF($A20="","",HOUR($V20)+MINUTE($V20)/60)</f>
        <v/>
      </c>
      <c r="AJ20" s="22" t="str">
        <f aca="false">IF($A20="","",HOUR($W20)+MINUTE($W20)/60)</f>
        <v/>
      </c>
      <c r="AK20" s="22" t="str">
        <f aca="false">IF($A20="","",VLOOKUP($F20,Dim_Team!$A:$F,6,0))</f>
        <v/>
      </c>
      <c r="AL20" s="28" t="str">
        <f aca="false">IF($A20="","",VLOOKUP($X20,Dim_Signoff!$A:$C,3,0))</f>
        <v/>
      </c>
      <c r="AM20" s="28" t="str">
        <f aca="false">IF($A20="","",IF($N20="No","n/a",ROUND((AH20-AE20)*60,0)))</f>
        <v/>
      </c>
      <c r="AN20" s="28" t="str">
        <f aca="false">IF($A20="","",IF($O20="No","n/a",ROUND((AH20-AF20)*60,0)))</f>
        <v/>
      </c>
      <c r="AO20" s="28" t="str">
        <f aca="false">IF($A20="","",IF($P20="No","n/a",ROUND((AH20-AG20)*60,0)))</f>
        <v/>
      </c>
      <c r="AP20" s="28" t="str">
        <f aca="false">IF($A20="","",ROUND((AH20-AK20)*60,0))</f>
        <v/>
      </c>
      <c r="AQ20" s="28" t="str">
        <f aca="false">IF($A20="","",ROUND((AI20-AH20)*60,0))</f>
        <v/>
      </c>
      <c r="AR20" s="4" t="str">
        <f aca="false">IF($A20="","",IF(AP20&gt;=AC20,"Yes","No"))</f>
        <v/>
      </c>
      <c r="AS20" s="4" t="str">
        <f aca="false">IF($A20="","",IF(AQ20&gt;=AD20+AL20,"Yes","No"))</f>
        <v/>
      </c>
      <c r="AT20" s="4" t="str">
        <f aca="false">IF($A20="","",IF(AND(AR20="Yes",AS20="Yes"),"OK","REVIEW"))</f>
        <v/>
      </c>
      <c r="AU20" s="4" t="str">
        <f aca="false">IF($A20="","",IF($P20="No","Not applicable",IF(AO20&lt;Constants!$B$14,"CAPTURE","Not needed")))</f>
        <v/>
      </c>
      <c r="AV20" s="4" t="str">
        <f aca="false">IF($A20="","",IF($P20="No","n/a",RANK(AO20,AO:AO,1)))</f>
        <v/>
      </c>
      <c r="AW20" s="4" t="str">
        <f aca="false">IF($A20="","",IF(UPPER($E20)="YES","Strategic","Non-strategic"))</f>
        <v/>
      </c>
      <c r="AX20" s="4" t="str">
        <f aca="false">IF($A20="","",COUNTIFS(Fact_Work!$C:$C,$A20))</f>
        <v/>
      </c>
      <c r="AY20" s="4" t="str">
        <f aca="false">IF($A20="","",IF(AX20=0,"Not seen",IF(AX20&gt;=Constants!$B$13*0.6,"Daily",IF(AX20&gt;=Constants!$B$13*0.12,"Weekly","Monthly or ad hoc"))))</f>
        <v/>
      </c>
      <c r="AZ20" s="22" t="str">
        <f aca="false">IF($A20="","",IFERROR(VLOOKUP($U20,Dim_TOP!$A:$H,8,0),""))</f>
        <v/>
      </c>
      <c r="BA20" s="28" t="str">
        <f aca="false">IF($A20="","",IFERROR(ROUND((AH20-AZ20)*60,0),""))</f>
        <v/>
      </c>
      <c r="BB20" s="4" t="str">
        <f aca="false">IF($A20="","",IF(BA20="","",IF(BA20&lt;=0,"Sets the deadline","Later than peers by "&amp;BA20&amp;" min")))</f>
        <v/>
      </c>
      <c r="BC20" s="29" t="str">
        <f aca="false">IF($A20="","",IF($U20="",0,IF(COUNTIFS($U$2:$U20,$U20,$C$2:$C20,$C20)=1,1,0)))</f>
        <v/>
      </c>
      <c r="BD20" s="10" t="str">
        <f aca="false">IF($A20="","",IF(UPPER($P20)="YES","Yes","No"))</f>
        <v/>
      </c>
      <c r="BE20" s="10" t="str">
        <f aca="false">IF($A20="","",IF($N20="No","n/a",IF(AM20&lt;=Constants!$B$17,"Yes","No")))</f>
        <v/>
      </c>
      <c r="BF20" s="10" t="str">
        <f aca="false">IF($A20="","",IF($O20="No","n/a",IF(AN20&lt;=Constants!$B$17,"Yes","No")))</f>
        <v/>
      </c>
      <c r="BG20" s="10" t="str">
        <f aca="false">IF($A20="","",IF($P20="No","n/a",IF(AO20&lt;=Constants!$B$17,"Yes","No")))</f>
        <v/>
      </c>
      <c r="BH20" s="10" t="str">
        <f aca="false">IF($A20="","",IF($N20="No","No custody process",IF(BE20="Yes","Thin custody slack","Ample custody slack")))</f>
        <v/>
      </c>
      <c r="BI20" s="30" t="str">
        <f aca="false">IF($A20="","",IF($N20="No","",AM20))</f>
        <v/>
      </c>
      <c r="BJ20" s="30" t="str">
        <f aca="false">IF($A20="","",IF($O20="No","",AN20))</f>
        <v/>
      </c>
      <c r="BK20" s="30" t="str">
        <f aca="false">IF($A20="","",IF($P20="No","",AO20))</f>
        <v/>
      </c>
    </row>
    <row r="21" customFormat="false" ht="15" hidden="false" customHeight="true" outlineLevel="0" collapsed="false">
      <c r="Z21" s="28" t="str">
        <f aca="false">IF($A21="","",Constants!$B$6+$I21*Constants!$B$7+$J21*Constants!$B$8+$K21*Constants!$B$9+$L21*Constants!$B$10+$M21*Constants!$B$11)</f>
        <v/>
      </c>
      <c r="AA21" s="28" t="str">
        <f aca="false">IF($A21="","",100-Z21)</f>
        <v/>
      </c>
      <c r="AB21" s="28" t="str">
        <f aca="false">IF($A21="","",ROUND($H21*Constants!$B$4,1))</f>
        <v/>
      </c>
      <c r="AC21" s="28" t="str">
        <f aca="false">IF($A21="","",ROUND(AB21*Z21/100,1))</f>
        <v/>
      </c>
      <c r="AD21" s="28" t="str">
        <f aca="false">IF($A21="","",ROUND(AB21*AA21/100,1))</f>
        <v/>
      </c>
      <c r="AE21" s="22" t="str">
        <f aca="false">IF($A21="","",HOUR($Q21)+MINUTE($Q21)/60)</f>
        <v/>
      </c>
      <c r="AF21" s="22" t="str">
        <f aca="false">IF($A21="","",HOUR($R21)+MINUTE($R21)/60)</f>
        <v/>
      </c>
      <c r="AG21" s="22" t="str">
        <f aca="false">IF($A21="","",HOUR($S21)+MINUTE($S21)/60)</f>
        <v/>
      </c>
      <c r="AH21" s="22" t="str">
        <f aca="false">IF($A21="","",HOUR($T21)+MINUTE($T21)/60)</f>
        <v/>
      </c>
      <c r="AI21" s="22" t="str">
        <f aca="false">IF($A21="","",HOUR($V21)+MINUTE($V21)/60)</f>
        <v/>
      </c>
      <c r="AJ21" s="22" t="str">
        <f aca="false">IF($A21="","",HOUR($W21)+MINUTE($W21)/60)</f>
        <v/>
      </c>
      <c r="AK21" s="22" t="str">
        <f aca="false">IF($A21="","",VLOOKUP($F21,Dim_Team!$A:$F,6,0))</f>
        <v/>
      </c>
      <c r="AL21" s="28" t="str">
        <f aca="false">IF($A21="","",VLOOKUP($X21,Dim_Signoff!$A:$C,3,0))</f>
        <v/>
      </c>
      <c r="AM21" s="28" t="str">
        <f aca="false">IF($A21="","",IF($N21="No","n/a",ROUND((AH21-AE21)*60,0)))</f>
        <v/>
      </c>
      <c r="AN21" s="28" t="str">
        <f aca="false">IF($A21="","",IF($O21="No","n/a",ROUND((AH21-AF21)*60,0)))</f>
        <v/>
      </c>
      <c r="AO21" s="28" t="str">
        <f aca="false">IF($A21="","",IF($P21="No","n/a",ROUND((AH21-AG21)*60,0)))</f>
        <v/>
      </c>
      <c r="AP21" s="28" t="str">
        <f aca="false">IF($A21="","",ROUND((AH21-AK21)*60,0))</f>
        <v/>
      </c>
      <c r="AQ21" s="28" t="str">
        <f aca="false">IF($A21="","",ROUND((AI21-AH21)*60,0))</f>
        <v/>
      </c>
      <c r="AR21" s="4" t="str">
        <f aca="false">IF($A21="","",IF(AP21&gt;=AC21,"Yes","No"))</f>
        <v/>
      </c>
      <c r="AS21" s="4" t="str">
        <f aca="false">IF($A21="","",IF(AQ21&gt;=AD21+AL21,"Yes","No"))</f>
        <v/>
      </c>
      <c r="AT21" s="4" t="str">
        <f aca="false">IF($A21="","",IF(AND(AR21="Yes",AS21="Yes"),"OK","REVIEW"))</f>
        <v/>
      </c>
      <c r="AU21" s="4" t="str">
        <f aca="false">IF($A21="","",IF($P21="No","Not applicable",IF(AO21&lt;Constants!$B$14,"CAPTURE","Not needed")))</f>
        <v/>
      </c>
      <c r="AV21" s="4" t="str">
        <f aca="false">IF($A21="","",IF($P21="No","n/a",RANK(AO21,AO:AO,1)))</f>
        <v/>
      </c>
      <c r="AW21" s="4" t="str">
        <f aca="false">IF($A21="","",IF(UPPER($E21)="YES","Strategic","Non-strategic"))</f>
        <v/>
      </c>
      <c r="AX21" s="4" t="str">
        <f aca="false">IF($A21="","",COUNTIFS(Fact_Work!$C:$C,$A21))</f>
        <v/>
      </c>
      <c r="AY21" s="4" t="str">
        <f aca="false">IF($A21="","",IF(AX21=0,"Not seen",IF(AX21&gt;=Constants!$B$13*0.6,"Daily",IF(AX21&gt;=Constants!$B$13*0.12,"Weekly","Monthly or ad hoc"))))</f>
        <v/>
      </c>
      <c r="AZ21" s="22" t="str">
        <f aca="false">IF($A21="","",IFERROR(VLOOKUP($U21,Dim_TOP!$A:$H,8,0),""))</f>
        <v/>
      </c>
      <c r="BA21" s="28" t="str">
        <f aca="false">IF($A21="","",IFERROR(ROUND((AH21-AZ21)*60,0),""))</f>
        <v/>
      </c>
      <c r="BB21" s="4" t="str">
        <f aca="false">IF($A21="","",IF(BA21="","",IF(BA21&lt;=0,"Sets the deadline","Later than peers by "&amp;BA21&amp;" min")))</f>
        <v/>
      </c>
      <c r="BC21" s="29" t="str">
        <f aca="false">IF($A21="","",IF($U21="",0,IF(COUNTIFS($U$2:$U21,$U21,$C$2:$C21,$C21)=1,1,0)))</f>
        <v/>
      </c>
      <c r="BD21" s="10" t="str">
        <f aca="false">IF($A21="","",IF(UPPER($P21)="YES","Yes","No"))</f>
        <v/>
      </c>
      <c r="BE21" s="10" t="str">
        <f aca="false">IF($A21="","",IF($N21="No","n/a",IF(AM21&lt;=Constants!$B$17,"Yes","No")))</f>
        <v/>
      </c>
      <c r="BF21" s="10" t="str">
        <f aca="false">IF($A21="","",IF($O21="No","n/a",IF(AN21&lt;=Constants!$B$17,"Yes","No")))</f>
        <v/>
      </c>
      <c r="BG21" s="10" t="str">
        <f aca="false">IF($A21="","",IF($P21="No","n/a",IF(AO21&lt;=Constants!$B$17,"Yes","No")))</f>
        <v/>
      </c>
      <c r="BH21" s="10" t="str">
        <f aca="false">IF($A21="","",IF($N21="No","No custody process",IF(BE21="Yes","Thin custody slack","Ample custody slack")))</f>
        <v/>
      </c>
      <c r="BI21" s="30" t="str">
        <f aca="false">IF($A21="","",IF($N21="No","",AM21))</f>
        <v/>
      </c>
      <c r="BJ21" s="30" t="str">
        <f aca="false">IF($A21="","",IF($O21="No","",AN21))</f>
        <v/>
      </c>
      <c r="BK21" s="30" t="str">
        <f aca="false">IF($A21="","",IF($P21="No","",AO21))</f>
        <v/>
      </c>
    </row>
    <row r="22" customFormat="false" ht="15" hidden="false" customHeight="true" outlineLevel="0" collapsed="false">
      <c r="Z22" s="28" t="str">
        <f aca="false">IF($A22="","",Constants!$B$6+$I22*Constants!$B$7+$J22*Constants!$B$8+$K22*Constants!$B$9+$L22*Constants!$B$10+$M22*Constants!$B$11)</f>
        <v/>
      </c>
      <c r="AA22" s="28" t="str">
        <f aca="false">IF($A22="","",100-Z22)</f>
        <v/>
      </c>
      <c r="AB22" s="28" t="str">
        <f aca="false">IF($A22="","",ROUND($H22*Constants!$B$4,1))</f>
        <v/>
      </c>
      <c r="AC22" s="28" t="str">
        <f aca="false">IF($A22="","",ROUND(AB22*Z22/100,1))</f>
        <v/>
      </c>
      <c r="AD22" s="28" t="str">
        <f aca="false">IF($A22="","",ROUND(AB22*AA22/100,1))</f>
        <v/>
      </c>
      <c r="AE22" s="22" t="str">
        <f aca="false">IF($A22="","",HOUR($Q22)+MINUTE($Q22)/60)</f>
        <v/>
      </c>
      <c r="AF22" s="22" t="str">
        <f aca="false">IF($A22="","",HOUR($R22)+MINUTE($R22)/60)</f>
        <v/>
      </c>
      <c r="AG22" s="22" t="str">
        <f aca="false">IF($A22="","",HOUR($S22)+MINUTE($S22)/60)</f>
        <v/>
      </c>
      <c r="AH22" s="22" t="str">
        <f aca="false">IF($A22="","",HOUR($T22)+MINUTE($T22)/60)</f>
        <v/>
      </c>
      <c r="AI22" s="22" t="str">
        <f aca="false">IF($A22="","",HOUR($V22)+MINUTE($V22)/60)</f>
        <v/>
      </c>
      <c r="AJ22" s="22" t="str">
        <f aca="false">IF($A22="","",HOUR($W22)+MINUTE($W22)/60)</f>
        <v/>
      </c>
      <c r="AK22" s="22" t="str">
        <f aca="false">IF($A22="","",VLOOKUP($F22,Dim_Team!$A:$F,6,0))</f>
        <v/>
      </c>
      <c r="AL22" s="28" t="str">
        <f aca="false">IF($A22="","",VLOOKUP($X22,Dim_Signoff!$A:$C,3,0))</f>
        <v/>
      </c>
      <c r="AM22" s="28" t="str">
        <f aca="false">IF($A22="","",IF($N22="No","n/a",ROUND((AH22-AE22)*60,0)))</f>
        <v/>
      </c>
      <c r="AN22" s="28" t="str">
        <f aca="false">IF($A22="","",IF($O22="No","n/a",ROUND((AH22-AF22)*60,0)))</f>
        <v/>
      </c>
      <c r="AO22" s="28" t="str">
        <f aca="false">IF($A22="","",IF($P22="No","n/a",ROUND((AH22-AG22)*60,0)))</f>
        <v/>
      </c>
      <c r="AP22" s="28" t="str">
        <f aca="false">IF($A22="","",ROUND((AH22-AK22)*60,0))</f>
        <v/>
      </c>
      <c r="AQ22" s="28" t="str">
        <f aca="false">IF($A22="","",ROUND((AI22-AH22)*60,0))</f>
        <v/>
      </c>
      <c r="AR22" s="4" t="str">
        <f aca="false">IF($A22="","",IF(AP22&gt;=AC22,"Yes","No"))</f>
        <v/>
      </c>
      <c r="AS22" s="4" t="str">
        <f aca="false">IF($A22="","",IF(AQ22&gt;=AD22+AL22,"Yes","No"))</f>
        <v/>
      </c>
      <c r="AT22" s="4" t="str">
        <f aca="false">IF($A22="","",IF(AND(AR22="Yes",AS22="Yes"),"OK","REVIEW"))</f>
        <v/>
      </c>
      <c r="AU22" s="4" t="str">
        <f aca="false">IF($A22="","",IF($P22="No","Not applicable",IF(AO22&lt;Constants!$B$14,"CAPTURE","Not needed")))</f>
        <v/>
      </c>
      <c r="AV22" s="4" t="str">
        <f aca="false">IF($A22="","",IF($P22="No","n/a",RANK(AO22,AO:AO,1)))</f>
        <v/>
      </c>
      <c r="AW22" s="4" t="str">
        <f aca="false">IF($A22="","",IF(UPPER($E22)="YES","Strategic","Non-strategic"))</f>
        <v/>
      </c>
      <c r="AX22" s="4" t="str">
        <f aca="false">IF($A22="","",COUNTIFS(Fact_Work!$C:$C,$A22))</f>
        <v/>
      </c>
      <c r="AY22" s="4" t="str">
        <f aca="false">IF($A22="","",IF(AX22=0,"Not seen",IF(AX22&gt;=Constants!$B$13*0.6,"Daily",IF(AX22&gt;=Constants!$B$13*0.12,"Weekly","Monthly or ad hoc"))))</f>
        <v/>
      </c>
      <c r="AZ22" s="22" t="str">
        <f aca="false">IF($A22="","",IFERROR(VLOOKUP($U22,Dim_TOP!$A:$H,8,0),""))</f>
        <v/>
      </c>
      <c r="BA22" s="28" t="str">
        <f aca="false">IF($A22="","",IFERROR(ROUND((AH22-AZ22)*60,0),""))</f>
        <v/>
      </c>
      <c r="BB22" s="4" t="str">
        <f aca="false">IF($A22="","",IF(BA22="","",IF(BA22&lt;=0,"Sets the deadline","Later than peers by "&amp;BA22&amp;" min")))</f>
        <v/>
      </c>
      <c r="BC22" s="29" t="str">
        <f aca="false">IF($A22="","",IF($U22="",0,IF(COUNTIFS($U$2:$U22,$U22,$C$2:$C22,$C22)=1,1,0)))</f>
        <v/>
      </c>
      <c r="BD22" s="10" t="str">
        <f aca="false">IF($A22="","",IF(UPPER($P22)="YES","Yes","No"))</f>
        <v/>
      </c>
      <c r="BE22" s="10" t="str">
        <f aca="false">IF($A22="","",IF($N22="No","n/a",IF(AM22&lt;=Constants!$B$17,"Yes","No")))</f>
        <v/>
      </c>
      <c r="BF22" s="10" t="str">
        <f aca="false">IF($A22="","",IF($O22="No","n/a",IF(AN22&lt;=Constants!$B$17,"Yes","No")))</f>
        <v/>
      </c>
      <c r="BG22" s="10" t="str">
        <f aca="false">IF($A22="","",IF($P22="No","n/a",IF(AO22&lt;=Constants!$B$17,"Yes","No")))</f>
        <v/>
      </c>
      <c r="BH22" s="10" t="str">
        <f aca="false">IF($A22="","",IF($N22="No","No custody process",IF(BE22="Yes","Thin custody slack","Ample custody slack")))</f>
        <v/>
      </c>
      <c r="BI22" s="30" t="str">
        <f aca="false">IF($A22="","",IF($N22="No","",AM22))</f>
        <v/>
      </c>
      <c r="BJ22" s="30" t="str">
        <f aca="false">IF($A22="","",IF($O22="No","",AN22))</f>
        <v/>
      </c>
      <c r="BK22" s="30" t="str">
        <f aca="false">IF($A22="","",IF($P22="No","",AO22))</f>
        <v/>
      </c>
    </row>
    <row r="23" customFormat="false" ht="15" hidden="false" customHeight="true" outlineLevel="0" collapsed="false">
      <c r="Z23" s="28" t="str">
        <f aca="false">IF($A23="","",Constants!$B$6+$I23*Constants!$B$7+$J23*Constants!$B$8+$K23*Constants!$B$9+$L23*Constants!$B$10+$M23*Constants!$B$11)</f>
        <v/>
      </c>
      <c r="AA23" s="28" t="str">
        <f aca="false">IF($A23="","",100-Z23)</f>
        <v/>
      </c>
      <c r="AB23" s="28" t="str">
        <f aca="false">IF($A23="","",ROUND($H23*Constants!$B$4,1))</f>
        <v/>
      </c>
      <c r="AC23" s="28" t="str">
        <f aca="false">IF($A23="","",ROUND(AB23*Z23/100,1))</f>
        <v/>
      </c>
      <c r="AD23" s="28" t="str">
        <f aca="false">IF($A23="","",ROUND(AB23*AA23/100,1))</f>
        <v/>
      </c>
      <c r="AE23" s="22" t="str">
        <f aca="false">IF($A23="","",HOUR($Q23)+MINUTE($Q23)/60)</f>
        <v/>
      </c>
      <c r="AF23" s="22" t="str">
        <f aca="false">IF($A23="","",HOUR($R23)+MINUTE($R23)/60)</f>
        <v/>
      </c>
      <c r="AG23" s="22" t="str">
        <f aca="false">IF($A23="","",HOUR($S23)+MINUTE($S23)/60)</f>
        <v/>
      </c>
      <c r="AH23" s="22" t="str">
        <f aca="false">IF($A23="","",HOUR($T23)+MINUTE($T23)/60)</f>
        <v/>
      </c>
      <c r="AI23" s="22" t="str">
        <f aca="false">IF($A23="","",HOUR($V23)+MINUTE($V23)/60)</f>
        <v/>
      </c>
      <c r="AJ23" s="22" t="str">
        <f aca="false">IF($A23="","",HOUR($W23)+MINUTE($W23)/60)</f>
        <v/>
      </c>
      <c r="AK23" s="22" t="str">
        <f aca="false">IF($A23="","",VLOOKUP($F23,Dim_Team!$A:$F,6,0))</f>
        <v/>
      </c>
      <c r="AL23" s="28" t="str">
        <f aca="false">IF($A23="","",VLOOKUP($X23,Dim_Signoff!$A:$C,3,0))</f>
        <v/>
      </c>
      <c r="AM23" s="28" t="str">
        <f aca="false">IF($A23="","",IF($N23="No","n/a",ROUND((AH23-AE23)*60,0)))</f>
        <v/>
      </c>
      <c r="AN23" s="28" t="str">
        <f aca="false">IF($A23="","",IF($O23="No","n/a",ROUND((AH23-AF23)*60,0)))</f>
        <v/>
      </c>
      <c r="AO23" s="28" t="str">
        <f aca="false">IF($A23="","",IF($P23="No","n/a",ROUND((AH23-AG23)*60,0)))</f>
        <v/>
      </c>
      <c r="AP23" s="28" t="str">
        <f aca="false">IF($A23="","",ROUND((AH23-AK23)*60,0))</f>
        <v/>
      </c>
      <c r="AQ23" s="28" t="str">
        <f aca="false">IF($A23="","",ROUND((AI23-AH23)*60,0))</f>
        <v/>
      </c>
      <c r="AR23" s="4" t="str">
        <f aca="false">IF($A23="","",IF(AP23&gt;=AC23,"Yes","No"))</f>
        <v/>
      </c>
      <c r="AS23" s="4" t="str">
        <f aca="false">IF($A23="","",IF(AQ23&gt;=AD23+AL23,"Yes","No"))</f>
        <v/>
      </c>
      <c r="AT23" s="4" t="str">
        <f aca="false">IF($A23="","",IF(AND(AR23="Yes",AS23="Yes"),"OK","REVIEW"))</f>
        <v/>
      </c>
      <c r="AU23" s="4" t="str">
        <f aca="false">IF($A23="","",IF($P23="No","Not applicable",IF(AO23&lt;Constants!$B$14,"CAPTURE","Not needed")))</f>
        <v/>
      </c>
      <c r="AV23" s="4" t="str">
        <f aca="false">IF($A23="","",IF($P23="No","n/a",RANK(AO23,AO:AO,1)))</f>
        <v/>
      </c>
      <c r="AW23" s="4" t="str">
        <f aca="false">IF($A23="","",IF(UPPER($E23)="YES","Strategic","Non-strategic"))</f>
        <v/>
      </c>
      <c r="AX23" s="4" t="str">
        <f aca="false">IF($A23="","",COUNTIFS(Fact_Work!$C:$C,$A23))</f>
        <v/>
      </c>
      <c r="AY23" s="4" t="str">
        <f aca="false">IF($A23="","",IF(AX23=0,"Not seen",IF(AX23&gt;=Constants!$B$13*0.6,"Daily",IF(AX23&gt;=Constants!$B$13*0.12,"Weekly","Monthly or ad hoc"))))</f>
        <v/>
      </c>
      <c r="AZ23" s="22" t="str">
        <f aca="false">IF($A23="","",IFERROR(VLOOKUP($U23,Dim_TOP!$A:$H,8,0),""))</f>
        <v/>
      </c>
      <c r="BA23" s="28" t="str">
        <f aca="false">IF($A23="","",IFERROR(ROUND((AH23-AZ23)*60,0),""))</f>
        <v/>
      </c>
      <c r="BB23" s="4" t="str">
        <f aca="false">IF($A23="","",IF(BA23="","",IF(BA23&lt;=0,"Sets the deadline","Later than peers by "&amp;BA23&amp;" min")))</f>
        <v/>
      </c>
      <c r="BC23" s="29" t="str">
        <f aca="false">IF($A23="","",IF($U23="",0,IF(COUNTIFS($U$2:$U23,$U23,$C$2:$C23,$C23)=1,1,0)))</f>
        <v/>
      </c>
      <c r="BD23" s="10" t="str">
        <f aca="false">IF($A23="","",IF(UPPER($P23)="YES","Yes","No"))</f>
        <v/>
      </c>
      <c r="BE23" s="10" t="str">
        <f aca="false">IF($A23="","",IF($N23="No","n/a",IF(AM23&lt;=Constants!$B$17,"Yes","No")))</f>
        <v/>
      </c>
      <c r="BF23" s="10" t="str">
        <f aca="false">IF($A23="","",IF($O23="No","n/a",IF(AN23&lt;=Constants!$B$17,"Yes","No")))</f>
        <v/>
      </c>
      <c r="BG23" s="10" t="str">
        <f aca="false">IF($A23="","",IF($P23="No","n/a",IF(AO23&lt;=Constants!$B$17,"Yes","No")))</f>
        <v/>
      </c>
      <c r="BH23" s="10" t="str">
        <f aca="false">IF($A23="","",IF($N23="No","No custody process",IF(BE23="Yes","Thin custody slack","Ample custody slack")))</f>
        <v/>
      </c>
      <c r="BI23" s="30" t="str">
        <f aca="false">IF($A23="","",IF($N23="No","",AM23))</f>
        <v/>
      </c>
      <c r="BJ23" s="30" t="str">
        <f aca="false">IF($A23="","",IF($O23="No","",AN23))</f>
        <v/>
      </c>
      <c r="BK23" s="30" t="str">
        <f aca="false">IF($A23="","",IF($P23="No","",AO23))</f>
        <v/>
      </c>
    </row>
    <row r="24" customFormat="false" ht="15" hidden="false" customHeight="true" outlineLevel="0" collapsed="false">
      <c r="Z24" s="28" t="str">
        <f aca="false">IF($A24="","",Constants!$B$6+$I24*Constants!$B$7+$J24*Constants!$B$8+$K24*Constants!$B$9+$L24*Constants!$B$10+$M24*Constants!$B$11)</f>
        <v/>
      </c>
      <c r="AA24" s="28" t="str">
        <f aca="false">IF($A24="","",100-Z24)</f>
        <v/>
      </c>
      <c r="AB24" s="28" t="str">
        <f aca="false">IF($A24="","",ROUND($H24*Constants!$B$4,1))</f>
        <v/>
      </c>
      <c r="AC24" s="28" t="str">
        <f aca="false">IF($A24="","",ROUND(AB24*Z24/100,1))</f>
        <v/>
      </c>
      <c r="AD24" s="28" t="str">
        <f aca="false">IF($A24="","",ROUND(AB24*AA24/100,1))</f>
        <v/>
      </c>
      <c r="AE24" s="22" t="str">
        <f aca="false">IF($A24="","",HOUR($Q24)+MINUTE($Q24)/60)</f>
        <v/>
      </c>
      <c r="AF24" s="22" t="str">
        <f aca="false">IF($A24="","",HOUR($R24)+MINUTE($R24)/60)</f>
        <v/>
      </c>
      <c r="AG24" s="22" t="str">
        <f aca="false">IF($A24="","",HOUR($S24)+MINUTE($S24)/60)</f>
        <v/>
      </c>
      <c r="AH24" s="22" t="str">
        <f aca="false">IF($A24="","",HOUR($T24)+MINUTE($T24)/60)</f>
        <v/>
      </c>
      <c r="AI24" s="22" t="str">
        <f aca="false">IF($A24="","",HOUR($V24)+MINUTE($V24)/60)</f>
        <v/>
      </c>
      <c r="AJ24" s="22" t="str">
        <f aca="false">IF($A24="","",HOUR($W24)+MINUTE($W24)/60)</f>
        <v/>
      </c>
      <c r="AK24" s="22" t="str">
        <f aca="false">IF($A24="","",VLOOKUP($F24,Dim_Team!$A:$F,6,0))</f>
        <v/>
      </c>
      <c r="AL24" s="28" t="str">
        <f aca="false">IF($A24="","",VLOOKUP($X24,Dim_Signoff!$A:$C,3,0))</f>
        <v/>
      </c>
      <c r="AM24" s="28" t="str">
        <f aca="false">IF($A24="","",IF($N24="No","n/a",ROUND((AH24-AE24)*60,0)))</f>
        <v/>
      </c>
      <c r="AN24" s="28" t="str">
        <f aca="false">IF($A24="","",IF($O24="No","n/a",ROUND((AH24-AF24)*60,0)))</f>
        <v/>
      </c>
      <c r="AO24" s="28" t="str">
        <f aca="false">IF($A24="","",IF($P24="No","n/a",ROUND((AH24-AG24)*60,0)))</f>
        <v/>
      </c>
      <c r="AP24" s="28" t="str">
        <f aca="false">IF($A24="","",ROUND((AH24-AK24)*60,0))</f>
        <v/>
      </c>
      <c r="AQ24" s="28" t="str">
        <f aca="false">IF($A24="","",ROUND((AI24-AH24)*60,0))</f>
        <v/>
      </c>
      <c r="AR24" s="4" t="str">
        <f aca="false">IF($A24="","",IF(AP24&gt;=AC24,"Yes","No"))</f>
        <v/>
      </c>
      <c r="AS24" s="4" t="str">
        <f aca="false">IF($A24="","",IF(AQ24&gt;=AD24+AL24,"Yes","No"))</f>
        <v/>
      </c>
      <c r="AT24" s="4" t="str">
        <f aca="false">IF($A24="","",IF(AND(AR24="Yes",AS24="Yes"),"OK","REVIEW"))</f>
        <v/>
      </c>
      <c r="AU24" s="4" t="str">
        <f aca="false">IF($A24="","",IF($P24="No","Not applicable",IF(AO24&lt;Constants!$B$14,"CAPTURE","Not needed")))</f>
        <v/>
      </c>
      <c r="AV24" s="4" t="str">
        <f aca="false">IF($A24="","",IF($P24="No","n/a",RANK(AO24,AO:AO,1)))</f>
        <v/>
      </c>
      <c r="AW24" s="4" t="str">
        <f aca="false">IF($A24="","",IF(UPPER($E24)="YES","Strategic","Non-strategic"))</f>
        <v/>
      </c>
      <c r="AX24" s="4" t="str">
        <f aca="false">IF($A24="","",COUNTIFS(Fact_Work!$C:$C,$A24))</f>
        <v/>
      </c>
      <c r="AY24" s="4" t="str">
        <f aca="false">IF($A24="","",IF(AX24=0,"Not seen",IF(AX24&gt;=Constants!$B$13*0.6,"Daily",IF(AX24&gt;=Constants!$B$13*0.12,"Weekly","Monthly or ad hoc"))))</f>
        <v/>
      </c>
      <c r="AZ24" s="22" t="str">
        <f aca="false">IF($A24="","",IFERROR(VLOOKUP($U24,Dim_TOP!$A:$H,8,0),""))</f>
        <v/>
      </c>
      <c r="BA24" s="28" t="str">
        <f aca="false">IF($A24="","",IFERROR(ROUND((AH24-AZ24)*60,0),""))</f>
        <v/>
      </c>
      <c r="BB24" s="4" t="str">
        <f aca="false">IF($A24="","",IF(BA24="","",IF(BA24&lt;=0,"Sets the deadline","Later than peers by "&amp;BA24&amp;" min")))</f>
        <v/>
      </c>
      <c r="BC24" s="29" t="str">
        <f aca="false">IF($A24="","",IF($U24="",0,IF(COUNTIFS($U$2:$U24,$U24,$C$2:$C24,$C24)=1,1,0)))</f>
        <v/>
      </c>
      <c r="BD24" s="10" t="str">
        <f aca="false">IF($A24="","",IF(UPPER($P24)="YES","Yes","No"))</f>
        <v/>
      </c>
      <c r="BE24" s="10" t="str">
        <f aca="false">IF($A24="","",IF($N24="No","n/a",IF(AM24&lt;=Constants!$B$17,"Yes","No")))</f>
        <v/>
      </c>
      <c r="BF24" s="10" t="str">
        <f aca="false">IF($A24="","",IF($O24="No","n/a",IF(AN24&lt;=Constants!$B$17,"Yes","No")))</f>
        <v/>
      </c>
      <c r="BG24" s="10" t="str">
        <f aca="false">IF($A24="","",IF($P24="No","n/a",IF(AO24&lt;=Constants!$B$17,"Yes","No")))</f>
        <v/>
      </c>
      <c r="BH24" s="10" t="str">
        <f aca="false">IF($A24="","",IF($N24="No","No custody process",IF(BE24="Yes","Thin custody slack","Ample custody slack")))</f>
        <v/>
      </c>
      <c r="BI24" s="30" t="str">
        <f aca="false">IF($A24="","",IF($N24="No","",AM24))</f>
        <v/>
      </c>
      <c r="BJ24" s="30" t="str">
        <f aca="false">IF($A24="","",IF($O24="No","",AN24))</f>
        <v/>
      </c>
      <c r="BK24" s="30" t="str">
        <f aca="false">IF($A24="","",IF($P24="No","",AO24))</f>
        <v/>
      </c>
    </row>
    <row r="25" customFormat="false" ht="15" hidden="false" customHeight="true" outlineLevel="0" collapsed="false">
      <c r="Z25" s="28" t="str">
        <f aca="false">IF($A25="","",Constants!$B$6+$I25*Constants!$B$7+$J25*Constants!$B$8+$K25*Constants!$B$9+$L25*Constants!$B$10+$M25*Constants!$B$11)</f>
        <v/>
      </c>
      <c r="AA25" s="28" t="str">
        <f aca="false">IF($A25="","",100-Z25)</f>
        <v/>
      </c>
      <c r="AB25" s="28" t="str">
        <f aca="false">IF($A25="","",ROUND($H25*Constants!$B$4,1))</f>
        <v/>
      </c>
      <c r="AC25" s="28" t="str">
        <f aca="false">IF($A25="","",ROUND(AB25*Z25/100,1))</f>
        <v/>
      </c>
      <c r="AD25" s="28" t="str">
        <f aca="false">IF($A25="","",ROUND(AB25*AA25/100,1))</f>
        <v/>
      </c>
      <c r="AE25" s="22" t="str">
        <f aca="false">IF($A25="","",HOUR($Q25)+MINUTE($Q25)/60)</f>
        <v/>
      </c>
      <c r="AF25" s="22" t="str">
        <f aca="false">IF($A25="","",HOUR($R25)+MINUTE($R25)/60)</f>
        <v/>
      </c>
      <c r="AG25" s="22" t="str">
        <f aca="false">IF($A25="","",HOUR($S25)+MINUTE($S25)/60)</f>
        <v/>
      </c>
      <c r="AH25" s="22" t="str">
        <f aca="false">IF($A25="","",HOUR($T25)+MINUTE($T25)/60)</f>
        <v/>
      </c>
      <c r="AI25" s="22" t="str">
        <f aca="false">IF($A25="","",HOUR($V25)+MINUTE($V25)/60)</f>
        <v/>
      </c>
      <c r="AJ25" s="22" t="str">
        <f aca="false">IF($A25="","",HOUR($W25)+MINUTE($W25)/60)</f>
        <v/>
      </c>
      <c r="AK25" s="22" t="str">
        <f aca="false">IF($A25="","",VLOOKUP($F25,Dim_Team!$A:$F,6,0))</f>
        <v/>
      </c>
      <c r="AL25" s="28" t="str">
        <f aca="false">IF($A25="","",VLOOKUP($X25,Dim_Signoff!$A:$C,3,0))</f>
        <v/>
      </c>
      <c r="AM25" s="28" t="str">
        <f aca="false">IF($A25="","",IF($N25="No","n/a",ROUND((AH25-AE25)*60,0)))</f>
        <v/>
      </c>
      <c r="AN25" s="28" t="str">
        <f aca="false">IF($A25="","",IF($O25="No","n/a",ROUND((AH25-AF25)*60,0)))</f>
        <v/>
      </c>
      <c r="AO25" s="28" t="str">
        <f aca="false">IF($A25="","",IF($P25="No","n/a",ROUND((AH25-AG25)*60,0)))</f>
        <v/>
      </c>
      <c r="AP25" s="28" t="str">
        <f aca="false">IF($A25="","",ROUND((AH25-AK25)*60,0))</f>
        <v/>
      </c>
      <c r="AQ25" s="28" t="str">
        <f aca="false">IF($A25="","",ROUND((AI25-AH25)*60,0))</f>
        <v/>
      </c>
      <c r="AR25" s="4" t="str">
        <f aca="false">IF($A25="","",IF(AP25&gt;=AC25,"Yes","No"))</f>
        <v/>
      </c>
      <c r="AS25" s="4" t="str">
        <f aca="false">IF($A25="","",IF(AQ25&gt;=AD25+AL25,"Yes","No"))</f>
        <v/>
      </c>
      <c r="AT25" s="4" t="str">
        <f aca="false">IF($A25="","",IF(AND(AR25="Yes",AS25="Yes"),"OK","REVIEW"))</f>
        <v/>
      </c>
      <c r="AU25" s="4" t="str">
        <f aca="false">IF($A25="","",IF($P25="No","Not applicable",IF(AO25&lt;Constants!$B$14,"CAPTURE","Not needed")))</f>
        <v/>
      </c>
      <c r="AV25" s="4" t="str">
        <f aca="false">IF($A25="","",IF($P25="No","n/a",RANK(AO25,AO:AO,1)))</f>
        <v/>
      </c>
      <c r="AW25" s="4" t="str">
        <f aca="false">IF($A25="","",IF(UPPER($E25)="YES","Strategic","Non-strategic"))</f>
        <v/>
      </c>
      <c r="AX25" s="4" t="str">
        <f aca="false">IF($A25="","",COUNTIFS(Fact_Work!$C:$C,$A25))</f>
        <v/>
      </c>
      <c r="AY25" s="4" t="str">
        <f aca="false">IF($A25="","",IF(AX25=0,"Not seen",IF(AX25&gt;=Constants!$B$13*0.6,"Daily",IF(AX25&gt;=Constants!$B$13*0.12,"Weekly","Monthly or ad hoc"))))</f>
        <v/>
      </c>
      <c r="AZ25" s="22" t="str">
        <f aca="false">IF($A25="","",IFERROR(VLOOKUP($U25,Dim_TOP!$A:$H,8,0),""))</f>
        <v/>
      </c>
      <c r="BA25" s="28" t="str">
        <f aca="false">IF($A25="","",IFERROR(ROUND((AH25-AZ25)*60,0),""))</f>
        <v/>
      </c>
      <c r="BB25" s="4" t="str">
        <f aca="false">IF($A25="","",IF(BA25="","",IF(BA25&lt;=0,"Sets the deadline","Later than peers by "&amp;BA25&amp;" min")))</f>
        <v/>
      </c>
      <c r="BC25" s="29" t="str">
        <f aca="false">IF($A25="","",IF($U25="",0,IF(COUNTIFS($U$2:$U25,$U25,$C$2:$C25,$C25)=1,1,0)))</f>
        <v/>
      </c>
      <c r="BD25" s="10" t="str">
        <f aca="false">IF($A25="","",IF(UPPER($P25)="YES","Yes","No"))</f>
        <v/>
      </c>
      <c r="BE25" s="10" t="str">
        <f aca="false">IF($A25="","",IF($N25="No","n/a",IF(AM25&lt;=Constants!$B$17,"Yes","No")))</f>
        <v/>
      </c>
      <c r="BF25" s="10" t="str">
        <f aca="false">IF($A25="","",IF($O25="No","n/a",IF(AN25&lt;=Constants!$B$17,"Yes","No")))</f>
        <v/>
      </c>
      <c r="BG25" s="10" t="str">
        <f aca="false">IF($A25="","",IF($P25="No","n/a",IF(AO25&lt;=Constants!$B$17,"Yes","No")))</f>
        <v/>
      </c>
      <c r="BH25" s="10" t="str">
        <f aca="false">IF($A25="","",IF($N25="No","No custody process",IF(BE25="Yes","Thin custody slack","Ample custody slack")))</f>
        <v/>
      </c>
      <c r="BI25" s="30" t="str">
        <f aca="false">IF($A25="","",IF($N25="No","",AM25))</f>
        <v/>
      </c>
      <c r="BJ25" s="30" t="str">
        <f aca="false">IF($A25="","",IF($O25="No","",AN25))</f>
        <v/>
      </c>
      <c r="BK25" s="30" t="str">
        <f aca="false">IF($A25="","",IF($P25="No","",AO25))</f>
        <v/>
      </c>
    </row>
    <row r="26" customFormat="false" ht="15" hidden="false" customHeight="true" outlineLevel="0" collapsed="false">
      <c r="Z26" s="28" t="str">
        <f aca="false">IF($A26="","",Constants!$B$6+$I26*Constants!$B$7+$J26*Constants!$B$8+$K26*Constants!$B$9+$L26*Constants!$B$10+$M26*Constants!$B$11)</f>
        <v/>
      </c>
      <c r="AA26" s="28" t="str">
        <f aca="false">IF($A26="","",100-Z26)</f>
        <v/>
      </c>
      <c r="AB26" s="28" t="str">
        <f aca="false">IF($A26="","",ROUND($H26*Constants!$B$4,1))</f>
        <v/>
      </c>
      <c r="AC26" s="28" t="str">
        <f aca="false">IF($A26="","",ROUND(AB26*Z26/100,1))</f>
        <v/>
      </c>
      <c r="AD26" s="28" t="str">
        <f aca="false">IF($A26="","",ROUND(AB26*AA26/100,1))</f>
        <v/>
      </c>
      <c r="AE26" s="22" t="str">
        <f aca="false">IF($A26="","",HOUR($Q26)+MINUTE($Q26)/60)</f>
        <v/>
      </c>
      <c r="AF26" s="22" t="str">
        <f aca="false">IF($A26="","",HOUR($R26)+MINUTE($R26)/60)</f>
        <v/>
      </c>
      <c r="AG26" s="22" t="str">
        <f aca="false">IF($A26="","",HOUR($S26)+MINUTE($S26)/60)</f>
        <v/>
      </c>
      <c r="AH26" s="22" t="str">
        <f aca="false">IF($A26="","",HOUR($T26)+MINUTE($T26)/60)</f>
        <v/>
      </c>
      <c r="AI26" s="22" t="str">
        <f aca="false">IF($A26="","",HOUR($V26)+MINUTE($V26)/60)</f>
        <v/>
      </c>
      <c r="AJ26" s="22" t="str">
        <f aca="false">IF($A26="","",HOUR($W26)+MINUTE($W26)/60)</f>
        <v/>
      </c>
      <c r="AK26" s="22" t="str">
        <f aca="false">IF($A26="","",VLOOKUP($F26,Dim_Team!$A:$F,6,0))</f>
        <v/>
      </c>
      <c r="AL26" s="28" t="str">
        <f aca="false">IF($A26="","",VLOOKUP($X26,Dim_Signoff!$A:$C,3,0))</f>
        <v/>
      </c>
      <c r="AM26" s="28" t="str">
        <f aca="false">IF($A26="","",IF($N26="No","n/a",ROUND((AH26-AE26)*60,0)))</f>
        <v/>
      </c>
      <c r="AN26" s="28" t="str">
        <f aca="false">IF($A26="","",IF($O26="No","n/a",ROUND((AH26-AF26)*60,0)))</f>
        <v/>
      </c>
      <c r="AO26" s="28" t="str">
        <f aca="false">IF($A26="","",IF($P26="No","n/a",ROUND((AH26-AG26)*60,0)))</f>
        <v/>
      </c>
      <c r="AP26" s="28" t="str">
        <f aca="false">IF($A26="","",ROUND((AH26-AK26)*60,0))</f>
        <v/>
      </c>
      <c r="AQ26" s="28" t="str">
        <f aca="false">IF($A26="","",ROUND((AI26-AH26)*60,0))</f>
        <v/>
      </c>
      <c r="AR26" s="4" t="str">
        <f aca="false">IF($A26="","",IF(AP26&gt;=AC26,"Yes","No"))</f>
        <v/>
      </c>
      <c r="AS26" s="4" t="str">
        <f aca="false">IF($A26="","",IF(AQ26&gt;=AD26+AL26,"Yes","No"))</f>
        <v/>
      </c>
      <c r="AT26" s="4" t="str">
        <f aca="false">IF($A26="","",IF(AND(AR26="Yes",AS26="Yes"),"OK","REVIEW"))</f>
        <v/>
      </c>
      <c r="AU26" s="4" t="str">
        <f aca="false">IF($A26="","",IF($P26="No","Not applicable",IF(AO26&lt;Constants!$B$14,"CAPTURE","Not needed")))</f>
        <v/>
      </c>
      <c r="AV26" s="4" t="str">
        <f aca="false">IF($A26="","",IF($P26="No","n/a",RANK(AO26,AO:AO,1)))</f>
        <v/>
      </c>
      <c r="AW26" s="4" t="str">
        <f aca="false">IF($A26="","",IF(UPPER($E26)="YES","Strategic","Non-strategic"))</f>
        <v/>
      </c>
      <c r="AX26" s="4" t="str">
        <f aca="false">IF($A26="","",COUNTIFS(Fact_Work!$C:$C,$A26))</f>
        <v/>
      </c>
      <c r="AY26" s="4" t="str">
        <f aca="false">IF($A26="","",IF(AX26=0,"Not seen",IF(AX26&gt;=Constants!$B$13*0.6,"Daily",IF(AX26&gt;=Constants!$B$13*0.12,"Weekly","Monthly or ad hoc"))))</f>
        <v/>
      </c>
      <c r="AZ26" s="22" t="str">
        <f aca="false">IF($A26="","",IFERROR(VLOOKUP($U26,Dim_TOP!$A:$H,8,0),""))</f>
        <v/>
      </c>
      <c r="BA26" s="28" t="str">
        <f aca="false">IF($A26="","",IFERROR(ROUND((AH26-AZ26)*60,0),""))</f>
        <v/>
      </c>
      <c r="BB26" s="4" t="str">
        <f aca="false">IF($A26="","",IF(BA26="","",IF(BA26&lt;=0,"Sets the deadline","Later than peers by "&amp;BA26&amp;" min")))</f>
        <v/>
      </c>
      <c r="BC26" s="29" t="str">
        <f aca="false">IF($A26="","",IF($U26="",0,IF(COUNTIFS($U$2:$U26,$U26,$C$2:$C26,$C26)=1,1,0)))</f>
        <v/>
      </c>
      <c r="BD26" s="10" t="str">
        <f aca="false">IF($A26="","",IF(UPPER($P26)="YES","Yes","No"))</f>
        <v/>
      </c>
      <c r="BE26" s="10" t="str">
        <f aca="false">IF($A26="","",IF($N26="No","n/a",IF(AM26&lt;=Constants!$B$17,"Yes","No")))</f>
        <v/>
      </c>
      <c r="BF26" s="10" t="str">
        <f aca="false">IF($A26="","",IF($O26="No","n/a",IF(AN26&lt;=Constants!$B$17,"Yes","No")))</f>
        <v/>
      </c>
      <c r="BG26" s="10" t="str">
        <f aca="false">IF($A26="","",IF($P26="No","n/a",IF(AO26&lt;=Constants!$B$17,"Yes","No")))</f>
        <v/>
      </c>
      <c r="BH26" s="10" t="str">
        <f aca="false">IF($A26="","",IF($N26="No","No custody process",IF(BE26="Yes","Thin custody slack","Ample custody slack")))</f>
        <v/>
      </c>
      <c r="BI26" s="30" t="str">
        <f aca="false">IF($A26="","",IF($N26="No","",AM26))</f>
        <v/>
      </c>
      <c r="BJ26" s="30" t="str">
        <f aca="false">IF($A26="","",IF($O26="No","",AN26))</f>
        <v/>
      </c>
      <c r="BK26" s="30" t="str">
        <f aca="false">IF($A26="","",IF($P26="No","",AO26))</f>
        <v/>
      </c>
    </row>
    <row r="27" customFormat="false" ht="15" hidden="false" customHeight="true" outlineLevel="0" collapsed="false">
      <c r="Z27" s="28" t="str">
        <f aca="false">IF($A27="","",Constants!$B$6+$I27*Constants!$B$7+$J27*Constants!$B$8+$K27*Constants!$B$9+$L27*Constants!$B$10+$M27*Constants!$B$11)</f>
        <v/>
      </c>
      <c r="AA27" s="28" t="str">
        <f aca="false">IF($A27="","",100-Z27)</f>
        <v/>
      </c>
      <c r="AB27" s="28" t="str">
        <f aca="false">IF($A27="","",ROUND($H27*Constants!$B$4,1))</f>
        <v/>
      </c>
      <c r="AC27" s="28" t="str">
        <f aca="false">IF($A27="","",ROUND(AB27*Z27/100,1))</f>
        <v/>
      </c>
      <c r="AD27" s="28" t="str">
        <f aca="false">IF($A27="","",ROUND(AB27*AA27/100,1))</f>
        <v/>
      </c>
      <c r="AE27" s="22" t="str">
        <f aca="false">IF($A27="","",HOUR($Q27)+MINUTE($Q27)/60)</f>
        <v/>
      </c>
      <c r="AF27" s="22" t="str">
        <f aca="false">IF($A27="","",HOUR($R27)+MINUTE($R27)/60)</f>
        <v/>
      </c>
      <c r="AG27" s="22" t="str">
        <f aca="false">IF($A27="","",HOUR($S27)+MINUTE($S27)/60)</f>
        <v/>
      </c>
      <c r="AH27" s="22" t="str">
        <f aca="false">IF($A27="","",HOUR($T27)+MINUTE($T27)/60)</f>
        <v/>
      </c>
      <c r="AI27" s="22" t="str">
        <f aca="false">IF($A27="","",HOUR($V27)+MINUTE($V27)/60)</f>
        <v/>
      </c>
      <c r="AJ27" s="22" t="str">
        <f aca="false">IF($A27="","",HOUR($W27)+MINUTE($W27)/60)</f>
        <v/>
      </c>
      <c r="AK27" s="22" t="str">
        <f aca="false">IF($A27="","",VLOOKUP($F27,Dim_Team!$A:$F,6,0))</f>
        <v/>
      </c>
      <c r="AL27" s="28" t="str">
        <f aca="false">IF($A27="","",VLOOKUP($X27,Dim_Signoff!$A:$C,3,0))</f>
        <v/>
      </c>
      <c r="AM27" s="28" t="str">
        <f aca="false">IF($A27="","",IF($N27="No","n/a",ROUND((AH27-AE27)*60,0)))</f>
        <v/>
      </c>
      <c r="AN27" s="28" t="str">
        <f aca="false">IF($A27="","",IF($O27="No","n/a",ROUND((AH27-AF27)*60,0)))</f>
        <v/>
      </c>
      <c r="AO27" s="28" t="str">
        <f aca="false">IF($A27="","",IF($P27="No","n/a",ROUND((AH27-AG27)*60,0)))</f>
        <v/>
      </c>
      <c r="AP27" s="28" t="str">
        <f aca="false">IF($A27="","",ROUND((AH27-AK27)*60,0))</f>
        <v/>
      </c>
      <c r="AQ27" s="28" t="str">
        <f aca="false">IF($A27="","",ROUND((AI27-AH27)*60,0))</f>
        <v/>
      </c>
      <c r="AR27" s="4" t="str">
        <f aca="false">IF($A27="","",IF(AP27&gt;=AC27,"Yes","No"))</f>
        <v/>
      </c>
      <c r="AS27" s="4" t="str">
        <f aca="false">IF($A27="","",IF(AQ27&gt;=AD27+AL27,"Yes","No"))</f>
        <v/>
      </c>
      <c r="AT27" s="4" t="str">
        <f aca="false">IF($A27="","",IF(AND(AR27="Yes",AS27="Yes"),"OK","REVIEW"))</f>
        <v/>
      </c>
      <c r="AU27" s="4" t="str">
        <f aca="false">IF($A27="","",IF($P27="No","Not applicable",IF(AO27&lt;Constants!$B$14,"CAPTURE","Not needed")))</f>
        <v/>
      </c>
      <c r="AV27" s="4" t="str">
        <f aca="false">IF($A27="","",IF($P27="No","n/a",RANK(AO27,AO:AO,1)))</f>
        <v/>
      </c>
      <c r="AW27" s="4" t="str">
        <f aca="false">IF($A27="","",IF(UPPER($E27)="YES","Strategic","Non-strategic"))</f>
        <v/>
      </c>
      <c r="AX27" s="4" t="str">
        <f aca="false">IF($A27="","",COUNTIFS(Fact_Work!$C:$C,$A27))</f>
        <v/>
      </c>
      <c r="AY27" s="4" t="str">
        <f aca="false">IF($A27="","",IF(AX27=0,"Not seen",IF(AX27&gt;=Constants!$B$13*0.6,"Daily",IF(AX27&gt;=Constants!$B$13*0.12,"Weekly","Monthly or ad hoc"))))</f>
        <v/>
      </c>
      <c r="AZ27" s="22" t="str">
        <f aca="false">IF($A27="","",IFERROR(VLOOKUP($U27,Dim_TOP!$A:$H,8,0),""))</f>
        <v/>
      </c>
      <c r="BA27" s="28" t="str">
        <f aca="false">IF($A27="","",IFERROR(ROUND((AH27-AZ27)*60,0),""))</f>
        <v/>
      </c>
      <c r="BB27" s="4" t="str">
        <f aca="false">IF($A27="","",IF(BA27="","",IF(BA27&lt;=0,"Sets the deadline","Later than peers by "&amp;BA27&amp;" min")))</f>
        <v/>
      </c>
      <c r="BC27" s="29" t="str">
        <f aca="false">IF($A27="","",IF($U27="",0,IF(COUNTIFS($U$2:$U27,$U27,$C$2:$C27,$C27)=1,1,0)))</f>
        <v/>
      </c>
      <c r="BD27" s="10" t="str">
        <f aca="false">IF($A27="","",IF(UPPER($P27)="YES","Yes","No"))</f>
        <v/>
      </c>
      <c r="BE27" s="10" t="str">
        <f aca="false">IF($A27="","",IF($N27="No","n/a",IF(AM27&lt;=Constants!$B$17,"Yes","No")))</f>
        <v/>
      </c>
      <c r="BF27" s="10" t="str">
        <f aca="false">IF($A27="","",IF($O27="No","n/a",IF(AN27&lt;=Constants!$B$17,"Yes","No")))</f>
        <v/>
      </c>
      <c r="BG27" s="10" t="str">
        <f aca="false">IF($A27="","",IF($P27="No","n/a",IF(AO27&lt;=Constants!$B$17,"Yes","No")))</f>
        <v/>
      </c>
      <c r="BH27" s="10" t="str">
        <f aca="false">IF($A27="","",IF($N27="No","No custody process",IF(BE27="Yes","Thin custody slack","Ample custody slack")))</f>
        <v/>
      </c>
      <c r="BI27" s="30" t="str">
        <f aca="false">IF($A27="","",IF($N27="No","",AM27))</f>
        <v/>
      </c>
      <c r="BJ27" s="30" t="str">
        <f aca="false">IF($A27="","",IF($O27="No","",AN27))</f>
        <v/>
      </c>
      <c r="BK27" s="30" t="str">
        <f aca="false">IF($A27="","",IF($P27="No","",AO27))</f>
        <v/>
      </c>
    </row>
    <row r="28" customFormat="false" ht="15" hidden="false" customHeight="true" outlineLevel="0" collapsed="false">
      <c r="Z28" s="28" t="str">
        <f aca="false">IF($A28="","",Constants!$B$6+$I28*Constants!$B$7+$J28*Constants!$B$8+$K28*Constants!$B$9+$L28*Constants!$B$10+$M28*Constants!$B$11)</f>
        <v/>
      </c>
      <c r="AA28" s="28" t="str">
        <f aca="false">IF($A28="","",100-Z28)</f>
        <v/>
      </c>
      <c r="AB28" s="28" t="str">
        <f aca="false">IF($A28="","",ROUND($H28*Constants!$B$4,1))</f>
        <v/>
      </c>
      <c r="AC28" s="28" t="str">
        <f aca="false">IF($A28="","",ROUND(AB28*Z28/100,1))</f>
        <v/>
      </c>
      <c r="AD28" s="28" t="str">
        <f aca="false">IF($A28="","",ROUND(AB28*AA28/100,1))</f>
        <v/>
      </c>
      <c r="AE28" s="22" t="str">
        <f aca="false">IF($A28="","",HOUR($Q28)+MINUTE($Q28)/60)</f>
        <v/>
      </c>
      <c r="AF28" s="22" t="str">
        <f aca="false">IF($A28="","",HOUR($R28)+MINUTE($R28)/60)</f>
        <v/>
      </c>
      <c r="AG28" s="22" t="str">
        <f aca="false">IF($A28="","",HOUR($S28)+MINUTE($S28)/60)</f>
        <v/>
      </c>
      <c r="AH28" s="22" t="str">
        <f aca="false">IF($A28="","",HOUR($T28)+MINUTE($T28)/60)</f>
        <v/>
      </c>
      <c r="AI28" s="22" t="str">
        <f aca="false">IF($A28="","",HOUR($V28)+MINUTE($V28)/60)</f>
        <v/>
      </c>
      <c r="AJ28" s="22" t="str">
        <f aca="false">IF($A28="","",HOUR($W28)+MINUTE($W28)/60)</f>
        <v/>
      </c>
      <c r="AK28" s="22" t="str">
        <f aca="false">IF($A28="","",VLOOKUP($F28,Dim_Team!$A:$F,6,0))</f>
        <v/>
      </c>
      <c r="AL28" s="28" t="str">
        <f aca="false">IF($A28="","",VLOOKUP($X28,Dim_Signoff!$A:$C,3,0))</f>
        <v/>
      </c>
      <c r="AM28" s="28" t="str">
        <f aca="false">IF($A28="","",IF($N28="No","n/a",ROUND((AH28-AE28)*60,0)))</f>
        <v/>
      </c>
      <c r="AN28" s="28" t="str">
        <f aca="false">IF($A28="","",IF($O28="No","n/a",ROUND((AH28-AF28)*60,0)))</f>
        <v/>
      </c>
      <c r="AO28" s="28" t="str">
        <f aca="false">IF($A28="","",IF($P28="No","n/a",ROUND((AH28-AG28)*60,0)))</f>
        <v/>
      </c>
      <c r="AP28" s="28" t="str">
        <f aca="false">IF($A28="","",ROUND((AH28-AK28)*60,0))</f>
        <v/>
      </c>
      <c r="AQ28" s="28" t="str">
        <f aca="false">IF($A28="","",ROUND((AI28-AH28)*60,0))</f>
        <v/>
      </c>
      <c r="AR28" s="4" t="str">
        <f aca="false">IF($A28="","",IF(AP28&gt;=AC28,"Yes","No"))</f>
        <v/>
      </c>
      <c r="AS28" s="4" t="str">
        <f aca="false">IF($A28="","",IF(AQ28&gt;=AD28+AL28,"Yes","No"))</f>
        <v/>
      </c>
      <c r="AT28" s="4" t="str">
        <f aca="false">IF($A28="","",IF(AND(AR28="Yes",AS28="Yes"),"OK","REVIEW"))</f>
        <v/>
      </c>
      <c r="AU28" s="4" t="str">
        <f aca="false">IF($A28="","",IF($P28="No","Not applicable",IF(AO28&lt;Constants!$B$14,"CAPTURE","Not needed")))</f>
        <v/>
      </c>
      <c r="AV28" s="4" t="str">
        <f aca="false">IF($A28="","",IF($P28="No","n/a",RANK(AO28,AO:AO,1)))</f>
        <v/>
      </c>
      <c r="AW28" s="4" t="str">
        <f aca="false">IF($A28="","",IF(UPPER($E28)="YES","Strategic","Non-strategic"))</f>
        <v/>
      </c>
      <c r="AX28" s="4" t="str">
        <f aca="false">IF($A28="","",COUNTIFS(Fact_Work!$C:$C,$A28))</f>
        <v/>
      </c>
      <c r="AY28" s="4" t="str">
        <f aca="false">IF($A28="","",IF(AX28=0,"Not seen",IF(AX28&gt;=Constants!$B$13*0.6,"Daily",IF(AX28&gt;=Constants!$B$13*0.12,"Weekly","Monthly or ad hoc"))))</f>
        <v/>
      </c>
      <c r="AZ28" s="22" t="str">
        <f aca="false">IF($A28="","",IFERROR(VLOOKUP($U28,Dim_TOP!$A:$H,8,0),""))</f>
        <v/>
      </c>
      <c r="BA28" s="28" t="str">
        <f aca="false">IF($A28="","",IFERROR(ROUND((AH28-AZ28)*60,0),""))</f>
        <v/>
      </c>
      <c r="BB28" s="4" t="str">
        <f aca="false">IF($A28="","",IF(BA28="","",IF(BA28&lt;=0,"Sets the deadline","Later than peers by "&amp;BA28&amp;" min")))</f>
        <v/>
      </c>
      <c r="BC28" s="29" t="str">
        <f aca="false">IF($A28="","",IF($U28="",0,IF(COUNTIFS($U$2:$U28,$U28,$C$2:$C28,$C28)=1,1,0)))</f>
        <v/>
      </c>
      <c r="BD28" s="10" t="str">
        <f aca="false">IF($A28="","",IF(UPPER($P28)="YES","Yes","No"))</f>
        <v/>
      </c>
      <c r="BE28" s="10" t="str">
        <f aca="false">IF($A28="","",IF($N28="No","n/a",IF(AM28&lt;=Constants!$B$17,"Yes","No")))</f>
        <v/>
      </c>
      <c r="BF28" s="10" t="str">
        <f aca="false">IF($A28="","",IF($O28="No","n/a",IF(AN28&lt;=Constants!$B$17,"Yes","No")))</f>
        <v/>
      </c>
      <c r="BG28" s="10" t="str">
        <f aca="false">IF($A28="","",IF($P28="No","n/a",IF(AO28&lt;=Constants!$B$17,"Yes","No")))</f>
        <v/>
      </c>
      <c r="BH28" s="10" t="str">
        <f aca="false">IF($A28="","",IF($N28="No","No custody process",IF(BE28="Yes","Thin custody slack","Ample custody slack")))</f>
        <v/>
      </c>
      <c r="BI28" s="30" t="str">
        <f aca="false">IF($A28="","",IF($N28="No","",AM28))</f>
        <v/>
      </c>
      <c r="BJ28" s="30" t="str">
        <f aca="false">IF($A28="","",IF($O28="No","",AN28))</f>
        <v/>
      </c>
      <c r="BK28" s="30" t="str">
        <f aca="false">IF($A28="","",IF($P28="No","",AO28))</f>
        <v/>
      </c>
    </row>
    <row r="29" customFormat="false" ht="15" hidden="false" customHeight="true" outlineLevel="0" collapsed="false">
      <c r="Z29" s="28" t="str">
        <f aca="false">IF($A29="","",Constants!$B$6+$I29*Constants!$B$7+$J29*Constants!$B$8+$K29*Constants!$B$9+$L29*Constants!$B$10+$M29*Constants!$B$11)</f>
        <v/>
      </c>
      <c r="AA29" s="28" t="str">
        <f aca="false">IF($A29="","",100-Z29)</f>
        <v/>
      </c>
      <c r="AB29" s="28" t="str">
        <f aca="false">IF($A29="","",ROUND($H29*Constants!$B$4,1))</f>
        <v/>
      </c>
      <c r="AC29" s="28" t="str">
        <f aca="false">IF($A29="","",ROUND(AB29*Z29/100,1))</f>
        <v/>
      </c>
      <c r="AD29" s="28" t="str">
        <f aca="false">IF($A29="","",ROUND(AB29*AA29/100,1))</f>
        <v/>
      </c>
      <c r="AE29" s="22" t="str">
        <f aca="false">IF($A29="","",HOUR($Q29)+MINUTE($Q29)/60)</f>
        <v/>
      </c>
      <c r="AF29" s="22" t="str">
        <f aca="false">IF($A29="","",HOUR($R29)+MINUTE($R29)/60)</f>
        <v/>
      </c>
      <c r="AG29" s="22" t="str">
        <f aca="false">IF($A29="","",HOUR($S29)+MINUTE($S29)/60)</f>
        <v/>
      </c>
      <c r="AH29" s="22" t="str">
        <f aca="false">IF($A29="","",HOUR($T29)+MINUTE($T29)/60)</f>
        <v/>
      </c>
      <c r="AI29" s="22" t="str">
        <f aca="false">IF($A29="","",HOUR($V29)+MINUTE($V29)/60)</f>
        <v/>
      </c>
      <c r="AJ29" s="22" t="str">
        <f aca="false">IF($A29="","",HOUR($W29)+MINUTE($W29)/60)</f>
        <v/>
      </c>
      <c r="AK29" s="22" t="str">
        <f aca="false">IF($A29="","",VLOOKUP($F29,Dim_Team!$A:$F,6,0))</f>
        <v/>
      </c>
      <c r="AL29" s="28" t="str">
        <f aca="false">IF($A29="","",VLOOKUP($X29,Dim_Signoff!$A:$C,3,0))</f>
        <v/>
      </c>
      <c r="AM29" s="28" t="str">
        <f aca="false">IF($A29="","",IF($N29="No","n/a",ROUND((AH29-AE29)*60,0)))</f>
        <v/>
      </c>
      <c r="AN29" s="28" t="str">
        <f aca="false">IF($A29="","",IF($O29="No","n/a",ROUND((AH29-AF29)*60,0)))</f>
        <v/>
      </c>
      <c r="AO29" s="28" t="str">
        <f aca="false">IF($A29="","",IF($P29="No","n/a",ROUND((AH29-AG29)*60,0)))</f>
        <v/>
      </c>
      <c r="AP29" s="28" t="str">
        <f aca="false">IF($A29="","",ROUND((AH29-AK29)*60,0))</f>
        <v/>
      </c>
      <c r="AQ29" s="28" t="str">
        <f aca="false">IF($A29="","",ROUND((AI29-AH29)*60,0))</f>
        <v/>
      </c>
      <c r="AR29" s="4" t="str">
        <f aca="false">IF($A29="","",IF(AP29&gt;=AC29,"Yes","No"))</f>
        <v/>
      </c>
      <c r="AS29" s="4" t="str">
        <f aca="false">IF($A29="","",IF(AQ29&gt;=AD29+AL29,"Yes","No"))</f>
        <v/>
      </c>
      <c r="AT29" s="4" t="str">
        <f aca="false">IF($A29="","",IF(AND(AR29="Yes",AS29="Yes"),"OK","REVIEW"))</f>
        <v/>
      </c>
      <c r="AU29" s="4" t="str">
        <f aca="false">IF($A29="","",IF($P29="No","Not applicable",IF(AO29&lt;Constants!$B$14,"CAPTURE","Not needed")))</f>
        <v/>
      </c>
      <c r="AV29" s="4" t="str">
        <f aca="false">IF($A29="","",IF($P29="No","n/a",RANK(AO29,AO:AO,1)))</f>
        <v/>
      </c>
      <c r="AW29" s="4" t="str">
        <f aca="false">IF($A29="","",IF(UPPER($E29)="YES","Strategic","Non-strategic"))</f>
        <v/>
      </c>
      <c r="AX29" s="4" t="str">
        <f aca="false">IF($A29="","",COUNTIFS(Fact_Work!$C:$C,$A29))</f>
        <v/>
      </c>
      <c r="AY29" s="4" t="str">
        <f aca="false">IF($A29="","",IF(AX29=0,"Not seen",IF(AX29&gt;=Constants!$B$13*0.6,"Daily",IF(AX29&gt;=Constants!$B$13*0.12,"Weekly","Monthly or ad hoc"))))</f>
        <v/>
      </c>
      <c r="AZ29" s="22" t="str">
        <f aca="false">IF($A29="","",IFERROR(VLOOKUP($U29,Dim_TOP!$A:$H,8,0),""))</f>
        <v/>
      </c>
      <c r="BA29" s="28" t="str">
        <f aca="false">IF($A29="","",IFERROR(ROUND((AH29-AZ29)*60,0),""))</f>
        <v/>
      </c>
      <c r="BB29" s="4" t="str">
        <f aca="false">IF($A29="","",IF(BA29="","",IF(BA29&lt;=0,"Sets the deadline","Later than peers by "&amp;BA29&amp;" min")))</f>
        <v/>
      </c>
      <c r="BC29" s="29" t="str">
        <f aca="false">IF($A29="","",IF($U29="",0,IF(COUNTIFS($U$2:$U29,$U29,$C$2:$C29,$C29)=1,1,0)))</f>
        <v/>
      </c>
      <c r="BD29" s="10" t="str">
        <f aca="false">IF($A29="","",IF(UPPER($P29)="YES","Yes","No"))</f>
        <v/>
      </c>
      <c r="BE29" s="10" t="str">
        <f aca="false">IF($A29="","",IF($N29="No","n/a",IF(AM29&lt;=Constants!$B$17,"Yes","No")))</f>
        <v/>
      </c>
      <c r="BF29" s="10" t="str">
        <f aca="false">IF($A29="","",IF($O29="No","n/a",IF(AN29&lt;=Constants!$B$17,"Yes","No")))</f>
        <v/>
      </c>
      <c r="BG29" s="10" t="str">
        <f aca="false">IF($A29="","",IF($P29="No","n/a",IF(AO29&lt;=Constants!$B$17,"Yes","No")))</f>
        <v/>
      </c>
      <c r="BH29" s="10" t="str">
        <f aca="false">IF($A29="","",IF($N29="No","No custody process",IF(BE29="Yes","Thin custody slack","Ample custody slack")))</f>
        <v/>
      </c>
      <c r="BI29" s="30" t="str">
        <f aca="false">IF($A29="","",IF($N29="No","",AM29))</f>
        <v/>
      </c>
      <c r="BJ29" s="30" t="str">
        <f aca="false">IF($A29="","",IF($O29="No","",AN29))</f>
        <v/>
      </c>
      <c r="BK29" s="30" t="str">
        <f aca="false">IF($A29="","",IF($P29="No","",AO29))</f>
        <v/>
      </c>
    </row>
    <row r="30" customFormat="false" ht="15" hidden="false" customHeight="true" outlineLevel="0" collapsed="false">
      <c r="Z30" s="28" t="str">
        <f aca="false">IF($A30="","",Constants!$B$6+$I30*Constants!$B$7+$J30*Constants!$B$8+$K30*Constants!$B$9+$L30*Constants!$B$10+$M30*Constants!$B$11)</f>
        <v/>
      </c>
      <c r="AA30" s="28" t="str">
        <f aca="false">IF($A30="","",100-Z30)</f>
        <v/>
      </c>
      <c r="AB30" s="28" t="str">
        <f aca="false">IF($A30="","",ROUND($H30*Constants!$B$4,1))</f>
        <v/>
      </c>
      <c r="AC30" s="28" t="str">
        <f aca="false">IF($A30="","",ROUND(AB30*Z30/100,1))</f>
        <v/>
      </c>
      <c r="AD30" s="28" t="str">
        <f aca="false">IF($A30="","",ROUND(AB30*AA30/100,1))</f>
        <v/>
      </c>
      <c r="AE30" s="22" t="str">
        <f aca="false">IF($A30="","",HOUR($Q30)+MINUTE($Q30)/60)</f>
        <v/>
      </c>
      <c r="AF30" s="22" t="str">
        <f aca="false">IF($A30="","",HOUR($R30)+MINUTE($R30)/60)</f>
        <v/>
      </c>
      <c r="AG30" s="22" t="str">
        <f aca="false">IF($A30="","",HOUR($S30)+MINUTE($S30)/60)</f>
        <v/>
      </c>
      <c r="AH30" s="22" t="str">
        <f aca="false">IF($A30="","",HOUR($T30)+MINUTE($T30)/60)</f>
        <v/>
      </c>
      <c r="AI30" s="22" t="str">
        <f aca="false">IF($A30="","",HOUR($V30)+MINUTE($V30)/60)</f>
        <v/>
      </c>
      <c r="AJ30" s="22" t="str">
        <f aca="false">IF($A30="","",HOUR($W30)+MINUTE($W30)/60)</f>
        <v/>
      </c>
      <c r="AK30" s="22" t="str">
        <f aca="false">IF($A30="","",VLOOKUP($F30,Dim_Team!$A:$F,6,0))</f>
        <v/>
      </c>
      <c r="AL30" s="28" t="str">
        <f aca="false">IF($A30="","",VLOOKUP($X30,Dim_Signoff!$A:$C,3,0))</f>
        <v/>
      </c>
      <c r="AM30" s="28" t="str">
        <f aca="false">IF($A30="","",IF($N30="No","n/a",ROUND((AH30-AE30)*60,0)))</f>
        <v/>
      </c>
      <c r="AN30" s="28" t="str">
        <f aca="false">IF($A30="","",IF($O30="No","n/a",ROUND((AH30-AF30)*60,0)))</f>
        <v/>
      </c>
      <c r="AO30" s="28" t="str">
        <f aca="false">IF($A30="","",IF($P30="No","n/a",ROUND((AH30-AG30)*60,0)))</f>
        <v/>
      </c>
      <c r="AP30" s="28" t="str">
        <f aca="false">IF($A30="","",ROUND((AH30-AK30)*60,0))</f>
        <v/>
      </c>
      <c r="AQ30" s="28" t="str">
        <f aca="false">IF($A30="","",ROUND((AI30-AH30)*60,0))</f>
        <v/>
      </c>
      <c r="AR30" s="4" t="str">
        <f aca="false">IF($A30="","",IF(AP30&gt;=AC30,"Yes","No"))</f>
        <v/>
      </c>
      <c r="AS30" s="4" t="str">
        <f aca="false">IF($A30="","",IF(AQ30&gt;=AD30+AL30,"Yes","No"))</f>
        <v/>
      </c>
      <c r="AT30" s="4" t="str">
        <f aca="false">IF($A30="","",IF(AND(AR30="Yes",AS30="Yes"),"OK","REVIEW"))</f>
        <v/>
      </c>
      <c r="AU30" s="4" t="str">
        <f aca="false">IF($A30="","",IF($P30="No","Not applicable",IF(AO30&lt;Constants!$B$14,"CAPTURE","Not needed")))</f>
        <v/>
      </c>
      <c r="AV30" s="4" t="str">
        <f aca="false">IF($A30="","",IF($P30="No","n/a",RANK(AO30,AO:AO,1)))</f>
        <v/>
      </c>
      <c r="AW30" s="4" t="str">
        <f aca="false">IF($A30="","",IF(UPPER($E30)="YES","Strategic","Non-strategic"))</f>
        <v/>
      </c>
      <c r="AX30" s="4" t="str">
        <f aca="false">IF($A30="","",COUNTIFS(Fact_Work!$C:$C,$A30))</f>
        <v/>
      </c>
      <c r="AY30" s="4" t="str">
        <f aca="false">IF($A30="","",IF(AX30=0,"Not seen",IF(AX30&gt;=Constants!$B$13*0.6,"Daily",IF(AX30&gt;=Constants!$B$13*0.12,"Weekly","Monthly or ad hoc"))))</f>
        <v/>
      </c>
      <c r="AZ30" s="22" t="str">
        <f aca="false">IF($A30="","",IFERROR(VLOOKUP($U30,Dim_TOP!$A:$H,8,0),""))</f>
        <v/>
      </c>
      <c r="BA30" s="28" t="str">
        <f aca="false">IF($A30="","",IFERROR(ROUND((AH30-AZ30)*60,0),""))</f>
        <v/>
      </c>
      <c r="BB30" s="4" t="str">
        <f aca="false">IF($A30="","",IF(BA30="","",IF(BA30&lt;=0,"Sets the deadline","Later than peers by "&amp;BA30&amp;" min")))</f>
        <v/>
      </c>
      <c r="BC30" s="29" t="str">
        <f aca="false">IF($A30="","",IF($U30="",0,IF(COUNTIFS($U$2:$U30,$U30,$C$2:$C30,$C30)=1,1,0)))</f>
        <v/>
      </c>
      <c r="BD30" s="10" t="str">
        <f aca="false">IF($A30="","",IF(UPPER($P30)="YES","Yes","No"))</f>
        <v/>
      </c>
      <c r="BE30" s="10" t="str">
        <f aca="false">IF($A30="","",IF($N30="No","n/a",IF(AM30&lt;=Constants!$B$17,"Yes","No")))</f>
        <v/>
      </c>
      <c r="BF30" s="10" t="str">
        <f aca="false">IF($A30="","",IF($O30="No","n/a",IF(AN30&lt;=Constants!$B$17,"Yes","No")))</f>
        <v/>
      </c>
      <c r="BG30" s="10" t="str">
        <f aca="false">IF($A30="","",IF($P30="No","n/a",IF(AO30&lt;=Constants!$B$17,"Yes","No")))</f>
        <v/>
      </c>
      <c r="BH30" s="10" t="str">
        <f aca="false">IF($A30="","",IF($N30="No","No custody process",IF(BE30="Yes","Thin custody slack","Ample custody slack")))</f>
        <v/>
      </c>
      <c r="BI30" s="30" t="str">
        <f aca="false">IF($A30="","",IF($N30="No","",AM30))</f>
        <v/>
      </c>
      <c r="BJ30" s="30" t="str">
        <f aca="false">IF($A30="","",IF($O30="No","",AN30))</f>
        <v/>
      </c>
      <c r="BK30" s="30" t="str">
        <f aca="false">IF($A30="","",IF($P30="No","",AO30))</f>
        <v/>
      </c>
    </row>
    <row r="31" customFormat="false" ht="15" hidden="false" customHeight="true" outlineLevel="0" collapsed="false">
      <c r="Z31" s="28" t="str">
        <f aca="false">IF($A31="","",Constants!$B$6+$I31*Constants!$B$7+$J31*Constants!$B$8+$K31*Constants!$B$9+$L31*Constants!$B$10+$M31*Constants!$B$11)</f>
        <v/>
      </c>
      <c r="AA31" s="28" t="str">
        <f aca="false">IF($A31="","",100-Z31)</f>
        <v/>
      </c>
      <c r="AB31" s="28" t="str">
        <f aca="false">IF($A31="","",ROUND($H31*Constants!$B$4,1))</f>
        <v/>
      </c>
      <c r="AC31" s="28" t="str">
        <f aca="false">IF($A31="","",ROUND(AB31*Z31/100,1))</f>
        <v/>
      </c>
      <c r="AD31" s="28" t="str">
        <f aca="false">IF($A31="","",ROUND(AB31*AA31/100,1))</f>
        <v/>
      </c>
      <c r="AE31" s="22" t="str">
        <f aca="false">IF($A31="","",HOUR($Q31)+MINUTE($Q31)/60)</f>
        <v/>
      </c>
      <c r="AF31" s="22" t="str">
        <f aca="false">IF($A31="","",HOUR($R31)+MINUTE($R31)/60)</f>
        <v/>
      </c>
      <c r="AG31" s="22" t="str">
        <f aca="false">IF($A31="","",HOUR($S31)+MINUTE($S31)/60)</f>
        <v/>
      </c>
      <c r="AH31" s="22" t="str">
        <f aca="false">IF($A31="","",HOUR($T31)+MINUTE($T31)/60)</f>
        <v/>
      </c>
      <c r="AI31" s="22" t="str">
        <f aca="false">IF($A31="","",HOUR($V31)+MINUTE($V31)/60)</f>
        <v/>
      </c>
      <c r="AJ31" s="22" t="str">
        <f aca="false">IF($A31="","",HOUR($W31)+MINUTE($W31)/60)</f>
        <v/>
      </c>
      <c r="AK31" s="22" t="str">
        <f aca="false">IF($A31="","",VLOOKUP($F31,Dim_Team!$A:$F,6,0))</f>
        <v/>
      </c>
      <c r="AL31" s="28" t="str">
        <f aca="false">IF($A31="","",VLOOKUP($X31,Dim_Signoff!$A:$C,3,0))</f>
        <v/>
      </c>
      <c r="AM31" s="28" t="str">
        <f aca="false">IF($A31="","",IF($N31="No","n/a",ROUND((AH31-AE31)*60,0)))</f>
        <v/>
      </c>
      <c r="AN31" s="28" t="str">
        <f aca="false">IF($A31="","",IF($O31="No","n/a",ROUND((AH31-AF31)*60,0)))</f>
        <v/>
      </c>
      <c r="AO31" s="28" t="str">
        <f aca="false">IF($A31="","",IF($P31="No","n/a",ROUND((AH31-AG31)*60,0)))</f>
        <v/>
      </c>
      <c r="AP31" s="28" t="str">
        <f aca="false">IF($A31="","",ROUND((AH31-AK31)*60,0))</f>
        <v/>
      </c>
      <c r="AQ31" s="28" t="str">
        <f aca="false">IF($A31="","",ROUND((AI31-AH31)*60,0))</f>
        <v/>
      </c>
      <c r="AR31" s="4" t="str">
        <f aca="false">IF($A31="","",IF(AP31&gt;=AC31,"Yes","No"))</f>
        <v/>
      </c>
      <c r="AS31" s="4" t="str">
        <f aca="false">IF($A31="","",IF(AQ31&gt;=AD31+AL31,"Yes","No"))</f>
        <v/>
      </c>
      <c r="AT31" s="4" t="str">
        <f aca="false">IF($A31="","",IF(AND(AR31="Yes",AS31="Yes"),"OK","REVIEW"))</f>
        <v/>
      </c>
      <c r="AU31" s="4" t="str">
        <f aca="false">IF($A31="","",IF($P31="No","Not applicable",IF(AO31&lt;Constants!$B$14,"CAPTURE","Not needed")))</f>
        <v/>
      </c>
      <c r="AV31" s="4" t="str">
        <f aca="false">IF($A31="","",IF($P31="No","n/a",RANK(AO31,AO:AO,1)))</f>
        <v/>
      </c>
      <c r="AW31" s="4" t="str">
        <f aca="false">IF($A31="","",IF(UPPER($E31)="YES","Strategic","Non-strategic"))</f>
        <v/>
      </c>
      <c r="AX31" s="4" t="str">
        <f aca="false">IF($A31="","",COUNTIFS(Fact_Work!$C:$C,$A31))</f>
        <v/>
      </c>
      <c r="AY31" s="4" t="str">
        <f aca="false">IF($A31="","",IF(AX31=0,"Not seen",IF(AX31&gt;=Constants!$B$13*0.6,"Daily",IF(AX31&gt;=Constants!$B$13*0.12,"Weekly","Monthly or ad hoc"))))</f>
        <v/>
      </c>
      <c r="AZ31" s="22" t="str">
        <f aca="false">IF($A31="","",IFERROR(VLOOKUP($U31,Dim_TOP!$A:$H,8,0),""))</f>
        <v/>
      </c>
      <c r="BA31" s="28" t="str">
        <f aca="false">IF($A31="","",IFERROR(ROUND((AH31-AZ31)*60,0),""))</f>
        <v/>
      </c>
      <c r="BB31" s="4" t="str">
        <f aca="false">IF($A31="","",IF(BA31="","",IF(BA31&lt;=0,"Sets the deadline","Later than peers by "&amp;BA31&amp;" min")))</f>
        <v/>
      </c>
      <c r="BC31" s="29" t="str">
        <f aca="false">IF($A31="","",IF($U31="",0,IF(COUNTIFS($U$2:$U31,$U31,$C$2:$C31,$C31)=1,1,0)))</f>
        <v/>
      </c>
      <c r="BD31" s="10" t="str">
        <f aca="false">IF($A31="","",IF(UPPER($P31)="YES","Yes","No"))</f>
        <v/>
      </c>
      <c r="BE31" s="10" t="str">
        <f aca="false">IF($A31="","",IF($N31="No","n/a",IF(AM31&lt;=Constants!$B$17,"Yes","No")))</f>
        <v/>
      </c>
      <c r="BF31" s="10" t="str">
        <f aca="false">IF($A31="","",IF($O31="No","n/a",IF(AN31&lt;=Constants!$B$17,"Yes","No")))</f>
        <v/>
      </c>
      <c r="BG31" s="10" t="str">
        <f aca="false">IF($A31="","",IF($P31="No","n/a",IF(AO31&lt;=Constants!$B$17,"Yes","No")))</f>
        <v/>
      </c>
      <c r="BH31" s="10" t="str">
        <f aca="false">IF($A31="","",IF($N31="No","No custody process",IF(BE31="Yes","Thin custody slack","Ample custody slack")))</f>
        <v/>
      </c>
      <c r="BI31" s="30" t="str">
        <f aca="false">IF($A31="","",IF($N31="No","",AM31))</f>
        <v/>
      </c>
      <c r="BJ31" s="30" t="str">
        <f aca="false">IF($A31="","",IF($O31="No","",AN31))</f>
        <v/>
      </c>
      <c r="BK31" s="30" t="str">
        <f aca="false">IF($A31="","",IF($P31="No","",AO31))</f>
        <v/>
      </c>
    </row>
    <row r="32" customFormat="false" ht="15" hidden="false" customHeight="true" outlineLevel="0" collapsed="false">
      <c r="Z32" s="28" t="str">
        <f aca="false">IF($A32="","",Constants!$B$6+$I32*Constants!$B$7+$J32*Constants!$B$8+$K32*Constants!$B$9+$L32*Constants!$B$10+$M32*Constants!$B$11)</f>
        <v/>
      </c>
      <c r="AA32" s="28" t="str">
        <f aca="false">IF($A32="","",100-Z32)</f>
        <v/>
      </c>
      <c r="AB32" s="28" t="str">
        <f aca="false">IF($A32="","",ROUND($H32*Constants!$B$4,1))</f>
        <v/>
      </c>
      <c r="AC32" s="28" t="str">
        <f aca="false">IF($A32="","",ROUND(AB32*Z32/100,1))</f>
        <v/>
      </c>
      <c r="AD32" s="28" t="str">
        <f aca="false">IF($A32="","",ROUND(AB32*AA32/100,1))</f>
        <v/>
      </c>
      <c r="AE32" s="22" t="str">
        <f aca="false">IF($A32="","",HOUR($Q32)+MINUTE($Q32)/60)</f>
        <v/>
      </c>
      <c r="AF32" s="22" t="str">
        <f aca="false">IF($A32="","",HOUR($R32)+MINUTE($R32)/60)</f>
        <v/>
      </c>
      <c r="AG32" s="22" t="str">
        <f aca="false">IF($A32="","",HOUR($S32)+MINUTE($S32)/60)</f>
        <v/>
      </c>
      <c r="AH32" s="22" t="str">
        <f aca="false">IF($A32="","",HOUR($T32)+MINUTE($T32)/60)</f>
        <v/>
      </c>
      <c r="AI32" s="22" t="str">
        <f aca="false">IF($A32="","",HOUR($V32)+MINUTE($V32)/60)</f>
        <v/>
      </c>
      <c r="AJ32" s="22" t="str">
        <f aca="false">IF($A32="","",HOUR($W32)+MINUTE($W32)/60)</f>
        <v/>
      </c>
      <c r="AK32" s="22" t="str">
        <f aca="false">IF($A32="","",VLOOKUP($F32,Dim_Team!$A:$F,6,0))</f>
        <v/>
      </c>
      <c r="AL32" s="28" t="str">
        <f aca="false">IF($A32="","",VLOOKUP($X32,Dim_Signoff!$A:$C,3,0))</f>
        <v/>
      </c>
      <c r="AM32" s="28" t="str">
        <f aca="false">IF($A32="","",IF($N32="No","n/a",ROUND((AH32-AE32)*60,0)))</f>
        <v/>
      </c>
      <c r="AN32" s="28" t="str">
        <f aca="false">IF($A32="","",IF($O32="No","n/a",ROUND((AH32-AF32)*60,0)))</f>
        <v/>
      </c>
      <c r="AO32" s="28" t="str">
        <f aca="false">IF($A32="","",IF($P32="No","n/a",ROUND((AH32-AG32)*60,0)))</f>
        <v/>
      </c>
      <c r="AP32" s="28" t="str">
        <f aca="false">IF($A32="","",ROUND((AH32-AK32)*60,0))</f>
        <v/>
      </c>
      <c r="AQ32" s="28" t="str">
        <f aca="false">IF($A32="","",ROUND((AI32-AH32)*60,0))</f>
        <v/>
      </c>
      <c r="AR32" s="4" t="str">
        <f aca="false">IF($A32="","",IF(AP32&gt;=AC32,"Yes","No"))</f>
        <v/>
      </c>
      <c r="AS32" s="4" t="str">
        <f aca="false">IF($A32="","",IF(AQ32&gt;=AD32+AL32,"Yes","No"))</f>
        <v/>
      </c>
      <c r="AT32" s="4" t="str">
        <f aca="false">IF($A32="","",IF(AND(AR32="Yes",AS32="Yes"),"OK","REVIEW"))</f>
        <v/>
      </c>
      <c r="AU32" s="4" t="str">
        <f aca="false">IF($A32="","",IF($P32="No","Not applicable",IF(AO32&lt;Constants!$B$14,"CAPTURE","Not needed")))</f>
        <v/>
      </c>
      <c r="AV32" s="4" t="str">
        <f aca="false">IF($A32="","",IF($P32="No","n/a",RANK(AO32,AO:AO,1)))</f>
        <v/>
      </c>
      <c r="AW32" s="4" t="str">
        <f aca="false">IF($A32="","",IF(UPPER($E32)="YES","Strategic","Non-strategic"))</f>
        <v/>
      </c>
      <c r="AX32" s="4" t="str">
        <f aca="false">IF($A32="","",COUNTIFS(Fact_Work!$C:$C,$A32))</f>
        <v/>
      </c>
      <c r="AY32" s="4" t="str">
        <f aca="false">IF($A32="","",IF(AX32=0,"Not seen",IF(AX32&gt;=Constants!$B$13*0.6,"Daily",IF(AX32&gt;=Constants!$B$13*0.12,"Weekly","Monthly or ad hoc"))))</f>
        <v/>
      </c>
      <c r="AZ32" s="22" t="str">
        <f aca="false">IF($A32="","",IFERROR(VLOOKUP($U32,Dim_TOP!$A:$H,8,0),""))</f>
        <v/>
      </c>
      <c r="BA32" s="28" t="str">
        <f aca="false">IF($A32="","",IFERROR(ROUND((AH32-AZ32)*60,0),""))</f>
        <v/>
      </c>
      <c r="BB32" s="4" t="str">
        <f aca="false">IF($A32="","",IF(BA32="","",IF(BA32&lt;=0,"Sets the deadline","Later than peers by "&amp;BA32&amp;" min")))</f>
        <v/>
      </c>
      <c r="BC32" s="29" t="str">
        <f aca="false">IF($A32="","",IF($U32="",0,IF(COUNTIFS($U$2:$U32,$U32,$C$2:$C32,$C32)=1,1,0)))</f>
        <v/>
      </c>
      <c r="BD32" s="10" t="str">
        <f aca="false">IF($A32="","",IF(UPPER($P32)="YES","Yes","No"))</f>
        <v/>
      </c>
      <c r="BE32" s="10" t="str">
        <f aca="false">IF($A32="","",IF($N32="No","n/a",IF(AM32&lt;=Constants!$B$17,"Yes","No")))</f>
        <v/>
      </c>
      <c r="BF32" s="10" t="str">
        <f aca="false">IF($A32="","",IF($O32="No","n/a",IF(AN32&lt;=Constants!$B$17,"Yes","No")))</f>
        <v/>
      </c>
      <c r="BG32" s="10" t="str">
        <f aca="false">IF($A32="","",IF($P32="No","n/a",IF(AO32&lt;=Constants!$B$17,"Yes","No")))</f>
        <v/>
      </c>
      <c r="BH32" s="10" t="str">
        <f aca="false">IF($A32="","",IF($N32="No","No custody process",IF(BE32="Yes","Thin custody slack","Ample custody slack")))</f>
        <v/>
      </c>
      <c r="BI32" s="30" t="str">
        <f aca="false">IF($A32="","",IF($N32="No","",AM32))</f>
        <v/>
      </c>
      <c r="BJ32" s="30" t="str">
        <f aca="false">IF($A32="","",IF($O32="No","",AN32))</f>
        <v/>
      </c>
      <c r="BK32" s="30" t="str">
        <f aca="false">IF($A32="","",IF($P32="No","",AO32))</f>
        <v/>
      </c>
    </row>
    <row r="33" customFormat="false" ht="15" hidden="false" customHeight="true" outlineLevel="0" collapsed="false">
      <c r="Z33" s="28" t="str">
        <f aca="false">IF($A33="","",Constants!$B$6+$I33*Constants!$B$7+$J33*Constants!$B$8+$K33*Constants!$B$9+$L33*Constants!$B$10+$M33*Constants!$B$11)</f>
        <v/>
      </c>
      <c r="AA33" s="28" t="str">
        <f aca="false">IF($A33="","",100-Z33)</f>
        <v/>
      </c>
      <c r="AB33" s="28" t="str">
        <f aca="false">IF($A33="","",ROUND($H33*Constants!$B$4,1))</f>
        <v/>
      </c>
      <c r="AC33" s="28" t="str">
        <f aca="false">IF($A33="","",ROUND(AB33*Z33/100,1))</f>
        <v/>
      </c>
      <c r="AD33" s="28" t="str">
        <f aca="false">IF($A33="","",ROUND(AB33*AA33/100,1))</f>
        <v/>
      </c>
      <c r="AE33" s="22" t="str">
        <f aca="false">IF($A33="","",HOUR($Q33)+MINUTE($Q33)/60)</f>
        <v/>
      </c>
      <c r="AF33" s="22" t="str">
        <f aca="false">IF($A33="","",HOUR($R33)+MINUTE($R33)/60)</f>
        <v/>
      </c>
      <c r="AG33" s="22" t="str">
        <f aca="false">IF($A33="","",HOUR($S33)+MINUTE($S33)/60)</f>
        <v/>
      </c>
      <c r="AH33" s="22" t="str">
        <f aca="false">IF($A33="","",HOUR($T33)+MINUTE($T33)/60)</f>
        <v/>
      </c>
      <c r="AI33" s="22" t="str">
        <f aca="false">IF($A33="","",HOUR($V33)+MINUTE($V33)/60)</f>
        <v/>
      </c>
      <c r="AJ33" s="22" t="str">
        <f aca="false">IF($A33="","",HOUR($W33)+MINUTE($W33)/60)</f>
        <v/>
      </c>
      <c r="AK33" s="22" t="str">
        <f aca="false">IF($A33="","",VLOOKUP($F33,Dim_Team!$A:$F,6,0))</f>
        <v/>
      </c>
      <c r="AL33" s="28" t="str">
        <f aca="false">IF($A33="","",VLOOKUP($X33,Dim_Signoff!$A:$C,3,0))</f>
        <v/>
      </c>
      <c r="AM33" s="28" t="str">
        <f aca="false">IF($A33="","",IF($N33="No","n/a",ROUND((AH33-AE33)*60,0)))</f>
        <v/>
      </c>
      <c r="AN33" s="28" t="str">
        <f aca="false">IF($A33="","",IF($O33="No","n/a",ROUND((AH33-AF33)*60,0)))</f>
        <v/>
      </c>
      <c r="AO33" s="28" t="str">
        <f aca="false">IF($A33="","",IF($P33="No","n/a",ROUND((AH33-AG33)*60,0)))</f>
        <v/>
      </c>
      <c r="AP33" s="28" t="str">
        <f aca="false">IF($A33="","",ROUND((AH33-AK33)*60,0))</f>
        <v/>
      </c>
      <c r="AQ33" s="28" t="str">
        <f aca="false">IF($A33="","",ROUND((AI33-AH33)*60,0))</f>
        <v/>
      </c>
      <c r="AR33" s="4" t="str">
        <f aca="false">IF($A33="","",IF(AP33&gt;=AC33,"Yes","No"))</f>
        <v/>
      </c>
      <c r="AS33" s="4" t="str">
        <f aca="false">IF($A33="","",IF(AQ33&gt;=AD33+AL33,"Yes","No"))</f>
        <v/>
      </c>
      <c r="AT33" s="4" t="str">
        <f aca="false">IF($A33="","",IF(AND(AR33="Yes",AS33="Yes"),"OK","REVIEW"))</f>
        <v/>
      </c>
      <c r="AU33" s="4" t="str">
        <f aca="false">IF($A33="","",IF($P33="No","Not applicable",IF(AO33&lt;Constants!$B$14,"CAPTURE","Not needed")))</f>
        <v/>
      </c>
      <c r="AV33" s="4" t="str">
        <f aca="false">IF($A33="","",IF($P33="No","n/a",RANK(AO33,AO:AO,1)))</f>
        <v/>
      </c>
      <c r="AW33" s="4" t="str">
        <f aca="false">IF($A33="","",IF(UPPER($E33)="YES","Strategic","Non-strategic"))</f>
        <v/>
      </c>
      <c r="AX33" s="4" t="str">
        <f aca="false">IF($A33="","",COUNTIFS(Fact_Work!$C:$C,$A33))</f>
        <v/>
      </c>
      <c r="AY33" s="4" t="str">
        <f aca="false">IF($A33="","",IF(AX33=0,"Not seen",IF(AX33&gt;=Constants!$B$13*0.6,"Daily",IF(AX33&gt;=Constants!$B$13*0.12,"Weekly","Monthly or ad hoc"))))</f>
        <v/>
      </c>
      <c r="AZ33" s="22" t="str">
        <f aca="false">IF($A33="","",IFERROR(VLOOKUP($U33,Dim_TOP!$A:$H,8,0),""))</f>
        <v/>
      </c>
      <c r="BA33" s="28" t="str">
        <f aca="false">IF($A33="","",IFERROR(ROUND((AH33-AZ33)*60,0),""))</f>
        <v/>
      </c>
      <c r="BB33" s="4" t="str">
        <f aca="false">IF($A33="","",IF(BA33="","",IF(BA33&lt;=0,"Sets the deadline","Later than peers by "&amp;BA33&amp;" min")))</f>
        <v/>
      </c>
      <c r="BC33" s="29" t="str">
        <f aca="false">IF($A33="","",IF($U33="",0,IF(COUNTIFS($U$2:$U33,$U33,$C$2:$C33,$C33)=1,1,0)))</f>
        <v/>
      </c>
      <c r="BD33" s="10" t="str">
        <f aca="false">IF($A33="","",IF(UPPER($P33)="YES","Yes","No"))</f>
        <v/>
      </c>
      <c r="BE33" s="10" t="str">
        <f aca="false">IF($A33="","",IF($N33="No","n/a",IF(AM33&lt;=Constants!$B$17,"Yes","No")))</f>
        <v/>
      </c>
      <c r="BF33" s="10" t="str">
        <f aca="false">IF($A33="","",IF($O33="No","n/a",IF(AN33&lt;=Constants!$B$17,"Yes","No")))</f>
        <v/>
      </c>
      <c r="BG33" s="10" t="str">
        <f aca="false">IF($A33="","",IF($P33="No","n/a",IF(AO33&lt;=Constants!$B$17,"Yes","No")))</f>
        <v/>
      </c>
      <c r="BH33" s="10" t="str">
        <f aca="false">IF($A33="","",IF($N33="No","No custody process",IF(BE33="Yes","Thin custody slack","Ample custody slack")))</f>
        <v/>
      </c>
      <c r="BI33" s="30" t="str">
        <f aca="false">IF($A33="","",IF($N33="No","",AM33))</f>
        <v/>
      </c>
      <c r="BJ33" s="30" t="str">
        <f aca="false">IF($A33="","",IF($O33="No","",AN33))</f>
        <v/>
      </c>
      <c r="BK33" s="30" t="str">
        <f aca="false">IF($A33="","",IF($P33="No","",AO33))</f>
        <v/>
      </c>
    </row>
    <row r="34" customFormat="false" ht="15" hidden="false" customHeight="true" outlineLevel="0" collapsed="false">
      <c r="Z34" s="28" t="str">
        <f aca="false">IF($A34="","",Constants!$B$6+$I34*Constants!$B$7+$J34*Constants!$B$8+$K34*Constants!$B$9+$L34*Constants!$B$10+$M34*Constants!$B$11)</f>
        <v/>
      </c>
      <c r="AA34" s="28" t="str">
        <f aca="false">IF($A34="","",100-Z34)</f>
        <v/>
      </c>
      <c r="AB34" s="28" t="str">
        <f aca="false">IF($A34="","",ROUND($H34*Constants!$B$4,1))</f>
        <v/>
      </c>
      <c r="AC34" s="28" t="str">
        <f aca="false">IF($A34="","",ROUND(AB34*Z34/100,1))</f>
        <v/>
      </c>
      <c r="AD34" s="28" t="str">
        <f aca="false">IF($A34="","",ROUND(AB34*AA34/100,1))</f>
        <v/>
      </c>
      <c r="AE34" s="22" t="str">
        <f aca="false">IF($A34="","",HOUR($Q34)+MINUTE($Q34)/60)</f>
        <v/>
      </c>
      <c r="AF34" s="22" t="str">
        <f aca="false">IF($A34="","",HOUR($R34)+MINUTE($R34)/60)</f>
        <v/>
      </c>
      <c r="AG34" s="22" t="str">
        <f aca="false">IF($A34="","",HOUR($S34)+MINUTE($S34)/60)</f>
        <v/>
      </c>
      <c r="AH34" s="22" t="str">
        <f aca="false">IF($A34="","",HOUR($T34)+MINUTE($T34)/60)</f>
        <v/>
      </c>
      <c r="AI34" s="22" t="str">
        <f aca="false">IF($A34="","",HOUR($V34)+MINUTE($V34)/60)</f>
        <v/>
      </c>
      <c r="AJ34" s="22" t="str">
        <f aca="false">IF($A34="","",HOUR($W34)+MINUTE($W34)/60)</f>
        <v/>
      </c>
      <c r="AK34" s="22" t="str">
        <f aca="false">IF($A34="","",VLOOKUP($F34,Dim_Team!$A:$F,6,0))</f>
        <v/>
      </c>
      <c r="AL34" s="28" t="str">
        <f aca="false">IF($A34="","",VLOOKUP($X34,Dim_Signoff!$A:$C,3,0))</f>
        <v/>
      </c>
      <c r="AM34" s="28" t="str">
        <f aca="false">IF($A34="","",IF($N34="No","n/a",ROUND((AH34-AE34)*60,0)))</f>
        <v/>
      </c>
      <c r="AN34" s="28" t="str">
        <f aca="false">IF($A34="","",IF($O34="No","n/a",ROUND((AH34-AF34)*60,0)))</f>
        <v/>
      </c>
      <c r="AO34" s="28" t="str">
        <f aca="false">IF($A34="","",IF($P34="No","n/a",ROUND((AH34-AG34)*60,0)))</f>
        <v/>
      </c>
      <c r="AP34" s="28" t="str">
        <f aca="false">IF($A34="","",ROUND((AH34-AK34)*60,0))</f>
        <v/>
      </c>
      <c r="AQ34" s="28" t="str">
        <f aca="false">IF($A34="","",ROUND((AI34-AH34)*60,0))</f>
        <v/>
      </c>
      <c r="AR34" s="4" t="str">
        <f aca="false">IF($A34="","",IF(AP34&gt;=AC34,"Yes","No"))</f>
        <v/>
      </c>
      <c r="AS34" s="4" t="str">
        <f aca="false">IF($A34="","",IF(AQ34&gt;=AD34+AL34,"Yes","No"))</f>
        <v/>
      </c>
      <c r="AT34" s="4" t="str">
        <f aca="false">IF($A34="","",IF(AND(AR34="Yes",AS34="Yes"),"OK","REVIEW"))</f>
        <v/>
      </c>
      <c r="AU34" s="4" t="str">
        <f aca="false">IF($A34="","",IF($P34="No","Not applicable",IF(AO34&lt;Constants!$B$14,"CAPTURE","Not needed")))</f>
        <v/>
      </c>
      <c r="AV34" s="4" t="str">
        <f aca="false">IF($A34="","",IF($P34="No","n/a",RANK(AO34,AO:AO,1)))</f>
        <v/>
      </c>
      <c r="AW34" s="4" t="str">
        <f aca="false">IF($A34="","",IF(UPPER($E34)="YES","Strategic","Non-strategic"))</f>
        <v/>
      </c>
      <c r="AX34" s="4" t="str">
        <f aca="false">IF($A34="","",COUNTIFS(Fact_Work!$C:$C,$A34))</f>
        <v/>
      </c>
      <c r="AY34" s="4" t="str">
        <f aca="false">IF($A34="","",IF(AX34=0,"Not seen",IF(AX34&gt;=Constants!$B$13*0.6,"Daily",IF(AX34&gt;=Constants!$B$13*0.12,"Weekly","Monthly or ad hoc"))))</f>
        <v/>
      </c>
      <c r="AZ34" s="22" t="str">
        <f aca="false">IF($A34="","",IFERROR(VLOOKUP($U34,Dim_TOP!$A:$H,8,0),""))</f>
        <v/>
      </c>
      <c r="BA34" s="28" t="str">
        <f aca="false">IF($A34="","",IFERROR(ROUND((AH34-AZ34)*60,0),""))</f>
        <v/>
      </c>
      <c r="BB34" s="4" t="str">
        <f aca="false">IF($A34="","",IF(BA34="","",IF(BA34&lt;=0,"Sets the deadline","Later than peers by "&amp;BA34&amp;" min")))</f>
        <v/>
      </c>
      <c r="BC34" s="29" t="str">
        <f aca="false">IF($A34="","",IF($U34="",0,IF(COUNTIFS($U$2:$U34,$U34,$C$2:$C34,$C34)=1,1,0)))</f>
        <v/>
      </c>
      <c r="BD34" s="10" t="str">
        <f aca="false">IF($A34="","",IF(UPPER($P34)="YES","Yes","No"))</f>
        <v/>
      </c>
      <c r="BE34" s="10" t="str">
        <f aca="false">IF($A34="","",IF($N34="No","n/a",IF(AM34&lt;=Constants!$B$17,"Yes","No")))</f>
        <v/>
      </c>
      <c r="BF34" s="10" t="str">
        <f aca="false">IF($A34="","",IF($O34="No","n/a",IF(AN34&lt;=Constants!$B$17,"Yes","No")))</f>
        <v/>
      </c>
      <c r="BG34" s="10" t="str">
        <f aca="false">IF($A34="","",IF($P34="No","n/a",IF(AO34&lt;=Constants!$B$17,"Yes","No")))</f>
        <v/>
      </c>
      <c r="BH34" s="10" t="str">
        <f aca="false">IF($A34="","",IF($N34="No","No custody process",IF(BE34="Yes","Thin custody slack","Ample custody slack")))</f>
        <v/>
      </c>
      <c r="BI34" s="30" t="str">
        <f aca="false">IF($A34="","",IF($N34="No","",AM34))</f>
        <v/>
      </c>
      <c r="BJ34" s="30" t="str">
        <f aca="false">IF($A34="","",IF($O34="No","",AN34))</f>
        <v/>
      </c>
      <c r="BK34" s="30" t="str">
        <f aca="false">IF($A34="","",IF($P34="No","",AO34))</f>
        <v/>
      </c>
    </row>
    <row r="35" customFormat="false" ht="15" hidden="false" customHeight="true" outlineLevel="0" collapsed="false">
      <c r="Z35" s="28" t="str">
        <f aca="false">IF($A35="","",Constants!$B$6+$I35*Constants!$B$7+$J35*Constants!$B$8+$K35*Constants!$B$9+$L35*Constants!$B$10+$M35*Constants!$B$11)</f>
        <v/>
      </c>
      <c r="AA35" s="28" t="str">
        <f aca="false">IF($A35="","",100-Z35)</f>
        <v/>
      </c>
      <c r="AB35" s="28" t="str">
        <f aca="false">IF($A35="","",ROUND($H35*Constants!$B$4,1))</f>
        <v/>
      </c>
      <c r="AC35" s="28" t="str">
        <f aca="false">IF($A35="","",ROUND(AB35*Z35/100,1))</f>
        <v/>
      </c>
      <c r="AD35" s="28" t="str">
        <f aca="false">IF($A35="","",ROUND(AB35*AA35/100,1))</f>
        <v/>
      </c>
      <c r="AE35" s="22" t="str">
        <f aca="false">IF($A35="","",HOUR($Q35)+MINUTE($Q35)/60)</f>
        <v/>
      </c>
      <c r="AF35" s="22" t="str">
        <f aca="false">IF($A35="","",HOUR($R35)+MINUTE($R35)/60)</f>
        <v/>
      </c>
      <c r="AG35" s="22" t="str">
        <f aca="false">IF($A35="","",HOUR($S35)+MINUTE($S35)/60)</f>
        <v/>
      </c>
      <c r="AH35" s="22" t="str">
        <f aca="false">IF($A35="","",HOUR($T35)+MINUTE($T35)/60)</f>
        <v/>
      </c>
      <c r="AI35" s="22" t="str">
        <f aca="false">IF($A35="","",HOUR($V35)+MINUTE($V35)/60)</f>
        <v/>
      </c>
      <c r="AJ35" s="22" t="str">
        <f aca="false">IF($A35="","",HOUR($W35)+MINUTE($W35)/60)</f>
        <v/>
      </c>
      <c r="AK35" s="22" t="str">
        <f aca="false">IF($A35="","",VLOOKUP($F35,Dim_Team!$A:$F,6,0))</f>
        <v/>
      </c>
      <c r="AL35" s="28" t="str">
        <f aca="false">IF($A35="","",VLOOKUP($X35,Dim_Signoff!$A:$C,3,0))</f>
        <v/>
      </c>
      <c r="AM35" s="28" t="str">
        <f aca="false">IF($A35="","",IF($N35="No","n/a",ROUND((AH35-AE35)*60,0)))</f>
        <v/>
      </c>
      <c r="AN35" s="28" t="str">
        <f aca="false">IF($A35="","",IF($O35="No","n/a",ROUND((AH35-AF35)*60,0)))</f>
        <v/>
      </c>
      <c r="AO35" s="28" t="str">
        <f aca="false">IF($A35="","",IF($P35="No","n/a",ROUND((AH35-AG35)*60,0)))</f>
        <v/>
      </c>
      <c r="AP35" s="28" t="str">
        <f aca="false">IF($A35="","",ROUND((AH35-AK35)*60,0))</f>
        <v/>
      </c>
      <c r="AQ35" s="28" t="str">
        <f aca="false">IF($A35="","",ROUND((AI35-AH35)*60,0))</f>
        <v/>
      </c>
      <c r="AR35" s="4" t="str">
        <f aca="false">IF($A35="","",IF(AP35&gt;=AC35,"Yes","No"))</f>
        <v/>
      </c>
      <c r="AS35" s="4" t="str">
        <f aca="false">IF($A35="","",IF(AQ35&gt;=AD35+AL35,"Yes","No"))</f>
        <v/>
      </c>
      <c r="AT35" s="4" t="str">
        <f aca="false">IF($A35="","",IF(AND(AR35="Yes",AS35="Yes"),"OK","REVIEW"))</f>
        <v/>
      </c>
      <c r="AU35" s="4" t="str">
        <f aca="false">IF($A35="","",IF($P35="No","Not applicable",IF(AO35&lt;Constants!$B$14,"CAPTURE","Not needed")))</f>
        <v/>
      </c>
      <c r="AV35" s="4" t="str">
        <f aca="false">IF($A35="","",IF($P35="No","n/a",RANK(AO35,AO:AO,1)))</f>
        <v/>
      </c>
      <c r="AW35" s="4" t="str">
        <f aca="false">IF($A35="","",IF(UPPER($E35)="YES","Strategic","Non-strategic"))</f>
        <v/>
      </c>
      <c r="AX35" s="4" t="str">
        <f aca="false">IF($A35="","",COUNTIFS(Fact_Work!$C:$C,$A35))</f>
        <v/>
      </c>
      <c r="AY35" s="4" t="str">
        <f aca="false">IF($A35="","",IF(AX35=0,"Not seen",IF(AX35&gt;=Constants!$B$13*0.6,"Daily",IF(AX35&gt;=Constants!$B$13*0.12,"Weekly","Monthly or ad hoc"))))</f>
        <v/>
      </c>
      <c r="AZ35" s="22" t="str">
        <f aca="false">IF($A35="","",IFERROR(VLOOKUP($U35,Dim_TOP!$A:$H,8,0),""))</f>
        <v/>
      </c>
      <c r="BA35" s="28" t="str">
        <f aca="false">IF($A35="","",IFERROR(ROUND((AH35-AZ35)*60,0),""))</f>
        <v/>
      </c>
      <c r="BB35" s="4" t="str">
        <f aca="false">IF($A35="","",IF(BA35="","",IF(BA35&lt;=0,"Sets the deadline","Later than peers by "&amp;BA35&amp;" min")))</f>
        <v/>
      </c>
      <c r="BC35" s="29" t="str">
        <f aca="false">IF($A35="","",IF($U35="",0,IF(COUNTIFS($U$2:$U35,$U35,$C$2:$C35,$C35)=1,1,0)))</f>
        <v/>
      </c>
      <c r="BD35" s="10" t="str">
        <f aca="false">IF($A35="","",IF(UPPER($P35)="YES","Yes","No"))</f>
        <v/>
      </c>
      <c r="BE35" s="10" t="str">
        <f aca="false">IF($A35="","",IF($N35="No","n/a",IF(AM35&lt;=Constants!$B$17,"Yes","No")))</f>
        <v/>
      </c>
      <c r="BF35" s="10" t="str">
        <f aca="false">IF($A35="","",IF($O35="No","n/a",IF(AN35&lt;=Constants!$B$17,"Yes","No")))</f>
        <v/>
      </c>
      <c r="BG35" s="10" t="str">
        <f aca="false">IF($A35="","",IF($P35="No","n/a",IF(AO35&lt;=Constants!$B$17,"Yes","No")))</f>
        <v/>
      </c>
      <c r="BH35" s="10" t="str">
        <f aca="false">IF($A35="","",IF($N35="No","No custody process",IF(BE35="Yes","Thin custody slack","Ample custody slack")))</f>
        <v/>
      </c>
      <c r="BI35" s="30" t="str">
        <f aca="false">IF($A35="","",IF($N35="No","",AM35))</f>
        <v/>
      </c>
      <c r="BJ35" s="30" t="str">
        <f aca="false">IF($A35="","",IF($O35="No","",AN35))</f>
        <v/>
      </c>
      <c r="BK35" s="30" t="str">
        <f aca="false">IF($A35="","",IF($P35="No","",AO35))</f>
        <v/>
      </c>
    </row>
    <row r="36" customFormat="false" ht="15" hidden="false" customHeight="true" outlineLevel="0" collapsed="false">
      <c r="Z36" s="28" t="str">
        <f aca="false">IF($A36="","",Constants!$B$6+$I36*Constants!$B$7+$J36*Constants!$B$8+$K36*Constants!$B$9+$L36*Constants!$B$10+$M36*Constants!$B$11)</f>
        <v/>
      </c>
      <c r="AA36" s="28" t="str">
        <f aca="false">IF($A36="","",100-Z36)</f>
        <v/>
      </c>
      <c r="AB36" s="28" t="str">
        <f aca="false">IF($A36="","",ROUND($H36*Constants!$B$4,1))</f>
        <v/>
      </c>
      <c r="AC36" s="28" t="str">
        <f aca="false">IF($A36="","",ROUND(AB36*Z36/100,1))</f>
        <v/>
      </c>
      <c r="AD36" s="28" t="str">
        <f aca="false">IF($A36="","",ROUND(AB36*AA36/100,1))</f>
        <v/>
      </c>
      <c r="AE36" s="22" t="str">
        <f aca="false">IF($A36="","",HOUR($Q36)+MINUTE($Q36)/60)</f>
        <v/>
      </c>
      <c r="AF36" s="22" t="str">
        <f aca="false">IF($A36="","",HOUR($R36)+MINUTE($R36)/60)</f>
        <v/>
      </c>
      <c r="AG36" s="22" t="str">
        <f aca="false">IF($A36="","",HOUR($S36)+MINUTE($S36)/60)</f>
        <v/>
      </c>
      <c r="AH36" s="22" t="str">
        <f aca="false">IF($A36="","",HOUR($T36)+MINUTE($T36)/60)</f>
        <v/>
      </c>
      <c r="AI36" s="22" t="str">
        <f aca="false">IF($A36="","",HOUR($V36)+MINUTE($V36)/60)</f>
        <v/>
      </c>
      <c r="AJ36" s="22" t="str">
        <f aca="false">IF($A36="","",HOUR($W36)+MINUTE($W36)/60)</f>
        <v/>
      </c>
      <c r="AK36" s="22" t="str">
        <f aca="false">IF($A36="","",VLOOKUP($F36,Dim_Team!$A:$F,6,0))</f>
        <v/>
      </c>
      <c r="AL36" s="28" t="str">
        <f aca="false">IF($A36="","",VLOOKUP($X36,Dim_Signoff!$A:$C,3,0))</f>
        <v/>
      </c>
      <c r="AM36" s="28" t="str">
        <f aca="false">IF($A36="","",IF($N36="No","n/a",ROUND((AH36-AE36)*60,0)))</f>
        <v/>
      </c>
      <c r="AN36" s="28" t="str">
        <f aca="false">IF($A36="","",IF($O36="No","n/a",ROUND((AH36-AF36)*60,0)))</f>
        <v/>
      </c>
      <c r="AO36" s="28" t="str">
        <f aca="false">IF($A36="","",IF($P36="No","n/a",ROUND((AH36-AG36)*60,0)))</f>
        <v/>
      </c>
      <c r="AP36" s="28" t="str">
        <f aca="false">IF($A36="","",ROUND((AH36-AK36)*60,0))</f>
        <v/>
      </c>
      <c r="AQ36" s="28" t="str">
        <f aca="false">IF($A36="","",ROUND((AI36-AH36)*60,0))</f>
        <v/>
      </c>
      <c r="AR36" s="4" t="str">
        <f aca="false">IF($A36="","",IF(AP36&gt;=AC36,"Yes","No"))</f>
        <v/>
      </c>
      <c r="AS36" s="4" t="str">
        <f aca="false">IF($A36="","",IF(AQ36&gt;=AD36+AL36,"Yes","No"))</f>
        <v/>
      </c>
      <c r="AT36" s="4" t="str">
        <f aca="false">IF($A36="","",IF(AND(AR36="Yes",AS36="Yes"),"OK","REVIEW"))</f>
        <v/>
      </c>
      <c r="AU36" s="4" t="str">
        <f aca="false">IF($A36="","",IF($P36="No","Not applicable",IF(AO36&lt;Constants!$B$14,"CAPTURE","Not needed")))</f>
        <v/>
      </c>
      <c r="AV36" s="4" t="str">
        <f aca="false">IF($A36="","",IF($P36="No","n/a",RANK(AO36,AO:AO,1)))</f>
        <v/>
      </c>
      <c r="AW36" s="4" t="str">
        <f aca="false">IF($A36="","",IF(UPPER($E36)="YES","Strategic","Non-strategic"))</f>
        <v/>
      </c>
      <c r="AX36" s="4" t="str">
        <f aca="false">IF($A36="","",COUNTIFS(Fact_Work!$C:$C,$A36))</f>
        <v/>
      </c>
      <c r="AY36" s="4" t="str">
        <f aca="false">IF($A36="","",IF(AX36=0,"Not seen",IF(AX36&gt;=Constants!$B$13*0.6,"Daily",IF(AX36&gt;=Constants!$B$13*0.12,"Weekly","Monthly or ad hoc"))))</f>
        <v/>
      </c>
      <c r="AZ36" s="22" t="str">
        <f aca="false">IF($A36="","",IFERROR(VLOOKUP($U36,Dim_TOP!$A:$H,8,0),""))</f>
        <v/>
      </c>
      <c r="BA36" s="28" t="str">
        <f aca="false">IF($A36="","",IFERROR(ROUND((AH36-AZ36)*60,0),""))</f>
        <v/>
      </c>
      <c r="BB36" s="4" t="str">
        <f aca="false">IF($A36="","",IF(BA36="","",IF(BA36&lt;=0,"Sets the deadline","Later than peers by "&amp;BA36&amp;" min")))</f>
        <v/>
      </c>
      <c r="BC36" s="29" t="str">
        <f aca="false">IF($A36="","",IF($U36="",0,IF(COUNTIFS($U$2:$U36,$U36,$C$2:$C36,$C36)=1,1,0)))</f>
        <v/>
      </c>
      <c r="BD36" s="10" t="str">
        <f aca="false">IF($A36="","",IF(UPPER($P36)="YES","Yes","No"))</f>
        <v/>
      </c>
      <c r="BE36" s="10" t="str">
        <f aca="false">IF($A36="","",IF($N36="No","n/a",IF(AM36&lt;=Constants!$B$17,"Yes","No")))</f>
        <v/>
      </c>
      <c r="BF36" s="10" t="str">
        <f aca="false">IF($A36="","",IF($O36="No","n/a",IF(AN36&lt;=Constants!$B$17,"Yes","No")))</f>
        <v/>
      </c>
      <c r="BG36" s="10" t="str">
        <f aca="false">IF($A36="","",IF($P36="No","n/a",IF(AO36&lt;=Constants!$B$17,"Yes","No")))</f>
        <v/>
      </c>
      <c r="BH36" s="10" t="str">
        <f aca="false">IF($A36="","",IF($N36="No","No custody process",IF(BE36="Yes","Thin custody slack","Ample custody slack")))</f>
        <v/>
      </c>
      <c r="BI36" s="30" t="str">
        <f aca="false">IF($A36="","",IF($N36="No","",AM36))</f>
        <v/>
      </c>
      <c r="BJ36" s="30" t="str">
        <f aca="false">IF($A36="","",IF($O36="No","",AN36))</f>
        <v/>
      </c>
      <c r="BK36" s="30" t="str">
        <f aca="false">IF($A36="","",IF($P36="No","",AO36))</f>
        <v/>
      </c>
    </row>
    <row r="37" customFormat="false" ht="15" hidden="false" customHeight="true" outlineLevel="0" collapsed="false">
      <c r="Z37" s="28" t="str">
        <f aca="false">IF($A37="","",Constants!$B$6+$I37*Constants!$B$7+$J37*Constants!$B$8+$K37*Constants!$B$9+$L37*Constants!$B$10+$M37*Constants!$B$11)</f>
        <v/>
      </c>
      <c r="AA37" s="28" t="str">
        <f aca="false">IF($A37="","",100-Z37)</f>
        <v/>
      </c>
      <c r="AB37" s="28" t="str">
        <f aca="false">IF($A37="","",ROUND($H37*Constants!$B$4,1))</f>
        <v/>
      </c>
      <c r="AC37" s="28" t="str">
        <f aca="false">IF($A37="","",ROUND(AB37*Z37/100,1))</f>
        <v/>
      </c>
      <c r="AD37" s="28" t="str">
        <f aca="false">IF($A37="","",ROUND(AB37*AA37/100,1))</f>
        <v/>
      </c>
      <c r="AE37" s="22" t="str">
        <f aca="false">IF($A37="","",HOUR($Q37)+MINUTE($Q37)/60)</f>
        <v/>
      </c>
      <c r="AF37" s="22" t="str">
        <f aca="false">IF($A37="","",HOUR($R37)+MINUTE($R37)/60)</f>
        <v/>
      </c>
      <c r="AG37" s="22" t="str">
        <f aca="false">IF($A37="","",HOUR($S37)+MINUTE($S37)/60)</f>
        <v/>
      </c>
      <c r="AH37" s="22" t="str">
        <f aca="false">IF($A37="","",HOUR($T37)+MINUTE($T37)/60)</f>
        <v/>
      </c>
      <c r="AI37" s="22" t="str">
        <f aca="false">IF($A37="","",HOUR($V37)+MINUTE($V37)/60)</f>
        <v/>
      </c>
      <c r="AJ37" s="22" t="str">
        <f aca="false">IF($A37="","",HOUR($W37)+MINUTE($W37)/60)</f>
        <v/>
      </c>
      <c r="AK37" s="22" t="str">
        <f aca="false">IF($A37="","",VLOOKUP($F37,Dim_Team!$A:$F,6,0))</f>
        <v/>
      </c>
      <c r="AL37" s="28" t="str">
        <f aca="false">IF($A37="","",VLOOKUP($X37,Dim_Signoff!$A:$C,3,0))</f>
        <v/>
      </c>
      <c r="AM37" s="28" t="str">
        <f aca="false">IF($A37="","",IF($N37="No","n/a",ROUND((AH37-AE37)*60,0)))</f>
        <v/>
      </c>
      <c r="AN37" s="28" t="str">
        <f aca="false">IF($A37="","",IF($O37="No","n/a",ROUND((AH37-AF37)*60,0)))</f>
        <v/>
      </c>
      <c r="AO37" s="28" t="str">
        <f aca="false">IF($A37="","",IF($P37="No","n/a",ROUND((AH37-AG37)*60,0)))</f>
        <v/>
      </c>
      <c r="AP37" s="28" t="str">
        <f aca="false">IF($A37="","",ROUND((AH37-AK37)*60,0))</f>
        <v/>
      </c>
      <c r="AQ37" s="28" t="str">
        <f aca="false">IF($A37="","",ROUND((AI37-AH37)*60,0))</f>
        <v/>
      </c>
      <c r="AR37" s="4" t="str">
        <f aca="false">IF($A37="","",IF(AP37&gt;=AC37,"Yes","No"))</f>
        <v/>
      </c>
      <c r="AS37" s="4" t="str">
        <f aca="false">IF($A37="","",IF(AQ37&gt;=AD37+AL37,"Yes","No"))</f>
        <v/>
      </c>
      <c r="AT37" s="4" t="str">
        <f aca="false">IF($A37="","",IF(AND(AR37="Yes",AS37="Yes"),"OK","REVIEW"))</f>
        <v/>
      </c>
      <c r="AU37" s="4" t="str">
        <f aca="false">IF($A37="","",IF($P37="No","Not applicable",IF(AO37&lt;Constants!$B$14,"CAPTURE","Not needed")))</f>
        <v/>
      </c>
      <c r="AV37" s="4" t="str">
        <f aca="false">IF($A37="","",IF($P37="No","n/a",RANK(AO37,AO:AO,1)))</f>
        <v/>
      </c>
      <c r="AW37" s="4" t="str">
        <f aca="false">IF($A37="","",IF(UPPER($E37)="YES","Strategic","Non-strategic"))</f>
        <v/>
      </c>
      <c r="AX37" s="4" t="str">
        <f aca="false">IF($A37="","",COUNTIFS(Fact_Work!$C:$C,$A37))</f>
        <v/>
      </c>
      <c r="AY37" s="4" t="str">
        <f aca="false">IF($A37="","",IF(AX37=0,"Not seen",IF(AX37&gt;=Constants!$B$13*0.6,"Daily",IF(AX37&gt;=Constants!$B$13*0.12,"Weekly","Monthly or ad hoc"))))</f>
        <v/>
      </c>
      <c r="AZ37" s="22" t="str">
        <f aca="false">IF($A37="","",IFERROR(VLOOKUP($U37,Dim_TOP!$A:$H,8,0),""))</f>
        <v/>
      </c>
      <c r="BA37" s="28" t="str">
        <f aca="false">IF($A37="","",IFERROR(ROUND((AH37-AZ37)*60,0),""))</f>
        <v/>
      </c>
      <c r="BB37" s="4" t="str">
        <f aca="false">IF($A37="","",IF(BA37="","",IF(BA37&lt;=0,"Sets the deadline","Later than peers by "&amp;BA37&amp;" min")))</f>
        <v/>
      </c>
      <c r="BC37" s="29" t="str">
        <f aca="false">IF($A37="","",IF($U37="",0,IF(COUNTIFS($U$2:$U37,$U37,$C$2:$C37,$C37)=1,1,0)))</f>
        <v/>
      </c>
      <c r="BD37" s="10" t="str">
        <f aca="false">IF($A37="","",IF(UPPER($P37)="YES","Yes","No"))</f>
        <v/>
      </c>
      <c r="BE37" s="10" t="str">
        <f aca="false">IF($A37="","",IF($N37="No","n/a",IF(AM37&lt;=Constants!$B$17,"Yes","No")))</f>
        <v/>
      </c>
      <c r="BF37" s="10" t="str">
        <f aca="false">IF($A37="","",IF($O37="No","n/a",IF(AN37&lt;=Constants!$B$17,"Yes","No")))</f>
        <v/>
      </c>
      <c r="BG37" s="10" t="str">
        <f aca="false">IF($A37="","",IF($P37="No","n/a",IF(AO37&lt;=Constants!$B$17,"Yes","No")))</f>
        <v/>
      </c>
      <c r="BH37" s="10" t="str">
        <f aca="false">IF($A37="","",IF($N37="No","No custody process",IF(BE37="Yes","Thin custody slack","Ample custody slack")))</f>
        <v/>
      </c>
      <c r="BI37" s="30" t="str">
        <f aca="false">IF($A37="","",IF($N37="No","",AM37))</f>
        <v/>
      </c>
      <c r="BJ37" s="30" t="str">
        <f aca="false">IF($A37="","",IF($O37="No","",AN37))</f>
        <v/>
      </c>
      <c r="BK37" s="30" t="str">
        <f aca="false">IF($A37="","",IF($P37="No","",AO37))</f>
        <v/>
      </c>
    </row>
    <row r="38" customFormat="false" ht="15" hidden="false" customHeight="true" outlineLevel="0" collapsed="false">
      <c r="Z38" s="28" t="str">
        <f aca="false">IF($A38="","",Constants!$B$6+$I38*Constants!$B$7+$J38*Constants!$B$8+$K38*Constants!$B$9+$L38*Constants!$B$10+$M38*Constants!$B$11)</f>
        <v/>
      </c>
      <c r="AA38" s="28" t="str">
        <f aca="false">IF($A38="","",100-Z38)</f>
        <v/>
      </c>
      <c r="AB38" s="28" t="str">
        <f aca="false">IF($A38="","",ROUND($H38*Constants!$B$4,1))</f>
        <v/>
      </c>
      <c r="AC38" s="28" t="str">
        <f aca="false">IF($A38="","",ROUND(AB38*Z38/100,1))</f>
        <v/>
      </c>
      <c r="AD38" s="28" t="str">
        <f aca="false">IF($A38="","",ROUND(AB38*AA38/100,1))</f>
        <v/>
      </c>
      <c r="AE38" s="22" t="str">
        <f aca="false">IF($A38="","",HOUR($Q38)+MINUTE($Q38)/60)</f>
        <v/>
      </c>
      <c r="AF38" s="22" t="str">
        <f aca="false">IF($A38="","",HOUR($R38)+MINUTE($R38)/60)</f>
        <v/>
      </c>
      <c r="AG38" s="22" t="str">
        <f aca="false">IF($A38="","",HOUR($S38)+MINUTE($S38)/60)</f>
        <v/>
      </c>
      <c r="AH38" s="22" t="str">
        <f aca="false">IF($A38="","",HOUR($T38)+MINUTE($T38)/60)</f>
        <v/>
      </c>
      <c r="AI38" s="22" t="str">
        <f aca="false">IF($A38="","",HOUR($V38)+MINUTE($V38)/60)</f>
        <v/>
      </c>
      <c r="AJ38" s="22" t="str">
        <f aca="false">IF($A38="","",HOUR($W38)+MINUTE($W38)/60)</f>
        <v/>
      </c>
      <c r="AK38" s="22" t="str">
        <f aca="false">IF($A38="","",VLOOKUP($F38,Dim_Team!$A:$F,6,0))</f>
        <v/>
      </c>
      <c r="AL38" s="28" t="str">
        <f aca="false">IF($A38="","",VLOOKUP($X38,Dim_Signoff!$A:$C,3,0))</f>
        <v/>
      </c>
      <c r="AM38" s="28" t="str">
        <f aca="false">IF($A38="","",IF($N38="No","n/a",ROUND((AH38-AE38)*60,0)))</f>
        <v/>
      </c>
      <c r="AN38" s="28" t="str">
        <f aca="false">IF($A38="","",IF($O38="No","n/a",ROUND((AH38-AF38)*60,0)))</f>
        <v/>
      </c>
      <c r="AO38" s="28" t="str">
        <f aca="false">IF($A38="","",IF($P38="No","n/a",ROUND((AH38-AG38)*60,0)))</f>
        <v/>
      </c>
      <c r="AP38" s="28" t="str">
        <f aca="false">IF($A38="","",ROUND((AH38-AK38)*60,0))</f>
        <v/>
      </c>
      <c r="AQ38" s="28" t="str">
        <f aca="false">IF($A38="","",ROUND((AI38-AH38)*60,0))</f>
        <v/>
      </c>
      <c r="AR38" s="4" t="str">
        <f aca="false">IF($A38="","",IF(AP38&gt;=AC38,"Yes","No"))</f>
        <v/>
      </c>
      <c r="AS38" s="4" t="str">
        <f aca="false">IF($A38="","",IF(AQ38&gt;=AD38+AL38,"Yes","No"))</f>
        <v/>
      </c>
      <c r="AT38" s="4" t="str">
        <f aca="false">IF($A38="","",IF(AND(AR38="Yes",AS38="Yes"),"OK","REVIEW"))</f>
        <v/>
      </c>
      <c r="AU38" s="4" t="str">
        <f aca="false">IF($A38="","",IF($P38="No","Not applicable",IF(AO38&lt;Constants!$B$14,"CAPTURE","Not needed")))</f>
        <v/>
      </c>
      <c r="AV38" s="4" t="str">
        <f aca="false">IF($A38="","",IF($P38="No","n/a",RANK(AO38,AO:AO,1)))</f>
        <v/>
      </c>
      <c r="AW38" s="4" t="str">
        <f aca="false">IF($A38="","",IF(UPPER($E38)="YES","Strategic","Non-strategic"))</f>
        <v/>
      </c>
      <c r="AX38" s="4" t="str">
        <f aca="false">IF($A38="","",COUNTIFS(Fact_Work!$C:$C,$A38))</f>
        <v/>
      </c>
      <c r="AY38" s="4" t="str">
        <f aca="false">IF($A38="","",IF(AX38=0,"Not seen",IF(AX38&gt;=Constants!$B$13*0.6,"Daily",IF(AX38&gt;=Constants!$B$13*0.12,"Weekly","Monthly or ad hoc"))))</f>
        <v/>
      </c>
      <c r="AZ38" s="22" t="str">
        <f aca="false">IF($A38="","",IFERROR(VLOOKUP($U38,Dim_TOP!$A:$H,8,0),""))</f>
        <v/>
      </c>
      <c r="BA38" s="28" t="str">
        <f aca="false">IF($A38="","",IFERROR(ROUND((AH38-AZ38)*60,0),""))</f>
        <v/>
      </c>
      <c r="BB38" s="4" t="str">
        <f aca="false">IF($A38="","",IF(BA38="","",IF(BA38&lt;=0,"Sets the deadline","Later than peers by "&amp;BA38&amp;" min")))</f>
        <v/>
      </c>
      <c r="BC38" s="29" t="str">
        <f aca="false">IF($A38="","",IF($U38="",0,IF(COUNTIFS($U$2:$U38,$U38,$C$2:$C38,$C38)=1,1,0)))</f>
        <v/>
      </c>
      <c r="BD38" s="10" t="str">
        <f aca="false">IF($A38="","",IF(UPPER($P38)="YES","Yes","No"))</f>
        <v/>
      </c>
      <c r="BE38" s="10" t="str">
        <f aca="false">IF($A38="","",IF($N38="No","n/a",IF(AM38&lt;=Constants!$B$17,"Yes","No")))</f>
        <v/>
      </c>
      <c r="BF38" s="10" t="str">
        <f aca="false">IF($A38="","",IF($O38="No","n/a",IF(AN38&lt;=Constants!$B$17,"Yes","No")))</f>
        <v/>
      </c>
      <c r="BG38" s="10" t="str">
        <f aca="false">IF($A38="","",IF($P38="No","n/a",IF(AO38&lt;=Constants!$B$17,"Yes","No")))</f>
        <v/>
      </c>
      <c r="BH38" s="10" t="str">
        <f aca="false">IF($A38="","",IF($N38="No","No custody process",IF(BE38="Yes","Thin custody slack","Ample custody slack")))</f>
        <v/>
      </c>
      <c r="BI38" s="30" t="str">
        <f aca="false">IF($A38="","",IF($N38="No","",AM38))</f>
        <v/>
      </c>
      <c r="BJ38" s="30" t="str">
        <f aca="false">IF($A38="","",IF($O38="No","",AN38))</f>
        <v/>
      </c>
      <c r="BK38" s="30" t="str">
        <f aca="false">IF($A38="","",IF($P38="No","",AO38))</f>
        <v/>
      </c>
    </row>
    <row r="39" customFormat="false" ht="15" hidden="false" customHeight="true" outlineLevel="0" collapsed="false">
      <c r="Z39" s="28" t="str">
        <f aca="false">IF($A39="","",Constants!$B$6+$I39*Constants!$B$7+$J39*Constants!$B$8+$K39*Constants!$B$9+$L39*Constants!$B$10+$M39*Constants!$B$11)</f>
        <v/>
      </c>
      <c r="AA39" s="28" t="str">
        <f aca="false">IF($A39="","",100-Z39)</f>
        <v/>
      </c>
      <c r="AB39" s="28" t="str">
        <f aca="false">IF($A39="","",ROUND($H39*Constants!$B$4,1))</f>
        <v/>
      </c>
      <c r="AC39" s="28" t="str">
        <f aca="false">IF($A39="","",ROUND(AB39*Z39/100,1))</f>
        <v/>
      </c>
      <c r="AD39" s="28" t="str">
        <f aca="false">IF($A39="","",ROUND(AB39*AA39/100,1))</f>
        <v/>
      </c>
      <c r="AE39" s="22" t="str">
        <f aca="false">IF($A39="","",HOUR($Q39)+MINUTE($Q39)/60)</f>
        <v/>
      </c>
      <c r="AF39" s="22" t="str">
        <f aca="false">IF($A39="","",HOUR($R39)+MINUTE($R39)/60)</f>
        <v/>
      </c>
      <c r="AG39" s="22" t="str">
        <f aca="false">IF($A39="","",HOUR($S39)+MINUTE($S39)/60)</f>
        <v/>
      </c>
      <c r="AH39" s="22" t="str">
        <f aca="false">IF($A39="","",HOUR($T39)+MINUTE($T39)/60)</f>
        <v/>
      </c>
      <c r="AI39" s="22" t="str">
        <f aca="false">IF($A39="","",HOUR($V39)+MINUTE($V39)/60)</f>
        <v/>
      </c>
      <c r="AJ39" s="22" t="str">
        <f aca="false">IF($A39="","",HOUR($W39)+MINUTE($W39)/60)</f>
        <v/>
      </c>
      <c r="AK39" s="22" t="str">
        <f aca="false">IF($A39="","",VLOOKUP($F39,Dim_Team!$A:$F,6,0))</f>
        <v/>
      </c>
      <c r="AL39" s="28" t="str">
        <f aca="false">IF($A39="","",VLOOKUP($X39,Dim_Signoff!$A:$C,3,0))</f>
        <v/>
      </c>
      <c r="AM39" s="28" t="str">
        <f aca="false">IF($A39="","",IF($N39="No","n/a",ROUND((AH39-AE39)*60,0)))</f>
        <v/>
      </c>
      <c r="AN39" s="28" t="str">
        <f aca="false">IF($A39="","",IF($O39="No","n/a",ROUND((AH39-AF39)*60,0)))</f>
        <v/>
      </c>
      <c r="AO39" s="28" t="str">
        <f aca="false">IF($A39="","",IF($P39="No","n/a",ROUND((AH39-AG39)*60,0)))</f>
        <v/>
      </c>
      <c r="AP39" s="28" t="str">
        <f aca="false">IF($A39="","",ROUND((AH39-AK39)*60,0))</f>
        <v/>
      </c>
      <c r="AQ39" s="28" t="str">
        <f aca="false">IF($A39="","",ROUND((AI39-AH39)*60,0))</f>
        <v/>
      </c>
      <c r="AR39" s="4" t="str">
        <f aca="false">IF($A39="","",IF(AP39&gt;=AC39,"Yes","No"))</f>
        <v/>
      </c>
      <c r="AS39" s="4" t="str">
        <f aca="false">IF($A39="","",IF(AQ39&gt;=AD39+AL39,"Yes","No"))</f>
        <v/>
      </c>
      <c r="AT39" s="4" t="str">
        <f aca="false">IF($A39="","",IF(AND(AR39="Yes",AS39="Yes"),"OK","REVIEW"))</f>
        <v/>
      </c>
      <c r="AU39" s="4" t="str">
        <f aca="false">IF($A39="","",IF($P39="No","Not applicable",IF(AO39&lt;Constants!$B$14,"CAPTURE","Not needed")))</f>
        <v/>
      </c>
      <c r="AV39" s="4" t="str">
        <f aca="false">IF($A39="","",IF($P39="No","n/a",RANK(AO39,AO:AO,1)))</f>
        <v/>
      </c>
      <c r="AW39" s="4" t="str">
        <f aca="false">IF($A39="","",IF(UPPER($E39)="YES","Strategic","Non-strategic"))</f>
        <v/>
      </c>
      <c r="AX39" s="4" t="str">
        <f aca="false">IF($A39="","",COUNTIFS(Fact_Work!$C:$C,$A39))</f>
        <v/>
      </c>
      <c r="AY39" s="4" t="str">
        <f aca="false">IF($A39="","",IF(AX39=0,"Not seen",IF(AX39&gt;=Constants!$B$13*0.6,"Daily",IF(AX39&gt;=Constants!$B$13*0.12,"Weekly","Monthly or ad hoc"))))</f>
        <v/>
      </c>
      <c r="AZ39" s="22" t="str">
        <f aca="false">IF($A39="","",IFERROR(VLOOKUP($U39,Dim_TOP!$A:$H,8,0),""))</f>
        <v/>
      </c>
      <c r="BA39" s="28" t="str">
        <f aca="false">IF($A39="","",IFERROR(ROUND((AH39-AZ39)*60,0),""))</f>
        <v/>
      </c>
      <c r="BB39" s="4" t="str">
        <f aca="false">IF($A39="","",IF(BA39="","",IF(BA39&lt;=0,"Sets the deadline","Later than peers by "&amp;BA39&amp;" min")))</f>
        <v/>
      </c>
      <c r="BC39" s="29" t="str">
        <f aca="false">IF($A39="","",IF($U39="",0,IF(COUNTIFS($U$2:$U39,$U39,$C$2:$C39,$C39)=1,1,0)))</f>
        <v/>
      </c>
      <c r="BD39" s="10" t="str">
        <f aca="false">IF($A39="","",IF(UPPER($P39)="YES","Yes","No"))</f>
        <v/>
      </c>
      <c r="BE39" s="10" t="str">
        <f aca="false">IF($A39="","",IF($N39="No","n/a",IF(AM39&lt;=Constants!$B$17,"Yes","No")))</f>
        <v/>
      </c>
      <c r="BF39" s="10" t="str">
        <f aca="false">IF($A39="","",IF($O39="No","n/a",IF(AN39&lt;=Constants!$B$17,"Yes","No")))</f>
        <v/>
      </c>
      <c r="BG39" s="10" t="str">
        <f aca="false">IF($A39="","",IF($P39="No","n/a",IF(AO39&lt;=Constants!$B$17,"Yes","No")))</f>
        <v/>
      </c>
      <c r="BH39" s="10" t="str">
        <f aca="false">IF($A39="","",IF($N39="No","No custody process",IF(BE39="Yes","Thin custody slack","Ample custody slack")))</f>
        <v/>
      </c>
      <c r="BI39" s="30" t="str">
        <f aca="false">IF($A39="","",IF($N39="No","",AM39))</f>
        <v/>
      </c>
      <c r="BJ39" s="30" t="str">
        <f aca="false">IF($A39="","",IF($O39="No","",AN39))</f>
        <v/>
      </c>
      <c r="BK39" s="30" t="str">
        <f aca="false">IF($A39="","",IF($P39="No","",AO39))</f>
        <v/>
      </c>
    </row>
    <row r="40" customFormat="false" ht="15" hidden="false" customHeight="true" outlineLevel="0" collapsed="false">
      <c r="Z40" s="28" t="str">
        <f aca="false">IF($A40="","",Constants!$B$6+$I40*Constants!$B$7+$J40*Constants!$B$8+$K40*Constants!$B$9+$L40*Constants!$B$10+$M40*Constants!$B$11)</f>
        <v/>
      </c>
      <c r="AA40" s="28" t="str">
        <f aca="false">IF($A40="","",100-Z40)</f>
        <v/>
      </c>
      <c r="AB40" s="28" t="str">
        <f aca="false">IF($A40="","",ROUND($H40*Constants!$B$4,1))</f>
        <v/>
      </c>
      <c r="AC40" s="28" t="str">
        <f aca="false">IF($A40="","",ROUND(AB40*Z40/100,1))</f>
        <v/>
      </c>
      <c r="AD40" s="28" t="str">
        <f aca="false">IF($A40="","",ROUND(AB40*AA40/100,1))</f>
        <v/>
      </c>
      <c r="AE40" s="22" t="str">
        <f aca="false">IF($A40="","",HOUR($Q40)+MINUTE($Q40)/60)</f>
        <v/>
      </c>
      <c r="AF40" s="22" t="str">
        <f aca="false">IF($A40="","",HOUR($R40)+MINUTE($R40)/60)</f>
        <v/>
      </c>
      <c r="AG40" s="22" t="str">
        <f aca="false">IF($A40="","",HOUR($S40)+MINUTE($S40)/60)</f>
        <v/>
      </c>
      <c r="AH40" s="22" t="str">
        <f aca="false">IF($A40="","",HOUR($T40)+MINUTE($T40)/60)</f>
        <v/>
      </c>
      <c r="AI40" s="22" t="str">
        <f aca="false">IF($A40="","",HOUR($V40)+MINUTE($V40)/60)</f>
        <v/>
      </c>
      <c r="AJ40" s="22" t="str">
        <f aca="false">IF($A40="","",HOUR($W40)+MINUTE($W40)/60)</f>
        <v/>
      </c>
      <c r="AK40" s="22" t="str">
        <f aca="false">IF($A40="","",VLOOKUP($F40,Dim_Team!$A:$F,6,0))</f>
        <v/>
      </c>
      <c r="AL40" s="28" t="str">
        <f aca="false">IF($A40="","",VLOOKUP($X40,Dim_Signoff!$A:$C,3,0))</f>
        <v/>
      </c>
      <c r="AM40" s="28" t="str">
        <f aca="false">IF($A40="","",IF($N40="No","n/a",ROUND((AH40-AE40)*60,0)))</f>
        <v/>
      </c>
      <c r="AN40" s="28" t="str">
        <f aca="false">IF($A40="","",IF($O40="No","n/a",ROUND((AH40-AF40)*60,0)))</f>
        <v/>
      </c>
      <c r="AO40" s="28" t="str">
        <f aca="false">IF($A40="","",IF($P40="No","n/a",ROUND((AH40-AG40)*60,0)))</f>
        <v/>
      </c>
      <c r="AP40" s="28" t="str">
        <f aca="false">IF($A40="","",ROUND((AH40-AK40)*60,0))</f>
        <v/>
      </c>
      <c r="AQ40" s="28" t="str">
        <f aca="false">IF($A40="","",ROUND((AI40-AH40)*60,0))</f>
        <v/>
      </c>
      <c r="AR40" s="4" t="str">
        <f aca="false">IF($A40="","",IF(AP40&gt;=AC40,"Yes","No"))</f>
        <v/>
      </c>
      <c r="AS40" s="4" t="str">
        <f aca="false">IF($A40="","",IF(AQ40&gt;=AD40+AL40,"Yes","No"))</f>
        <v/>
      </c>
      <c r="AT40" s="4" t="str">
        <f aca="false">IF($A40="","",IF(AND(AR40="Yes",AS40="Yes"),"OK","REVIEW"))</f>
        <v/>
      </c>
      <c r="AU40" s="4" t="str">
        <f aca="false">IF($A40="","",IF($P40="No","Not applicable",IF(AO40&lt;Constants!$B$14,"CAPTURE","Not needed")))</f>
        <v/>
      </c>
      <c r="AV40" s="4" t="str">
        <f aca="false">IF($A40="","",IF($P40="No","n/a",RANK(AO40,AO:AO,1)))</f>
        <v/>
      </c>
      <c r="AW40" s="4" t="str">
        <f aca="false">IF($A40="","",IF(UPPER($E40)="YES","Strategic","Non-strategic"))</f>
        <v/>
      </c>
      <c r="AX40" s="4" t="str">
        <f aca="false">IF($A40="","",COUNTIFS(Fact_Work!$C:$C,$A40))</f>
        <v/>
      </c>
      <c r="AY40" s="4" t="str">
        <f aca="false">IF($A40="","",IF(AX40=0,"Not seen",IF(AX40&gt;=Constants!$B$13*0.6,"Daily",IF(AX40&gt;=Constants!$B$13*0.12,"Weekly","Monthly or ad hoc"))))</f>
        <v/>
      </c>
      <c r="AZ40" s="22" t="str">
        <f aca="false">IF($A40="","",IFERROR(VLOOKUP($U40,Dim_TOP!$A:$H,8,0),""))</f>
        <v/>
      </c>
      <c r="BA40" s="28" t="str">
        <f aca="false">IF($A40="","",IFERROR(ROUND((AH40-AZ40)*60,0),""))</f>
        <v/>
      </c>
      <c r="BB40" s="4" t="str">
        <f aca="false">IF($A40="","",IF(BA40="","",IF(BA40&lt;=0,"Sets the deadline","Later than peers by "&amp;BA40&amp;" min")))</f>
        <v/>
      </c>
      <c r="BC40" s="29" t="str">
        <f aca="false">IF($A40="","",IF($U40="",0,IF(COUNTIFS($U$2:$U40,$U40,$C$2:$C40,$C40)=1,1,0)))</f>
        <v/>
      </c>
      <c r="BD40" s="10" t="str">
        <f aca="false">IF($A40="","",IF(UPPER($P40)="YES","Yes","No"))</f>
        <v/>
      </c>
      <c r="BE40" s="10" t="str">
        <f aca="false">IF($A40="","",IF($N40="No","n/a",IF(AM40&lt;=Constants!$B$17,"Yes","No")))</f>
        <v/>
      </c>
      <c r="BF40" s="10" t="str">
        <f aca="false">IF($A40="","",IF($O40="No","n/a",IF(AN40&lt;=Constants!$B$17,"Yes","No")))</f>
        <v/>
      </c>
      <c r="BG40" s="10" t="str">
        <f aca="false">IF($A40="","",IF($P40="No","n/a",IF(AO40&lt;=Constants!$B$17,"Yes","No")))</f>
        <v/>
      </c>
      <c r="BH40" s="10" t="str">
        <f aca="false">IF($A40="","",IF($N40="No","No custody process",IF(BE40="Yes","Thin custody slack","Ample custody slack")))</f>
        <v/>
      </c>
      <c r="BI40" s="30" t="str">
        <f aca="false">IF($A40="","",IF($N40="No","",AM40))</f>
        <v/>
      </c>
      <c r="BJ40" s="30" t="str">
        <f aca="false">IF($A40="","",IF($O40="No","",AN40))</f>
        <v/>
      </c>
      <c r="BK40" s="30" t="str">
        <f aca="false">IF($A40="","",IF($P40="No","",AO40))</f>
        <v/>
      </c>
    </row>
    <row r="41" customFormat="false" ht="15" hidden="false" customHeight="true" outlineLevel="0" collapsed="false">
      <c r="Z41" s="28" t="str">
        <f aca="false">IF($A41="","",Constants!$B$6+$I41*Constants!$B$7+$J41*Constants!$B$8+$K41*Constants!$B$9+$L41*Constants!$B$10+$M41*Constants!$B$11)</f>
        <v/>
      </c>
      <c r="AA41" s="28" t="str">
        <f aca="false">IF($A41="","",100-Z41)</f>
        <v/>
      </c>
      <c r="AB41" s="28" t="str">
        <f aca="false">IF($A41="","",ROUND($H41*Constants!$B$4,1))</f>
        <v/>
      </c>
      <c r="AC41" s="28" t="str">
        <f aca="false">IF($A41="","",ROUND(AB41*Z41/100,1))</f>
        <v/>
      </c>
      <c r="AD41" s="28" t="str">
        <f aca="false">IF($A41="","",ROUND(AB41*AA41/100,1))</f>
        <v/>
      </c>
      <c r="AE41" s="22" t="str">
        <f aca="false">IF($A41="","",HOUR($Q41)+MINUTE($Q41)/60)</f>
        <v/>
      </c>
      <c r="AF41" s="22" t="str">
        <f aca="false">IF($A41="","",HOUR($R41)+MINUTE($R41)/60)</f>
        <v/>
      </c>
      <c r="AG41" s="22" t="str">
        <f aca="false">IF($A41="","",HOUR($S41)+MINUTE($S41)/60)</f>
        <v/>
      </c>
      <c r="AH41" s="22" t="str">
        <f aca="false">IF($A41="","",HOUR($T41)+MINUTE($T41)/60)</f>
        <v/>
      </c>
      <c r="AI41" s="22" t="str">
        <f aca="false">IF($A41="","",HOUR($V41)+MINUTE($V41)/60)</f>
        <v/>
      </c>
      <c r="AJ41" s="22" t="str">
        <f aca="false">IF($A41="","",HOUR($W41)+MINUTE($W41)/60)</f>
        <v/>
      </c>
      <c r="AK41" s="22" t="str">
        <f aca="false">IF($A41="","",VLOOKUP($F41,Dim_Team!$A:$F,6,0))</f>
        <v/>
      </c>
      <c r="AL41" s="28" t="str">
        <f aca="false">IF($A41="","",VLOOKUP($X41,Dim_Signoff!$A:$C,3,0))</f>
        <v/>
      </c>
      <c r="AM41" s="28" t="str">
        <f aca="false">IF($A41="","",IF($N41="No","n/a",ROUND((AH41-AE41)*60,0)))</f>
        <v/>
      </c>
      <c r="AN41" s="28" t="str">
        <f aca="false">IF($A41="","",IF($O41="No","n/a",ROUND((AH41-AF41)*60,0)))</f>
        <v/>
      </c>
      <c r="AO41" s="28" t="str">
        <f aca="false">IF($A41="","",IF($P41="No","n/a",ROUND((AH41-AG41)*60,0)))</f>
        <v/>
      </c>
      <c r="AP41" s="28" t="str">
        <f aca="false">IF($A41="","",ROUND((AH41-AK41)*60,0))</f>
        <v/>
      </c>
      <c r="AQ41" s="28" t="str">
        <f aca="false">IF($A41="","",ROUND((AI41-AH41)*60,0))</f>
        <v/>
      </c>
      <c r="AR41" s="4" t="str">
        <f aca="false">IF($A41="","",IF(AP41&gt;=AC41,"Yes","No"))</f>
        <v/>
      </c>
      <c r="AS41" s="4" t="str">
        <f aca="false">IF($A41="","",IF(AQ41&gt;=AD41+AL41,"Yes","No"))</f>
        <v/>
      </c>
      <c r="AT41" s="4" t="str">
        <f aca="false">IF($A41="","",IF(AND(AR41="Yes",AS41="Yes"),"OK","REVIEW"))</f>
        <v/>
      </c>
      <c r="AU41" s="4" t="str">
        <f aca="false">IF($A41="","",IF($P41="No","Not applicable",IF(AO41&lt;Constants!$B$14,"CAPTURE","Not needed")))</f>
        <v/>
      </c>
      <c r="AV41" s="4" t="str">
        <f aca="false">IF($A41="","",IF($P41="No","n/a",RANK(AO41,AO:AO,1)))</f>
        <v/>
      </c>
      <c r="AW41" s="4" t="str">
        <f aca="false">IF($A41="","",IF(UPPER($E41)="YES","Strategic","Non-strategic"))</f>
        <v/>
      </c>
      <c r="AX41" s="4" t="str">
        <f aca="false">IF($A41="","",COUNTIFS(Fact_Work!$C:$C,$A41))</f>
        <v/>
      </c>
      <c r="AY41" s="4" t="str">
        <f aca="false">IF($A41="","",IF(AX41=0,"Not seen",IF(AX41&gt;=Constants!$B$13*0.6,"Daily",IF(AX41&gt;=Constants!$B$13*0.12,"Weekly","Monthly or ad hoc"))))</f>
        <v/>
      </c>
      <c r="AZ41" s="22" t="str">
        <f aca="false">IF($A41="","",IFERROR(VLOOKUP($U41,Dim_TOP!$A:$H,8,0),""))</f>
        <v/>
      </c>
      <c r="BA41" s="28" t="str">
        <f aca="false">IF($A41="","",IFERROR(ROUND((AH41-AZ41)*60,0),""))</f>
        <v/>
      </c>
      <c r="BB41" s="4" t="str">
        <f aca="false">IF($A41="","",IF(BA41="","",IF(BA41&lt;=0,"Sets the deadline","Later than peers by "&amp;BA41&amp;" min")))</f>
        <v/>
      </c>
      <c r="BC41" s="29" t="str">
        <f aca="false">IF($A41="","",IF($U41="",0,IF(COUNTIFS($U$2:$U41,$U41,$C$2:$C41,$C41)=1,1,0)))</f>
        <v/>
      </c>
      <c r="BD41" s="10" t="str">
        <f aca="false">IF($A41="","",IF(UPPER($P41)="YES","Yes","No"))</f>
        <v/>
      </c>
      <c r="BE41" s="10" t="str">
        <f aca="false">IF($A41="","",IF($N41="No","n/a",IF(AM41&lt;=Constants!$B$17,"Yes","No")))</f>
        <v/>
      </c>
      <c r="BF41" s="10" t="str">
        <f aca="false">IF($A41="","",IF($O41="No","n/a",IF(AN41&lt;=Constants!$B$17,"Yes","No")))</f>
        <v/>
      </c>
      <c r="BG41" s="10" t="str">
        <f aca="false">IF($A41="","",IF($P41="No","n/a",IF(AO41&lt;=Constants!$B$17,"Yes","No")))</f>
        <v/>
      </c>
      <c r="BH41" s="10" t="str">
        <f aca="false">IF($A41="","",IF($N41="No","No custody process",IF(BE41="Yes","Thin custody slack","Ample custody slack")))</f>
        <v/>
      </c>
      <c r="BI41" s="30" t="str">
        <f aca="false">IF($A41="","",IF($N41="No","",AM41))</f>
        <v/>
      </c>
      <c r="BJ41" s="30" t="str">
        <f aca="false">IF($A41="","",IF($O41="No","",AN41))</f>
        <v/>
      </c>
      <c r="BK41" s="30" t="str">
        <f aca="false">IF($A41="","",IF($P41="No","",AO41))</f>
        <v/>
      </c>
    </row>
    <row r="42" customFormat="false" ht="15" hidden="false" customHeight="true" outlineLevel="0" collapsed="false">
      <c r="Z42" s="28" t="str">
        <f aca="false">IF($A42="","",Constants!$B$6+$I42*Constants!$B$7+$J42*Constants!$B$8+$K42*Constants!$B$9+$L42*Constants!$B$10+$M42*Constants!$B$11)</f>
        <v/>
      </c>
      <c r="AA42" s="28" t="str">
        <f aca="false">IF($A42="","",100-Z42)</f>
        <v/>
      </c>
      <c r="AB42" s="28" t="str">
        <f aca="false">IF($A42="","",ROUND($H42*Constants!$B$4,1))</f>
        <v/>
      </c>
      <c r="AC42" s="28" t="str">
        <f aca="false">IF($A42="","",ROUND(AB42*Z42/100,1))</f>
        <v/>
      </c>
      <c r="AD42" s="28" t="str">
        <f aca="false">IF($A42="","",ROUND(AB42*AA42/100,1))</f>
        <v/>
      </c>
      <c r="AE42" s="22" t="str">
        <f aca="false">IF($A42="","",HOUR($Q42)+MINUTE($Q42)/60)</f>
        <v/>
      </c>
      <c r="AF42" s="22" t="str">
        <f aca="false">IF($A42="","",HOUR($R42)+MINUTE($R42)/60)</f>
        <v/>
      </c>
      <c r="AG42" s="22" t="str">
        <f aca="false">IF($A42="","",HOUR($S42)+MINUTE($S42)/60)</f>
        <v/>
      </c>
      <c r="AH42" s="22" t="str">
        <f aca="false">IF($A42="","",HOUR($T42)+MINUTE($T42)/60)</f>
        <v/>
      </c>
      <c r="AI42" s="22" t="str">
        <f aca="false">IF($A42="","",HOUR($V42)+MINUTE($V42)/60)</f>
        <v/>
      </c>
      <c r="AJ42" s="22" t="str">
        <f aca="false">IF($A42="","",HOUR($W42)+MINUTE($W42)/60)</f>
        <v/>
      </c>
      <c r="AK42" s="22" t="str">
        <f aca="false">IF($A42="","",VLOOKUP($F42,Dim_Team!$A:$F,6,0))</f>
        <v/>
      </c>
      <c r="AL42" s="28" t="str">
        <f aca="false">IF($A42="","",VLOOKUP($X42,Dim_Signoff!$A:$C,3,0))</f>
        <v/>
      </c>
      <c r="AM42" s="28" t="str">
        <f aca="false">IF($A42="","",IF($N42="No","n/a",ROUND((AH42-AE42)*60,0)))</f>
        <v/>
      </c>
      <c r="AN42" s="28" t="str">
        <f aca="false">IF($A42="","",IF($O42="No","n/a",ROUND((AH42-AF42)*60,0)))</f>
        <v/>
      </c>
      <c r="AO42" s="28" t="str">
        <f aca="false">IF($A42="","",IF($P42="No","n/a",ROUND((AH42-AG42)*60,0)))</f>
        <v/>
      </c>
      <c r="AP42" s="28" t="str">
        <f aca="false">IF($A42="","",ROUND((AH42-AK42)*60,0))</f>
        <v/>
      </c>
      <c r="AQ42" s="28" t="str">
        <f aca="false">IF($A42="","",ROUND((AI42-AH42)*60,0))</f>
        <v/>
      </c>
      <c r="AR42" s="4" t="str">
        <f aca="false">IF($A42="","",IF(AP42&gt;=AC42,"Yes","No"))</f>
        <v/>
      </c>
      <c r="AS42" s="4" t="str">
        <f aca="false">IF($A42="","",IF(AQ42&gt;=AD42+AL42,"Yes","No"))</f>
        <v/>
      </c>
      <c r="AT42" s="4" t="str">
        <f aca="false">IF($A42="","",IF(AND(AR42="Yes",AS42="Yes"),"OK","REVIEW"))</f>
        <v/>
      </c>
      <c r="AU42" s="4" t="str">
        <f aca="false">IF($A42="","",IF($P42="No","Not applicable",IF(AO42&lt;Constants!$B$14,"CAPTURE","Not needed")))</f>
        <v/>
      </c>
      <c r="AV42" s="4" t="str">
        <f aca="false">IF($A42="","",IF($P42="No","n/a",RANK(AO42,AO:AO,1)))</f>
        <v/>
      </c>
      <c r="AW42" s="4" t="str">
        <f aca="false">IF($A42="","",IF(UPPER($E42)="YES","Strategic","Non-strategic"))</f>
        <v/>
      </c>
      <c r="AX42" s="4" t="str">
        <f aca="false">IF($A42="","",COUNTIFS(Fact_Work!$C:$C,$A42))</f>
        <v/>
      </c>
      <c r="AY42" s="4" t="str">
        <f aca="false">IF($A42="","",IF(AX42=0,"Not seen",IF(AX42&gt;=Constants!$B$13*0.6,"Daily",IF(AX42&gt;=Constants!$B$13*0.12,"Weekly","Monthly or ad hoc"))))</f>
        <v/>
      </c>
      <c r="AZ42" s="22" t="str">
        <f aca="false">IF($A42="","",IFERROR(VLOOKUP($U42,Dim_TOP!$A:$H,8,0),""))</f>
        <v/>
      </c>
      <c r="BA42" s="28" t="str">
        <f aca="false">IF($A42="","",IFERROR(ROUND((AH42-AZ42)*60,0),""))</f>
        <v/>
      </c>
      <c r="BB42" s="4" t="str">
        <f aca="false">IF($A42="","",IF(BA42="","",IF(BA42&lt;=0,"Sets the deadline","Later than peers by "&amp;BA42&amp;" min")))</f>
        <v/>
      </c>
      <c r="BC42" s="29" t="str">
        <f aca="false">IF($A42="","",IF($U42="",0,IF(COUNTIFS($U$2:$U42,$U42,$C$2:$C42,$C42)=1,1,0)))</f>
        <v/>
      </c>
      <c r="BD42" s="10" t="str">
        <f aca="false">IF($A42="","",IF(UPPER($P42)="YES","Yes","No"))</f>
        <v/>
      </c>
      <c r="BE42" s="10" t="str">
        <f aca="false">IF($A42="","",IF($N42="No","n/a",IF(AM42&lt;=Constants!$B$17,"Yes","No")))</f>
        <v/>
      </c>
      <c r="BF42" s="10" t="str">
        <f aca="false">IF($A42="","",IF($O42="No","n/a",IF(AN42&lt;=Constants!$B$17,"Yes","No")))</f>
        <v/>
      </c>
      <c r="BG42" s="10" t="str">
        <f aca="false">IF($A42="","",IF($P42="No","n/a",IF(AO42&lt;=Constants!$B$17,"Yes","No")))</f>
        <v/>
      </c>
      <c r="BH42" s="10" t="str">
        <f aca="false">IF($A42="","",IF($N42="No","No custody process",IF(BE42="Yes","Thin custody slack","Ample custody slack")))</f>
        <v/>
      </c>
      <c r="BI42" s="30" t="str">
        <f aca="false">IF($A42="","",IF($N42="No","",AM42))</f>
        <v/>
      </c>
      <c r="BJ42" s="30" t="str">
        <f aca="false">IF($A42="","",IF($O42="No","",AN42))</f>
        <v/>
      </c>
      <c r="BK42" s="30" t="str">
        <f aca="false">IF($A42="","",IF($P42="No","",AO42))</f>
        <v/>
      </c>
    </row>
    <row r="43" customFormat="false" ht="15" hidden="false" customHeight="true" outlineLevel="0" collapsed="false">
      <c r="Z43" s="28" t="str">
        <f aca="false">IF($A43="","",Constants!$B$6+$I43*Constants!$B$7+$J43*Constants!$B$8+$K43*Constants!$B$9+$L43*Constants!$B$10+$M43*Constants!$B$11)</f>
        <v/>
      </c>
      <c r="AA43" s="28" t="str">
        <f aca="false">IF($A43="","",100-Z43)</f>
        <v/>
      </c>
      <c r="AB43" s="28" t="str">
        <f aca="false">IF($A43="","",ROUND($H43*Constants!$B$4,1))</f>
        <v/>
      </c>
      <c r="AC43" s="28" t="str">
        <f aca="false">IF($A43="","",ROUND(AB43*Z43/100,1))</f>
        <v/>
      </c>
      <c r="AD43" s="28" t="str">
        <f aca="false">IF($A43="","",ROUND(AB43*AA43/100,1))</f>
        <v/>
      </c>
      <c r="AE43" s="22" t="str">
        <f aca="false">IF($A43="","",HOUR($Q43)+MINUTE($Q43)/60)</f>
        <v/>
      </c>
      <c r="AF43" s="22" t="str">
        <f aca="false">IF($A43="","",HOUR($R43)+MINUTE($R43)/60)</f>
        <v/>
      </c>
      <c r="AG43" s="22" t="str">
        <f aca="false">IF($A43="","",HOUR($S43)+MINUTE($S43)/60)</f>
        <v/>
      </c>
      <c r="AH43" s="22" t="str">
        <f aca="false">IF($A43="","",HOUR($T43)+MINUTE($T43)/60)</f>
        <v/>
      </c>
      <c r="AI43" s="22" t="str">
        <f aca="false">IF($A43="","",HOUR($V43)+MINUTE($V43)/60)</f>
        <v/>
      </c>
      <c r="AJ43" s="22" t="str">
        <f aca="false">IF($A43="","",HOUR($W43)+MINUTE($W43)/60)</f>
        <v/>
      </c>
      <c r="AK43" s="22" t="str">
        <f aca="false">IF($A43="","",VLOOKUP($F43,Dim_Team!$A:$F,6,0))</f>
        <v/>
      </c>
      <c r="AL43" s="28" t="str">
        <f aca="false">IF($A43="","",VLOOKUP($X43,Dim_Signoff!$A:$C,3,0))</f>
        <v/>
      </c>
      <c r="AM43" s="28" t="str">
        <f aca="false">IF($A43="","",IF($N43="No","n/a",ROUND((AH43-AE43)*60,0)))</f>
        <v/>
      </c>
      <c r="AN43" s="28" t="str">
        <f aca="false">IF($A43="","",IF($O43="No","n/a",ROUND((AH43-AF43)*60,0)))</f>
        <v/>
      </c>
      <c r="AO43" s="28" t="str">
        <f aca="false">IF($A43="","",IF($P43="No","n/a",ROUND((AH43-AG43)*60,0)))</f>
        <v/>
      </c>
      <c r="AP43" s="28" t="str">
        <f aca="false">IF($A43="","",ROUND((AH43-AK43)*60,0))</f>
        <v/>
      </c>
      <c r="AQ43" s="28" t="str">
        <f aca="false">IF($A43="","",ROUND((AI43-AH43)*60,0))</f>
        <v/>
      </c>
      <c r="AR43" s="4" t="str">
        <f aca="false">IF($A43="","",IF(AP43&gt;=AC43,"Yes","No"))</f>
        <v/>
      </c>
      <c r="AS43" s="4" t="str">
        <f aca="false">IF($A43="","",IF(AQ43&gt;=AD43+AL43,"Yes","No"))</f>
        <v/>
      </c>
      <c r="AT43" s="4" t="str">
        <f aca="false">IF($A43="","",IF(AND(AR43="Yes",AS43="Yes"),"OK","REVIEW"))</f>
        <v/>
      </c>
      <c r="AU43" s="4" t="str">
        <f aca="false">IF($A43="","",IF($P43="No","Not applicable",IF(AO43&lt;Constants!$B$14,"CAPTURE","Not needed")))</f>
        <v/>
      </c>
      <c r="AV43" s="4" t="str">
        <f aca="false">IF($A43="","",IF($P43="No","n/a",RANK(AO43,AO:AO,1)))</f>
        <v/>
      </c>
      <c r="AW43" s="4" t="str">
        <f aca="false">IF($A43="","",IF(UPPER($E43)="YES","Strategic","Non-strategic"))</f>
        <v/>
      </c>
      <c r="AX43" s="4" t="str">
        <f aca="false">IF($A43="","",COUNTIFS(Fact_Work!$C:$C,$A43))</f>
        <v/>
      </c>
      <c r="AY43" s="4" t="str">
        <f aca="false">IF($A43="","",IF(AX43=0,"Not seen",IF(AX43&gt;=Constants!$B$13*0.6,"Daily",IF(AX43&gt;=Constants!$B$13*0.12,"Weekly","Monthly or ad hoc"))))</f>
        <v/>
      </c>
      <c r="AZ43" s="22" t="str">
        <f aca="false">IF($A43="","",IFERROR(VLOOKUP($U43,Dim_TOP!$A:$H,8,0),""))</f>
        <v/>
      </c>
      <c r="BA43" s="28" t="str">
        <f aca="false">IF($A43="","",IFERROR(ROUND((AH43-AZ43)*60,0),""))</f>
        <v/>
      </c>
      <c r="BB43" s="4" t="str">
        <f aca="false">IF($A43="","",IF(BA43="","",IF(BA43&lt;=0,"Sets the deadline","Later than peers by "&amp;BA43&amp;" min")))</f>
        <v/>
      </c>
      <c r="BC43" s="29" t="str">
        <f aca="false">IF($A43="","",IF($U43="",0,IF(COUNTIFS($U$2:$U43,$U43,$C$2:$C43,$C43)=1,1,0)))</f>
        <v/>
      </c>
      <c r="BD43" s="10" t="str">
        <f aca="false">IF($A43="","",IF(UPPER($P43)="YES","Yes","No"))</f>
        <v/>
      </c>
      <c r="BE43" s="10" t="str">
        <f aca="false">IF($A43="","",IF($N43="No","n/a",IF(AM43&lt;=Constants!$B$17,"Yes","No")))</f>
        <v/>
      </c>
      <c r="BF43" s="10" t="str">
        <f aca="false">IF($A43="","",IF($O43="No","n/a",IF(AN43&lt;=Constants!$B$17,"Yes","No")))</f>
        <v/>
      </c>
      <c r="BG43" s="10" t="str">
        <f aca="false">IF($A43="","",IF($P43="No","n/a",IF(AO43&lt;=Constants!$B$17,"Yes","No")))</f>
        <v/>
      </c>
      <c r="BH43" s="10" t="str">
        <f aca="false">IF($A43="","",IF($N43="No","No custody process",IF(BE43="Yes","Thin custody slack","Ample custody slack")))</f>
        <v/>
      </c>
      <c r="BI43" s="30" t="str">
        <f aca="false">IF($A43="","",IF($N43="No","",AM43))</f>
        <v/>
      </c>
      <c r="BJ43" s="30" t="str">
        <f aca="false">IF($A43="","",IF($O43="No","",AN43))</f>
        <v/>
      </c>
      <c r="BK43" s="30" t="str">
        <f aca="false">IF($A43="","",IF($P43="No","",AO43))</f>
        <v/>
      </c>
    </row>
    <row r="44" customFormat="false" ht="15" hidden="false" customHeight="true" outlineLevel="0" collapsed="false">
      <c r="Z44" s="28" t="str">
        <f aca="false">IF($A44="","",Constants!$B$6+$I44*Constants!$B$7+$J44*Constants!$B$8+$K44*Constants!$B$9+$L44*Constants!$B$10+$M44*Constants!$B$11)</f>
        <v/>
      </c>
      <c r="AA44" s="28" t="str">
        <f aca="false">IF($A44="","",100-Z44)</f>
        <v/>
      </c>
      <c r="AB44" s="28" t="str">
        <f aca="false">IF($A44="","",ROUND($H44*Constants!$B$4,1))</f>
        <v/>
      </c>
      <c r="AC44" s="28" t="str">
        <f aca="false">IF($A44="","",ROUND(AB44*Z44/100,1))</f>
        <v/>
      </c>
      <c r="AD44" s="28" t="str">
        <f aca="false">IF($A44="","",ROUND(AB44*AA44/100,1))</f>
        <v/>
      </c>
      <c r="AE44" s="22" t="str">
        <f aca="false">IF($A44="","",HOUR($Q44)+MINUTE($Q44)/60)</f>
        <v/>
      </c>
      <c r="AF44" s="22" t="str">
        <f aca="false">IF($A44="","",HOUR($R44)+MINUTE($R44)/60)</f>
        <v/>
      </c>
      <c r="AG44" s="22" t="str">
        <f aca="false">IF($A44="","",HOUR($S44)+MINUTE($S44)/60)</f>
        <v/>
      </c>
      <c r="AH44" s="22" t="str">
        <f aca="false">IF($A44="","",HOUR($T44)+MINUTE($T44)/60)</f>
        <v/>
      </c>
      <c r="AI44" s="22" t="str">
        <f aca="false">IF($A44="","",HOUR($V44)+MINUTE($V44)/60)</f>
        <v/>
      </c>
      <c r="AJ44" s="22" t="str">
        <f aca="false">IF($A44="","",HOUR($W44)+MINUTE($W44)/60)</f>
        <v/>
      </c>
      <c r="AK44" s="22" t="str">
        <f aca="false">IF($A44="","",VLOOKUP($F44,Dim_Team!$A:$F,6,0))</f>
        <v/>
      </c>
      <c r="AL44" s="28" t="str">
        <f aca="false">IF($A44="","",VLOOKUP($X44,Dim_Signoff!$A:$C,3,0))</f>
        <v/>
      </c>
      <c r="AM44" s="28" t="str">
        <f aca="false">IF($A44="","",IF($N44="No","n/a",ROUND((AH44-AE44)*60,0)))</f>
        <v/>
      </c>
      <c r="AN44" s="28" t="str">
        <f aca="false">IF($A44="","",IF($O44="No","n/a",ROUND((AH44-AF44)*60,0)))</f>
        <v/>
      </c>
      <c r="AO44" s="28" t="str">
        <f aca="false">IF($A44="","",IF($P44="No","n/a",ROUND((AH44-AG44)*60,0)))</f>
        <v/>
      </c>
      <c r="AP44" s="28" t="str">
        <f aca="false">IF($A44="","",ROUND((AH44-AK44)*60,0))</f>
        <v/>
      </c>
      <c r="AQ44" s="28" t="str">
        <f aca="false">IF($A44="","",ROUND((AI44-AH44)*60,0))</f>
        <v/>
      </c>
      <c r="AR44" s="4" t="str">
        <f aca="false">IF($A44="","",IF(AP44&gt;=AC44,"Yes","No"))</f>
        <v/>
      </c>
      <c r="AS44" s="4" t="str">
        <f aca="false">IF($A44="","",IF(AQ44&gt;=AD44+AL44,"Yes","No"))</f>
        <v/>
      </c>
      <c r="AT44" s="4" t="str">
        <f aca="false">IF($A44="","",IF(AND(AR44="Yes",AS44="Yes"),"OK","REVIEW"))</f>
        <v/>
      </c>
      <c r="AU44" s="4" t="str">
        <f aca="false">IF($A44="","",IF($P44="No","Not applicable",IF(AO44&lt;Constants!$B$14,"CAPTURE","Not needed")))</f>
        <v/>
      </c>
      <c r="AV44" s="4" t="str">
        <f aca="false">IF($A44="","",IF($P44="No","n/a",RANK(AO44,AO:AO,1)))</f>
        <v/>
      </c>
      <c r="AW44" s="4" t="str">
        <f aca="false">IF($A44="","",IF(UPPER($E44)="YES","Strategic","Non-strategic"))</f>
        <v/>
      </c>
      <c r="AX44" s="4" t="str">
        <f aca="false">IF($A44="","",COUNTIFS(Fact_Work!$C:$C,$A44))</f>
        <v/>
      </c>
      <c r="AY44" s="4" t="str">
        <f aca="false">IF($A44="","",IF(AX44=0,"Not seen",IF(AX44&gt;=Constants!$B$13*0.6,"Daily",IF(AX44&gt;=Constants!$B$13*0.12,"Weekly","Monthly or ad hoc"))))</f>
        <v/>
      </c>
      <c r="AZ44" s="22" t="str">
        <f aca="false">IF($A44="","",IFERROR(VLOOKUP($U44,Dim_TOP!$A:$H,8,0),""))</f>
        <v/>
      </c>
      <c r="BA44" s="28" t="str">
        <f aca="false">IF($A44="","",IFERROR(ROUND((AH44-AZ44)*60,0),""))</f>
        <v/>
      </c>
      <c r="BB44" s="4" t="str">
        <f aca="false">IF($A44="","",IF(BA44="","",IF(BA44&lt;=0,"Sets the deadline","Later than peers by "&amp;BA44&amp;" min")))</f>
        <v/>
      </c>
      <c r="BC44" s="29" t="str">
        <f aca="false">IF($A44="","",IF($U44="",0,IF(COUNTIFS($U$2:$U44,$U44,$C$2:$C44,$C44)=1,1,0)))</f>
        <v/>
      </c>
      <c r="BD44" s="10" t="str">
        <f aca="false">IF($A44="","",IF(UPPER($P44)="YES","Yes","No"))</f>
        <v/>
      </c>
      <c r="BE44" s="10" t="str">
        <f aca="false">IF($A44="","",IF($N44="No","n/a",IF(AM44&lt;=Constants!$B$17,"Yes","No")))</f>
        <v/>
      </c>
      <c r="BF44" s="10" t="str">
        <f aca="false">IF($A44="","",IF($O44="No","n/a",IF(AN44&lt;=Constants!$B$17,"Yes","No")))</f>
        <v/>
      </c>
      <c r="BG44" s="10" t="str">
        <f aca="false">IF($A44="","",IF($P44="No","n/a",IF(AO44&lt;=Constants!$B$17,"Yes","No")))</f>
        <v/>
      </c>
      <c r="BH44" s="10" t="str">
        <f aca="false">IF($A44="","",IF($N44="No","No custody process",IF(BE44="Yes","Thin custody slack","Ample custody slack")))</f>
        <v/>
      </c>
      <c r="BI44" s="30" t="str">
        <f aca="false">IF($A44="","",IF($N44="No","",AM44))</f>
        <v/>
      </c>
      <c r="BJ44" s="30" t="str">
        <f aca="false">IF($A44="","",IF($O44="No","",AN44))</f>
        <v/>
      </c>
      <c r="BK44" s="30" t="str">
        <f aca="false">IF($A44="","",IF($P44="No","",AO44))</f>
        <v/>
      </c>
    </row>
    <row r="45" customFormat="false" ht="15" hidden="false" customHeight="true" outlineLevel="0" collapsed="false">
      <c r="Z45" s="28" t="str">
        <f aca="false">IF($A45="","",Constants!$B$6+$I45*Constants!$B$7+$J45*Constants!$B$8+$K45*Constants!$B$9+$L45*Constants!$B$10+$M45*Constants!$B$11)</f>
        <v/>
      </c>
      <c r="AA45" s="28" t="str">
        <f aca="false">IF($A45="","",100-Z45)</f>
        <v/>
      </c>
      <c r="AB45" s="28" t="str">
        <f aca="false">IF($A45="","",ROUND($H45*Constants!$B$4,1))</f>
        <v/>
      </c>
      <c r="AC45" s="28" t="str">
        <f aca="false">IF($A45="","",ROUND(AB45*Z45/100,1))</f>
        <v/>
      </c>
      <c r="AD45" s="28" t="str">
        <f aca="false">IF($A45="","",ROUND(AB45*AA45/100,1))</f>
        <v/>
      </c>
      <c r="AE45" s="22" t="str">
        <f aca="false">IF($A45="","",HOUR($Q45)+MINUTE($Q45)/60)</f>
        <v/>
      </c>
      <c r="AF45" s="22" t="str">
        <f aca="false">IF($A45="","",HOUR($R45)+MINUTE($R45)/60)</f>
        <v/>
      </c>
      <c r="AG45" s="22" t="str">
        <f aca="false">IF($A45="","",HOUR($S45)+MINUTE($S45)/60)</f>
        <v/>
      </c>
      <c r="AH45" s="22" t="str">
        <f aca="false">IF($A45="","",HOUR($T45)+MINUTE($T45)/60)</f>
        <v/>
      </c>
      <c r="AI45" s="22" t="str">
        <f aca="false">IF($A45="","",HOUR($V45)+MINUTE($V45)/60)</f>
        <v/>
      </c>
      <c r="AJ45" s="22" t="str">
        <f aca="false">IF($A45="","",HOUR($W45)+MINUTE($W45)/60)</f>
        <v/>
      </c>
      <c r="AK45" s="22" t="str">
        <f aca="false">IF($A45="","",VLOOKUP($F45,Dim_Team!$A:$F,6,0))</f>
        <v/>
      </c>
      <c r="AL45" s="28" t="str">
        <f aca="false">IF($A45="","",VLOOKUP($X45,Dim_Signoff!$A:$C,3,0))</f>
        <v/>
      </c>
      <c r="AM45" s="28" t="str">
        <f aca="false">IF($A45="","",IF($N45="No","n/a",ROUND((AH45-AE45)*60,0)))</f>
        <v/>
      </c>
      <c r="AN45" s="28" t="str">
        <f aca="false">IF($A45="","",IF($O45="No","n/a",ROUND((AH45-AF45)*60,0)))</f>
        <v/>
      </c>
      <c r="AO45" s="28" t="str">
        <f aca="false">IF($A45="","",IF($P45="No","n/a",ROUND((AH45-AG45)*60,0)))</f>
        <v/>
      </c>
      <c r="AP45" s="28" t="str">
        <f aca="false">IF($A45="","",ROUND((AH45-AK45)*60,0))</f>
        <v/>
      </c>
      <c r="AQ45" s="28" t="str">
        <f aca="false">IF($A45="","",ROUND((AI45-AH45)*60,0))</f>
        <v/>
      </c>
      <c r="AR45" s="4" t="str">
        <f aca="false">IF($A45="","",IF(AP45&gt;=AC45,"Yes","No"))</f>
        <v/>
      </c>
      <c r="AS45" s="4" t="str">
        <f aca="false">IF($A45="","",IF(AQ45&gt;=AD45+AL45,"Yes","No"))</f>
        <v/>
      </c>
      <c r="AT45" s="4" t="str">
        <f aca="false">IF($A45="","",IF(AND(AR45="Yes",AS45="Yes"),"OK","REVIEW"))</f>
        <v/>
      </c>
      <c r="AU45" s="4" t="str">
        <f aca="false">IF($A45="","",IF($P45="No","Not applicable",IF(AO45&lt;Constants!$B$14,"CAPTURE","Not needed")))</f>
        <v/>
      </c>
      <c r="AV45" s="4" t="str">
        <f aca="false">IF($A45="","",IF($P45="No","n/a",RANK(AO45,AO:AO,1)))</f>
        <v/>
      </c>
      <c r="AW45" s="4" t="str">
        <f aca="false">IF($A45="","",IF(UPPER($E45)="YES","Strategic","Non-strategic"))</f>
        <v/>
      </c>
      <c r="AX45" s="4" t="str">
        <f aca="false">IF($A45="","",COUNTIFS(Fact_Work!$C:$C,$A45))</f>
        <v/>
      </c>
      <c r="AY45" s="4" t="str">
        <f aca="false">IF($A45="","",IF(AX45=0,"Not seen",IF(AX45&gt;=Constants!$B$13*0.6,"Daily",IF(AX45&gt;=Constants!$B$13*0.12,"Weekly","Monthly or ad hoc"))))</f>
        <v/>
      </c>
      <c r="AZ45" s="22" t="str">
        <f aca="false">IF($A45="","",IFERROR(VLOOKUP($U45,Dim_TOP!$A:$H,8,0),""))</f>
        <v/>
      </c>
      <c r="BA45" s="28" t="str">
        <f aca="false">IF($A45="","",IFERROR(ROUND((AH45-AZ45)*60,0),""))</f>
        <v/>
      </c>
      <c r="BB45" s="4" t="str">
        <f aca="false">IF($A45="","",IF(BA45="","",IF(BA45&lt;=0,"Sets the deadline","Later than peers by "&amp;BA45&amp;" min")))</f>
        <v/>
      </c>
      <c r="BC45" s="29" t="str">
        <f aca="false">IF($A45="","",IF($U45="",0,IF(COUNTIFS($U$2:$U45,$U45,$C$2:$C45,$C45)=1,1,0)))</f>
        <v/>
      </c>
      <c r="BD45" s="10" t="str">
        <f aca="false">IF($A45="","",IF(UPPER($P45)="YES","Yes","No"))</f>
        <v/>
      </c>
      <c r="BE45" s="10" t="str">
        <f aca="false">IF($A45="","",IF($N45="No","n/a",IF(AM45&lt;=Constants!$B$17,"Yes","No")))</f>
        <v/>
      </c>
      <c r="BF45" s="10" t="str">
        <f aca="false">IF($A45="","",IF($O45="No","n/a",IF(AN45&lt;=Constants!$B$17,"Yes","No")))</f>
        <v/>
      </c>
      <c r="BG45" s="10" t="str">
        <f aca="false">IF($A45="","",IF($P45="No","n/a",IF(AO45&lt;=Constants!$B$17,"Yes","No")))</f>
        <v/>
      </c>
      <c r="BH45" s="10" t="str">
        <f aca="false">IF($A45="","",IF($N45="No","No custody process",IF(BE45="Yes","Thin custody slack","Ample custody slack")))</f>
        <v/>
      </c>
      <c r="BI45" s="30" t="str">
        <f aca="false">IF($A45="","",IF($N45="No","",AM45))</f>
        <v/>
      </c>
      <c r="BJ45" s="30" t="str">
        <f aca="false">IF($A45="","",IF($O45="No","",AN45))</f>
        <v/>
      </c>
      <c r="BK45" s="30" t="str">
        <f aca="false">IF($A45="","",IF($P45="No","",AO45))</f>
        <v/>
      </c>
    </row>
    <row r="46" customFormat="false" ht="15" hidden="false" customHeight="true" outlineLevel="0" collapsed="false">
      <c r="Z46" s="28" t="str">
        <f aca="false">IF($A46="","",Constants!$B$6+$I46*Constants!$B$7+$J46*Constants!$B$8+$K46*Constants!$B$9+$L46*Constants!$B$10+$M46*Constants!$B$11)</f>
        <v/>
      </c>
      <c r="AA46" s="28" t="str">
        <f aca="false">IF($A46="","",100-Z46)</f>
        <v/>
      </c>
      <c r="AB46" s="28" t="str">
        <f aca="false">IF($A46="","",ROUND($H46*Constants!$B$4,1))</f>
        <v/>
      </c>
      <c r="AC46" s="28" t="str">
        <f aca="false">IF($A46="","",ROUND(AB46*Z46/100,1))</f>
        <v/>
      </c>
      <c r="AD46" s="28" t="str">
        <f aca="false">IF($A46="","",ROUND(AB46*AA46/100,1))</f>
        <v/>
      </c>
      <c r="AE46" s="22" t="str">
        <f aca="false">IF($A46="","",HOUR($Q46)+MINUTE($Q46)/60)</f>
        <v/>
      </c>
      <c r="AF46" s="22" t="str">
        <f aca="false">IF($A46="","",HOUR($R46)+MINUTE($R46)/60)</f>
        <v/>
      </c>
      <c r="AG46" s="22" t="str">
        <f aca="false">IF($A46="","",HOUR($S46)+MINUTE($S46)/60)</f>
        <v/>
      </c>
      <c r="AH46" s="22" t="str">
        <f aca="false">IF($A46="","",HOUR($T46)+MINUTE($T46)/60)</f>
        <v/>
      </c>
      <c r="AI46" s="22" t="str">
        <f aca="false">IF($A46="","",HOUR($V46)+MINUTE($V46)/60)</f>
        <v/>
      </c>
      <c r="AJ46" s="22" t="str">
        <f aca="false">IF($A46="","",HOUR($W46)+MINUTE($W46)/60)</f>
        <v/>
      </c>
      <c r="AK46" s="22" t="str">
        <f aca="false">IF($A46="","",VLOOKUP($F46,Dim_Team!$A:$F,6,0))</f>
        <v/>
      </c>
      <c r="AL46" s="28" t="str">
        <f aca="false">IF($A46="","",VLOOKUP($X46,Dim_Signoff!$A:$C,3,0))</f>
        <v/>
      </c>
      <c r="AM46" s="28" t="str">
        <f aca="false">IF($A46="","",IF($N46="No","n/a",ROUND((AH46-AE46)*60,0)))</f>
        <v/>
      </c>
      <c r="AN46" s="28" t="str">
        <f aca="false">IF($A46="","",IF($O46="No","n/a",ROUND((AH46-AF46)*60,0)))</f>
        <v/>
      </c>
      <c r="AO46" s="28" t="str">
        <f aca="false">IF($A46="","",IF($P46="No","n/a",ROUND((AH46-AG46)*60,0)))</f>
        <v/>
      </c>
      <c r="AP46" s="28" t="str">
        <f aca="false">IF($A46="","",ROUND((AH46-AK46)*60,0))</f>
        <v/>
      </c>
      <c r="AQ46" s="28" t="str">
        <f aca="false">IF($A46="","",ROUND((AI46-AH46)*60,0))</f>
        <v/>
      </c>
      <c r="AR46" s="4" t="str">
        <f aca="false">IF($A46="","",IF(AP46&gt;=AC46,"Yes","No"))</f>
        <v/>
      </c>
      <c r="AS46" s="4" t="str">
        <f aca="false">IF($A46="","",IF(AQ46&gt;=AD46+AL46,"Yes","No"))</f>
        <v/>
      </c>
      <c r="AT46" s="4" t="str">
        <f aca="false">IF($A46="","",IF(AND(AR46="Yes",AS46="Yes"),"OK","REVIEW"))</f>
        <v/>
      </c>
      <c r="AU46" s="4" t="str">
        <f aca="false">IF($A46="","",IF($P46="No","Not applicable",IF(AO46&lt;Constants!$B$14,"CAPTURE","Not needed")))</f>
        <v/>
      </c>
      <c r="AV46" s="4" t="str">
        <f aca="false">IF($A46="","",IF($P46="No","n/a",RANK(AO46,AO:AO,1)))</f>
        <v/>
      </c>
      <c r="AW46" s="4" t="str">
        <f aca="false">IF($A46="","",IF(UPPER($E46)="YES","Strategic","Non-strategic"))</f>
        <v/>
      </c>
      <c r="AX46" s="4" t="str">
        <f aca="false">IF($A46="","",COUNTIFS(Fact_Work!$C:$C,$A46))</f>
        <v/>
      </c>
      <c r="AY46" s="4" t="str">
        <f aca="false">IF($A46="","",IF(AX46=0,"Not seen",IF(AX46&gt;=Constants!$B$13*0.6,"Daily",IF(AX46&gt;=Constants!$B$13*0.12,"Weekly","Monthly or ad hoc"))))</f>
        <v/>
      </c>
      <c r="AZ46" s="22" t="str">
        <f aca="false">IF($A46="","",IFERROR(VLOOKUP($U46,Dim_TOP!$A:$H,8,0),""))</f>
        <v/>
      </c>
      <c r="BA46" s="28" t="str">
        <f aca="false">IF($A46="","",IFERROR(ROUND((AH46-AZ46)*60,0),""))</f>
        <v/>
      </c>
      <c r="BB46" s="4" t="str">
        <f aca="false">IF($A46="","",IF(BA46="","",IF(BA46&lt;=0,"Sets the deadline","Later than peers by "&amp;BA46&amp;" min")))</f>
        <v/>
      </c>
      <c r="BC46" s="29" t="str">
        <f aca="false">IF($A46="","",IF($U46="",0,IF(COUNTIFS($U$2:$U46,$U46,$C$2:$C46,$C46)=1,1,0)))</f>
        <v/>
      </c>
      <c r="BD46" s="10" t="str">
        <f aca="false">IF($A46="","",IF(UPPER($P46)="YES","Yes","No"))</f>
        <v/>
      </c>
      <c r="BE46" s="10" t="str">
        <f aca="false">IF($A46="","",IF($N46="No","n/a",IF(AM46&lt;=Constants!$B$17,"Yes","No")))</f>
        <v/>
      </c>
      <c r="BF46" s="10" t="str">
        <f aca="false">IF($A46="","",IF($O46="No","n/a",IF(AN46&lt;=Constants!$B$17,"Yes","No")))</f>
        <v/>
      </c>
      <c r="BG46" s="10" t="str">
        <f aca="false">IF($A46="","",IF($P46="No","n/a",IF(AO46&lt;=Constants!$B$17,"Yes","No")))</f>
        <v/>
      </c>
      <c r="BH46" s="10" t="str">
        <f aca="false">IF($A46="","",IF($N46="No","No custody process",IF(BE46="Yes","Thin custody slack","Ample custody slack")))</f>
        <v/>
      </c>
      <c r="BI46" s="30" t="str">
        <f aca="false">IF($A46="","",IF($N46="No","",AM46))</f>
        <v/>
      </c>
      <c r="BJ46" s="30" t="str">
        <f aca="false">IF($A46="","",IF($O46="No","",AN46))</f>
        <v/>
      </c>
      <c r="BK46" s="30" t="str">
        <f aca="false">IF($A46="","",IF($P46="No","",AO46))</f>
        <v/>
      </c>
    </row>
    <row r="47" customFormat="false" ht="15" hidden="false" customHeight="true" outlineLevel="0" collapsed="false">
      <c r="Z47" s="28" t="str">
        <f aca="false">IF($A47="","",Constants!$B$6+$I47*Constants!$B$7+$J47*Constants!$B$8+$K47*Constants!$B$9+$L47*Constants!$B$10+$M47*Constants!$B$11)</f>
        <v/>
      </c>
      <c r="AA47" s="28" t="str">
        <f aca="false">IF($A47="","",100-Z47)</f>
        <v/>
      </c>
      <c r="AB47" s="28" t="str">
        <f aca="false">IF($A47="","",ROUND($H47*Constants!$B$4,1))</f>
        <v/>
      </c>
      <c r="AC47" s="28" t="str">
        <f aca="false">IF($A47="","",ROUND(AB47*Z47/100,1))</f>
        <v/>
      </c>
      <c r="AD47" s="28" t="str">
        <f aca="false">IF($A47="","",ROUND(AB47*AA47/100,1))</f>
        <v/>
      </c>
      <c r="AE47" s="22" t="str">
        <f aca="false">IF($A47="","",HOUR($Q47)+MINUTE($Q47)/60)</f>
        <v/>
      </c>
      <c r="AF47" s="22" t="str">
        <f aca="false">IF($A47="","",HOUR($R47)+MINUTE($R47)/60)</f>
        <v/>
      </c>
      <c r="AG47" s="22" t="str">
        <f aca="false">IF($A47="","",HOUR($S47)+MINUTE($S47)/60)</f>
        <v/>
      </c>
      <c r="AH47" s="22" t="str">
        <f aca="false">IF($A47="","",HOUR($T47)+MINUTE($T47)/60)</f>
        <v/>
      </c>
      <c r="AI47" s="22" t="str">
        <f aca="false">IF($A47="","",HOUR($V47)+MINUTE($V47)/60)</f>
        <v/>
      </c>
      <c r="AJ47" s="22" t="str">
        <f aca="false">IF($A47="","",HOUR($W47)+MINUTE($W47)/60)</f>
        <v/>
      </c>
      <c r="AK47" s="22" t="str">
        <f aca="false">IF($A47="","",VLOOKUP($F47,Dim_Team!$A:$F,6,0))</f>
        <v/>
      </c>
      <c r="AL47" s="28" t="str">
        <f aca="false">IF($A47="","",VLOOKUP($X47,Dim_Signoff!$A:$C,3,0))</f>
        <v/>
      </c>
      <c r="AM47" s="28" t="str">
        <f aca="false">IF($A47="","",IF($N47="No","n/a",ROUND((AH47-AE47)*60,0)))</f>
        <v/>
      </c>
      <c r="AN47" s="28" t="str">
        <f aca="false">IF($A47="","",IF($O47="No","n/a",ROUND((AH47-AF47)*60,0)))</f>
        <v/>
      </c>
      <c r="AO47" s="28" t="str">
        <f aca="false">IF($A47="","",IF($P47="No","n/a",ROUND((AH47-AG47)*60,0)))</f>
        <v/>
      </c>
      <c r="AP47" s="28" t="str">
        <f aca="false">IF($A47="","",ROUND((AH47-AK47)*60,0))</f>
        <v/>
      </c>
      <c r="AQ47" s="28" t="str">
        <f aca="false">IF($A47="","",ROUND((AI47-AH47)*60,0))</f>
        <v/>
      </c>
      <c r="AR47" s="4" t="str">
        <f aca="false">IF($A47="","",IF(AP47&gt;=AC47,"Yes","No"))</f>
        <v/>
      </c>
      <c r="AS47" s="4" t="str">
        <f aca="false">IF($A47="","",IF(AQ47&gt;=AD47+AL47,"Yes","No"))</f>
        <v/>
      </c>
      <c r="AT47" s="4" t="str">
        <f aca="false">IF($A47="","",IF(AND(AR47="Yes",AS47="Yes"),"OK","REVIEW"))</f>
        <v/>
      </c>
      <c r="AU47" s="4" t="str">
        <f aca="false">IF($A47="","",IF($P47="No","Not applicable",IF(AO47&lt;Constants!$B$14,"CAPTURE","Not needed")))</f>
        <v/>
      </c>
      <c r="AV47" s="4" t="str">
        <f aca="false">IF($A47="","",IF($P47="No","n/a",RANK(AO47,AO:AO,1)))</f>
        <v/>
      </c>
      <c r="AW47" s="4" t="str">
        <f aca="false">IF($A47="","",IF(UPPER($E47)="YES","Strategic","Non-strategic"))</f>
        <v/>
      </c>
      <c r="AX47" s="4" t="str">
        <f aca="false">IF($A47="","",COUNTIFS(Fact_Work!$C:$C,$A47))</f>
        <v/>
      </c>
      <c r="AY47" s="4" t="str">
        <f aca="false">IF($A47="","",IF(AX47=0,"Not seen",IF(AX47&gt;=Constants!$B$13*0.6,"Daily",IF(AX47&gt;=Constants!$B$13*0.12,"Weekly","Monthly or ad hoc"))))</f>
        <v/>
      </c>
      <c r="AZ47" s="22" t="str">
        <f aca="false">IF($A47="","",IFERROR(VLOOKUP($U47,Dim_TOP!$A:$H,8,0),""))</f>
        <v/>
      </c>
      <c r="BA47" s="28" t="str">
        <f aca="false">IF($A47="","",IFERROR(ROUND((AH47-AZ47)*60,0),""))</f>
        <v/>
      </c>
      <c r="BB47" s="4" t="str">
        <f aca="false">IF($A47="","",IF(BA47="","",IF(BA47&lt;=0,"Sets the deadline","Later than peers by "&amp;BA47&amp;" min")))</f>
        <v/>
      </c>
      <c r="BC47" s="29" t="str">
        <f aca="false">IF($A47="","",IF($U47="",0,IF(COUNTIFS($U$2:$U47,$U47,$C$2:$C47,$C47)=1,1,0)))</f>
        <v/>
      </c>
      <c r="BD47" s="10" t="str">
        <f aca="false">IF($A47="","",IF(UPPER($P47)="YES","Yes","No"))</f>
        <v/>
      </c>
      <c r="BE47" s="10" t="str">
        <f aca="false">IF($A47="","",IF($N47="No","n/a",IF(AM47&lt;=Constants!$B$17,"Yes","No")))</f>
        <v/>
      </c>
      <c r="BF47" s="10" t="str">
        <f aca="false">IF($A47="","",IF($O47="No","n/a",IF(AN47&lt;=Constants!$B$17,"Yes","No")))</f>
        <v/>
      </c>
      <c r="BG47" s="10" t="str">
        <f aca="false">IF($A47="","",IF($P47="No","n/a",IF(AO47&lt;=Constants!$B$17,"Yes","No")))</f>
        <v/>
      </c>
      <c r="BH47" s="10" t="str">
        <f aca="false">IF($A47="","",IF($N47="No","No custody process",IF(BE47="Yes","Thin custody slack","Ample custody slack")))</f>
        <v/>
      </c>
      <c r="BI47" s="30" t="str">
        <f aca="false">IF($A47="","",IF($N47="No","",AM47))</f>
        <v/>
      </c>
      <c r="BJ47" s="30" t="str">
        <f aca="false">IF($A47="","",IF($O47="No","",AN47))</f>
        <v/>
      </c>
      <c r="BK47" s="30" t="str">
        <f aca="false">IF($A47="","",IF($P47="No","",AO47))</f>
        <v/>
      </c>
    </row>
    <row r="48" customFormat="false" ht="15" hidden="false" customHeight="true" outlineLevel="0" collapsed="false">
      <c r="Z48" s="28" t="str">
        <f aca="false">IF($A48="","",Constants!$B$6+$I48*Constants!$B$7+$J48*Constants!$B$8+$K48*Constants!$B$9+$L48*Constants!$B$10+$M48*Constants!$B$11)</f>
        <v/>
      </c>
      <c r="AA48" s="28" t="str">
        <f aca="false">IF($A48="","",100-Z48)</f>
        <v/>
      </c>
      <c r="AB48" s="28" t="str">
        <f aca="false">IF($A48="","",ROUND($H48*Constants!$B$4,1))</f>
        <v/>
      </c>
      <c r="AC48" s="28" t="str">
        <f aca="false">IF($A48="","",ROUND(AB48*Z48/100,1))</f>
        <v/>
      </c>
      <c r="AD48" s="28" t="str">
        <f aca="false">IF($A48="","",ROUND(AB48*AA48/100,1))</f>
        <v/>
      </c>
      <c r="AE48" s="22" t="str">
        <f aca="false">IF($A48="","",HOUR($Q48)+MINUTE($Q48)/60)</f>
        <v/>
      </c>
      <c r="AF48" s="22" t="str">
        <f aca="false">IF($A48="","",HOUR($R48)+MINUTE($R48)/60)</f>
        <v/>
      </c>
      <c r="AG48" s="22" t="str">
        <f aca="false">IF($A48="","",HOUR($S48)+MINUTE($S48)/60)</f>
        <v/>
      </c>
      <c r="AH48" s="22" t="str">
        <f aca="false">IF($A48="","",HOUR($T48)+MINUTE($T48)/60)</f>
        <v/>
      </c>
      <c r="AI48" s="22" t="str">
        <f aca="false">IF($A48="","",HOUR($V48)+MINUTE($V48)/60)</f>
        <v/>
      </c>
      <c r="AJ48" s="22" t="str">
        <f aca="false">IF($A48="","",HOUR($W48)+MINUTE($W48)/60)</f>
        <v/>
      </c>
      <c r="AK48" s="22" t="str">
        <f aca="false">IF($A48="","",VLOOKUP($F48,Dim_Team!$A:$F,6,0))</f>
        <v/>
      </c>
      <c r="AL48" s="28" t="str">
        <f aca="false">IF($A48="","",VLOOKUP($X48,Dim_Signoff!$A:$C,3,0))</f>
        <v/>
      </c>
      <c r="AM48" s="28" t="str">
        <f aca="false">IF($A48="","",IF($N48="No","n/a",ROUND((AH48-AE48)*60,0)))</f>
        <v/>
      </c>
      <c r="AN48" s="28" t="str">
        <f aca="false">IF($A48="","",IF($O48="No","n/a",ROUND((AH48-AF48)*60,0)))</f>
        <v/>
      </c>
      <c r="AO48" s="28" t="str">
        <f aca="false">IF($A48="","",IF($P48="No","n/a",ROUND((AH48-AG48)*60,0)))</f>
        <v/>
      </c>
      <c r="AP48" s="28" t="str">
        <f aca="false">IF($A48="","",ROUND((AH48-AK48)*60,0))</f>
        <v/>
      </c>
      <c r="AQ48" s="28" t="str">
        <f aca="false">IF($A48="","",ROUND((AI48-AH48)*60,0))</f>
        <v/>
      </c>
      <c r="AR48" s="4" t="str">
        <f aca="false">IF($A48="","",IF(AP48&gt;=AC48,"Yes","No"))</f>
        <v/>
      </c>
      <c r="AS48" s="4" t="str">
        <f aca="false">IF($A48="","",IF(AQ48&gt;=AD48+AL48,"Yes","No"))</f>
        <v/>
      </c>
      <c r="AT48" s="4" t="str">
        <f aca="false">IF($A48="","",IF(AND(AR48="Yes",AS48="Yes"),"OK","REVIEW"))</f>
        <v/>
      </c>
      <c r="AU48" s="4" t="str">
        <f aca="false">IF($A48="","",IF($P48="No","Not applicable",IF(AO48&lt;Constants!$B$14,"CAPTURE","Not needed")))</f>
        <v/>
      </c>
      <c r="AV48" s="4" t="str">
        <f aca="false">IF($A48="","",IF($P48="No","n/a",RANK(AO48,AO:AO,1)))</f>
        <v/>
      </c>
      <c r="AW48" s="4" t="str">
        <f aca="false">IF($A48="","",IF(UPPER($E48)="YES","Strategic","Non-strategic"))</f>
        <v/>
      </c>
      <c r="AX48" s="4" t="str">
        <f aca="false">IF($A48="","",COUNTIFS(Fact_Work!$C:$C,$A48))</f>
        <v/>
      </c>
      <c r="AY48" s="4" t="str">
        <f aca="false">IF($A48="","",IF(AX48=0,"Not seen",IF(AX48&gt;=Constants!$B$13*0.6,"Daily",IF(AX48&gt;=Constants!$B$13*0.12,"Weekly","Monthly or ad hoc"))))</f>
        <v/>
      </c>
      <c r="AZ48" s="22" t="str">
        <f aca="false">IF($A48="","",IFERROR(VLOOKUP($U48,Dim_TOP!$A:$H,8,0),""))</f>
        <v/>
      </c>
      <c r="BA48" s="28" t="str">
        <f aca="false">IF($A48="","",IFERROR(ROUND((AH48-AZ48)*60,0),""))</f>
        <v/>
      </c>
      <c r="BB48" s="4" t="str">
        <f aca="false">IF($A48="","",IF(BA48="","",IF(BA48&lt;=0,"Sets the deadline","Later than peers by "&amp;BA48&amp;" min")))</f>
        <v/>
      </c>
      <c r="BC48" s="29" t="str">
        <f aca="false">IF($A48="","",IF($U48="",0,IF(COUNTIFS($U$2:$U48,$U48,$C$2:$C48,$C48)=1,1,0)))</f>
        <v/>
      </c>
      <c r="BD48" s="10" t="str">
        <f aca="false">IF($A48="","",IF(UPPER($P48)="YES","Yes","No"))</f>
        <v/>
      </c>
      <c r="BE48" s="10" t="str">
        <f aca="false">IF($A48="","",IF($N48="No","n/a",IF(AM48&lt;=Constants!$B$17,"Yes","No")))</f>
        <v/>
      </c>
      <c r="BF48" s="10" t="str">
        <f aca="false">IF($A48="","",IF($O48="No","n/a",IF(AN48&lt;=Constants!$B$17,"Yes","No")))</f>
        <v/>
      </c>
      <c r="BG48" s="10" t="str">
        <f aca="false">IF($A48="","",IF($P48="No","n/a",IF(AO48&lt;=Constants!$B$17,"Yes","No")))</f>
        <v/>
      </c>
      <c r="BH48" s="10" t="str">
        <f aca="false">IF($A48="","",IF($N48="No","No custody process",IF(BE48="Yes","Thin custody slack","Ample custody slack")))</f>
        <v/>
      </c>
      <c r="BI48" s="30" t="str">
        <f aca="false">IF($A48="","",IF($N48="No","",AM48))</f>
        <v/>
      </c>
      <c r="BJ48" s="30" t="str">
        <f aca="false">IF($A48="","",IF($O48="No","",AN48))</f>
        <v/>
      </c>
      <c r="BK48" s="30" t="str">
        <f aca="false">IF($A48="","",IF($P48="No","",AO48))</f>
        <v/>
      </c>
    </row>
    <row r="49" customFormat="false" ht="15" hidden="false" customHeight="true" outlineLevel="0" collapsed="false">
      <c r="Z49" s="28" t="str">
        <f aca="false">IF($A49="","",Constants!$B$6+$I49*Constants!$B$7+$J49*Constants!$B$8+$K49*Constants!$B$9+$L49*Constants!$B$10+$M49*Constants!$B$11)</f>
        <v/>
      </c>
      <c r="AA49" s="28" t="str">
        <f aca="false">IF($A49="","",100-Z49)</f>
        <v/>
      </c>
      <c r="AB49" s="28" t="str">
        <f aca="false">IF($A49="","",ROUND($H49*Constants!$B$4,1))</f>
        <v/>
      </c>
      <c r="AC49" s="28" t="str">
        <f aca="false">IF($A49="","",ROUND(AB49*Z49/100,1))</f>
        <v/>
      </c>
      <c r="AD49" s="28" t="str">
        <f aca="false">IF($A49="","",ROUND(AB49*AA49/100,1))</f>
        <v/>
      </c>
      <c r="AE49" s="22" t="str">
        <f aca="false">IF($A49="","",HOUR($Q49)+MINUTE($Q49)/60)</f>
        <v/>
      </c>
      <c r="AF49" s="22" t="str">
        <f aca="false">IF($A49="","",HOUR($R49)+MINUTE($R49)/60)</f>
        <v/>
      </c>
      <c r="AG49" s="22" t="str">
        <f aca="false">IF($A49="","",HOUR($S49)+MINUTE($S49)/60)</f>
        <v/>
      </c>
      <c r="AH49" s="22" t="str">
        <f aca="false">IF($A49="","",HOUR($T49)+MINUTE($T49)/60)</f>
        <v/>
      </c>
      <c r="AI49" s="22" t="str">
        <f aca="false">IF($A49="","",HOUR($V49)+MINUTE($V49)/60)</f>
        <v/>
      </c>
      <c r="AJ49" s="22" t="str">
        <f aca="false">IF($A49="","",HOUR($W49)+MINUTE($W49)/60)</f>
        <v/>
      </c>
      <c r="AK49" s="22" t="str">
        <f aca="false">IF($A49="","",VLOOKUP($F49,Dim_Team!$A:$F,6,0))</f>
        <v/>
      </c>
      <c r="AL49" s="28" t="str">
        <f aca="false">IF($A49="","",VLOOKUP($X49,Dim_Signoff!$A:$C,3,0))</f>
        <v/>
      </c>
      <c r="AM49" s="28" t="str">
        <f aca="false">IF($A49="","",IF($N49="No","n/a",ROUND((AH49-AE49)*60,0)))</f>
        <v/>
      </c>
      <c r="AN49" s="28" t="str">
        <f aca="false">IF($A49="","",IF($O49="No","n/a",ROUND((AH49-AF49)*60,0)))</f>
        <v/>
      </c>
      <c r="AO49" s="28" t="str">
        <f aca="false">IF($A49="","",IF($P49="No","n/a",ROUND((AH49-AG49)*60,0)))</f>
        <v/>
      </c>
      <c r="AP49" s="28" t="str">
        <f aca="false">IF($A49="","",ROUND((AH49-AK49)*60,0))</f>
        <v/>
      </c>
      <c r="AQ49" s="28" t="str">
        <f aca="false">IF($A49="","",ROUND((AI49-AH49)*60,0))</f>
        <v/>
      </c>
      <c r="AR49" s="4" t="str">
        <f aca="false">IF($A49="","",IF(AP49&gt;=AC49,"Yes","No"))</f>
        <v/>
      </c>
      <c r="AS49" s="4" t="str">
        <f aca="false">IF($A49="","",IF(AQ49&gt;=AD49+AL49,"Yes","No"))</f>
        <v/>
      </c>
      <c r="AT49" s="4" t="str">
        <f aca="false">IF($A49="","",IF(AND(AR49="Yes",AS49="Yes"),"OK","REVIEW"))</f>
        <v/>
      </c>
      <c r="AU49" s="4" t="str">
        <f aca="false">IF($A49="","",IF($P49="No","Not applicable",IF(AO49&lt;Constants!$B$14,"CAPTURE","Not needed")))</f>
        <v/>
      </c>
      <c r="AV49" s="4" t="str">
        <f aca="false">IF($A49="","",IF($P49="No","n/a",RANK(AO49,AO:AO,1)))</f>
        <v/>
      </c>
      <c r="AW49" s="4" t="str">
        <f aca="false">IF($A49="","",IF(UPPER($E49)="YES","Strategic","Non-strategic"))</f>
        <v/>
      </c>
      <c r="AX49" s="4" t="str">
        <f aca="false">IF($A49="","",COUNTIFS(Fact_Work!$C:$C,$A49))</f>
        <v/>
      </c>
      <c r="AY49" s="4" t="str">
        <f aca="false">IF($A49="","",IF(AX49=0,"Not seen",IF(AX49&gt;=Constants!$B$13*0.6,"Daily",IF(AX49&gt;=Constants!$B$13*0.12,"Weekly","Monthly or ad hoc"))))</f>
        <v/>
      </c>
      <c r="AZ49" s="22" t="str">
        <f aca="false">IF($A49="","",IFERROR(VLOOKUP($U49,Dim_TOP!$A:$H,8,0),""))</f>
        <v/>
      </c>
      <c r="BA49" s="28" t="str">
        <f aca="false">IF($A49="","",IFERROR(ROUND((AH49-AZ49)*60,0),""))</f>
        <v/>
      </c>
      <c r="BB49" s="4" t="str">
        <f aca="false">IF($A49="","",IF(BA49="","",IF(BA49&lt;=0,"Sets the deadline","Later than peers by "&amp;BA49&amp;" min")))</f>
        <v/>
      </c>
      <c r="BC49" s="29" t="str">
        <f aca="false">IF($A49="","",IF($U49="",0,IF(COUNTIFS($U$2:$U49,$U49,$C$2:$C49,$C49)=1,1,0)))</f>
        <v/>
      </c>
      <c r="BD49" s="10" t="str">
        <f aca="false">IF($A49="","",IF(UPPER($P49)="YES","Yes","No"))</f>
        <v/>
      </c>
      <c r="BE49" s="10" t="str">
        <f aca="false">IF($A49="","",IF($N49="No","n/a",IF(AM49&lt;=Constants!$B$17,"Yes","No")))</f>
        <v/>
      </c>
      <c r="BF49" s="10" t="str">
        <f aca="false">IF($A49="","",IF($O49="No","n/a",IF(AN49&lt;=Constants!$B$17,"Yes","No")))</f>
        <v/>
      </c>
      <c r="BG49" s="10" t="str">
        <f aca="false">IF($A49="","",IF($P49="No","n/a",IF(AO49&lt;=Constants!$B$17,"Yes","No")))</f>
        <v/>
      </c>
      <c r="BH49" s="10" t="str">
        <f aca="false">IF($A49="","",IF($N49="No","No custody process",IF(BE49="Yes","Thin custody slack","Ample custody slack")))</f>
        <v/>
      </c>
      <c r="BI49" s="30" t="str">
        <f aca="false">IF($A49="","",IF($N49="No","",AM49))</f>
        <v/>
      </c>
      <c r="BJ49" s="30" t="str">
        <f aca="false">IF($A49="","",IF($O49="No","",AN49))</f>
        <v/>
      </c>
      <c r="BK49" s="30" t="str">
        <f aca="false">IF($A49="","",IF($P49="No","",AO49))</f>
        <v/>
      </c>
    </row>
    <row r="50" customFormat="false" ht="15" hidden="false" customHeight="true" outlineLevel="0" collapsed="false">
      <c r="Z50" s="28" t="str">
        <f aca="false">IF($A50="","",Constants!$B$6+$I50*Constants!$B$7+$J50*Constants!$B$8+$K50*Constants!$B$9+$L50*Constants!$B$10+$M50*Constants!$B$11)</f>
        <v/>
      </c>
      <c r="AA50" s="28" t="str">
        <f aca="false">IF($A50="","",100-Z50)</f>
        <v/>
      </c>
      <c r="AB50" s="28" t="str">
        <f aca="false">IF($A50="","",ROUND($H50*Constants!$B$4,1))</f>
        <v/>
      </c>
      <c r="AC50" s="28" t="str">
        <f aca="false">IF($A50="","",ROUND(AB50*Z50/100,1))</f>
        <v/>
      </c>
      <c r="AD50" s="28" t="str">
        <f aca="false">IF($A50="","",ROUND(AB50*AA50/100,1))</f>
        <v/>
      </c>
      <c r="AE50" s="22" t="str">
        <f aca="false">IF($A50="","",HOUR($Q50)+MINUTE($Q50)/60)</f>
        <v/>
      </c>
      <c r="AF50" s="22" t="str">
        <f aca="false">IF($A50="","",HOUR($R50)+MINUTE($R50)/60)</f>
        <v/>
      </c>
      <c r="AG50" s="22" t="str">
        <f aca="false">IF($A50="","",HOUR($S50)+MINUTE($S50)/60)</f>
        <v/>
      </c>
      <c r="AH50" s="22" t="str">
        <f aca="false">IF($A50="","",HOUR($T50)+MINUTE($T50)/60)</f>
        <v/>
      </c>
      <c r="AI50" s="22" t="str">
        <f aca="false">IF($A50="","",HOUR($V50)+MINUTE($V50)/60)</f>
        <v/>
      </c>
      <c r="AJ50" s="22" t="str">
        <f aca="false">IF($A50="","",HOUR($W50)+MINUTE($W50)/60)</f>
        <v/>
      </c>
      <c r="AK50" s="22" t="str">
        <f aca="false">IF($A50="","",VLOOKUP($F50,Dim_Team!$A:$F,6,0))</f>
        <v/>
      </c>
      <c r="AL50" s="28" t="str">
        <f aca="false">IF($A50="","",VLOOKUP($X50,Dim_Signoff!$A:$C,3,0))</f>
        <v/>
      </c>
      <c r="AM50" s="28" t="str">
        <f aca="false">IF($A50="","",IF($N50="No","n/a",ROUND((AH50-AE50)*60,0)))</f>
        <v/>
      </c>
      <c r="AN50" s="28" t="str">
        <f aca="false">IF($A50="","",IF($O50="No","n/a",ROUND((AH50-AF50)*60,0)))</f>
        <v/>
      </c>
      <c r="AO50" s="28" t="str">
        <f aca="false">IF($A50="","",IF($P50="No","n/a",ROUND((AH50-AG50)*60,0)))</f>
        <v/>
      </c>
      <c r="AP50" s="28" t="str">
        <f aca="false">IF($A50="","",ROUND((AH50-AK50)*60,0))</f>
        <v/>
      </c>
      <c r="AQ50" s="28" t="str">
        <f aca="false">IF($A50="","",ROUND((AI50-AH50)*60,0))</f>
        <v/>
      </c>
      <c r="AR50" s="4" t="str">
        <f aca="false">IF($A50="","",IF(AP50&gt;=AC50,"Yes","No"))</f>
        <v/>
      </c>
      <c r="AS50" s="4" t="str">
        <f aca="false">IF($A50="","",IF(AQ50&gt;=AD50+AL50,"Yes","No"))</f>
        <v/>
      </c>
      <c r="AT50" s="4" t="str">
        <f aca="false">IF($A50="","",IF(AND(AR50="Yes",AS50="Yes"),"OK","REVIEW"))</f>
        <v/>
      </c>
      <c r="AU50" s="4" t="str">
        <f aca="false">IF($A50="","",IF($P50="No","Not applicable",IF(AO50&lt;Constants!$B$14,"CAPTURE","Not needed")))</f>
        <v/>
      </c>
      <c r="AV50" s="4" t="str">
        <f aca="false">IF($A50="","",IF($P50="No","n/a",RANK(AO50,AO:AO,1)))</f>
        <v/>
      </c>
      <c r="AW50" s="4" t="str">
        <f aca="false">IF($A50="","",IF(UPPER($E50)="YES","Strategic","Non-strategic"))</f>
        <v/>
      </c>
      <c r="AX50" s="4" t="str">
        <f aca="false">IF($A50="","",COUNTIFS(Fact_Work!$C:$C,$A50))</f>
        <v/>
      </c>
      <c r="AY50" s="4" t="str">
        <f aca="false">IF($A50="","",IF(AX50=0,"Not seen",IF(AX50&gt;=Constants!$B$13*0.6,"Daily",IF(AX50&gt;=Constants!$B$13*0.12,"Weekly","Monthly or ad hoc"))))</f>
        <v/>
      </c>
      <c r="AZ50" s="22" t="str">
        <f aca="false">IF($A50="","",IFERROR(VLOOKUP($U50,Dim_TOP!$A:$H,8,0),""))</f>
        <v/>
      </c>
      <c r="BA50" s="28" t="str">
        <f aca="false">IF($A50="","",IFERROR(ROUND((AH50-AZ50)*60,0),""))</f>
        <v/>
      </c>
      <c r="BB50" s="4" t="str">
        <f aca="false">IF($A50="","",IF(BA50="","",IF(BA50&lt;=0,"Sets the deadline","Later than peers by "&amp;BA50&amp;" min")))</f>
        <v/>
      </c>
      <c r="BC50" s="29" t="str">
        <f aca="false">IF($A50="","",IF($U50="",0,IF(COUNTIFS($U$2:$U50,$U50,$C$2:$C50,$C50)=1,1,0)))</f>
        <v/>
      </c>
      <c r="BD50" s="10" t="str">
        <f aca="false">IF($A50="","",IF(UPPER($P50)="YES","Yes","No"))</f>
        <v/>
      </c>
      <c r="BE50" s="10" t="str">
        <f aca="false">IF($A50="","",IF($N50="No","n/a",IF(AM50&lt;=Constants!$B$17,"Yes","No")))</f>
        <v/>
      </c>
      <c r="BF50" s="10" t="str">
        <f aca="false">IF($A50="","",IF($O50="No","n/a",IF(AN50&lt;=Constants!$B$17,"Yes","No")))</f>
        <v/>
      </c>
      <c r="BG50" s="10" t="str">
        <f aca="false">IF($A50="","",IF($P50="No","n/a",IF(AO50&lt;=Constants!$B$17,"Yes","No")))</f>
        <v/>
      </c>
      <c r="BH50" s="10" t="str">
        <f aca="false">IF($A50="","",IF($N50="No","No custody process",IF(BE50="Yes","Thin custody slack","Ample custody slack")))</f>
        <v/>
      </c>
      <c r="BI50" s="30" t="str">
        <f aca="false">IF($A50="","",IF($N50="No","",AM50))</f>
        <v/>
      </c>
      <c r="BJ50" s="30" t="str">
        <f aca="false">IF($A50="","",IF($O50="No","",AN50))</f>
        <v/>
      </c>
      <c r="BK50" s="30" t="str">
        <f aca="false">IF($A50="","",IF($P50="No","",AO50))</f>
        <v/>
      </c>
    </row>
    <row r="51" customFormat="false" ht="15" hidden="false" customHeight="true" outlineLevel="0" collapsed="false">
      <c r="Z51" s="28" t="str">
        <f aca="false">IF($A51="","",Constants!$B$6+$I51*Constants!$B$7+$J51*Constants!$B$8+$K51*Constants!$B$9+$L51*Constants!$B$10+$M51*Constants!$B$11)</f>
        <v/>
      </c>
      <c r="AA51" s="28" t="str">
        <f aca="false">IF($A51="","",100-Z51)</f>
        <v/>
      </c>
      <c r="AB51" s="28" t="str">
        <f aca="false">IF($A51="","",ROUND($H51*Constants!$B$4,1))</f>
        <v/>
      </c>
      <c r="AC51" s="28" t="str">
        <f aca="false">IF($A51="","",ROUND(AB51*Z51/100,1))</f>
        <v/>
      </c>
      <c r="AD51" s="28" t="str">
        <f aca="false">IF($A51="","",ROUND(AB51*AA51/100,1))</f>
        <v/>
      </c>
      <c r="AE51" s="22" t="str">
        <f aca="false">IF($A51="","",HOUR($Q51)+MINUTE($Q51)/60)</f>
        <v/>
      </c>
      <c r="AF51" s="22" t="str">
        <f aca="false">IF($A51="","",HOUR($R51)+MINUTE($R51)/60)</f>
        <v/>
      </c>
      <c r="AG51" s="22" t="str">
        <f aca="false">IF($A51="","",HOUR($S51)+MINUTE($S51)/60)</f>
        <v/>
      </c>
      <c r="AH51" s="22" t="str">
        <f aca="false">IF($A51="","",HOUR($T51)+MINUTE($T51)/60)</f>
        <v/>
      </c>
      <c r="AI51" s="22" t="str">
        <f aca="false">IF($A51="","",HOUR($V51)+MINUTE($V51)/60)</f>
        <v/>
      </c>
      <c r="AJ51" s="22" t="str">
        <f aca="false">IF($A51="","",HOUR($W51)+MINUTE($W51)/60)</f>
        <v/>
      </c>
      <c r="AK51" s="22" t="str">
        <f aca="false">IF($A51="","",VLOOKUP($F51,Dim_Team!$A:$F,6,0))</f>
        <v/>
      </c>
      <c r="AL51" s="28" t="str">
        <f aca="false">IF($A51="","",VLOOKUP($X51,Dim_Signoff!$A:$C,3,0))</f>
        <v/>
      </c>
      <c r="AM51" s="28" t="str">
        <f aca="false">IF($A51="","",IF($N51="No","n/a",ROUND((AH51-AE51)*60,0)))</f>
        <v/>
      </c>
      <c r="AN51" s="28" t="str">
        <f aca="false">IF($A51="","",IF($O51="No","n/a",ROUND((AH51-AF51)*60,0)))</f>
        <v/>
      </c>
      <c r="AO51" s="28" t="str">
        <f aca="false">IF($A51="","",IF($P51="No","n/a",ROUND((AH51-AG51)*60,0)))</f>
        <v/>
      </c>
      <c r="AP51" s="28" t="str">
        <f aca="false">IF($A51="","",ROUND((AH51-AK51)*60,0))</f>
        <v/>
      </c>
      <c r="AQ51" s="28" t="str">
        <f aca="false">IF($A51="","",ROUND((AI51-AH51)*60,0))</f>
        <v/>
      </c>
      <c r="AR51" s="4" t="str">
        <f aca="false">IF($A51="","",IF(AP51&gt;=AC51,"Yes","No"))</f>
        <v/>
      </c>
      <c r="AS51" s="4" t="str">
        <f aca="false">IF($A51="","",IF(AQ51&gt;=AD51+AL51,"Yes","No"))</f>
        <v/>
      </c>
      <c r="AT51" s="4" t="str">
        <f aca="false">IF($A51="","",IF(AND(AR51="Yes",AS51="Yes"),"OK","REVIEW"))</f>
        <v/>
      </c>
      <c r="AU51" s="4" t="str">
        <f aca="false">IF($A51="","",IF($P51="No","Not applicable",IF(AO51&lt;Constants!$B$14,"CAPTURE","Not needed")))</f>
        <v/>
      </c>
      <c r="AV51" s="4" t="str">
        <f aca="false">IF($A51="","",IF($P51="No","n/a",RANK(AO51,AO:AO,1)))</f>
        <v/>
      </c>
      <c r="AW51" s="4" t="str">
        <f aca="false">IF($A51="","",IF(UPPER($E51)="YES","Strategic","Non-strategic"))</f>
        <v/>
      </c>
      <c r="AX51" s="4" t="str">
        <f aca="false">IF($A51="","",COUNTIFS(Fact_Work!$C:$C,$A51))</f>
        <v/>
      </c>
      <c r="AY51" s="4" t="str">
        <f aca="false">IF($A51="","",IF(AX51=0,"Not seen",IF(AX51&gt;=Constants!$B$13*0.6,"Daily",IF(AX51&gt;=Constants!$B$13*0.12,"Weekly","Monthly or ad hoc"))))</f>
        <v/>
      </c>
      <c r="AZ51" s="22" t="str">
        <f aca="false">IF($A51="","",IFERROR(VLOOKUP($U51,Dim_TOP!$A:$H,8,0),""))</f>
        <v/>
      </c>
      <c r="BA51" s="28" t="str">
        <f aca="false">IF($A51="","",IFERROR(ROUND((AH51-AZ51)*60,0),""))</f>
        <v/>
      </c>
      <c r="BB51" s="4" t="str">
        <f aca="false">IF($A51="","",IF(BA51="","",IF(BA51&lt;=0,"Sets the deadline","Later than peers by "&amp;BA51&amp;" min")))</f>
        <v/>
      </c>
      <c r="BC51" s="29" t="str">
        <f aca="false">IF($A51="","",IF($U51="",0,IF(COUNTIFS($U$2:$U51,$U51,$C$2:$C51,$C51)=1,1,0)))</f>
        <v/>
      </c>
      <c r="BD51" s="10" t="str">
        <f aca="false">IF($A51="","",IF(UPPER($P51)="YES","Yes","No"))</f>
        <v/>
      </c>
      <c r="BE51" s="10" t="str">
        <f aca="false">IF($A51="","",IF($N51="No","n/a",IF(AM51&lt;=Constants!$B$17,"Yes","No")))</f>
        <v/>
      </c>
      <c r="BF51" s="10" t="str">
        <f aca="false">IF($A51="","",IF($O51="No","n/a",IF(AN51&lt;=Constants!$B$17,"Yes","No")))</f>
        <v/>
      </c>
      <c r="BG51" s="10" t="str">
        <f aca="false">IF($A51="","",IF($P51="No","n/a",IF(AO51&lt;=Constants!$B$17,"Yes","No")))</f>
        <v/>
      </c>
      <c r="BH51" s="10" t="str">
        <f aca="false">IF($A51="","",IF($N51="No","No custody process",IF(BE51="Yes","Thin custody slack","Ample custody slack")))</f>
        <v/>
      </c>
      <c r="BI51" s="30" t="str">
        <f aca="false">IF($A51="","",IF($N51="No","",AM51))</f>
        <v/>
      </c>
      <c r="BJ51" s="30" t="str">
        <f aca="false">IF($A51="","",IF($O51="No","",AN51))</f>
        <v/>
      </c>
      <c r="BK51" s="30" t="str">
        <f aca="false">IF($A51="","",IF($P51="No","",AO51))</f>
        <v/>
      </c>
    </row>
    <row r="52" customFormat="false" ht="15" hidden="false" customHeight="true" outlineLevel="0" collapsed="false">
      <c r="Z52" s="28" t="str">
        <f aca="false">IF($A52="","",Constants!$B$6+$I52*Constants!$B$7+$J52*Constants!$B$8+$K52*Constants!$B$9+$L52*Constants!$B$10+$M52*Constants!$B$11)</f>
        <v/>
      </c>
      <c r="AA52" s="28" t="str">
        <f aca="false">IF($A52="","",100-Z52)</f>
        <v/>
      </c>
      <c r="AB52" s="28" t="str">
        <f aca="false">IF($A52="","",ROUND($H52*Constants!$B$4,1))</f>
        <v/>
      </c>
      <c r="AC52" s="28" t="str">
        <f aca="false">IF($A52="","",ROUND(AB52*Z52/100,1))</f>
        <v/>
      </c>
      <c r="AD52" s="28" t="str">
        <f aca="false">IF($A52="","",ROUND(AB52*AA52/100,1))</f>
        <v/>
      </c>
      <c r="AE52" s="22" t="str">
        <f aca="false">IF($A52="","",HOUR($Q52)+MINUTE($Q52)/60)</f>
        <v/>
      </c>
      <c r="AF52" s="22" t="str">
        <f aca="false">IF($A52="","",HOUR($R52)+MINUTE($R52)/60)</f>
        <v/>
      </c>
      <c r="AG52" s="22" t="str">
        <f aca="false">IF($A52="","",HOUR($S52)+MINUTE($S52)/60)</f>
        <v/>
      </c>
      <c r="AH52" s="22" t="str">
        <f aca="false">IF($A52="","",HOUR($T52)+MINUTE($T52)/60)</f>
        <v/>
      </c>
      <c r="AI52" s="22" t="str">
        <f aca="false">IF($A52="","",HOUR($V52)+MINUTE($V52)/60)</f>
        <v/>
      </c>
      <c r="AJ52" s="22" t="str">
        <f aca="false">IF($A52="","",HOUR($W52)+MINUTE($W52)/60)</f>
        <v/>
      </c>
      <c r="AK52" s="22" t="str">
        <f aca="false">IF($A52="","",VLOOKUP($F52,Dim_Team!$A:$F,6,0))</f>
        <v/>
      </c>
      <c r="AL52" s="28" t="str">
        <f aca="false">IF($A52="","",VLOOKUP($X52,Dim_Signoff!$A:$C,3,0))</f>
        <v/>
      </c>
      <c r="AM52" s="28" t="str">
        <f aca="false">IF($A52="","",IF($N52="No","n/a",ROUND((AH52-AE52)*60,0)))</f>
        <v/>
      </c>
      <c r="AN52" s="28" t="str">
        <f aca="false">IF($A52="","",IF($O52="No","n/a",ROUND((AH52-AF52)*60,0)))</f>
        <v/>
      </c>
      <c r="AO52" s="28" t="str">
        <f aca="false">IF($A52="","",IF($P52="No","n/a",ROUND((AH52-AG52)*60,0)))</f>
        <v/>
      </c>
      <c r="AP52" s="28" t="str">
        <f aca="false">IF($A52="","",ROUND((AH52-AK52)*60,0))</f>
        <v/>
      </c>
      <c r="AQ52" s="28" t="str">
        <f aca="false">IF($A52="","",ROUND((AI52-AH52)*60,0))</f>
        <v/>
      </c>
      <c r="AR52" s="4" t="str">
        <f aca="false">IF($A52="","",IF(AP52&gt;=AC52,"Yes","No"))</f>
        <v/>
      </c>
      <c r="AS52" s="4" t="str">
        <f aca="false">IF($A52="","",IF(AQ52&gt;=AD52+AL52,"Yes","No"))</f>
        <v/>
      </c>
      <c r="AT52" s="4" t="str">
        <f aca="false">IF($A52="","",IF(AND(AR52="Yes",AS52="Yes"),"OK","REVIEW"))</f>
        <v/>
      </c>
      <c r="AU52" s="4" t="str">
        <f aca="false">IF($A52="","",IF($P52="No","Not applicable",IF(AO52&lt;Constants!$B$14,"CAPTURE","Not needed")))</f>
        <v/>
      </c>
      <c r="AV52" s="4" t="str">
        <f aca="false">IF($A52="","",IF($P52="No","n/a",RANK(AO52,AO:AO,1)))</f>
        <v/>
      </c>
      <c r="AW52" s="4" t="str">
        <f aca="false">IF($A52="","",IF(UPPER($E52)="YES","Strategic","Non-strategic"))</f>
        <v/>
      </c>
      <c r="AX52" s="4" t="str">
        <f aca="false">IF($A52="","",COUNTIFS(Fact_Work!$C:$C,$A52))</f>
        <v/>
      </c>
      <c r="AY52" s="4" t="str">
        <f aca="false">IF($A52="","",IF(AX52=0,"Not seen",IF(AX52&gt;=Constants!$B$13*0.6,"Daily",IF(AX52&gt;=Constants!$B$13*0.12,"Weekly","Monthly or ad hoc"))))</f>
        <v/>
      </c>
      <c r="AZ52" s="22" t="str">
        <f aca="false">IF($A52="","",IFERROR(VLOOKUP($U52,Dim_TOP!$A:$H,8,0),""))</f>
        <v/>
      </c>
      <c r="BA52" s="28" t="str">
        <f aca="false">IF($A52="","",IFERROR(ROUND((AH52-AZ52)*60,0),""))</f>
        <v/>
      </c>
      <c r="BB52" s="4" t="str">
        <f aca="false">IF($A52="","",IF(BA52="","",IF(BA52&lt;=0,"Sets the deadline","Later than peers by "&amp;BA52&amp;" min")))</f>
        <v/>
      </c>
      <c r="BC52" s="29" t="str">
        <f aca="false">IF($A52="","",IF($U52="",0,IF(COUNTIFS($U$2:$U52,$U52,$C$2:$C52,$C52)=1,1,0)))</f>
        <v/>
      </c>
      <c r="BD52" s="10" t="str">
        <f aca="false">IF($A52="","",IF(UPPER($P52)="YES","Yes","No"))</f>
        <v/>
      </c>
      <c r="BE52" s="10" t="str">
        <f aca="false">IF($A52="","",IF($N52="No","n/a",IF(AM52&lt;=Constants!$B$17,"Yes","No")))</f>
        <v/>
      </c>
      <c r="BF52" s="10" t="str">
        <f aca="false">IF($A52="","",IF($O52="No","n/a",IF(AN52&lt;=Constants!$B$17,"Yes","No")))</f>
        <v/>
      </c>
      <c r="BG52" s="10" t="str">
        <f aca="false">IF($A52="","",IF($P52="No","n/a",IF(AO52&lt;=Constants!$B$17,"Yes","No")))</f>
        <v/>
      </c>
      <c r="BH52" s="10" t="str">
        <f aca="false">IF($A52="","",IF($N52="No","No custody process",IF(BE52="Yes","Thin custody slack","Ample custody slack")))</f>
        <v/>
      </c>
      <c r="BI52" s="30" t="str">
        <f aca="false">IF($A52="","",IF($N52="No","",AM52))</f>
        <v/>
      </c>
      <c r="BJ52" s="30" t="str">
        <f aca="false">IF($A52="","",IF($O52="No","",AN52))</f>
        <v/>
      </c>
      <c r="BK52" s="30" t="str">
        <f aca="false">IF($A52="","",IF($P52="No","",AO52))</f>
        <v/>
      </c>
    </row>
    <row r="53" customFormat="false" ht="15" hidden="false" customHeight="true" outlineLevel="0" collapsed="false">
      <c r="Z53" s="28" t="str">
        <f aca="false">IF($A53="","",Constants!$B$6+$I53*Constants!$B$7+$J53*Constants!$B$8+$K53*Constants!$B$9+$L53*Constants!$B$10+$M53*Constants!$B$11)</f>
        <v/>
      </c>
      <c r="AA53" s="28" t="str">
        <f aca="false">IF($A53="","",100-Z53)</f>
        <v/>
      </c>
      <c r="AB53" s="28" t="str">
        <f aca="false">IF($A53="","",ROUND($H53*Constants!$B$4,1))</f>
        <v/>
      </c>
      <c r="AC53" s="28" t="str">
        <f aca="false">IF($A53="","",ROUND(AB53*Z53/100,1))</f>
        <v/>
      </c>
      <c r="AD53" s="28" t="str">
        <f aca="false">IF($A53="","",ROUND(AB53*AA53/100,1))</f>
        <v/>
      </c>
      <c r="AE53" s="22" t="str">
        <f aca="false">IF($A53="","",HOUR($Q53)+MINUTE($Q53)/60)</f>
        <v/>
      </c>
      <c r="AF53" s="22" t="str">
        <f aca="false">IF($A53="","",HOUR($R53)+MINUTE($R53)/60)</f>
        <v/>
      </c>
      <c r="AG53" s="22" t="str">
        <f aca="false">IF($A53="","",HOUR($S53)+MINUTE($S53)/60)</f>
        <v/>
      </c>
      <c r="AH53" s="22" t="str">
        <f aca="false">IF($A53="","",HOUR($T53)+MINUTE($T53)/60)</f>
        <v/>
      </c>
      <c r="AI53" s="22" t="str">
        <f aca="false">IF($A53="","",HOUR($V53)+MINUTE($V53)/60)</f>
        <v/>
      </c>
      <c r="AJ53" s="22" t="str">
        <f aca="false">IF($A53="","",HOUR($W53)+MINUTE($W53)/60)</f>
        <v/>
      </c>
      <c r="AK53" s="22" t="str">
        <f aca="false">IF($A53="","",VLOOKUP($F53,Dim_Team!$A:$F,6,0))</f>
        <v/>
      </c>
      <c r="AL53" s="28" t="str">
        <f aca="false">IF($A53="","",VLOOKUP($X53,Dim_Signoff!$A:$C,3,0))</f>
        <v/>
      </c>
      <c r="AM53" s="28" t="str">
        <f aca="false">IF($A53="","",IF($N53="No","n/a",ROUND((AH53-AE53)*60,0)))</f>
        <v/>
      </c>
      <c r="AN53" s="28" t="str">
        <f aca="false">IF($A53="","",IF($O53="No","n/a",ROUND((AH53-AF53)*60,0)))</f>
        <v/>
      </c>
      <c r="AO53" s="28" t="str">
        <f aca="false">IF($A53="","",IF($P53="No","n/a",ROUND((AH53-AG53)*60,0)))</f>
        <v/>
      </c>
      <c r="AP53" s="28" t="str">
        <f aca="false">IF($A53="","",ROUND((AH53-AK53)*60,0))</f>
        <v/>
      </c>
      <c r="AQ53" s="28" t="str">
        <f aca="false">IF($A53="","",ROUND((AI53-AH53)*60,0))</f>
        <v/>
      </c>
      <c r="AR53" s="4" t="str">
        <f aca="false">IF($A53="","",IF(AP53&gt;=AC53,"Yes","No"))</f>
        <v/>
      </c>
      <c r="AS53" s="4" t="str">
        <f aca="false">IF($A53="","",IF(AQ53&gt;=AD53+AL53,"Yes","No"))</f>
        <v/>
      </c>
      <c r="AT53" s="4" t="str">
        <f aca="false">IF($A53="","",IF(AND(AR53="Yes",AS53="Yes"),"OK","REVIEW"))</f>
        <v/>
      </c>
      <c r="AU53" s="4" t="str">
        <f aca="false">IF($A53="","",IF($P53="No","Not applicable",IF(AO53&lt;Constants!$B$14,"CAPTURE","Not needed")))</f>
        <v/>
      </c>
      <c r="AV53" s="4" t="str">
        <f aca="false">IF($A53="","",IF($P53="No","n/a",RANK(AO53,AO:AO,1)))</f>
        <v/>
      </c>
      <c r="AW53" s="4" t="str">
        <f aca="false">IF($A53="","",IF(UPPER($E53)="YES","Strategic","Non-strategic"))</f>
        <v/>
      </c>
      <c r="AX53" s="4" t="str">
        <f aca="false">IF($A53="","",COUNTIFS(Fact_Work!$C:$C,$A53))</f>
        <v/>
      </c>
      <c r="AY53" s="4" t="str">
        <f aca="false">IF($A53="","",IF(AX53=0,"Not seen",IF(AX53&gt;=Constants!$B$13*0.6,"Daily",IF(AX53&gt;=Constants!$B$13*0.12,"Weekly","Monthly or ad hoc"))))</f>
        <v/>
      </c>
      <c r="AZ53" s="22" t="str">
        <f aca="false">IF($A53="","",IFERROR(VLOOKUP($U53,Dim_TOP!$A:$H,8,0),""))</f>
        <v/>
      </c>
      <c r="BA53" s="28" t="str">
        <f aca="false">IF($A53="","",IFERROR(ROUND((AH53-AZ53)*60,0),""))</f>
        <v/>
      </c>
      <c r="BB53" s="4" t="str">
        <f aca="false">IF($A53="","",IF(BA53="","",IF(BA53&lt;=0,"Sets the deadline","Later than peers by "&amp;BA53&amp;" min")))</f>
        <v/>
      </c>
      <c r="BC53" s="29" t="str">
        <f aca="false">IF($A53="","",IF($U53="",0,IF(COUNTIFS($U$2:$U53,$U53,$C$2:$C53,$C53)=1,1,0)))</f>
        <v/>
      </c>
      <c r="BD53" s="10" t="str">
        <f aca="false">IF($A53="","",IF(UPPER($P53)="YES","Yes","No"))</f>
        <v/>
      </c>
      <c r="BE53" s="10" t="str">
        <f aca="false">IF($A53="","",IF($N53="No","n/a",IF(AM53&lt;=Constants!$B$17,"Yes","No")))</f>
        <v/>
      </c>
      <c r="BF53" s="10" t="str">
        <f aca="false">IF($A53="","",IF($O53="No","n/a",IF(AN53&lt;=Constants!$B$17,"Yes","No")))</f>
        <v/>
      </c>
      <c r="BG53" s="10" t="str">
        <f aca="false">IF($A53="","",IF($P53="No","n/a",IF(AO53&lt;=Constants!$B$17,"Yes","No")))</f>
        <v/>
      </c>
      <c r="BH53" s="10" t="str">
        <f aca="false">IF($A53="","",IF($N53="No","No custody process",IF(BE53="Yes","Thin custody slack","Ample custody slack")))</f>
        <v/>
      </c>
      <c r="BI53" s="30" t="str">
        <f aca="false">IF($A53="","",IF($N53="No","",AM53))</f>
        <v/>
      </c>
      <c r="BJ53" s="30" t="str">
        <f aca="false">IF($A53="","",IF($O53="No","",AN53))</f>
        <v/>
      </c>
      <c r="BK53" s="30" t="str">
        <f aca="false">IF($A53="","",IF($P53="No","",AO53))</f>
        <v/>
      </c>
    </row>
    <row r="54" customFormat="false" ht="15" hidden="false" customHeight="true" outlineLevel="0" collapsed="false">
      <c r="Z54" s="28" t="str">
        <f aca="false">IF($A54="","",Constants!$B$6+$I54*Constants!$B$7+$J54*Constants!$B$8+$K54*Constants!$B$9+$L54*Constants!$B$10+$M54*Constants!$B$11)</f>
        <v/>
      </c>
      <c r="AA54" s="28" t="str">
        <f aca="false">IF($A54="","",100-Z54)</f>
        <v/>
      </c>
      <c r="AB54" s="28" t="str">
        <f aca="false">IF($A54="","",ROUND($H54*Constants!$B$4,1))</f>
        <v/>
      </c>
      <c r="AC54" s="28" t="str">
        <f aca="false">IF($A54="","",ROUND(AB54*Z54/100,1))</f>
        <v/>
      </c>
      <c r="AD54" s="28" t="str">
        <f aca="false">IF($A54="","",ROUND(AB54*AA54/100,1))</f>
        <v/>
      </c>
      <c r="AE54" s="22" t="str">
        <f aca="false">IF($A54="","",HOUR($Q54)+MINUTE($Q54)/60)</f>
        <v/>
      </c>
      <c r="AF54" s="22" t="str">
        <f aca="false">IF($A54="","",HOUR($R54)+MINUTE($R54)/60)</f>
        <v/>
      </c>
      <c r="AG54" s="22" t="str">
        <f aca="false">IF($A54="","",HOUR($S54)+MINUTE($S54)/60)</f>
        <v/>
      </c>
      <c r="AH54" s="22" t="str">
        <f aca="false">IF($A54="","",HOUR($T54)+MINUTE($T54)/60)</f>
        <v/>
      </c>
      <c r="AI54" s="22" t="str">
        <f aca="false">IF($A54="","",HOUR($V54)+MINUTE($V54)/60)</f>
        <v/>
      </c>
      <c r="AJ54" s="22" t="str">
        <f aca="false">IF($A54="","",HOUR($W54)+MINUTE($W54)/60)</f>
        <v/>
      </c>
      <c r="AK54" s="22" t="str">
        <f aca="false">IF($A54="","",VLOOKUP($F54,Dim_Team!$A:$F,6,0))</f>
        <v/>
      </c>
      <c r="AL54" s="28" t="str">
        <f aca="false">IF($A54="","",VLOOKUP($X54,Dim_Signoff!$A:$C,3,0))</f>
        <v/>
      </c>
      <c r="AM54" s="28" t="str">
        <f aca="false">IF($A54="","",IF($N54="No","n/a",ROUND((AH54-AE54)*60,0)))</f>
        <v/>
      </c>
      <c r="AN54" s="28" t="str">
        <f aca="false">IF($A54="","",IF($O54="No","n/a",ROUND((AH54-AF54)*60,0)))</f>
        <v/>
      </c>
      <c r="AO54" s="28" t="str">
        <f aca="false">IF($A54="","",IF($P54="No","n/a",ROUND((AH54-AG54)*60,0)))</f>
        <v/>
      </c>
      <c r="AP54" s="28" t="str">
        <f aca="false">IF($A54="","",ROUND((AH54-AK54)*60,0))</f>
        <v/>
      </c>
      <c r="AQ54" s="28" t="str">
        <f aca="false">IF($A54="","",ROUND((AI54-AH54)*60,0))</f>
        <v/>
      </c>
      <c r="AR54" s="4" t="str">
        <f aca="false">IF($A54="","",IF(AP54&gt;=AC54,"Yes","No"))</f>
        <v/>
      </c>
      <c r="AS54" s="4" t="str">
        <f aca="false">IF($A54="","",IF(AQ54&gt;=AD54+AL54,"Yes","No"))</f>
        <v/>
      </c>
      <c r="AT54" s="4" t="str">
        <f aca="false">IF($A54="","",IF(AND(AR54="Yes",AS54="Yes"),"OK","REVIEW"))</f>
        <v/>
      </c>
      <c r="AU54" s="4" t="str">
        <f aca="false">IF($A54="","",IF($P54="No","Not applicable",IF(AO54&lt;Constants!$B$14,"CAPTURE","Not needed")))</f>
        <v/>
      </c>
      <c r="AV54" s="4" t="str">
        <f aca="false">IF($A54="","",IF($P54="No","n/a",RANK(AO54,AO:AO,1)))</f>
        <v/>
      </c>
      <c r="AW54" s="4" t="str">
        <f aca="false">IF($A54="","",IF(UPPER($E54)="YES","Strategic","Non-strategic"))</f>
        <v/>
      </c>
      <c r="AX54" s="4" t="str">
        <f aca="false">IF($A54="","",COUNTIFS(Fact_Work!$C:$C,$A54))</f>
        <v/>
      </c>
      <c r="AY54" s="4" t="str">
        <f aca="false">IF($A54="","",IF(AX54=0,"Not seen",IF(AX54&gt;=Constants!$B$13*0.6,"Daily",IF(AX54&gt;=Constants!$B$13*0.12,"Weekly","Monthly or ad hoc"))))</f>
        <v/>
      </c>
      <c r="AZ54" s="22" t="str">
        <f aca="false">IF($A54="","",IFERROR(VLOOKUP($U54,Dim_TOP!$A:$H,8,0),""))</f>
        <v/>
      </c>
      <c r="BA54" s="28" t="str">
        <f aca="false">IF($A54="","",IFERROR(ROUND((AH54-AZ54)*60,0),""))</f>
        <v/>
      </c>
      <c r="BB54" s="4" t="str">
        <f aca="false">IF($A54="","",IF(BA54="","",IF(BA54&lt;=0,"Sets the deadline","Later than peers by "&amp;BA54&amp;" min")))</f>
        <v/>
      </c>
      <c r="BC54" s="29" t="str">
        <f aca="false">IF($A54="","",IF($U54="",0,IF(COUNTIFS($U$2:$U54,$U54,$C$2:$C54,$C54)=1,1,0)))</f>
        <v/>
      </c>
      <c r="BD54" s="10" t="str">
        <f aca="false">IF($A54="","",IF(UPPER($P54)="YES","Yes","No"))</f>
        <v/>
      </c>
      <c r="BE54" s="10" t="str">
        <f aca="false">IF($A54="","",IF($N54="No","n/a",IF(AM54&lt;=Constants!$B$17,"Yes","No")))</f>
        <v/>
      </c>
      <c r="BF54" s="10" t="str">
        <f aca="false">IF($A54="","",IF($O54="No","n/a",IF(AN54&lt;=Constants!$B$17,"Yes","No")))</f>
        <v/>
      </c>
      <c r="BG54" s="10" t="str">
        <f aca="false">IF($A54="","",IF($P54="No","n/a",IF(AO54&lt;=Constants!$B$17,"Yes","No")))</f>
        <v/>
      </c>
      <c r="BH54" s="10" t="str">
        <f aca="false">IF($A54="","",IF($N54="No","No custody process",IF(BE54="Yes","Thin custody slack","Ample custody slack")))</f>
        <v/>
      </c>
      <c r="BI54" s="30" t="str">
        <f aca="false">IF($A54="","",IF($N54="No","",AM54))</f>
        <v/>
      </c>
      <c r="BJ54" s="30" t="str">
        <f aca="false">IF($A54="","",IF($O54="No","",AN54))</f>
        <v/>
      </c>
      <c r="BK54" s="30" t="str">
        <f aca="false">IF($A54="","",IF($P54="No","",AO54))</f>
        <v/>
      </c>
    </row>
    <row r="55" customFormat="false" ht="15" hidden="false" customHeight="true" outlineLevel="0" collapsed="false">
      <c r="Z55" s="28" t="str">
        <f aca="false">IF($A55="","",Constants!$B$6+$I55*Constants!$B$7+$J55*Constants!$B$8+$K55*Constants!$B$9+$L55*Constants!$B$10+$M55*Constants!$B$11)</f>
        <v/>
      </c>
      <c r="AA55" s="28" t="str">
        <f aca="false">IF($A55="","",100-Z55)</f>
        <v/>
      </c>
      <c r="AB55" s="28" t="str">
        <f aca="false">IF($A55="","",ROUND($H55*Constants!$B$4,1))</f>
        <v/>
      </c>
      <c r="AC55" s="28" t="str">
        <f aca="false">IF($A55="","",ROUND(AB55*Z55/100,1))</f>
        <v/>
      </c>
      <c r="AD55" s="28" t="str">
        <f aca="false">IF($A55="","",ROUND(AB55*AA55/100,1))</f>
        <v/>
      </c>
      <c r="AE55" s="22" t="str">
        <f aca="false">IF($A55="","",HOUR($Q55)+MINUTE($Q55)/60)</f>
        <v/>
      </c>
      <c r="AF55" s="22" t="str">
        <f aca="false">IF($A55="","",HOUR($R55)+MINUTE($R55)/60)</f>
        <v/>
      </c>
      <c r="AG55" s="22" t="str">
        <f aca="false">IF($A55="","",HOUR($S55)+MINUTE($S55)/60)</f>
        <v/>
      </c>
      <c r="AH55" s="22" t="str">
        <f aca="false">IF($A55="","",HOUR($T55)+MINUTE($T55)/60)</f>
        <v/>
      </c>
      <c r="AI55" s="22" t="str">
        <f aca="false">IF($A55="","",HOUR($V55)+MINUTE($V55)/60)</f>
        <v/>
      </c>
      <c r="AJ55" s="22" t="str">
        <f aca="false">IF($A55="","",HOUR($W55)+MINUTE($W55)/60)</f>
        <v/>
      </c>
      <c r="AK55" s="22" t="str">
        <f aca="false">IF($A55="","",VLOOKUP($F55,Dim_Team!$A:$F,6,0))</f>
        <v/>
      </c>
      <c r="AL55" s="28" t="str">
        <f aca="false">IF($A55="","",VLOOKUP($X55,Dim_Signoff!$A:$C,3,0))</f>
        <v/>
      </c>
      <c r="AM55" s="28" t="str">
        <f aca="false">IF($A55="","",IF($N55="No","n/a",ROUND((AH55-AE55)*60,0)))</f>
        <v/>
      </c>
      <c r="AN55" s="28" t="str">
        <f aca="false">IF($A55="","",IF($O55="No","n/a",ROUND((AH55-AF55)*60,0)))</f>
        <v/>
      </c>
      <c r="AO55" s="28" t="str">
        <f aca="false">IF($A55="","",IF($P55="No","n/a",ROUND((AH55-AG55)*60,0)))</f>
        <v/>
      </c>
      <c r="AP55" s="28" t="str">
        <f aca="false">IF($A55="","",ROUND((AH55-AK55)*60,0))</f>
        <v/>
      </c>
      <c r="AQ55" s="28" t="str">
        <f aca="false">IF($A55="","",ROUND((AI55-AH55)*60,0))</f>
        <v/>
      </c>
      <c r="AR55" s="4" t="str">
        <f aca="false">IF($A55="","",IF(AP55&gt;=AC55,"Yes","No"))</f>
        <v/>
      </c>
      <c r="AS55" s="4" t="str">
        <f aca="false">IF($A55="","",IF(AQ55&gt;=AD55+AL55,"Yes","No"))</f>
        <v/>
      </c>
      <c r="AT55" s="4" t="str">
        <f aca="false">IF($A55="","",IF(AND(AR55="Yes",AS55="Yes"),"OK","REVIEW"))</f>
        <v/>
      </c>
      <c r="AU55" s="4" t="str">
        <f aca="false">IF($A55="","",IF($P55="No","Not applicable",IF(AO55&lt;Constants!$B$14,"CAPTURE","Not needed")))</f>
        <v/>
      </c>
      <c r="AV55" s="4" t="str">
        <f aca="false">IF($A55="","",IF($P55="No","n/a",RANK(AO55,AO:AO,1)))</f>
        <v/>
      </c>
      <c r="AW55" s="4" t="str">
        <f aca="false">IF($A55="","",IF(UPPER($E55)="YES","Strategic","Non-strategic"))</f>
        <v/>
      </c>
      <c r="AX55" s="4" t="str">
        <f aca="false">IF($A55="","",COUNTIFS(Fact_Work!$C:$C,$A55))</f>
        <v/>
      </c>
      <c r="AY55" s="4" t="str">
        <f aca="false">IF($A55="","",IF(AX55=0,"Not seen",IF(AX55&gt;=Constants!$B$13*0.6,"Daily",IF(AX55&gt;=Constants!$B$13*0.12,"Weekly","Monthly or ad hoc"))))</f>
        <v/>
      </c>
      <c r="AZ55" s="22" t="str">
        <f aca="false">IF($A55="","",IFERROR(VLOOKUP($U55,Dim_TOP!$A:$H,8,0),""))</f>
        <v/>
      </c>
      <c r="BA55" s="28" t="str">
        <f aca="false">IF($A55="","",IFERROR(ROUND((AH55-AZ55)*60,0),""))</f>
        <v/>
      </c>
      <c r="BB55" s="4" t="str">
        <f aca="false">IF($A55="","",IF(BA55="","",IF(BA55&lt;=0,"Sets the deadline","Later than peers by "&amp;BA55&amp;" min")))</f>
        <v/>
      </c>
      <c r="BC55" s="29" t="str">
        <f aca="false">IF($A55="","",IF($U55="",0,IF(COUNTIFS($U$2:$U55,$U55,$C$2:$C55,$C55)=1,1,0)))</f>
        <v/>
      </c>
      <c r="BD55" s="10" t="str">
        <f aca="false">IF($A55="","",IF(UPPER($P55)="YES","Yes","No"))</f>
        <v/>
      </c>
      <c r="BE55" s="10" t="str">
        <f aca="false">IF($A55="","",IF($N55="No","n/a",IF(AM55&lt;=Constants!$B$17,"Yes","No")))</f>
        <v/>
      </c>
      <c r="BF55" s="10" t="str">
        <f aca="false">IF($A55="","",IF($O55="No","n/a",IF(AN55&lt;=Constants!$B$17,"Yes","No")))</f>
        <v/>
      </c>
      <c r="BG55" s="10" t="str">
        <f aca="false">IF($A55="","",IF($P55="No","n/a",IF(AO55&lt;=Constants!$B$17,"Yes","No")))</f>
        <v/>
      </c>
      <c r="BH55" s="10" t="str">
        <f aca="false">IF($A55="","",IF($N55="No","No custody process",IF(BE55="Yes","Thin custody slack","Ample custody slack")))</f>
        <v/>
      </c>
      <c r="BI55" s="30" t="str">
        <f aca="false">IF($A55="","",IF($N55="No","",AM55))</f>
        <v/>
      </c>
      <c r="BJ55" s="30" t="str">
        <f aca="false">IF($A55="","",IF($O55="No","",AN55))</f>
        <v/>
      </c>
      <c r="BK55" s="30" t="str">
        <f aca="false">IF($A55="","",IF($P55="No","",AO55))</f>
        <v/>
      </c>
    </row>
    <row r="56" customFormat="false" ht="15" hidden="false" customHeight="true" outlineLevel="0" collapsed="false">
      <c r="Z56" s="28" t="str">
        <f aca="false">IF($A56="","",Constants!$B$6+$I56*Constants!$B$7+$J56*Constants!$B$8+$K56*Constants!$B$9+$L56*Constants!$B$10+$M56*Constants!$B$11)</f>
        <v/>
      </c>
      <c r="AA56" s="28" t="str">
        <f aca="false">IF($A56="","",100-Z56)</f>
        <v/>
      </c>
      <c r="AB56" s="28" t="str">
        <f aca="false">IF($A56="","",ROUND($H56*Constants!$B$4,1))</f>
        <v/>
      </c>
      <c r="AC56" s="28" t="str">
        <f aca="false">IF($A56="","",ROUND(AB56*Z56/100,1))</f>
        <v/>
      </c>
      <c r="AD56" s="28" t="str">
        <f aca="false">IF($A56="","",ROUND(AB56*AA56/100,1))</f>
        <v/>
      </c>
      <c r="AE56" s="22" t="str">
        <f aca="false">IF($A56="","",HOUR($Q56)+MINUTE($Q56)/60)</f>
        <v/>
      </c>
      <c r="AF56" s="22" t="str">
        <f aca="false">IF($A56="","",HOUR($R56)+MINUTE($R56)/60)</f>
        <v/>
      </c>
      <c r="AG56" s="22" t="str">
        <f aca="false">IF($A56="","",HOUR($S56)+MINUTE($S56)/60)</f>
        <v/>
      </c>
      <c r="AH56" s="22" t="str">
        <f aca="false">IF($A56="","",HOUR($T56)+MINUTE($T56)/60)</f>
        <v/>
      </c>
      <c r="AI56" s="22" t="str">
        <f aca="false">IF($A56="","",HOUR($V56)+MINUTE($V56)/60)</f>
        <v/>
      </c>
      <c r="AJ56" s="22" t="str">
        <f aca="false">IF($A56="","",HOUR($W56)+MINUTE($W56)/60)</f>
        <v/>
      </c>
      <c r="AK56" s="22" t="str">
        <f aca="false">IF($A56="","",VLOOKUP($F56,Dim_Team!$A:$F,6,0))</f>
        <v/>
      </c>
      <c r="AL56" s="28" t="str">
        <f aca="false">IF($A56="","",VLOOKUP($X56,Dim_Signoff!$A:$C,3,0))</f>
        <v/>
      </c>
      <c r="AM56" s="28" t="str">
        <f aca="false">IF($A56="","",IF($N56="No","n/a",ROUND((AH56-AE56)*60,0)))</f>
        <v/>
      </c>
      <c r="AN56" s="28" t="str">
        <f aca="false">IF($A56="","",IF($O56="No","n/a",ROUND((AH56-AF56)*60,0)))</f>
        <v/>
      </c>
      <c r="AO56" s="28" t="str">
        <f aca="false">IF($A56="","",IF($P56="No","n/a",ROUND((AH56-AG56)*60,0)))</f>
        <v/>
      </c>
      <c r="AP56" s="28" t="str">
        <f aca="false">IF($A56="","",ROUND((AH56-AK56)*60,0))</f>
        <v/>
      </c>
      <c r="AQ56" s="28" t="str">
        <f aca="false">IF($A56="","",ROUND((AI56-AH56)*60,0))</f>
        <v/>
      </c>
      <c r="AR56" s="4" t="str">
        <f aca="false">IF($A56="","",IF(AP56&gt;=AC56,"Yes","No"))</f>
        <v/>
      </c>
      <c r="AS56" s="4" t="str">
        <f aca="false">IF($A56="","",IF(AQ56&gt;=AD56+AL56,"Yes","No"))</f>
        <v/>
      </c>
      <c r="AT56" s="4" t="str">
        <f aca="false">IF($A56="","",IF(AND(AR56="Yes",AS56="Yes"),"OK","REVIEW"))</f>
        <v/>
      </c>
      <c r="AU56" s="4" t="str">
        <f aca="false">IF($A56="","",IF($P56="No","Not applicable",IF(AO56&lt;Constants!$B$14,"CAPTURE","Not needed")))</f>
        <v/>
      </c>
      <c r="AV56" s="4" t="str">
        <f aca="false">IF($A56="","",IF($P56="No","n/a",RANK(AO56,AO:AO,1)))</f>
        <v/>
      </c>
      <c r="AW56" s="4" t="str">
        <f aca="false">IF($A56="","",IF(UPPER($E56)="YES","Strategic","Non-strategic"))</f>
        <v/>
      </c>
      <c r="AX56" s="4" t="str">
        <f aca="false">IF($A56="","",COUNTIFS(Fact_Work!$C:$C,$A56))</f>
        <v/>
      </c>
      <c r="AY56" s="4" t="str">
        <f aca="false">IF($A56="","",IF(AX56=0,"Not seen",IF(AX56&gt;=Constants!$B$13*0.6,"Daily",IF(AX56&gt;=Constants!$B$13*0.12,"Weekly","Monthly or ad hoc"))))</f>
        <v/>
      </c>
      <c r="AZ56" s="22" t="str">
        <f aca="false">IF($A56="","",IFERROR(VLOOKUP($U56,Dim_TOP!$A:$H,8,0),""))</f>
        <v/>
      </c>
      <c r="BA56" s="28" t="str">
        <f aca="false">IF($A56="","",IFERROR(ROUND((AH56-AZ56)*60,0),""))</f>
        <v/>
      </c>
      <c r="BB56" s="4" t="str">
        <f aca="false">IF($A56="","",IF(BA56="","",IF(BA56&lt;=0,"Sets the deadline","Later than peers by "&amp;BA56&amp;" min")))</f>
        <v/>
      </c>
      <c r="BC56" s="29" t="str">
        <f aca="false">IF($A56="","",IF($U56="",0,IF(COUNTIFS($U$2:$U56,$U56,$C$2:$C56,$C56)=1,1,0)))</f>
        <v/>
      </c>
      <c r="BD56" s="10" t="str">
        <f aca="false">IF($A56="","",IF(UPPER($P56)="YES","Yes","No"))</f>
        <v/>
      </c>
      <c r="BE56" s="10" t="str">
        <f aca="false">IF($A56="","",IF($N56="No","n/a",IF(AM56&lt;=Constants!$B$17,"Yes","No")))</f>
        <v/>
      </c>
      <c r="BF56" s="10" t="str">
        <f aca="false">IF($A56="","",IF($O56="No","n/a",IF(AN56&lt;=Constants!$B$17,"Yes","No")))</f>
        <v/>
      </c>
      <c r="BG56" s="10" t="str">
        <f aca="false">IF($A56="","",IF($P56="No","n/a",IF(AO56&lt;=Constants!$B$17,"Yes","No")))</f>
        <v/>
      </c>
      <c r="BH56" s="10" t="str">
        <f aca="false">IF($A56="","",IF($N56="No","No custody process",IF(BE56="Yes","Thin custody slack","Ample custody slack")))</f>
        <v/>
      </c>
      <c r="BI56" s="30" t="str">
        <f aca="false">IF($A56="","",IF($N56="No","",AM56))</f>
        <v/>
      </c>
      <c r="BJ56" s="30" t="str">
        <f aca="false">IF($A56="","",IF($O56="No","",AN56))</f>
        <v/>
      </c>
      <c r="BK56" s="30" t="str">
        <f aca="false">IF($A56="","",IF($P56="No","",AO56))</f>
        <v/>
      </c>
    </row>
    <row r="57" customFormat="false" ht="15" hidden="false" customHeight="true" outlineLevel="0" collapsed="false">
      <c r="Z57" s="28" t="str">
        <f aca="false">IF($A57="","",Constants!$B$6+$I57*Constants!$B$7+$J57*Constants!$B$8+$K57*Constants!$B$9+$L57*Constants!$B$10+$M57*Constants!$B$11)</f>
        <v/>
      </c>
      <c r="AA57" s="28" t="str">
        <f aca="false">IF($A57="","",100-Z57)</f>
        <v/>
      </c>
      <c r="AB57" s="28" t="str">
        <f aca="false">IF($A57="","",ROUND($H57*Constants!$B$4,1))</f>
        <v/>
      </c>
      <c r="AC57" s="28" t="str">
        <f aca="false">IF($A57="","",ROUND(AB57*Z57/100,1))</f>
        <v/>
      </c>
      <c r="AD57" s="28" t="str">
        <f aca="false">IF($A57="","",ROUND(AB57*AA57/100,1))</f>
        <v/>
      </c>
      <c r="AE57" s="22" t="str">
        <f aca="false">IF($A57="","",HOUR($Q57)+MINUTE($Q57)/60)</f>
        <v/>
      </c>
      <c r="AF57" s="22" t="str">
        <f aca="false">IF($A57="","",HOUR($R57)+MINUTE($R57)/60)</f>
        <v/>
      </c>
      <c r="AG57" s="22" t="str">
        <f aca="false">IF($A57="","",HOUR($S57)+MINUTE($S57)/60)</f>
        <v/>
      </c>
      <c r="AH57" s="22" t="str">
        <f aca="false">IF($A57="","",HOUR($T57)+MINUTE($T57)/60)</f>
        <v/>
      </c>
      <c r="AI57" s="22" t="str">
        <f aca="false">IF($A57="","",HOUR($V57)+MINUTE($V57)/60)</f>
        <v/>
      </c>
      <c r="AJ57" s="22" t="str">
        <f aca="false">IF($A57="","",HOUR($W57)+MINUTE($W57)/60)</f>
        <v/>
      </c>
      <c r="AK57" s="22" t="str">
        <f aca="false">IF($A57="","",VLOOKUP($F57,Dim_Team!$A:$F,6,0))</f>
        <v/>
      </c>
      <c r="AL57" s="28" t="str">
        <f aca="false">IF($A57="","",VLOOKUP($X57,Dim_Signoff!$A:$C,3,0))</f>
        <v/>
      </c>
      <c r="AM57" s="28" t="str">
        <f aca="false">IF($A57="","",IF($N57="No","n/a",ROUND((AH57-AE57)*60,0)))</f>
        <v/>
      </c>
      <c r="AN57" s="28" t="str">
        <f aca="false">IF($A57="","",IF($O57="No","n/a",ROUND((AH57-AF57)*60,0)))</f>
        <v/>
      </c>
      <c r="AO57" s="28" t="str">
        <f aca="false">IF($A57="","",IF($P57="No","n/a",ROUND((AH57-AG57)*60,0)))</f>
        <v/>
      </c>
      <c r="AP57" s="28" t="str">
        <f aca="false">IF($A57="","",ROUND((AH57-AK57)*60,0))</f>
        <v/>
      </c>
      <c r="AQ57" s="28" t="str">
        <f aca="false">IF($A57="","",ROUND((AI57-AH57)*60,0))</f>
        <v/>
      </c>
      <c r="AR57" s="4" t="str">
        <f aca="false">IF($A57="","",IF(AP57&gt;=AC57,"Yes","No"))</f>
        <v/>
      </c>
      <c r="AS57" s="4" t="str">
        <f aca="false">IF($A57="","",IF(AQ57&gt;=AD57+AL57,"Yes","No"))</f>
        <v/>
      </c>
      <c r="AT57" s="4" t="str">
        <f aca="false">IF($A57="","",IF(AND(AR57="Yes",AS57="Yes"),"OK","REVIEW"))</f>
        <v/>
      </c>
      <c r="AU57" s="4" t="str">
        <f aca="false">IF($A57="","",IF($P57="No","Not applicable",IF(AO57&lt;Constants!$B$14,"CAPTURE","Not needed")))</f>
        <v/>
      </c>
      <c r="AV57" s="4" t="str">
        <f aca="false">IF($A57="","",IF($P57="No","n/a",RANK(AO57,AO:AO,1)))</f>
        <v/>
      </c>
      <c r="AW57" s="4" t="str">
        <f aca="false">IF($A57="","",IF(UPPER($E57)="YES","Strategic","Non-strategic"))</f>
        <v/>
      </c>
      <c r="AX57" s="4" t="str">
        <f aca="false">IF($A57="","",COUNTIFS(Fact_Work!$C:$C,$A57))</f>
        <v/>
      </c>
      <c r="AY57" s="4" t="str">
        <f aca="false">IF($A57="","",IF(AX57=0,"Not seen",IF(AX57&gt;=Constants!$B$13*0.6,"Daily",IF(AX57&gt;=Constants!$B$13*0.12,"Weekly","Monthly or ad hoc"))))</f>
        <v/>
      </c>
      <c r="AZ57" s="22" t="str">
        <f aca="false">IF($A57="","",IFERROR(VLOOKUP($U57,Dim_TOP!$A:$H,8,0),""))</f>
        <v/>
      </c>
      <c r="BA57" s="28" t="str">
        <f aca="false">IF($A57="","",IFERROR(ROUND((AH57-AZ57)*60,0),""))</f>
        <v/>
      </c>
      <c r="BB57" s="4" t="str">
        <f aca="false">IF($A57="","",IF(BA57="","",IF(BA57&lt;=0,"Sets the deadline","Later than peers by "&amp;BA57&amp;" min")))</f>
        <v/>
      </c>
      <c r="BC57" s="29" t="str">
        <f aca="false">IF($A57="","",IF($U57="",0,IF(COUNTIFS($U$2:$U57,$U57,$C$2:$C57,$C57)=1,1,0)))</f>
        <v/>
      </c>
      <c r="BD57" s="10" t="str">
        <f aca="false">IF($A57="","",IF(UPPER($P57)="YES","Yes","No"))</f>
        <v/>
      </c>
      <c r="BE57" s="10" t="str">
        <f aca="false">IF($A57="","",IF($N57="No","n/a",IF(AM57&lt;=Constants!$B$17,"Yes","No")))</f>
        <v/>
      </c>
      <c r="BF57" s="10" t="str">
        <f aca="false">IF($A57="","",IF($O57="No","n/a",IF(AN57&lt;=Constants!$B$17,"Yes","No")))</f>
        <v/>
      </c>
      <c r="BG57" s="10" t="str">
        <f aca="false">IF($A57="","",IF($P57="No","n/a",IF(AO57&lt;=Constants!$B$17,"Yes","No")))</f>
        <v/>
      </c>
      <c r="BH57" s="10" t="str">
        <f aca="false">IF($A57="","",IF($N57="No","No custody process",IF(BE57="Yes","Thin custody slack","Ample custody slack")))</f>
        <v/>
      </c>
      <c r="BI57" s="30" t="str">
        <f aca="false">IF($A57="","",IF($N57="No","",AM57))</f>
        <v/>
      </c>
      <c r="BJ57" s="30" t="str">
        <f aca="false">IF($A57="","",IF($O57="No","",AN57))</f>
        <v/>
      </c>
      <c r="BK57" s="30" t="str">
        <f aca="false">IF($A57="","",IF($P57="No","",AO57))</f>
        <v/>
      </c>
    </row>
    <row r="58" customFormat="false" ht="15" hidden="false" customHeight="true" outlineLevel="0" collapsed="false">
      <c r="Z58" s="28" t="str">
        <f aca="false">IF($A58="","",Constants!$B$6+$I58*Constants!$B$7+$J58*Constants!$B$8+$K58*Constants!$B$9+$L58*Constants!$B$10+$M58*Constants!$B$11)</f>
        <v/>
      </c>
      <c r="AA58" s="28" t="str">
        <f aca="false">IF($A58="","",100-Z58)</f>
        <v/>
      </c>
      <c r="AB58" s="28" t="str">
        <f aca="false">IF($A58="","",ROUND($H58*Constants!$B$4,1))</f>
        <v/>
      </c>
      <c r="AC58" s="28" t="str">
        <f aca="false">IF($A58="","",ROUND(AB58*Z58/100,1))</f>
        <v/>
      </c>
      <c r="AD58" s="28" t="str">
        <f aca="false">IF($A58="","",ROUND(AB58*AA58/100,1))</f>
        <v/>
      </c>
      <c r="AE58" s="22" t="str">
        <f aca="false">IF($A58="","",HOUR($Q58)+MINUTE($Q58)/60)</f>
        <v/>
      </c>
      <c r="AF58" s="22" t="str">
        <f aca="false">IF($A58="","",HOUR($R58)+MINUTE($R58)/60)</f>
        <v/>
      </c>
      <c r="AG58" s="22" t="str">
        <f aca="false">IF($A58="","",HOUR($S58)+MINUTE($S58)/60)</f>
        <v/>
      </c>
      <c r="AH58" s="22" t="str">
        <f aca="false">IF($A58="","",HOUR($T58)+MINUTE($T58)/60)</f>
        <v/>
      </c>
      <c r="AI58" s="22" t="str">
        <f aca="false">IF($A58="","",HOUR($V58)+MINUTE($V58)/60)</f>
        <v/>
      </c>
      <c r="AJ58" s="22" t="str">
        <f aca="false">IF($A58="","",HOUR($W58)+MINUTE($W58)/60)</f>
        <v/>
      </c>
      <c r="AK58" s="22" t="str">
        <f aca="false">IF($A58="","",VLOOKUP($F58,Dim_Team!$A:$F,6,0))</f>
        <v/>
      </c>
      <c r="AL58" s="28" t="str">
        <f aca="false">IF($A58="","",VLOOKUP($X58,Dim_Signoff!$A:$C,3,0))</f>
        <v/>
      </c>
      <c r="AM58" s="28" t="str">
        <f aca="false">IF($A58="","",IF($N58="No","n/a",ROUND((AH58-AE58)*60,0)))</f>
        <v/>
      </c>
      <c r="AN58" s="28" t="str">
        <f aca="false">IF($A58="","",IF($O58="No","n/a",ROUND((AH58-AF58)*60,0)))</f>
        <v/>
      </c>
      <c r="AO58" s="28" t="str">
        <f aca="false">IF($A58="","",IF($P58="No","n/a",ROUND((AH58-AG58)*60,0)))</f>
        <v/>
      </c>
      <c r="AP58" s="28" t="str">
        <f aca="false">IF($A58="","",ROUND((AH58-AK58)*60,0))</f>
        <v/>
      </c>
      <c r="AQ58" s="28" t="str">
        <f aca="false">IF($A58="","",ROUND((AI58-AH58)*60,0))</f>
        <v/>
      </c>
      <c r="AR58" s="4" t="str">
        <f aca="false">IF($A58="","",IF(AP58&gt;=AC58,"Yes","No"))</f>
        <v/>
      </c>
      <c r="AS58" s="4" t="str">
        <f aca="false">IF($A58="","",IF(AQ58&gt;=AD58+AL58,"Yes","No"))</f>
        <v/>
      </c>
      <c r="AT58" s="4" t="str">
        <f aca="false">IF($A58="","",IF(AND(AR58="Yes",AS58="Yes"),"OK","REVIEW"))</f>
        <v/>
      </c>
      <c r="AU58" s="4" t="str">
        <f aca="false">IF($A58="","",IF($P58="No","Not applicable",IF(AO58&lt;Constants!$B$14,"CAPTURE","Not needed")))</f>
        <v/>
      </c>
      <c r="AV58" s="4" t="str">
        <f aca="false">IF($A58="","",IF($P58="No","n/a",RANK(AO58,AO:AO,1)))</f>
        <v/>
      </c>
      <c r="AW58" s="4" t="str">
        <f aca="false">IF($A58="","",IF(UPPER($E58)="YES","Strategic","Non-strategic"))</f>
        <v/>
      </c>
      <c r="AX58" s="4" t="str">
        <f aca="false">IF($A58="","",COUNTIFS(Fact_Work!$C:$C,$A58))</f>
        <v/>
      </c>
      <c r="AY58" s="4" t="str">
        <f aca="false">IF($A58="","",IF(AX58=0,"Not seen",IF(AX58&gt;=Constants!$B$13*0.6,"Daily",IF(AX58&gt;=Constants!$B$13*0.12,"Weekly","Monthly or ad hoc"))))</f>
        <v/>
      </c>
      <c r="AZ58" s="22" t="str">
        <f aca="false">IF($A58="","",IFERROR(VLOOKUP($U58,Dim_TOP!$A:$H,8,0),""))</f>
        <v/>
      </c>
      <c r="BA58" s="28" t="str">
        <f aca="false">IF($A58="","",IFERROR(ROUND((AH58-AZ58)*60,0),""))</f>
        <v/>
      </c>
      <c r="BB58" s="4" t="str">
        <f aca="false">IF($A58="","",IF(BA58="","",IF(BA58&lt;=0,"Sets the deadline","Later than peers by "&amp;BA58&amp;" min")))</f>
        <v/>
      </c>
      <c r="BC58" s="29" t="str">
        <f aca="false">IF($A58="","",IF($U58="",0,IF(COUNTIFS($U$2:$U58,$U58,$C$2:$C58,$C58)=1,1,0)))</f>
        <v/>
      </c>
      <c r="BD58" s="10" t="str">
        <f aca="false">IF($A58="","",IF(UPPER($P58)="YES","Yes","No"))</f>
        <v/>
      </c>
      <c r="BE58" s="10" t="str">
        <f aca="false">IF($A58="","",IF($N58="No","n/a",IF(AM58&lt;=Constants!$B$17,"Yes","No")))</f>
        <v/>
      </c>
      <c r="BF58" s="10" t="str">
        <f aca="false">IF($A58="","",IF($O58="No","n/a",IF(AN58&lt;=Constants!$B$17,"Yes","No")))</f>
        <v/>
      </c>
      <c r="BG58" s="10" t="str">
        <f aca="false">IF($A58="","",IF($P58="No","n/a",IF(AO58&lt;=Constants!$B$17,"Yes","No")))</f>
        <v/>
      </c>
      <c r="BH58" s="10" t="str">
        <f aca="false">IF($A58="","",IF($N58="No","No custody process",IF(BE58="Yes","Thin custody slack","Ample custody slack")))</f>
        <v/>
      </c>
      <c r="BI58" s="30" t="str">
        <f aca="false">IF($A58="","",IF($N58="No","",AM58))</f>
        <v/>
      </c>
      <c r="BJ58" s="30" t="str">
        <f aca="false">IF($A58="","",IF($O58="No","",AN58))</f>
        <v/>
      </c>
      <c r="BK58" s="30" t="str">
        <f aca="false">IF($A58="","",IF($P58="No","",AO58))</f>
        <v/>
      </c>
    </row>
    <row r="59" customFormat="false" ht="15" hidden="false" customHeight="true" outlineLevel="0" collapsed="false">
      <c r="Z59" s="28" t="str">
        <f aca="false">IF($A59="","",Constants!$B$6+$I59*Constants!$B$7+$J59*Constants!$B$8+$K59*Constants!$B$9+$L59*Constants!$B$10+$M59*Constants!$B$11)</f>
        <v/>
      </c>
      <c r="AA59" s="28" t="str">
        <f aca="false">IF($A59="","",100-Z59)</f>
        <v/>
      </c>
      <c r="AB59" s="28" t="str">
        <f aca="false">IF($A59="","",ROUND($H59*Constants!$B$4,1))</f>
        <v/>
      </c>
      <c r="AC59" s="28" t="str">
        <f aca="false">IF($A59="","",ROUND(AB59*Z59/100,1))</f>
        <v/>
      </c>
      <c r="AD59" s="28" t="str">
        <f aca="false">IF($A59="","",ROUND(AB59*AA59/100,1))</f>
        <v/>
      </c>
      <c r="AE59" s="22" t="str">
        <f aca="false">IF($A59="","",HOUR($Q59)+MINUTE($Q59)/60)</f>
        <v/>
      </c>
      <c r="AF59" s="22" t="str">
        <f aca="false">IF($A59="","",HOUR($R59)+MINUTE($R59)/60)</f>
        <v/>
      </c>
      <c r="AG59" s="22" t="str">
        <f aca="false">IF($A59="","",HOUR($S59)+MINUTE($S59)/60)</f>
        <v/>
      </c>
      <c r="AH59" s="22" t="str">
        <f aca="false">IF($A59="","",HOUR($T59)+MINUTE($T59)/60)</f>
        <v/>
      </c>
      <c r="AI59" s="22" t="str">
        <f aca="false">IF($A59="","",HOUR($V59)+MINUTE($V59)/60)</f>
        <v/>
      </c>
      <c r="AJ59" s="22" t="str">
        <f aca="false">IF($A59="","",HOUR($W59)+MINUTE($W59)/60)</f>
        <v/>
      </c>
      <c r="AK59" s="22" t="str">
        <f aca="false">IF($A59="","",VLOOKUP($F59,Dim_Team!$A:$F,6,0))</f>
        <v/>
      </c>
      <c r="AL59" s="28" t="str">
        <f aca="false">IF($A59="","",VLOOKUP($X59,Dim_Signoff!$A:$C,3,0))</f>
        <v/>
      </c>
      <c r="AM59" s="28" t="str">
        <f aca="false">IF($A59="","",IF($N59="No","n/a",ROUND((AH59-AE59)*60,0)))</f>
        <v/>
      </c>
      <c r="AN59" s="28" t="str">
        <f aca="false">IF($A59="","",IF($O59="No","n/a",ROUND((AH59-AF59)*60,0)))</f>
        <v/>
      </c>
      <c r="AO59" s="28" t="str">
        <f aca="false">IF($A59="","",IF($P59="No","n/a",ROUND((AH59-AG59)*60,0)))</f>
        <v/>
      </c>
      <c r="AP59" s="28" t="str">
        <f aca="false">IF($A59="","",ROUND((AH59-AK59)*60,0))</f>
        <v/>
      </c>
      <c r="AQ59" s="28" t="str">
        <f aca="false">IF($A59="","",ROUND((AI59-AH59)*60,0))</f>
        <v/>
      </c>
      <c r="AR59" s="4" t="str">
        <f aca="false">IF($A59="","",IF(AP59&gt;=AC59,"Yes","No"))</f>
        <v/>
      </c>
      <c r="AS59" s="4" t="str">
        <f aca="false">IF($A59="","",IF(AQ59&gt;=AD59+AL59,"Yes","No"))</f>
        <v/>
      </c>
      <c r="AT59" s="4" t="str">
        <f aca="false">IF($A59="","",IF(AND(AR59="Yes",AS59="Yes"),"OK","REVIEW"))</f>
        <v/>
      </c>
      <c r="AU59" s="4" t="str">
        <f aca="false">IF($A59="","",IF($P59="No","Not applicable",IF(AO59&lt;Constants!$B$14,"CAPTURE","Not needed")))</f>
        <v/>
      </c>
      <c r="AV59" s="4" t="str">
        <f aca="false">IF($A59="","",IF($P59="No","n/a",RANK(AO59,AO:AO,1)))</f>
        <v/>
      </c>
      <c r="AW59" s="4" t="str">
        <f aca="false">IF($A59="","",IF(UPPER($E59)="YES","Strategic","Non-strategic"))</f>
        <v/>
      </c>
      <c r="AX59" s="4" t="str">
        <f aca="false">IF($A59="","",COUNTIFS(Fact_Work!$C:$C,$A59))</f>
        <v/>
      </c>
      <c r="AY59" s="4" t="str">
        <f aca="false">IF($A59="","",IF(AX59=0,"Not seen",IF(AX59&gt;=Constants!$B$13*0.6,"Daily",IF(AX59&gt;=Constants!$B$13*0.12,"Weekly","Monthly or ad hoc"))))</f>
        <v/>
      </c>
      <c r="AZ59" s="22" t="str">
        <f aca="false">IF($A59="","",IFERROR(VLOOKUP($U59,Dim_TOP!$A:$H,8,0),""))</f>
        <v/>
      </c>
      <c r="BA59" s="28" t="str">
        <f aca="false">IF($A59="","",IFERROR(ROUND((AH59-AZ59)*60,0),""))</f>
        <v/>
      </c>
      <c r="BB59" s="4" t="str">
        <f aca="false">IF($A59="","",IF(BA59="","",IF(BA59&lt;=0,"Sets the deadline","Later than peers by "&amp;BA59&amp;" min")))</f>
        <v/>
      </c>
      <c r="BC59" s="29" t="str">
        <f aca="false">IF($A59="","",IF($U59="",0,IF(COUNTIFS($U$2:$U59,$U59,$C$2:$C59,$C59)=1,1,0)))</f>
        <v/>
      </c>
      <c r="BD59" s="10" t="str">
        <f aca="false">IF($A59="","",IF(UPPER($P59)="YES","Yes","No"))</f>
        <v/>
      </c>
      <c r="BE59" s="10" t="str">
        <f aca="false">IF($A59="","",IF($N59="No","n/a",IF(AM59&lt;=Constants!$B$17,"Yes","No")))</f>
        <v/>
      </c>
      <c r="BF59" s="10" t="str">
        <f aca="false">IF($A59="","",IF($O59="No","n/a",IF(AN59&lt;=Constants!$B$17,"Yes","No")))</f>
        <v/>
      </c>
      <c r="BG59" s="10" t="str">
        <f aca="false">IF($A59="","",IF($P59="No","n/a",IF(AO59&lt;=Constants!$B$17,"Yes","No")))</f>
        <v/>
      </c>
      <c r="BH59" s="10" t="str">
        <f aca="false">IF($A59="","",IF($N59="No","No custody process",IF(BE59="Yes","Thin custody slack","Ample custody slack")))</f>
        <v/>
      </c>
      <c r="BI59" s="30" t="str">
        <f aca="false">IF($A59="","",IF($N59="No","",AM59))</f>
        <v/>
      </c>
      <c r="BJ59" s="30" t="str">
        <f aca="false">IF($A59="","",IF($O59="No","",AN59))</f>
        <v/>
      </c>
      <c r="BK59" s="30" t="str">
        <f aca="false">IF($A59="","",IF($P59="No","",AO59))</f>
        <v/>
      </c>
    </row>
    <row r="60" customFormat="false" ht="15" hidden="false" customHeight="true" outlineLevel="0" collapsed="false">
      <c r="Z60" s="28" t="str">
        <f aca="false">IF($A60="","",Constants!$B$6+$I60*Constants!$B$7+$J60*Constants!$B$8+$K60*Constants!$B$9+$L60*Constants!$B$10+$M60*Constants!$B$11)</f>
        <v/>
      </c>
      <c r="AA60" s="28" t="str">
        <f aca="false">IF($A60="","",100-Z60)</f>
        <v/>
      </c>
      <c r="AB60" s="28" t="str">
        <f aca="false">IF($A60="","",ROUND($H60*Constants!$B$4,1))</f>
        <v/>
      </c>
      <c r="AC60" s="28" t="str">
        <f aca="false">IF($A60="","",ROUND(AB60*Z60/100,1))</f>
        <v/>
      </c>
      <c r="AD60" s="28" t="str">
        <f aca="false">IF($A60="","",ROUND(AB60*AA60/100,1))</f>
        <v/>
      </c>
      <c r="AE60" s="22" t="str">
        <f aca="false">IF($A60="","",HOUR($Q60)+MINUTE($Q60)/60)</f>
        <v/>
      </c>
      <c r="AF60" s="22" t="str">
        <f aca="false">IF($A60="","",HOUR($R60)+MINUTE($R60)/60)</f>
        <v/>
      </c>
      <c r="AG60" s="22" t="str">
        <f aca="false">IF($A60="","",HOUR($S60)+MINUTE($S60)/60)</f>
        <v/>
      </c>
      <c r="AH60" s="22" t="str">
        <f aca="false">IF($A60="","",HOUR($T60)+MINUTE($T60)/60)</f>
        <v/>
      </c>
      <c r="AI60" s="22" t="str">
        <f aca="false">IF($A60="","",HOUR($V60)+MINUTE($V60)/60)</f>
        <v/>
      </c>
      <c r="AJ60" s="22" t="str">
        <f aca="false">IF($A60="","",HOUR($W60)+MINUTE($W60)/60)</f>
        <v/>
      </c>
      <c r="AK60" s="22" t="str">
        <f aca="false">IF($A60="","",VLOOKUP($F60,Dim_Team!$A:$F,6,0))</f>
        <v/>
      </c>
      <c r="AL60" s="28" t="str">
        <f aca="false">IF($A60="","",VLOOKUP($X60,Dim_Signoff!$A:$C,3,0))</f>
        <v/>
      </c>
      <c r="AM60" s="28" t="str">
        <f aca="false">IF($A60="","",IF($N60="No","n/a",ROUND((AH60-AE60)*60,0)))</f>
        <v/>
      </c>
      <c r="AN60" s="28" t="str">
        <f aca="false">IF($A60="","",IF($O60="No","n/a",ROUND((AH60-AF60)*60,0)))</f>
        <v/>
      </c>
      <c r="AO60" s="28" t="str">
        <f aca="false">IF($A60="","",IF($P60="No","n/a",ROUND((AH60-AG60)*60,0)))</f>
        <v/>
      </c>
      <c r="AP60" s="28" t="str">
        <f aca="false">IF($A60="","",ROUND((AH60-AK60)*60,0))</f>
        <v/>
      </c>
      <c r="AQ60" s="28" t="str">
        <f aca="false">IF($A60="","",ROUND((AI60-AH60)*60,0))</f>
        <v/>
      </c>
      <c r="AR60" s="4" t="str">
        <f aca="false">IF($A60="","",IF(AP60&gt;=AC60,"Yes","No"))</f>
        <v/>
      </c>
      <c r="AS60" s="4" t="str">
        <f aca="false">IF($A60="","",IF(AQ60&gt;=AD60+AL60,"Yes","No"))</f>
        <v/>
      </c>
      <c r="AT60" s="4" t="str">
        <f aca="false">IF($A60="","",IF(AND(AR60="Yes",AS60="Yes"),"OK","REVIEW"))</f>
        <v/>
      </c>
      <c r="AU60" s="4" t="str">
        <f aca="false">IF($A60="","",IF($P60="No","Not applicable",IF(AO60&lt;Constants!$B$14,"CAPTURE","Not needed")))</f>
        <v/>
      </c>
      <c r="AV60" s="4" t="str">
        <f aca="false">IF($A60="","",IF($P60="No","n/a",RANK(AO60,AO:AO,1)))</f>
        <v/>
      </c>
      <c r="AW60" s="4" t="str">
        <f aca="false">IF($A60="","",IF(UPPER($E60)="YES","Strategic","Non-strategic"))</f>
        <v/>
      </c>
      <c r="AX60" s="4" t="str">
        <f aca="false">IF($A60="","",COUNTIFS(Fact_Work!$C:$C,$A60))</f>
        <v/>
      </c>
      <c r="AY60" s="4" t="str">
        <f aca="false">IF($A60="","",IF(AX60=0,"Not seen",IF(AX60&gt;=Constants!$B$13*0.6,"Daily",IF(AX60&gt;=Constants!$B$13*0.12,"Weekly","Monthly or ad hoc"))))</f>
        <v/>
      </c>
      <c r="AZ60" s="22" t="str">
        <f aca="false">IF($A60="","",IFERROR(VLOOKUP($U60,Dim_TOP!$A:$H,8,0),""))</f>
        <v/>
      </c>
      <c r="BA60" s="28" t="str">
        <f aca="false">IF($A60="","",IFERROR(ROUND((AH60-AZ60)*60,0),""))</f>
        <v/>
      </c>
      <c r="BB60" s="4" t="str">
        <f aca="false">IF($A60="","",IF(BA60="","",IF(BA60&lt;=0,"Sets the deadline","Later than peers by "&amp;BA60&amp;" min")))</f>
        <v/>
      </c>
      <c r="BC60" s="29" t="str">
        <f aca="false">IF($A60="","",IF($U60="",0,IF(COUNTIFS($U$2:$U60,$U60,$C$2:$C60,$C60)=1,1,0)))</f>
        <v/>
      </c>
      <c r="BD60" s="10" t="str">
        <f aca="false">IF($A60="","",IF(UPPER($P60)="YES","Yes","No"))</f>
        <v/>
      </c>
      <c r="BE60" s="10" t="str">
        <f aca="false">IF($A60="","",IF($N60="No","n/a",IF(AM60&lt;=Constants!$B$17,"Yes","No")))</f>
        <v/>
      </c>
      <c r="BF60" s="10" t="str">
        <f aca="false">IF($A60="","",IF($O60="No","n/a",IF(AN60&lt;=Constants!$B$17,"Yes","No")))</f>
        <v/>
      </c>
      <c r="BG60" s="10" t="str">
        <f aca="false">IF($A60="","",IF($P60="No","n/a",IF(AO60&lt;=Constants!$B$17,"Yes","No")))</f>
        <v/>
      </c>
      <c r="BH60" s="10" t="str">
        <f aca="false">IF($A60="","",IF($N60="No","No custody process",IF(BE60="Yes","Thin custody slack","Ample custody slack")))</f>
        <v/>
      </c>
      <c r="BI60" s="30" t="str">
        <f aca="false">IF($A60="","",IF($N60="No","",AM60))</f>
        <v/>
      </c>
      <c r="BJ60" s="30" t="str">
        <f aca="false">IF($A60="","",IF($O60="No","",AN60))</f>
        <v/>
      </c>
      <c r="BK60" s="30" t="str">
        <f aca="false">IF($A60="","",IF($P60="No","",AO60))</f>
        <v/>
      </c>
    </row>
    <row r="61" customFormat="false" ht="15" hidden="false" customHeight="true" outlineLevel="0" collapsed="false">
      <c r="Z61" s="28" t="str">
        <f aca="false">IF($A61="","",Constants!$B$6+$I61*Constants!$B$7+$J61*Constants!$B$8+$K61*Constants!$B$9+$L61*Constants!$B$10+$M61*Constants!$B$11)</f>
        <v/>
      </c>
      <c r="AA61" s="28" t="str">
        <f aca="false">IF($A61="","",100-Z61)</f>
        <v/>
      </c>
      <c r="AB61" s="28" t="str">
        <f aca="false">IF($A61="","",ROUND($H61*Constants!$B$4,1))</f>
        <v/>
      </c>
      <c r="AC61" s="28" t="str">
        <f aca="false">IF($A61="","",ROUND(AB61*Z61/100,1))</f>
        <v/>
      </c>
      <c r="AD61" s="28" t="str">
        <f aca="false">IF($A61="","",ROUND(AB61*AA61/100,1))</f>
        <v/>
      </c>
      <c r="AE61" s="22" t="str">
        <f aca="false">IF($A61="","",HOUR($Q61)+MINUTE($Q61)/60)</f>
        <v/>
      </c>
      <c r="AF61" s="22" t="str">
        <f aca="false">IF($A61="","",HOUR($R61)+MINUTE($R61)/60)</f>
        <v/>
      </c>
      <c r="AG61" s="22" t="str">
        <f aca="false">IF($A61="","",HOUR($S61)+MINUTE($S61)/60)</f>
        <v/>
      </c>
      <c r="AH61" s="22" t="str">
        <f aca="false">IF($A61="","",HOUR($T61)+MINUTE($T61)/60)</f>
        <v/>
      </c>
      <c r="AI61" s="22" t="str">
        <f aca="false">IF($A61="","",HOUR($V61)+MINUTE($V61)/60)</f>
        <v/>
      </c>
      <c r="AJ61" s="22" t="str">
        <f aca="false">IF($A61="","",HOUR($W61)+MINUTE($W61)/60)</f>
        <v/>
      </c>
      <c r="AK61" s="22" t="str">
        <f aca="false">IF($A61="","",VLOOKUP($F61,Dim_Team!$A:$F,6,0))</f>
        <v/>
      </c>
      <c r="AL61" s="28" t="str">
        <f aca="false">IF($A61="","",VLOOKUP($X61,Dim_Signoff!$A:$C,3,0))</f>
        <v/>
      </c>
      <c r="AM61" s="28" t="str">
        <f aca="false">IF($A61="","",IF($N61="No","n/a",ROUND((AH61-AE61)*60,0)))</f>
        <v/>
      </c>
      <c r="AN61" s="28" t="str">
        <f aca="false">IF($A61="","",IF($O61="No","n/a",ROUND((AH61-AF61)*60,0)))</f>
        <v/>
      </c>
      <c r="AO61" s="28" t="str">
        <f aca="false">IF($A61="","",IF($P61="No","n/a",ROUND((AH61-AG61)*60,0)))</f>
        <v/>
      </c>
      <c r="AP61" s="28" t="str">
        <f aca="false">IF($A61="","",ROUND((AH61-AK61)*60,0))</f>
        <v/>
      </c>
      <c r="AQ61" s="28" t="str">
        <f aca="false">IF($A61="","",ROUND((AI61-AH61)*60,0))</f>
        <v/>
      </c>
      <c r="AR61" s="4" t="str">
        <f aca="false">IF($A61="","",IF(AP61&gt;=AC61,"Yes","No"))</f>
        <v/>
      </c>
      <c r="AS61" s="4" t="str">
        <f aca="false">IF($A61="","",IF(AQ61&gt;=AD61+AL61,"Yes","No"))</f>
        <v/>
      </c>
      <c r="AT61" s="4" t="str">
        <f aca="false">IF($A61="","",IF(AND(AR61="Yes",AS61="Yes"),"OK","REVIEW"))</f>
        <v/>
      </c>
      <c r="AU61" s="4" t="str">
        <f aca="false">IF($A61="","",IF($P61="No","Not applicable",IF(AO61&lt;Constants!$B$14,"CAPTURE","Not needed")))</f>
        <v/>
      </c>
      <c r="AV61" s="4" t="str">
        <f aca="false">IF($A61="","",IF($P61="No","n/a",RANK(AO61,AO:AO,1)))</f>
        <v/>
      </c>
      <c r="AW61" s="4" t="str">
        <f aca="false">IF($A61="","",IF(UPPER($E61)="YES","Strategic","Non-strategic"))</f>
        <v/>
      </c>
      <c r="AX61" s="4" t="str">
        <f aca="false">IF($A61="","",COUNTIFS(Fact_Work!$C:$C,$A61))</f>
        <v/>
      </c>
      <c r="AY61" s="4" t="str">
        <f aca="false">IF($A61="","",IF(AX61=0,"Not seen",IF(AX61&gt;=Constants!$B$13*0.6,"Daily",IF(AX61&gt;=Constants!$B$13*0.12,"Weekly","Monthly or ad hoc"))))</f>
        <v/>
      </c>
      <c r="AZ61" s="22" t="str">
        <f aca="false">IF($A61="","",IFERROR(VLOOKUP($U61,Dim_TOP!$A:$H,8,0),""))</f>
        <v/>
      </c>
      <c r="BA61" s="28" t="str">
        <f aca="false">IF($A61="","",IFERROR(ROUND((AH61-AZ61)*60,0),""))</f>
        <v/>
      </c>
      <c r="BB61" s="4" t="str">
        <f aca="false">IF($A61="","",IF(BA61="","",IF(BA61&lt;=0,"Sets the deadline","Later than peers by "&amp;BA61&amp;" min")))</f>
        <v/>
      </c>
      <c r="BC61" s="29" t="str">
        <f aca="false">IF($A61="","",IF($U61="",0,IF(COUNTIFS($U$2:$U61,$U61,$C$2:$C61,$C61)=1,1,0)))</f>
        <v/>
      </c>
      <c r="BD61" s="10" t="str">
        <f aca="false">IF($A61="","",IF(UPPER($P61)="YES","Yes","No"))</f>
        <v/>
      </c>
      <c r="BE61" s="10" t="str">
        <f aca="false">IF($A61="","",IF($N61="No","n/a",IF(AM61&lt;=Constants!$B$17,"Yes","No")))</f>
        <v/>
      </c>
      <c r="BF61" s="10" t="str">
        <f aca="false">IF($A61="","",IF($O61="No","n/a",IF(AN61&lt;=Constants!$B$17,"Yes","No")))</f>
        <v/>
      </c>
      <c r="BG61" s="10" t="str">
        <f aca="false">IF($A61="","",IF($P61="No","n/a",IF(AO61&lt;=Constants!$B$17,"Yes","No")))</f>
        <v/>
      </c>
      <c r="BH61" s="10" t="str">
        <f aca="false">IF($A61="","",IF($N61="No","No custody process",IF(BE61="Yes","Thin custody slack","Ample custody slack")))</f>
        <v/>
      </c>
      <c r="BI61" s="30" t="str">
        <f aca="false">IF($A61="","",IF($N61="No","",AM61))</f>
        <v/>
      </c>
      <c r="BJ61" s="30" t="str">
        <f aca="false">IF($A61="","",IF($O61="No","",AN61))</f>
        <v/>
      </c>
      <c r="BK61" s="30" t="str">
        <f aca="false">IF($A61="","",IF($P61="No","",AO61))</f>
        <v/>
      </c>
    </row>
    <row r="62" customFormat="false" ht="15" hidden="false" customHeight="true" outlineLevel="0" collapsed="false">
      <c r="Z62" s="28" t="str">
        <f aca="false">IF($A62="","",Constants!$B$6+$I62*Constants!$B$7+$J62*Constants!$B$8+$K62*Constants!$B$9+$L62*Constants!$B$10+$M62*Constants!$B$11)</f>
        <v/>
      </c>
      <c r="AA62" s="28" t="str">
        <f aca="false">IF($A62="","",100-Z62)</f>
        <v/>
      </c>
      <c r="AB62" s="28" t="str">
        <f aca="false">IF($A62="","",ROUND($H62*Constants!$B$4,1))</f>
        <v/>
      </c>
      <c r="AC62" s="28" t="str">
        <f aca="false">IF($A62="","",ROUND(AB62*Z62/100,1))</f>
        <v/>
      </c>
      <c r="AD62" s="28" t="str">
        <f aca="false">IF($A62="","",ROUND(AB62*AA62/100,1))</f>
        <v/>
      </c>
      <c r="AE62" s="22" t="str">
        <f aca="false">IF($A62="","",HOUR($Q62)+MINUTE($Q62)/60)</f>
        <v/>
      </c>
      <c r="AF62" s="22" t="str">
        <f aca="false">IF($A62="","",HOUR($R62)+MINUTE($R62)/60)</f>
        <v/>
      </c>
      <c r="AG62" s="22" t="str">
        <f aca="false">IF($A62="","",HOUR($S62)+MINUTE($S62)/60)</f>
        <v/>
      </c>
      <c r="AH62" s="22" t="str">
        <f aca="false">IF($A62="","",HOUR($T62)+MINUTE($T62)/60)</f>
        <v/>
      </c>
      <c r="AI62" s="22" t="str">
        <f aca="false">IF($A62="","",HOUR($V62)+MINUTE($V62)/60)</f>
        <v/>
      </c>
      <c r="AJ62" s="22" t="str">
        <f aca="false">IF($A62="","",HOUR($W62)+MINUTE($W62)/60)</f>
        <v/>
      </c>
      <c r="AK62" s="22" t="str">
        <f aca="false">IF($A62="","",VLOOKUP($F62,Dim_Team!$A:$F,6,0))</f>
        <v/>
      </c>
      <c r="AL62" s="28" t="str">
        <f aca="false">IF($A62="","",VLOOKUP($X62,Dim_Signoff!$A:$C,3,0))</f>
        <v/>
      </c>
      <c r="AM62" s="28" t="str">
        <f aca="false">IF($A62="","",IF($N62="No","n/a",ROUND((AH62-AE62)*60,0)))</f>
        <v/>
      </c>
      <c r="AN62" s="28" t="str">
        <f aca="false">IF($A62="","",IF($O62="No","n/a",ROUND((AH62-AF62)*60,0)))</f>
        <v/>
      </c>
      <c r="AO62" s="28" t="str">
        <f aca="false">IF($A62="","",IF($P62="No","n/a",ROUND((AH62-AG62)*60,0)))</f>
        <v/>
      </c>
      <c r="AP62" s="28" t="str">
        <f aca="false">IF($A62="","",ROUND((AH62-AK62)*60,0))</f>
        <v/>
      </c>
      <c r="AQ62" s="28" t="str">
        <f aca="false">IF($A62="","",ROUND((AI62-AH62)*60,0))</f>
        <v/>
      </c>
      <c r="AR62" s="4" t="str">
        <f aca="false">IF($A62="","",IF(AP62&gt;=AC62,"Yes","No"))</f>
        <v/>
      </c>
      <c r="AS62" s="4" t="str">
        <f aca="false">IF($A62="","",IF(AQ62&gt;=AD62+AL62,"Yes","No"))</f>
        <v/>
      </c>
      <c r="AT62" s="4" t="str">
        <f aca="false">IF($A62="","",IF(AND(AR62="Yes",AS62="Yes"),"OK","REVIEW"))</f>
        <v/>
      </c>
      <c r="AU62" s="4" t="str">
        <f aca="false">IF($A62="","",IF($P62="No","Not applicable",IF(AO62&lt;Constants!$B$14,"CAPTURE","Not needed")))</f>
        <v/>
      </c>
      <c r="AV62" s="4" t="str">
        <f aca="false">IF($A62="","",IF($P62="No","n/a",RANK(AO62,AO:AO,1)))</f>
        <v/>
      </c>
      <c r="AW62" s="4" t="str">
        <f aca="false">IF($A62="","",IF(UPPER($E62)="YES","Strategic","Non-strategic"))</f>
        <v/>
      </c>
      <c r="AX62" s="4" t="str">
        <f aca="false">IF($A62="","",COUNTIFS(Fact_Work!$C:$C,$A62))</f>
        <v/>
      </c>
      <c r="AY62" s="4" t="str">
        <f aca="false">IF($A62="","",IF(AX62=0,"Not seen",IF(AX62&gt;=Constants!$B$13*0.6,"Daily",IF(AX62&gt;=Constants!$B$13*0.12,"Weekly","Monthly or ad hoc"))))</f>
        <v/>
      </c>
      <c r="AZ62" s="22" t="str">
        <f aca="false">IF($A62="","",IFERROR(VLOOKUP($U62,Dim_TOP!$A:$H,8,0),""))</f>
        <v/>
      </c>
      <c r="BA62" s="28" t="str">
        <f aca="false">IF($A62="","",IFERROR(ROUND((AH62-AZ62)*60,0),""))</f>
        <v/>
      </c>
      <c r="BB62" s="4" t="str">
        <f aca="false">IF($A62="","",IF(BA62="","",IF(BA62&lt;=0,"Sets the deadline","Later than peers by "&amp;BA62&amp;" min")))</f>
        <v/>
      </c>
      <c r="BC62" s="29" t="str">
        <f aca="false">IF($A62="","",IF($U62="",0,IF(COUNTIFS($U$2:$U62,$U62,$C$2:$C62,$C62)=1,1,0)))</f>
        <v/>
      </c>
      <c r="BD62" s="10" t="str">
        <f aca="false">IF($A62="","",IF(UPPER($P62)="YES","Yes","No"))</f>
        <v/>
      </c>
      <c r="BE62" s="10" t="str">
        <f aca="false">IF($A62="","",IF($N62="No","n/a",IF(AM62&lt;=Constants!$B$17,"Yes","No")))</f>
        <v/>
      </c>
      <c r="BF62" s="10" t="str">
        <f aca="false">IF($A62="","",IF($O62="No","n/a",IF(AN62&lt;=Constants!$B$17,"Yes","No")))</f>
        <v/>
      </c>
      <c r="BG62" s="10" t="str">
        <f aca="false">IF($A62="","",IF($P62="No","n/a",IF(AO62&lt;=Constants!$B$17,"Yes","No")))</f>
        <v/>
      </c>
      <c r="BH62" s="10" t="str">
        <f aca="false">IF($A62="","",IF($N62="No","No custody process",IF(BE62="Yes","Thin custody slack","Ample custody slack")))</f>
        <v/>
      </c>
      <c r="BI62" s="30" t="str">
        <f aca="false">IF($A62="","",IF($N62="No","",AM62))</f>
        <v/>
      </c>
      <c r="BJ62" s="30" t="str">
        <f aca="false">IF($A62="","",IF($O62="No","",AN62))</f>
        <v/>
      </c>
      <c r="BK62" s="30" t="str">
        <f aca="false">IF($A62="","",IF($P62="No","",AO62))</f>
        <v/>
      </c>
    </row>
    <row r="63" customFormat="false" ht="15" hidden="false" customHeight="true" outlineLevel="0" collapsed="false">
      <c r="Z63" s="28" t="str">
        <f aca="false">IF($A63="","",Constants!$B$6+$I63*Constants!$B$7+$J63*Constants!$B$8+$K63*Constants!$B$9+$L63*Constants!$B$10+$M63*Constants!$B$11)</f>
        <v/>
      </c>
      <c r="AA63" s="28" t="str">
        <f aca="false">IF($A63="","",100-Z63)</f>
        <v/>
      </c>
      <c r="AB63" s="28" t="str">
        <f aca="false">IF($A63="","",ROUND($H63*Constants!$B$4,1))</f>
        <v/>
      </c>
      <c r="AC63" s="28" t="str">
        <f aca="false">IF($A63="","",ROUND(AB63*Z63/100,1))</f>
        <v/>
      </c>
      <c r="AD63" s="28" t="str">
        <f aca="false">IF($A63="","",ROUND(AB63*AA63/100,1))</f>
        <v/>
      </c>
      <c r="AE63" s="22" t="str">
        <f aca="false">IF($A63="","",HOUR($Q63)+MINUTE($Q63)/60)</f>
        <v/>
      </c>
      <c r="AF63" s="22" t="str">
        <f aca="false">IF($A63="","",HOUR($R63)+MINUTE($R63)/60)</f>
        <v/>
      </c>
      <c r="AG63" s="22" t="str">
        <f aca="false">IF($A63="","",HOUR($S63)+MINUTE($S63)/60)</f>
        <v/>
      </c>
      <c r="AH63" s="22" t="str">
        <f aca="false">IF($A63="","",HOUR($T63)+MINUTE($T63)/60)</f>
        <v/>
      </c>
      <c r="AI63" s="22" t="str">
        <f aca="false">IF($A63="","",HOUR($V63)+MINUTE($V63)/60)</f>
        <v/>
      </c>
      <c r="AJ63" s="22" t="str">
        <f aca="false">IF($A63="","",HOUR($W63)+MINUTE($W63)/60)</f>
        <v/>
      </c>
      <c r="AK63" s="22" t="str">
        <f aca="false">IF($A63="","",VLOOKUP($F63,Dim_Team!$A:$F,6,0))</f>
        <v/>
      </c>
      <c r="AL63" s="28" t="str">
        <f aca="false">IF($A63="","",VLOOKUP($X63,Dim_Signoff!$A:$C,3,0))</f>
        <v/>
      </c>
      <c r="AM63" s="28" t="str">
        <f aca="false">IF($A63="","",IF($N63="No","n/a",ROUND((AH63-AE63)*60,0)))</f>
        <v/>
      </c>
      <c r="AN63" s="28" t="str">
        <f aca="false">IF($A63="","",IF($O63="No","n/a",ROUND((AH63-AF63)*60,0)))</f>
        <v/>
      </c>
      <c r="AO63" s="28" t="str">
        <f aca="false">IF($A63="","",IF($P63="No","n/a",ROUND((AH63-AG63)*60,0)))</f>
        <v/>
      </c>
      <c r="AP63" s="28" t="str">
        <f aca="false">IF($A63="","",ROUND((AH63-AK63)*60,0))</f>
        <v/>
      </c>
      <c r="AQ63" s="28" t="str">
        <f aca="false">IF($A63="","",ROUND((AI63-AH63)*60,0))</f>
        <v/>
      </c>
      <c r="AR63" s="4" t="str">
        <f aca="false">IF($A63="","",IF(AP63&gt;=AC63,"Yes","No"))</f>
        <v/>
      </c>
      <c r="AS63" s="4" t="str">
        <f aca="false">IF($A63="","",IF(AQ63&gt;=AD63+AL63,"Yes","No"))</f>
        <v/>
      </c>
      <c r="AT63" s="4" t="str">
        <f aca="false">IF($A63="","",IF(AND(AR63="Yes",AS63="Yes"),"OK","REVIEW"))</f>
        <v/>
      </c>
      <c r="AU63" s="4" t="str">
        <f aca="false">IF($A63="","",IF($P63="No","Not applicable",IF(AO63&lt;Constants!$B$14,"CAPTURE","Not needed")))</f>
        <v/>
      </c>
      <c r="AV63" s="4" t="str">
        <f aca="false">IF($A63="","",IF($P63="No","n/a",RANK(AO63,AO:AO,1)))</f>
        <v/>
      </c>
      <c r="AW63" s="4" t="str">
        <f aca="false">IF($A63="","",IF(UPPER($E63)="YES","Strategic","Non-strategic"))</f>
        <v/>
      </c>
      <c r="AX63" s="4" t="str">
        <f aca="false">IF($A63="","",COUNTIFS(Fact_Work!$C:$C,$A63))</f>
        <v/>
      </c>
      <c r="AY63" s="4" t="str">
        <f aca="false">IF($A63="","",IF(AX63=0,"Not seen",IF(AX63&gt;=Constants!$B$13*0.6,"Daily",IF(AX63&gt;=Constants!$B$13*0.12,"Weekly","Monthly or ad hoc"))))</f>
        <v/>
      </c>
      <c r="AZ63" s="22" t="str">
        <f aca="false">IF($A63="","",IFERROR(VLOOKUP($U63,Dim_TOP!$A:$H,8,0),""))</f>
        <v/>
      </c>
      <c r="BA63" s="28" t="str">
        <f aca="false">IF($A63="","",IFERROR(ROUND((AH63-AZ63)*60,0),""))</f>
        <v/>
      </c>
      <c r="BB63" s="4" t="str">
        <f aca="false">IF($A63="","",IF(BA63="","",IF(BA63&lt;=0,"Sets the deadline","Later than peers by "&amp;BA63&amp;" min")))</f>
        <v/>
      </c>
      <c r="BC63" s="29" t="str">
        <f aca="false">IF($A63="","",IF($U63="",0,IF(COUNTIFS($U$2:$U63,$U63,$C$2:$C63,$C63)=1,1,0)))</f>
        <v/>
      </c>
      <c r="BD63" s="10" t="str">
        <f aca="false">IF($A63="","",IF(UPPER($P63)="YES","Yes","No"))</f>
        <v/>
      </c>
      <c r="BE63" s="10" t="str">
        <f aca="false">IF($A63="","",IF($N63="No","n/a",IF(AM63&lt;=Constants!$B$17,"Yes","No")))</f>
        <v/>
      </c>
      <c r="BF63" s="10" t="str">
        <f aca="false">IF($A63="","",IF($O63="No","n/a",IF(AN63&lt;=Constants!$B$17,"Yes","No")))</f>
        <v/>
      </c>
      <c r="BG63" s="10" t="str">
        <f aca="false">IF($A63="","",IF($P63="No","n/a",IF(AO63&lt;=Constants!$B$17,"Yes","No")))</f>
        <v/>
      </c>
      <c r="BH63" s="10" t="str">
        <f aca="false">IF($A63="","",IF($N63="No","No custody process",IF(BE63="Yes","Thin custody slack","Ample custody slack")))</f>
        <v/>
      </c>
      <c r="BI63" s="30" t="str">
        <f aca="false">IF($A63="","",IF($N63="No","",AM63))</f>
        <v/>
      </c>
      <c r="BJ63" s="30" t="str">
        <f aca="false">IF($A63="","",IF($O63="No","",AN63))</f>
        <v/>
      </c>
      <c r="BK63" s="30" t="str">
        <f aca="false">IF($A63="","",IF($P63="No","",AO63))</f>
        <v/>
      </c>
    </row>
    <row r="64" customFormat="false" ht="15" hidden="false" customHeight="true" outlineLevel="0" collapsed="false">
      <c r="Z64" s="28" t="str">
        <f aca="false">IF($A64="","",Constants!$B$6+$I64*Constants!$B$7+$J64*Constants!$B$8+$K64*Constants!$B$9+$L64*Constants!$B$10+$M64*Constants!$B$11)</f>
        <v/>
      </c>
      <c r="AA64" s="28" t="str">
        <f aca="false">IF($A64="","",100-Z64)</f>
        <v/>
      </c>
      <c r="AB64" s="28" t="str">
        <f aca="false">IF($A64="","",ROUND($H64*Constants!$B$4,1))</f>
        <v/>
      </c>
      <c r="AC64" s="28" t="str">
        <f aca="false">IF($A64="","",ROUND(AB64*Z64/100,1))</f>
        <v/>
      </c>
      <c r="AD64" s="28" t="str">
        <f aca="false">IF($A64="","",ROUND(AB64*AA64/100,1))</f>
        <v/>
      </c>
      <c r="AE64" s="22" t="str">
        <f aca="false">IF($A64="","",HOUR($Q64)+MINUTE($Q64)/60)</f>
        <v/>
      </c>
      <c r="AF64" s="22" t="str">
        <f aca="false">IF($A64="","",HOUR($R64)+MINUTE($R64)/60)</f>
        <v/>
      </c>
      <c r="AG64" s="22" t="str">
        <f aca="false">IF($A64="","",HOUR($S64)+MINUTE($S64)/60)</f>
        <v/>
      </c>
      <c r="AH64" s="22" t="str">
        <f aca="false">IF($A64="","",HOUR($T64)+MINUTE($T64)/60)</f>
        <v/>
      </c>
      <c r="AI64" s="22" t="str">
        <f aca="false">IF($A64="","",HOUR($V64)+MINUTE($V64)/60)</f>
        <v/>
      </c>
      <c r="AJ64" s="22" t="str">
        <f aca="false">IF($A64="","",HOUR($W64)+MINUTE($W64)/60)</f>
        <v/>
      </c>
      <c r="AK64" s="22" t="str">
        <f aca="false">IF($A64="","",VLOOKUP($F64,Dim_Team!$A:$F,6,0))</f>
        <v/>
      </c>
      <c r="AL64" s="28" t="str">
        <f aca="false">IF($A64="","",VLOOKUP($X64,Dim_Signoff!$A:$C,3,0))</f>
        <v/>
      </c>
      <c r="AM64" s="28" t="str">
        <f aca="false">IF($A64="","",IF($N64="No","n/a",ROUND((AH64-AE64)*60,0)))</f>
        <v/>
      </c>
      <c r="AN64" s="28" t="str">
        <f aca="false">IF($A64="","",IF($O64="No","n/a",ROUND((AH64-AF64)*60,0)))</f>
        <v/>
      </c>
      <c r="AO64" s="28" t="str">
        <f aca="false">IF($A64="","",IF($P64="No","n/a",ROUND((AH64-AG64)*60,0)))</f>
        <v/>
      </c>
      <c r="AP64" s="28" t="str">
        <f aca="false">IF($A64="","",ROUND((AH64-AK64)*60,0))</f>
        <v/>
      </c>
      <c r="AQ64" s="28" t="str">
        <f aca="false">IF($A64="","",ROUND((AI64-AH64)*60,0))</f>
        <v/>
      </c>
      <c r="AR64" s="4" t="str">
        <f aca="false">IF($A64="","",IF(AP64&gt;=AC64,"Yes","No"))</f>
        <v/>
      </c>
      <c r="AS64" s="4" t="str">
        <f aca="false">IF($A64="","",IF(AQ64&gt;=AD64+AL64,"Yes","No"))</f>
        <v/>
      </c>
      <c r="AT64" s="4" t="str">
        <f aca="false">IF($A64="","",IF(AND(AR64="Yes",AS64="Yes"),"OK","REVIEW"))</f>
        <v/>
      </c>
      <c r="AU64" s="4" t="str">
        <f aca="false">IF($A64="","",IF($P64="No","Not applicable",IF(AO64&lt;Constants!$B$14,"CAPTURE","Not needed")))</f>
        <v/>
      </c>
      <c r="AV64" s="4" t="str">
        <f aca="false">IF($A64="","",IF($P64="No","n/a",RANK(AO64,AO:AO,1)))</f>
        <v/>
      </c>
      <c r="AW64" s="4" t="str">
        <f aca="false">IF($A64="","",IF(UPPER($E64)="YES","Strategic","Non-strategic"))</f>
        <v/>
      </c>
      <c r="AX64" s="4" t="str">
        <f aca="false">IF($A64="","",COUNTIFS(Fact_Work!$C:$C,$A64))</f>
        <v/>
      </c>
      <c r="AY64" s="4" t="str">
        <f aca="false">IF($A64="","",IF(AX64=0,"Not seen",IF(AX64&gt;=Constants!$B$13*0.6,"Daily",IF(AX64&gt;=Constants!$B$13*0.12,"Weekly","Monthly or ad hoc"))))</f>
        <v/>
      </c>
      <c r="AZ64" s="22" t="str">
        <f aca="false">IF($A64="","",IFERROR(VLOOKUP($U64,Dim_TOP!$A:$H,8,0),""))</f>
        <v/>
      </c>
      <c r="BA64" s="28" t="str">
        <f aca="false">IF($A64="","",IFERROR(ROUND((AH64-AZ64)*60,0),""))</f>
        <v/>
      </c>
      <c r="BB64" s="4" t="str">
        <f aca="false">IF($A64="","",IF(BA64="","",IF(BA64&lt;=0,"Sets the deadline","Later than peers by "&amp;BA64&amp;" min")))</f>
        <v/>
      </c>
      <c r="BC64" s="29" t="str">
        <f aca="false">IF($A64="","",IF($U64="",0,IF(COUNTIFS($U$2:$U64,$U64,$C$2:$C64,$C64)=1,1,0)))</f>
        <v/>
      </c>
      <c r="BD64" s="10" t="str">
        <f aca="false">IF($A64="","",IF(UPPER($P64)="YES","Yes","No"))</f>
        <v/>
      </c>
      <c r="BE64" s="10" t="str">
        <f aca="false">IF($A64="","",IF($N64="No","n/a",IF(AM64&lt;=Constants!$B$17,"Yes","No")))</f>
        <v/>
      </c>
      <c r="BF64" s="10" t="str">
        <f aca="false">IF($A64="","",IF($O64="No","n/a",IF(AN64&lt;=Constants!$B$17,"Yes","No")))</f>
        <v/>
      </c>
      <c r="BG64" s="10" t="str">
        <f aca="false">IF($A64="","",IF($P64="No","n/a",IF(AO64&lt;=Constants!$B$17,"Yes","No")))</f>
        <v/>
      </c>
      <c r="BH64" s="10" t="str">
        <f aca="false">IF($A64="","",IF($N64="No","No custody process",IF(BE64="Yes","Thin custody slack","Ample custody slack")))</f>
        <v/>
      </c>
      <c r="BI64" s="30" t="str">
        <f aca="false">IF($A64="","",IF($N64="No","",AM64))</f>
        <v/>
      </c>
      <c r="BJ64" s="30" t="str">
        <f aca="false">IF($A64="","",IF($O64="No","",AN64))</f>
        <v/>
      </c>
      <c r="BK64" s="30" t="str">
        <f aca="false">IF($A64="","",IF($P64="No","",AO64))</f>
        <v/>
      </c>
    </row>
    <row r="65" customFormat="false" ht="15" hidden="false" customHeight="true" outlineLevel="0" collapsed="false">
      <c r="Z65" s="28" t="str">
        <f aca="false">IF($A65="","",Constants!$B$6+$I65*Constants!$B$7+$J65*Constants!$B$8+$K65*Constants!$B$9+$L65*Constants!$B$10+$M65*Constants!$B$11)</f>
        <v/>
      </c>
      <c r="AA65" s="28" t="str">
        <f aca="false">IF($A65="","",100-Z65)</f>
        <v/>
      </c>
      <c r="AB65" s="28" t="str">
        <f aca="false">IF($A65="","",ROUND($H65*Constants!$B$4,1))</f>
        <v/>
      </c>
      <c r="AC65" s="28" t="str">
        <f aca="false">IF($A65="","",ROUND(AB65*Z65/100,1))</f>
        <v/>
      </c>
      <c r="AD65" s="28" t="str">
        <f aca="false">IF($A65="","",ROUND(AB65*AA65/100,1))</f>
        <v/>
      </c>
      <c r="AE65" s="22" t="str">
        <f aca="false">IF($A65="","",HOUR($Q65)+MINUTE($Q65)/60)</f>
        <v/>
      </c>
      <c r="AF65" s="22" t="str">
        <f aca="false">IF($A65="","",HOUR($R65)+MINUTE($R65)/60)</f>
        <v/>
      </c>
      <c r="AG65" s="22" t="str">
        <f aca="false">IF($A65="","",HOUR($S65)+MINUTE($S65)/60)</f>
        <v/>
      </c>
      <c r="AH65" s="22" t="str">
        <f aca="false">IF($A65="","",HOUR($T65)+MINUTE($T65)/60)</f>
        <v/>
      </c>
      <c r="AI65" s="22" t="str">
        <f aca="false">IF($A65="","",HOUR($V65)+MINUTE($V65)/60)</f>
        <v/>
      </c>
      <c r="AJ65" s="22" t="str">
        <f aca="false">IF($A65="","",HOUR($W65)+MINUTE($W65)/60)</f>
        <v/>
      </c>
      <c r="AK65" s="22" t="str">
        <f aca="false">IF($A65="","",VLOOKUP($F65,Dim_Team!$A:$F,6,0))</f>
        <v/>
      </c>
      <c r="AL65" s="28" t="str">
        <f aca="false">IF($A65="","",VLOOKUP($X65,Dim_Signoff!$A:$C,3,0))</f>
        <v/>
      </c>
      <c r="AM65" s="28" t="str">
        <f aca="false">IF($A65="","",IF($N65="No","n/a",ROUND((AH65-AE65)*60,0)))</f>
        <v/>
      </c>
      <c r="AN65" s="28" t="str">
        <f aca="false">IF($A65="","",IF($O65="No","n/a",ROUND((AH65-AF65)*60,0)))</f>
        <v/>
      </c>
      <c r="AO65" s="28" t="str">
        <f aca="false">IF($A65="","",IF($P65="No","n/a",ROUND((AH65-AG65)*60,0)))</f>
        <v/>
      </c>
      <c r="AP65" s="28" t="str">
        <f aca="false">IF($A65="","",ROUND((AH65-AK65)*60,0))</f>
        <v/>
      </c>
      <c r="AQ65" s="28" t="str">
        <f aca="false">IF($A65="","",ROUND((AI65-AH65)*60,0))</f>
        <v/>
      </c>
      <c r="AR65" s="4" t="str">
        <f aca="false">IF($A65="","",IF(AP65&gt;=AC65,"Yes","No"))</f>
        <v/>
      </c>
      <c r="AS65" s="4" t="str">
        <f aca="false">IF($A65="","",IF(AQ65&gt;=AD65+AL65,"Yes","No"))</f>
        <v/>
      </c>
      <c r="AT65" s="4" t="str">
        <f aca="false">IF($A65="","",IF(AND(AR65="Yes",AS65="Yes"),"OK","REVIEW"))</f>
        <v/>
      </c>
      <c r="AU65" s="4" t="str">
        <f aca="false">IF($A65="","",IF($P65="No","Not applicable",IF(AO65&lt;Constants!$B$14,"CAPTURE","Not needed")))</f>
        <v/>
      </c>
      <c r="AV65" s="4" t="str">
        <f aca="false">IF($A65="","",IF($P65="No","n/a",RANK(AO65,AO:AO,1)))</f>
        <v/>
      </c>
      <c r="AW65" s="4" t="str">
        <f aca="false">IF($A65="","",IF(UPPER($E65)="YES","Strategic","Non-strategic"))</f>
        <v/>
      </c>
      <c r="AX65" s="4" t="str">
        <f aca="false">IF($A65="","",COUNTIFS(Fact_Work!$C:$C,$A65))</f>
        <v/>
      </c>
      <c r="AY65" s="4" t="str">
        <f aca="false">IF($A65="","",IF(AX65=0,"Not seen",IF(AX65&gt;=Constants!$B$13*0.6,"Daily",IF(AX65&gt;=Constants!$B$13*0.12,"Weekly","Monthly or ad hoc"))))</f>
        <v/>
      </c>
      <c r="AZ65" s="22" t="str">
        <f aca="false">IF($A65="","",IFERROR(VLOOKUP($U65,Dim_TOP!$A:$H,8,0),""))</f>
        <v/>
      </c>
      <c r="BA65" s="28" t="str">
        <f aca="false">IF($A65="","",IFERROR(ROUND((AH65-AZ65)*60,0),""))</f>
        <v/>
      </c>
      <c r="BB65" s="4" t="str">
        <f aca="false">IF($A65="","",IF(BA65="","",IF(BA65&lt;=0,"Sets the deadline","Later than peers by "&amp;BA65&amp;" min")))</f>
        <v/>
      </c>
      <c r="BC65" s="29" t="str">
        <f aca="false">IF($A65="","",IF($U65="",0,IF(COUNTIFS($U$2:$U65,$U65,$C$2:$C65,$C65)=1,1,0)))</f>
        <v/>
      </c>
      <c r="BD65" s="10" t="str">
        <f aca="false">IF($A65="","",IF(UPPER($P65)="YES","Yes","No"))</f>
        <v/>
      </c>
      <c r="BE65" s="10" t="str">
        <f aca="false">IF($A65="","",IF($N65="No","n/a",IF(AM65&lt;=Constants!$B$17,"Yes","No")))</f>
        <v/>
      </c>
      <c r="BF65" s="10" t="str">
        <f aca="false">IF($A65="","",IF($O65="No","n/a",IF(AN65&lt;=Constants!$B$17,"Yes","No")))</f>
        <v/>
      </c>
      <c r="BG65" s="10" t="str">
        <f aca="false">IF($A65="","",IF($P65="No","n/a",IF(AO65&lt;=Constants!$B$17,"Yes","No")))</f>
        <v/>
      </c>
      <c r="BH65" s="10" t="str">
        <f aca="false">IF($A65="","",IF($N65="No","No custody process",IF(BE65="Yes","Thin custody slack","Ample custody slack")))</f>
        <v/>
      </c>
      <c r="BI65" s="30" t="str">
        <f aca="false">IF($A65="","",IF($N65="No","",AM65))</f>
        <v/>
      </c>
      <c r="BJ65" s="30" t="str">
        <f aca="false">IF($A65="","",IF($O65="No","",AN65))</f>
        <v/>
      </c>
      <c r="BK65" s="30" t="str">
        <f aca="false">IF($A65="","",IF($P65="No","",AO65))</f>
        <v/>
      </c>
    </row>
    <row r="66" customFormat="false" ht="15" hidden="false" customHeight="true" outlineLevel="0" collapsed="false">
      <c r="Z66" s="28" t="str">
        <f aca="false">IF($A66="","",Constants!$B$6+$I66*Constants!$B$7+$J66*Constants!$B$8+$K66*Constants!$B$9+$L66*Constants!$B$10+$M66*Constants!$B$11)</f>
        <v/>
      </c>
      <c r="AA66" s="28" t="str">
        <f aca="false">IF($A66="","",100-Z66)</f>
        <v/>
      </c>
      <c r="AB66" s="28" t="str">
        <f aca="false">IF($A66="","",ROUND($H66*Constants!$B$4,1))</f>
        <v/>
      </c>
      <c r="AC66" s="28" t="str">
        <f aca="false">IF($A66="","",ROUND(AB66*Z66/100,1))</f>
        <v/>
      </c>
      <c r="AD66" s="28" t="str">
        <f aca="false">IF($A66="","",ROUND(AB66*AA66/100,1))</f>
        <v/>
      </c>
      <c r="AE66" s="22" t="str">
        <f aca="false">IF($A66="","",HOUR($Q66)+MINUTE($Q66)/60)</f>
        <v/>
      </c>
      <c r="AF66" s="22" t="str">
        <f aca="false">IF($A66="","",HOUR($R66)+MINUTE($R66)/60)</f>
        <v/>
      </c>
      <c r="AG66" s="22" t="str">
        <f aca="false">IF($A66="","",HOUR($S66)+MINUTE($S66)/60)</f>
        <v/>
      </c>
      <c r="AH66" s="22" t="str">
        <f aca="false">IF($A66="","",HOUR($T66)+MINUTE($T66)/60)</f>
        <v/>
      </c>
      <c r="AI66" s="22" t="str">
        <f aca="false">IF($A66="","",HOUR($V66)+MINUTE($V66)/60)</f>
        <v/>
      </c>
      <c r="AJ66" s="22" t="str">
        <f aca="false">IF($A66="","",HOUR($W66)+MINUTE($W66)/60)</f>
        <v/>
      </c>
      <c r="AK66" s="22" t="str">
        <f aca="false">IF($A66="","",VLOOKUP($F66,Dim_Team!$A:$F,6,0))</f>
        <v/>
      </c>
      <c r="AL66" s="28" t="str">
        <f aca="false">IF($A66="","",VLOOKUP($X66,Dim_Signoff!$A:$C,3,0))</f>
        <v/>
      </c>
      <c r="AM66" s="28" t="str">
        <f aca="false">IF($A66="","",IF($N66="No","n/a",ROUND((AH66-AE66)*60,0)))</f>
        <v/>
      </c>
      <c r="AN66" s="28" t="str">
        <f aca="false">IF($A66="","",IF($O66="No","n/a",ROUND((AH66-AF66)*60,0)))</f>
        <v/>
      </c>
      <c r="AO66" s="28" t="str">
        <f aca="false">IF($A66="","",IF($P66="No","n/a",ROUND((AH66-AG66)*60,0)))</f>
        <v/>
      </c>
      <c r="AP66" s="28" t="str">
        <f aca="false">IF($A66="","",ROUND((AH66-AK66)*60,0))</f>
        <v/>
      </c>
      <c r="AQ66" s="28" t="str">
        <f aca="false">IF($A66="","",ROUND((AI66-AH66)*60,0))</f>
        <v/>
      </c>
      <c r="AR66" s="4" t="str">
        <f aca="false">IF($A66="","",IF(AP66&gt;=AC66,"Yes","No"))</f>
        <v/>
      </c>
      <c r="AS66" s="4" t="str">
        <f aca="false">IF($A66="","",IF(AQ66&gt;=AD66+AL66,"Yes","No"))</f>
        <v/>
      </c>
      <c r="AT66" s="4" t="str">
        <f aca="false">IF($A66="","",IF(AND(AR66="Yes",AS66="Yes"),"OK","REVIEW"))</f>
        <v/>
      </c>
      <c r="AU66" s="4" t="str">
        <f aca="false">IF($A66="","",IF($P66="No","Not applicable",IF(AO66&lt;Constants!$B$14,"CAPTURE","Not needed")))</f>
        <v/>
      </c>
      <c r="AV66" s="4" t="str">
        <f aca="false">IF($A66="","",IF($P66="No","n/a",RANK(AO66,AO:AO,1)))</f>
        <v/>
      </c>
      <c r="AW66" s="4" t="str">
        <f aca="false">IF($A66="","",IF(UPPER($E66)="YES","Strategic","Non-strategic"))</f>
        <v/>
      </c>
      <c r="AX66" s="4" t="str">
        <f aca="false">IF($A66="","",COUNTIFS(Fact_Work!$C:$C,$A66))</f>
        <v/>
      </c>
      <c r="AY66" s="4" t="str">
        <f aca="false">IF($A66="","",IF(AX66=0,"Not seen",IF(AX66&gt;=Constants!$B$13*0.6,"Daily",IF(AX66&gt;=Constants!$B$13*0.12,"Weekly","Monthly or ad hoc"))))</f>
        <v/>
      </c>
      <c r="AZ66" s="22" t="str">
        <f aca="false">IF($A66="","",IFERROR(VLOOKUP($U66,Dim_TOP!$A:$H,8,0),""))</f>
        <v/>
      </c>
      <c r="BA66" s="28" t="str">
        <f aca="false">IF($A66="","",IFERROR(ROUND((AH66-AZ66)*60,0),""))</f>
        <v/>
      </c>
      <c r="BB66" s="4" t="str">
        <f aca="false">IF($A66="","",IF(BA66="","",IF(BA66&lt;=0,"Sets the deadline","Later than peers by "&amp;BA66&amp;" min")))</f>
        <v/>
      </c>
      <c r="BC66" s="29" t="str">
        <f aca="false">IF($A66="","",IF($U66="",0,IF(COUNTIFS($U$2:$U66,$U66,$C$2:$C66,$C66)=1,1,0)))</f>
        <v/>
      </c>
      <c r="BD66" s="10" t="str">
        <f aca="false">IF($A66="","",IF(UPPER($P66)="YES","Yes","No"))</f>
        <v/>
      </c>
      <c r="BE66" s="10" t="str">
        <f aca="false">IF($A66="","",IF($N66="No","n/a",IF(AM66&lt;=Constants!$B$17,"Yes","No")))</f>
        <v/>
      </c>
      <c r="BF66" s="10" t="str">
        <f aca="false">IF($A66="","",IF($O66="No","n/a",IF(AN66&lt;=Constants!$B$17,"Yes","No")))</f>
        <v/>
      </c>
      <c r="BG66" s="10" t="str">
        <f aca="false">IF($A66="","",IF($P66="No","n/a",IF(AO66&lt;=Constants!$B$17,"Yes","No")))</f>
        <v/>
      </c>
      <c r="BH66" s="10" t="str">
        <f aca="false">IF($A66="","",IF($N66="No","No custody process",IF(BE66="Yes","Thin custody slack","Ample custody slack")))</f>
        <v/>
      </c>
      <c r="BI66" s="30" t="str">
        <f aca="false">IF($A66="","",IF($N66="No","",AM66))</f>
        <v/>
      </c>
      <c r="BJ66" s="30" t="str">
        <f aca="false">IF($A66="","",IF($O66="No","",AN66))</f>
        <v/>
      </c>
      <c r="BK66" s="30" t="str">
        <f aca="false">IF($A66="","",IF($P66="No","",AO66))</f>
        <v/>
      </c>
    </row>
    <row r="67" customFormat="false" ht="15" hidden="false" customHeight="true" outlineLevel="0" collapsed="false">
      <c r="Z67" s="28" t="str">
        <f aca="false">IF($A67="","",Constants!$B$6+$I67*Constants!$B$7+$J67*Constants!$B$8+$K67*Constants!$B$9+$L67*Constants!$B$10+$M67*Constants!$B$11)</f>
        <v/>
      </c>
      <c r="AA67" s="28" t="str">
        <f aca="false">IF($A67="","",100-Z67)</f>
        <v/>
      </c>
      <c r="AB67" s="28" t="str">
        <f aca="false">IF($A67="","",ROUND($H67*Constants!$B$4,1))</f>
        <v/>
      </c>
      <c r="AC67" s="28" t="str">
        <f aca="false">IF($A67="","",ROUND(AB67*Z67/100,1))</f>
        <v/>
      </c>
      <c r="AD67" s="28" t="str">
        <f aca="false">IF($A67="","",ROUND(AB67*AA67/100,1))</f>
        <v/>
      </c>
      <c r="AE67" s="22" t="str">
        <f aca="false">IF($A67="","",HOUR($Q67)+MINUTE($Q67)/60)</f>
        <v/>
      </c>
      <c r="AF67" s="22" t="str">
        <f aca="false">IF($A67="","",HOUR($R67)+MINUTE($R67)/60)</f>
        <v/>
      </c>
      <c r="AG67" s="22" t="str">
        <f aca="false">IF($A67="","",HOUR($S67)+MINUTE($S67)/60)</f>
        <v/>
      </c>
      <c r="AH67" s="22" t="str">
        <f aca="false">IF($A67="","",HOUR($T67)+MINUTE($T67)/60)</f>
        <v/>
      </c>
      <c r="AI67" s="22" t="str">
        <f aca="false">IF($A67="","",HOUR($V67)+MINUTE($V67)/60)</f>
        <v/>
      </c>
      <c r="AJ67" s="22" t="str">
        <f aca="false">IF($A67="","",HOUR($W67)+MINUTE($W67)/60)</f>
        <v/>
      </c>
      <c r="AK67" s="22" t="str">
        <f aca="false">IF($A67="","",VLOOKUP($F67,Dim_Team!$A:$F,6,0))</f>
        <v/>
      </c>
      <c r="AL67" s="28" t="str">
        <f aca="false">IF($A67="","",VLOOKUP($X67,Dim_Signoff!$A:$C,3,0))</f>
        <v/>
      </c>
      <c r="AM67" s="28" t="str">
        <f aca="false">IF($A67="","",IF($N67="No","n/a",ROUND((AH67-AE67)*60,0)))</f>
        <v/>
      </c>
      <c r="AN67" s="28" t="str">
        <f aca="false">IF($A67="","",IF($O67="No","n/a",ROUND((AH67-AF67)*60,0)))</f>
        <v/>
      </c>
      <c r="AO67" s="28" t="str">
        <f aca="false">IF($A67="","",IF($P67="No","n/a",ROUND((AH67-AG67)*60,0)))</f>
        <v/>
      </c>
      <c r="AP67" s="28" t="str">
        <f aca="false">IF($A67="","",ROUND((AH67-AK67)*60,0))</f>
        <v/>
      </c>
      <c r="AQ67" s="28" t="str">
        <f aca="false">IF($A67="","",ROUND((AI67-AH67)*60,0))</f>
        <v/>
      </c>
      <c r="AR67" s="4" t="str">
        <f aca="false">IF($A67="","",IF(AP67&gt;=AC67,"Yes","No"))</f>
        <v/>
      </c>
      <c r="AS67" s="4" t="str">
        <f aca="false">IF($A67="","",IF(AQ67&gt;=AD67+AL67,"Yes","No"))</f>
        <v/>
      </c>
      <c r="AT67" s="4" t="str">
        <f aca="false">IF($A67="","",IF(AND(AR67="Yes",AS67="Yes"),"OK","REVIEW"))</f>
        <v/>
      </c>
      <c r="AU67" s="4" t="str">
        <f aca="false">IF($A67="","",IF($P67="No","Not applicable",IF(AO67&lt;Constants!$B$14,"CAPTURE","Not needed")))</f>
        <v/>
      </c>
      <c r="AV67" s="4" t="str">
        <f aca="false">IF($A67="","",IF($P67="No","n/a",RANK(AO67,AO:AO,1)))</f>
        <v/>
      </c>
      <c r="AW67" s="4" t="str">
        <f aca="false">IF($A67="","",IF(UPPER($E67)="YES","Strategic","Non-strategic"))</f>
        <v/>
      </c>
      <c r="AX67" s="4" t="str">
        <f aca="false">IF($A67="","",COUNTIFS(Fact_Work!$C:$C,$A67))</f>
        <v/>
      </c>
      <c r="AY67" s="4" t="str">
        <f aca="false">IF($A67="","",IF(AX67=0,"Not seen",IF(AX67&gt;=Constants!$B$13*0.6,"Daily",IF(AX67&gt;=Constants!$B$13*0.12,"Weekly","Monthly or ad hoc"))))</f>
        <v/>
      </c>
      <c r="AZ67" s="22" t="str">
        <f aca="false">IF($A67="","",IFERROR(VLOOKUP($U67,Dim_TOP!$A:$H,8,0),""))</f>
        <v/>
      </c>
      <c r="BA67" s="28" t="str">
        <f aca="false">IF($A67="","",IFERROR(ROUND((AH67-AZ67)*60,0),""))</f>
        <v/>
      </c>
      <c r="BB67" s="4" t="str">
        <f aca="false">IF($A67="","",IF(BA67="","",IF(BA67&lt;=0,"Sets the deadline","Later than peers by "&amp;BA67&amp;" min")))</f>
        <v/>
      </c>
      <c r="BC67" s="29" t="str">
        <f aca="false">IF($A67="","",IF($U67="",0,IF(COUNTIFS($U$2:$U67,$U67,$C$2:$C67,$C67)=1,1,0)))</f>
        <v/>
      </c>
      <c r="BD67" s="10" t="str">
        <f aca="false">IF($A67="","",IF(UPPER($P67)="YES","Yes","No"))</f>
        <v/>
      </c>
      <c r="BE67" s="10" t="str">
        <f aca="false">IF($A67="","",IF($N67="No","n/a",IF(AM67&lt;=Constants!$B$17,"Yes","No")))</f>
        <v/>
      </c>
      <c r="BF67" s="10" t="str">
        <f aca="false">IF($A67="","",IF($O67="No","n/a",IF(AN67&lt;=Constants!$B$17,"Yes","No")))</f>
        <v/>
      </c>
      <c r="BG67" s="10" t="str">
        <f aca="false">IF($A67="","",IF($P67="No","n/a",IF(AO67&lt;=Constants!$B$17,"Yes","No")))</f>
        <v/>
      </c>
      <c r="BH67" s="10" t="str">
        <f aca="false">IF($A67="","",IF($N67="No","No custody process",IF(BE67="Yes","Thin custody slack","Ample custody slack")))</f>
        <v/>
      </c>
      <c r="BI67" s="30" t="str">
        <f aca="false">IF($A67="","",IF($N67="No","",AM67))</f>
        <v/>
      </c>
      <c r="BJ67" s="30" t="str">
        <f aca="false">IF($A67="","",IF($O67="No","",AN67))</f>
        <v/>
      </c>
      <c r="BK67" s="30" t="str">
        <f aca="false">IF($A67="","",IF($P67="No","",AO67))</f>
        <v/>
      </c>
    </row>
    <row r="68" customFormat="false" ht="15" hidden="false" customHeight="true" outlineLevel="0" collapsed="false">
      <c r="Z68" s="28" t="str">
        <f aca="false">IF($A68="","",Constants!$B$6+$I68*Constants!$B$7+$J68*Constants!$B$8+$K68*Constants!$B$9+$L68*Constants!$B$10+$M68*Constants!$B$11)</f>
        <v/>
      </c>
      <c r="AA68" s="28" t="str">
        <f aca="false">IF($A68="","",100-Z68)</f>
        <v/>
      </c>
      <c r="AB68" s="28" t="str">
        <f aca="false">IF($A68="","",ROUND($H68*Constants!$B$4,1))</f>
        <v/>
      </c>
      <c r="AC68" s="28" t="str">
        <f aca="false">IF($A68="","",ROUND(AB68*Z68/100,1))</f>
        <v/>
      </c>
      <c r="AD68" s="28" t="str">
        <f aca="false">IF($A68="","",ROUND(AB68*AA68/100,1))</f>
        <v/>
      </c>
      <c r="AE68" s="22" t="str">
        <f aca="false">IF($A68="","",HOUR($Q68)+MINUTE($Q68)/60)</f>
        <v/>
      </c>
      <c r="AF68" s="22" t="str">
        <f aca="false">IF($A68="","",HOUR($R68)+MINUTE($R68)/60)</f>
        <v/>
      </c>
      <c r="AG68" s="22" t="str">
        <f aca="false">IF($A68="","",HOUR($S68)+MINUTE($S68)/60)</f>
        <v/>
      </c>
      <c r="AH68" s="22" t="str">
        <f aca="false">IF($A68="","",HOUR($T68)+MINUTE($T68)/60)</f>
        <v/>
      </c>
      <c r="AI68" s="22" t="str">
        <f aca="false">IF($A68="","",HOUR($V68)+MINUTE($V68)/60)</f>
        <v/>
      </c>
      <c r="AJ68" s="22" t="str">
        <f aca="false">IF($A68="","",HOUR($W68)+MINUTE($W68)/60)</f>
        <v/>
      </c>
      <c r="AK68" s="22" t="str">
        <f aca="false">IF($A68="","",VLOOKUP($F68,Dim_Team!$A:$F,6,0))</f>
        <v/>
      </c>
      <c r="AL68" s="28" t="str">
        <f aca="false">IF($A68="","",VLOOKUP($X68,Dim_Signoff!$A:$C,3,0))</f>
        <v/>
      </c>
      <c r="AM68" s="28" t="str">
        <f aca="false">IF($A68="","",IF($N68="No","n/a",ROUND((AH68-AE68)*60,0)))</f>
        <v/>
      </c>
      <c r="AN68" s="28" t="str">
        <f aca="false">IF($A68="","",IF($O68="No","n/a",ROUND((AH68-AF68)*60,0)))</f>
        <v/>
      </c>
      <c r="AO68" s="28" t="str">
        <f aca="false">IF($A68="","",IF($P68="No","n/a",ROUND((AH68-AG68)*60,0)))</f>
        <v/>
      </c>
      <c r="AP68" s="28" t="str">
        <f aca="false">IF($A68="","",ROUND((AH68-AK68)*60,0))</f>
        <v/>
      </c>
      <c r="AQ68" s="28" t="str">
        <f aca="false">IF($A68="","",ROUND((AI68-AH68)*60,0))</f>
        <v/>
      </c>
      <c r="AR68" s="4" t="str">
        <f aca="false">IF($A68="","",IF(AP68&gt;=AC68,"Yes","No"))</f>
        <v/>
      </c>
      <c r="AS68" s="4" t="str">
        <f aca="false">IF($A68="","",IF(AQ68&gt;=AD68+AL68,"Yes","No"))</f>
        <v/>
      </c>
      <c r="AT68" s="4" t="str">
        <f aca="false">IF($A68="","",IF(AND(AR68="Yes",AS68="Yes"),"OK","REVIEW"))</f>
        <v/>
      </c>
      <c r="AU68" s="4" t="str">
        <f aca="false">IF($A68="","",IF($P68="No","Not applicable",IF(AO68&lt;Constants!$B$14,"CAPTURE","Not needed")))</f>
        <v/>
      </c>
      <c r="AV68" s="4" t="str">
        <f aca="false">IF($A68="","",IF($P68="No","n/a",RANK(AO68,AO:AO,1)))</f>
        <v/>
      </c>
      <c r="AW68" s="4" t="str">
        <f aca="false">IF($A68="","",IF(UPPER($E68)="YES","Strategic","Non-strategic"))</f>
        <v/>
      </c>
      <c r="AX68" s="4" t="str">
        <f aca="false">IF($A68="","",COUNTIFS(Fact_Work!$C:$C,$A68))</f>
        <v/>
      </c>
      <c r="AY68" s="4" t="str">
        <f aca="false">IF($A68="","",IF(AX68=0,"Not seen",IF(AX68&gt;=Constants!$B$13*0.6,"Daily",IF(AX68&gt;=Constants!$B$13*0.12,"Weekly","Monthly or ad hoc"))))</f>
        <v/>
      </c>
      <c r="AZ68" s="22" t="str">
        <f aca="false">IF($A68="","",IFERROR(VLOOKUP($U68,Dim_TOP!$A:$H,8,0),""))</f>
        <v/>
      </c>
      <c r="BA68" s="28" t="str">
        <f aca="false">IF($A68="","",IFERROR(ROUND((AH68-AZ68)*60,0),""))</f>
        <v/>
      </c>
      <c r="BB68" s="4" t="str">
        <f aca="false">IF($A68="","",IF(BA68="","",IF(BA68&lt;=0,"Sets the deadline","Later than peers by "&amp;BA68&amp;" min")))</f>
        <v/>
      </c>
      <c r="BC68" s="29" t="str">
        <f aca="false">IF($A68="","",IF($U68="",0,IF(COUNTIFS($U$2:$U68,$U68,$C$2:$C68,$C68)=1,1,0)))</f>
        <v/>
      </c>
      <c r="BD68" s="10" t="str">
        <f aca="false">IF($A68="","",IF(UPPER($P68)="YES","Yes","No"))</f>
        <v/>
      </c>
      <c r="BE68" s="10" t="str">
        <f aca="false">IF($A68="","",IF($N68="No","n/a",IF(AM68&lt;=Constants!$B$17,"Yes","No")))</f>
        <v/>
      </c>
      <c r="BF68" s="10" t="str">
        <f aca="false">IF($A68="","",IF($O68="No","n/a",IF(AN68&lt;=Constants!$B$17,"Yes","No")))</f>
        <v/>
      </c>
      <c r="BG68" s="10" t="str">
        <f aca="false">IF($A68="","",IF($P68="No","n/a",IF(AO68&lt;=Constants!$B$17,"Yes","No")))</f>
        <v/>
      </c>
      <c r="BH68" s="10" t="str">
        <f aca="false">IF($A68="","",IF($N68="No","No custody process",IF(BE68="Yes","Thin custody slack","Ample custody slack")))</f>
        <v/>
      </c>
      <c r="BI68" s="30" t="str">
        <f aca="false">IF($A68="","",IF($N68="No","",AM68))</f>
        <v/>
      </c>
      <c r="BJ68" s="30" t="str">
        <f aca="false">IF($A68="","",IF($O68="No","",AN68))</f>
        <v/>
      </c>
      <c r="BK68" s="30" t="str">
        <f aca="false">IF($A68="","",IF($P68="No","",AO68))</f>
        <v/>
      </c>
    </row>
    <row r="69" customFormat="false" ht="15" hidden="false" customHeight="true" outlineLevel="0" collapsed="false">
      <c r="Z69" s="28" t="str">
        <f aca="false">IF($A69="","",Constants!$B$6+$I69*Constants!$B$7+$J69*Constants!$B$8+$K69*Constants!$B$9+$L69*Constants!$B$10+$M69*Constants!$B$11)</f>
        <v/>
      </c>
      <c r="AA69" s="28" t="str">
        <f aca="false">IF($A69="","",100-Z69)</f>
        <v/>
      </c>
      <c r="AB69" s="28" t="str">
        <f aca="false">IF($A69="","",ROUND($H69*Constants!$B$4,1))</f>
        <v/>
      </c>
      <c r="AC69" s="28" t="str">
        <f aca="false">IF($A69="","",ROUND(AB69*Z69/100,1))</f>
        <v/>
      </c>
      <c r="AD69" s="28" t="str">
        <f aca="false">IF($A69="","",ROUND(AB69*AA69/100,1))</f>
        <v/>
      </c>
      <c r="AE69" s="22" t="str">
        <f aca="false">IF($A69="","",HOUR($Q69)+MINUTE($Q69)/60)</f>
        <v/>
      </c>
      <c r="AF69" s="22" t="str">
        <f aca="false">IF($A69="","",HOUR($R69)+MINUTE($R69)/60)</f>
        <v/>
      </c>
      <c r="AG69" s="22" t="str">
        <f aca="false">IF($A69="","",HOUR($S69)+MINUTE($S69)/60)</f>
        <v/>
      </c>
      <c r="AH69" s="22" t="str">
        <f aca="false">IF($A69="","",HOUR($T69)+MINUTE($T69)/60)</f>
        <v/>
      </c>
      <c r="AI69" s="22" t="str">
        <f aca="false">IF($A69="","",HOUR($V69)+MINUTE($V69)/60)</f>
        <v/>
      </c>
      <c r="AJ69" s="22" t="str">
        <f aca="false">IF($A69="","",HOUR($W69)+MINUTE($W69)/60)</f>
        <v/>
      </c>
      <c r="AK69" s="22" t="str">
        <f aca="false">IF($A69="","",VLOOKUP($F69,Dim_Team!$A:$F,6,0))</f>
        <v/>
      </c>
      <c r="AL69" s="28" t="str">
        <f aca="false">IF($A69="","",VLOOKUP($X69,Dim_Signoff!$A:$C,3,0))</f>
        <v/>
      </c>
      <c r="AM69" s="28" t="str">
        <f aca="false">IF($A69="","",IF($N69="No","n/a",ROUND((AH69-AE69)*60,0)))</f>
        <v/>
      </c>
      <c r="AN69" s="28" t="str">
        <f aca="false">IF($A69="","",IF($O69="No","n/a",ROUND((AH69-AF69)*60,0)))</f>
        <v/>
      </c>
      <c r="AO69" s="28" t="str">
        <f aca="false">IF($A69="","",IF($P69="No","n/a",ROUND((AH69-AG69)*60,0)))</f>
        <v/>
      </c>
      <c r="AP69" s="28" t="str">
        <f aca="false">IF($A69="","",ROUND((AH69-AK69)*60,0))</f>
        <v/>
      </c>
      <c r="AQ69" s="28" t="str">
        <f aca="false">IF($A69="","",ROUND((AI69-AH69)*60,0))</f>
        <v/>
      </c>
      <c r="AR69" s="4" t="str">
        <f aca="false">IF($A69="","",IF(AP69&gt;=AC69,"Yes","No"))</f>
        <v/>
      </c>
      <c r="AS69" s="4" t="str">
        <f aca="false">IF($A69="","",IF(AQ69&gt;=AD69+AL69,"Yes","No"))</f>
        <v/>
      </c>
      <c r="AT69" s="4" t="str">
        <f aca="false">IF($A69="","",IF(AND(AR69="Yes",AS69="Yes"),"OK","REVIEW"))</f>
        <v/>
      </c>
      <c r="AU69" s="4" t="str">
        <f aca="false">IF($A69="","",IF($P69="No","Not applicable",IF(AO69&lt;Constants!$B$14,"CAPTURE","Not needed")))</f>
        <v/>
      </c>
      <c r="AV69" s="4" t="str">
        <f aca="false">IF($A69="","",IF($P69="No","n/a",RANK(AO69,AO:AO,1)))</f>
        <v/>
      </c>
      <c r="AW69" s="4" t="str">
        <f aca="false">IF($A69="","",IF(UPPER($E69)="YES","Strategic","Non-strategic"))</f>
        <v/>
      </c>
      <c r="AX69" s="4" t="str">
        <f aca="false">IF($A69="","",COUNTIFS(Fact_Work!$C:$C,$A69))</f>
        <v/>
      </c>
      <c r="AY69" s="4" t="str">
        <f aca="false">IF($A69="","",IF(AX69=0,"Not seen",IF(AX69&gt;=Constants!$B$13*0.6,"Daily",IF(AX69&gt;=Constants!$B$13*0.12,"Weekly","Monthly or ad hoc"))))</f>
        <v/>
      </c>
      <c r="AZ69" s="22" t="str">
        <f aca="false">IF($A69="","",IFERROR(VLOOKUP($U69,Dim_TOP!$A:$H,8,0),""))</f>
        <v/>
      </c>
      <c r="BA69" s="28" t="str">
        <f aca="false">IF($A69="","",IFERROR(ROUND((AH69-AZ69)*60,0),""))</f>
        <v/>
      </c>
      <c r="BB69" s="4" t="str">
        <f aca="false">IF($A69="","",IF(BA69="","",IF(BA69&lt;=0,"Sets the deadline","Later than peers by "&amp;BA69&amp;" min")))</f>
        <v/>
      </c>
      <c r="BC69" s="29" t="str">
        <f aca="false">IF($A69="","",IF($U69="",0,IF(COUNTIFS($U$2:$U69,$U69,$C$2:$C69,$C69)=1,1,0)))</f>
        <v/>
      </c>
      <c r="BD69" s="10" t="str">
        <f aca="false">IF($A69="","",IF(UPPER($P69)="YES","Yes","No"))</f>
        <v/>
      </c>
      <c r="BE69" s="10" t="str">
        <f aca="false">IF($A69="","",IF($N69="No","n/a",IF(AM69&lt;=Constants!$B$17,"Yes","No")))</f>
        <v/>
      </c>
      <c r="BF69" s="10" t="str">
        <f aca="false">IF($A69="","",IF($O69="No","n/a",IF(AN69&lt;=Constants!$B$17,"Yes","No")))</f>
        <v/>
      </c>
      <c r="BG69" s="10" t="str">
        <f aca="false">IF($A69="","",IF($P69="No","n/a",IF(AO69&lt;=Constants!$B$17,"Yes","No")))</f>
        <v/>
      </c>
      <c r="BH69" s="10" t="str">
        <f aca="false">IF($A69="","",IF($N69="No","No custody process",IF(BE69="Yes","Thin custody slack","Ample custody slack")))</f>
        <v/>
      </c>
      <c r="BI69" s="30" t="str">
        <f aca="false">IF($A69="","",IF($N69="No","",AM69))</f>
        <v/>
      </c>
      <c r="BJ69" s="30" t="str">
        <f aca="false">IF($A69="","",IF($O69="No","",AN69))</f>
        <v/>
      </c>
      <c r="BK69" s="30" t="str">
        <f aca="false">IF($A69="","",IF($P69="No","",AO69))</f>
        <v/>
      </c>
    </row>
    <row r="70" customFormat="false" ht="15" hidden="false" customHeight="true" outlineLevel="0" collapsed="false">
      <c r="Z70" s="28" t="str">
        <f aca="false">IF($A70="","",Constants!$B$6+$I70*Constants!$B$7+$J70*Constants!$B$8+$K70*Constants!$B$9+$L70*Constants!$B$10+$M70*Constants!$B$11)</f>
        <v/>
      </c>
      <c r="AA70" s="28" t="str">
        <f aca="false">IF($A70="","",100-Z70)</f>
        <v/>
      </c>
      <c r="AB70" s="28" t="str">
        <f aca="false">IF($A70="","",ROUND($H70*Constants!$B$4,1))</f>
        <v/>
      </c>
      <c r="AC70" s="28" t="str">
        <f aca="false">IF($A70="","",ROUND(AB70*Z70/100,1))</f>
        <v/>
      </c>
      <c r="AD70" s="28" t="str">
        <f aca="false">IF($A70="","",ROUND(AB70*AA70/100,1))</f>
        <v/>
      </c>
      <c r="AE70" s="22" t="str">
        <f aca="false">IF($A70="","",HOUR($Q70)+MINUTE($Q70)/60)</f>
        <v/>
      </c>
      <c r="AF70" s="22" t="str">
        <f aca="false">IF($A70="","",HOUR($R70)+MINUTE($R70)/60)</f>
        <v/>
      </c>
      <c r="AG70" s="22" t="str">
        <f aca="false">IF($A70="","",HOUR($S70)+MINUTE($S70)/60)</f>
        <v/>
      </c>
      <c r="AH70" s="22" t="str">
        <f aca="false">IF($A70="","",HOUR($T70)+MINUTE($T70)/60)</f>
        <v/>
      </c>
      <c r="AI70" s="22" t="str">
        <f aca="false">IF($A70="","",HOUR($V70)+MINUTE($V70)/60)</f>
        <v/>
      </c>
      <c r="AJ70" s="22" t="str">
        <f aca="false">IF($A70="","",HOUR($W70)+MINUTE($W70)/60)</f>
        <v/>
      </c>
      <c r="AK70" s="22" t="str">
        <f aca="false">IF($A70="","",VLOOKUP($F70,Dim_Team!$A:$F,6,0))</f>
        <v/>
      </c>
      <c r="AL70" s="28" t="str">
        <f aca="false">IF($A70="","",VLOOKUP($X70,Dim_Signoff!$A:$C,3,0))</f>
        <v/>
      </c>
      <c r="AM70" s="28" t="str">
        <f aca="false">IF($A70="","",IF($N70="No","n/a",ROUND((AH70-AE70)*60,0)))</f>
        <v/>
      </c>
      <c r="AN70" s="28" t="str">
        <f aca="false">IF($A70="","",IF($O70="No","n/a",ROUND((AH70-AF70)*60,0)))</f>
        <v/>
      </c>
      <c r="AO70" s="28" t="str">
        <f aca="false">IF($A70="","",IF($P70="No","n/a",ROUND((AH70-AG70)*60,0)))</f>
        <v/>
      </c>
      <c r="AP70" s="28" t="str">
        <f aca="false">IF($A70="","",ROUND((AH70-AK70)*60,0))</f>
        <v/>
      </c>
      <c r="AQ70" s="28" t="str">
        <f aca="false">IF($A70="","",ROUND((AI70-AH70)*60,0))</f>
        <v/>
      </c>
      <c r="AR70" s="4" t="str">
        <f aca="false">IF($A70="","",IF(AP70&gt;=AC70,"Yes","No"))</f>
        <v/>
      </c>
      <c r="AS70" s="4" t="str">
        <f aca="false">IF($A70="","",IF(AQ70&gt;=AD70+AL70,"Yes","No"))</f>
        <v/>
      </c>
      <c r="AT70" s="4" t="str">
        <f aca="false">IF($A70="","",IF(AND(AR70="Yes",AS70="Yes"),"OK","REVIEW"))</f>
        <v/>
      </c>
      <c r="AU70" s="4" t="str">
        <f aca="false">IF($A70="","",IF($P70="No","Not applicable",IF(AO70&lt;Constants!$B$14,"CAPTURE","Not needed")))</f>
        <v/>
      </c>
      <c r="AV70" s="4" t="str">
        <f aca="false">IF($A70="","",IF($P70="No","n/a",RANK(AO70,AO:AO,1)))</f>
        <v/>
      </c>
      <c r="AW70" s="4" t="str">
        <f aca="false">IF($A70="","",IF(UPPER($E70)="YES","Strategic","Non-strategic"))</f>
        <v/>
      </c>
      <c r="AX70" s="4" t="str">
        <f aca="false">IF($A70="","",COUNTIFS(Fact_Work!$C:$C,$A70))</f>
        <v/>
      </c>
      <c r="AY70" s="4" t="str">
        <f aca="false">IF($A70="","",IF(AX70=0,"Not seen",IF(AX70&gt;=Constants!$B$13*0.6,"Daily",IF(AX70&gt;=Constants!$B$13*0.12,"Weekly","Monthly or ad hoc"))))</f>
        <v/>
      </c>
      <c r="AZ70" s="22" t="str">
        <f aca="false">IF($A70="","",IFERROR(VLOOKUP($U70,Dim_TOP!$A:$H,8,0),""))</f>
        <v/>
      </c>
      <c r="BA70" s="28" t="str">
        <f aca="false">IF($A70="","",IFERROR(ROUND((AH70-AZ70)*60,0),""))</f>
        <v/>
      </c>
      <c r="BB70" s="4" t="str">
        <f aca="false">IF($A70="","",IF(BA70="","",IF(BA70&lt;=0,"Sets the deadline","Later than peers by "&amp;BA70&amp;" min")))</f>
        <v/>
      </c>
      <c r="BC70" s="29" t="str">
        <f aca="false">IF($A70="","",IF($U70="",0,IF(COUNTIFS($U$2:$U70,$U70,$C$2:$C70,$C70)=1,1,0)))</f>
        <v/>
      </c>
      <c r="BD70" s="10" t="str">
        <f aca="false">IF($A70="","",IF(UPPER($P70)="YES","Yes","No"))</f>
        <v/>
      </c>
      <c r="BE70" s="10" t="str">
        <f aca="false">IF($A70="","",IF($N70="No","n/a",IF(AM70&lt;=Constants!$B$17,"Yes","No")))</f>
        <v/>
      </c>
      <c r="BF70" s="10" t="str">
        <f aca="false">IF($A70="","",IF($O70="No","n/a",IF(AN70&lt;=Constants!$B$17,"Yes","No")))</f>
        <v/>
      </c>
      <c r="BG70" s="10" t="str">
        <f aca="false">IF($A70="","",IF($P70="No","n/a",IF(AO70&lt;=Constants!$B$17,"Yes","No")))</f>
        <v/>
      </c>
      <c r="BH70" s="10" t="str">
        <f aca="false">IF($A70="","",IF($N70="No","No custody process",IF(BE70="Yes","Thin custody slack","Ample custody slack")))</f>
        <v/>
      </c>
      <c r="BI70" s="30" t="str">
        <f aca="false">IF($A70="","",IF($N70="No","",AM70))</f>
        <v/>
      </c>
      <c r="BJ70" s="30" t="str">
        <f aca="false">IF($A70="","",IF($O70="No","",AN70))</f>
        <v/>
      </c>
      <c r="BK70" s="30" t="str">
        <f aca="false">IF($A70="","",IF($P70="No","",AO70))</f>
        <v/>
      </c>
    </row>
    <row r="71" customFormat="false" ht="15" hidden="false" customHeight="true" outlineLevel="0" collapsed="false">
      <c r="Z71" s="28" t="str">
        <f aca="false">IF($A71="","",Constants!$B$6+$I71*Constants!$B$7+$J71*Constants!$B$8+$K71*Constants!$B$9+$L71*Constants!$B$10+$M71*Constants!$B$11)</f>
        <v/>
      </c>
      <c r="AA71" s="28" t="str">
        <f aca="false">IF($A71="","",100-Z71)</f>
        <v/>
      </c>
      <c r="AB71" s="28" t="str">
        <f aca="false">IF($A71="","",ROUND($H71*Constants!$B$4,1))</f>
        <v/>
      </c>
      <c r="AC71" s="28" t="str">
        <f aca="false">IF($A71="","",ROUND(AB71*Z71/100,1))</f>
        <v/>
      </c>
      <c r="AD71" s="28" t="str">
        <f aca="false">IF($A71="","",ROUND(AB71*AA71/100,1))</f>
        <v/>
      </c>
      <c r="AE71" s="22" t="str">
        <f aca="false">IF($A71="","",HOUR($Q71)+MINUTE($Q71)/60)</f>
        <v/>
      </c>
      <c r="AF71" s="22" t="str">
        <f aca="false">IF($A71="","",HOUR($R71)+MINUTE($R71)/60)</f>
        <v/>
      </c>
      <c r="AG71" s="22" t="str">
        <f aca="false">IF($A71="","",HOUR($S71)+MINUTE($S71)/60)</f>
        <v/>
      </c>
      <c r="AH71" s="22" t="str">
        <f aca="false">IF($A71="","",HOUR($T71)+MINUTE($T71)/60)</f>
        <v/>
      </c>
      <c r="AI71" s="22" t="str">
        <f aca="false">IF($A71="","",HOUR($V71)+MINUTE($V71)/60)</f>
        <v/>
      </c>
      <c r="AJ71" s="22" t="str">
        <f aca="false">IF($A71="","",HOUR($W71)+MINUTE($W71)/60)</f>
        <v/>
      </c>
      <c r="AK71" s="22" t="str">
        <f aca="false">IF($A71="","",VLOOKUP($F71,Dim_Team!$A:$F,6,0))</f>
        <v/>
      </c>
      <c r="AL71" s="28" t="str">
        <f aca="false">IF($A71="","",VLOOKUP($X71,Dim_Signoff!$A:$C,3,0))</f>
        <v/>
      </c>
      <c r="AM71" s="28" t="str">
        <f aca="false">IF($A71="","",IF($N71="No","n/a",ROUND((AH71-AE71)*60,0)))</f>
        <v/>
      </c>
      <c r="AN71" s="28" t="str">
        <f aca="false">IF($A71="","",IF($O71="No","n/a",ROUND((AH71-AF71)*60,0)))</f>
        <v/>
      </c>
      <c r="AO71" s="28" t="str">
        <f aca="false">IF($A71="","",IF($P71="No","n/a",ROUND((AH71-AG71)*60,0)))</f>
        <v/>
      </c>
      <c r="AP71" s="28" t="str">
        <f aca="false">IF($A71="","",ROUND((AH71-AK71)*60,0))</f>
        <v/>
      </c>
      <c r="AQ71" s="28" t="str">
        <f aca="false">IF($A71="","",ROUND((AI71-AH71)*60,0))</f>
        <v/>
      </c>
      <c r="AR71" s="4" t="str">
        <f aca="false">IF($A71="","",IF(AP71&gt;=AC71,"Yes","No"))</f>
        <v/>
      </c>
      <c r="AS71" s="4" t="str">
        <f aca="false">IF($A71="","",IF(AQ71&gt;=AD71+AL71,"Yes","No"))</f>
        <v/>
      </c>
      <c r="AT71" s="4" t="str">
        <f aca="false">IF($A71="","",IF(AND(AR71="Yes",AS71="Yes"),"OK","REVIEW"))</f>
        <v/>
      </c>
      <c r="AU71" s="4" t="str">
        <f aca="false">IF($A71="","",IF($P71="No","Not applicable",IF(AO71&lt;Constants!$B$14,"CAPTURE","Not needed")))</f>
        <v/>
      </c>
      <c r="AV71" s="4" t="str">
        <f aca="false">IF($A71="","",IF($P71="No","n/a",RANK(AO71,AO:AO,1)))</f>
        <v/>
      </c>
      <c r="AW71" s="4" t="str">
        <f aca="false">IF($A71="","",IF(UPPER($E71)="YES","Strategic","Non-strategic"))</f>
        <v/>
      </c>
      <c r="AX71" s="4" t="str">
        <f aca="false">IF($A71="","",COUNTIFS(Fact_Work!$C:$C,$A71))</f>
        <v/>
      </c>
      <c r="AY71" s="4" t="str">
        <f aca="false">IF($A71="","",IF(AX71=0,"Not seen",IF(AX71&gt;=Constants!$B$13*0.6,"Daily",IF(AX71&gt;=Constants!$B$13*0.12,"Weekly","Monthly or ad hoc"))))</f>
        <v/>
      </c>
      <c r="AZ71" s="22" t="str">
        <f aca="false">IF($A71="","",IFERROR(VLOOKUP($U71,Dim_TOP!$A:$H,8,0),""))</f>
        <v/>
      </c>
      <c r="BA71" s="28" t="str">
        <f aca="false">IF($A71="","",IFERROR(ROUND((AH71-AZ71)*60,0),""))</f>
        <v/>
      </c>
      <c r="BB71" s="4" t="str">
        <f aca="false">IF($A71="","",IF(BA71="","",IF(BA71&lt;=0,"Sets the deadline","Later than peers by "&amp;BA71&amp;" min")))</f>
        <v/>
      </c>
      <c r="BC71" s="29" t="str">
        <f aca="false">IF($A71="","",IF($U71="",0,IF(COUNTIFS($U$2:$U71,$U71,$C$2:$C71,$C71)=1,1,0)))</f>
        <v/>
      </c>
      <c r="BD71" s="10" t="str">
        <f aca="false">IF($A71="","",IF(UPPER($P71)="YES","Yes","No"))</f>
        <v/>
      </c>
      <c r="BE71" s="10" t="str">
        <f aca="false">IF($A71="","",IF($N71="No","n/a",IF(AM71&lt;=Constants!$B$17,"Yes","No")))</f>
        <v/>
      </c>
      <c r="BF71" s="10" t="str">
        <f aca="false">IF($A71="","",IF($O71="No","n/a",IF(AN71&lt;=Constants!$B$17,"Yes","No")))</f>
        <v/>
      </c>
      <c r="BG71" s="10" t="str">
        <f aca="false">IF($A71="","",IF($P71="No","n/a",IF(AO71&lt;=Constants!$B$17,"Yes","No")))</f>
        <v/>
      </c>
      <c r="BH71" s="10" t="str">
        <f aca="false">IF($A71="","",IF($N71="No","No custody process",IF(BE71="Yes","Thin custody slack","Ample custody slack")))</f>
        <v/>
      </c>
      <c r="BI71" s="30" t="str">
        <f aca="false">IF($A71="","",IF($N71="No","",AM71))</f>
        <v/>
      </c>
      <c r="BJ71" s="30" t="str">
        <f aca="false">IF($A71="","",IF($O71="No","",AN71))</f>
        <v/>
      </c>
      <c r="BK71" s="30" t="str">
        <f aca="false">IF($A71="","",IF($P71="No","",AO71))</f>
        <v/>
      </c>
    </row>
    <row r="72" customFormat="false" ht="15" hidden="false" customHeight="true" outlineLevel="0" collapsed="false">
      <c r="Z72" s="28" t="str">
        <f aca="false">IF($A72="","",Constants!$B$6+$I72*Constants!$B$7+$J72*Constants!$B$8+$K72*Constants!$B$9+$L72*Constants!$B$10+$M72*Constants!$B$11)</f>
        <v/>
      </c>
      <c r="AA72" s="28" t="str">
        <f aca="false">IF($A72="","",100-Z72)</f>
        <v/>
      </c>
      <c r="AB72" s="28" t="str">
        <f aca="false">IF($A72="","",ROUND($H72*Constants!$B$4,1))</f>
        <v/>
      </c>
      <c r="AC72" s="28" t="str">
        <f aca="false">IF($A72="","",ROUND(AB72*Z72/100,1))</f>
        <v/>
      </c>
      <c r="AD72" s="28" t="str">
        <f aca="false">IF($A72="","",ROUND(AB72*AA72/100,1))</f>
        <v/>
      </c>
      <c r="AE72" s="22" t="str">
        <f aca="false">IF($A72="","",HOUR($Q72)+MINUTE($Q72)/60)</f>
        <v/>
      </c>
      <c r="AF72" s="22" t="str">
        <f aca="false">IF($A72="","",HOUR($R72)+MINUTE($R72)/60)</f>
        <v/>
      </c>
      <c r="AG72" s="22" t="str">
        <f aca="false">IF($A72="","",HOUR($S72)+MINUTE($S72)/60)</f>
        <v/>
      </c>
      <c r="AH72" s="22" t="str">
        <f aca="false">IF($A72="","",HOUR($T72)+MINUTE($T72)/60)</f>
        <v/>
      </c>
      <c r="AI72" s="22" t="str">
        <f aca="false">IF($A72="","",HOUR($V72)+MINUTE($V72)/60)</f>
        <v/>
      </c>
      <c r="AJ72" s="22" t="str">
        <f aca="false">IF($A72="","",HOUR($W72)+MINUTE($W72)/60)</f>
        <v/>
      </c>
      <c r="AK72" s="22" t="str">
        <f aca="false">IF($A72="","",VLOOKUP($F72,Dim_Team!$A:$F,6,0))</f>
        <v/>
      </c>
      <c r="AL72" s="28" t="str">
        <f aca="false">IF($A72="","",VLOOKUP($X72,Dim_Signoff!$A:$C,3,0))</f>
        <v/>
      </c>
      <c r="AM72" s="28" t="str">
        <f aca="false">IF($A72="","",IF($N72="No","n/a",ROUND((AH72-AE72)*60,0)))</f>
        <v/>
      </c>
      <c r="AN72" s="28" t="str">
        <f aca="false">IF($A72="","",IF($O72="No","n/a",ROUND((AH72-AF72)*60,0)))</f>
        <v/>
      </c>
      <c r="AO72" s="28" t="str">
        <f aca="false">IF($A72="","",IF($P72="No","n/a",ROUND((AH72-AG72)*60,0)))</f>
        <v/>
      </c>
      <c r="AP72" s="28" t="str">
        <f aca="false">IF($A72="","",ROUND((AH72-AK72)*60,0))</f>
        <v/>
      </c>
      <c r="AQ72" s="28" t="str">
        <f aca="false">IF($A72="","",ROUND((AI72-AH72)*60,0))</f>
        <v/>
      </c>
      <c r="AR72" s="4" t="str">
        <f aca="false">IF($A72="","",IF(AP72&gt;=AC72,"Yes","No"))</f>
        <v/>
      </c>
      <c r="AS72" s="4" t="str">
        <f aca="false">IF($A72="","",IF(AQ72&gt;=AD72+AL72,"Yes","No"))</f>
        <v/>
      </c>
      <c r="AT72" s="4" t="str">
        <f aca="false">IF($A72="","",IF(AND(AR72="Yes",AS72="Yes"),"OK","REVIEW"))</f>
        <v/>
      </c>
      <c r="AU72" s="4" t="str">
        <f aca="false">IF($A72="","",IF($P72="No","Not applicable",IF(AO72&lt;Constants!$B$14,"CAPTURE","Not needed")))</f>
        <v/>
      </c>
      <c r="AV72" s="4" t="str">
        <f aca="false">IF($A72="","",IF($P72="No","n/a",RANK(AO72,AO:AO,1)))</f>
        <v/>
      </c>
      <c r="AW72" s="4" t="str">
        <f aca="false">IF($A72="","",IF(UPPER($E72)="YES","Strategic","Non-strategic"))</f>
        <v/>
      </c>
      <c r="AX72" s="4" t="str">
        <f aca="false">IF($A72="","",COUNTIFS(Fact_Work!$C:$C,$A72))</f>
        <v/>
      </c>
      <c r="AY72" s="4" t="str">
        <f aca="false">IF($A72="","",IF(AX72=0,"Not seen",IF(AX72&gt;=Constants!$B$13*0.6,"Daily",IF(AX72&gt;=Constants!$B$13*0.12,"Weekly","Monthly or ad hoc"))))</f>
        <v/>
      </c>
      <c r="AZ72" s="22" t="str">
        <f aca="false">IF($A72="","",IFERROR(VLOOKUP($U72,Dim_TOP!$A:$H,8,0),""))</f>
        <v/>
      </c>
      <c r="BA72" s="28" t="str">
        <f aca="false">IF($A72="","",IFERROR(ROUND((AH72-AZ72)*60,0),""))</f>
        <v/>
      </c>
      <c r="BB72" s="4" t="str">
        <f aca="false">IF($A72="","",IF(BA72="","",IF(BA72&lt;=0,"Sets the deadline","Later than peers by "&amp;BA72&amp;" min")))</f>
        <v/>
      </c>
      <c r="BC72" s="29" t="str">
        <f aca="false">IF($A72="","",IF($U72="",0,IF(COUNTIFS($U$2:$U72,$U72,$C$2:$C72,$C72)=1,1,0)))</f>
        <v/>
      </c>
      <c r="BD72" s="10" t="str">
        <f aca="false">IF($A72="","",IF(UPPER($P72)="YES","Yes","No"))</f>
        <v/>
      </c>
      <c r="BE72" s="10" t="str">
        <f aca="false">IF($A72="","",IF($N72="No","n/a",IF(AM72&lt;=Constants!$B$17,"Yes","No")))</f>
        <v/>
      </c>
      <c r="BF72" s="10" t="str">
        <f aca="false">IF($A72="","",IF($O72="No","n/a",IF(AN72&lt;=Constants!$B$17,"Yes","No")))</f>
        <v/>
      </c>
      <c r="BG72" s="10" t="str">
        <f aca="false">IF($A72="","",IF($P72="No","n/a",IF(AO72&lt;=Constants!$B$17,"Yes","No")))</f>
        <v/>
      </c>
      <c r="BH72" s="10" t="str">
        <f aca="false">IF($A72="","",IF($N72="No","No custody process",IF(BE72="Yes","Thin custody slack","Ample custody slack")))</f>
        <v/>
      </c>
      <c r="BI72" s="30" t="str">
        <f aca="false">IF($A72="","",IF($N72="No","",AM72))</f>
        <v/>
      </c>
      <c r="BJ72" s="30" t="str">
        <f aca="false">IF($A72="","",IF($O72="No","",AN72))</f>
        <v/>
      </c>
      <c r="BK72" s="30" t="str">
        <f aca="false">IF($A72="","",IF($P72="No","",AO72))</f>
        <v/>
      </c>
    </row>
    <row r="73" customFormat="false" ht="15" hidden="false" customHeight="true" outlineLevel="0" collapsed="false">
      <c r="Z73" s="28" t="str">
        <f aca="false">IF($A73="","",Constants!$B$6+$I73*Constants!$B$7+$J73*Constants!$B$8+$K73*Constants!$B$9+$L73*Constants!$B$10+$M73*Constants!$B$11)</f>
        <v/>
      </c>
      <c r="AA73" s="28" t="str">
        <f aca="false">IF($A73="","",100-Z73)</f>
        <v/>
      </c>
      <c r="AB73" s="28" t="str">
        <f aca="false">IF($A73="","",ROUND($H73*Constants!$B$4,1))</f>
        <v/>
      </c>
      <c r="AC73" s="28" t="str">
        <f aca="false">IF($A73="","",ROUND(AB73*Z73/100,1))</f>
        <v/>
      </c>
      <c r="AD73" s="28" t="str">
        <f aca="false">IF($A73="","",ROUND(AB73*AA73/100,1))</f>
        <v/>
      </c>
      <c r="AE73" s="22" t="str">
        <f aca="false">IF($A73="","",HOUR($Q73)+MINUTE($Q73)/60)</f>
        <v/>
      </c>
      <c r="AF73" s="22" t="str">
        <f aca="false">IF($A73="","",HOUR($R73)+MINUTE($R73)/60)</f>
        <v/>
      </c>
      <c r="AG73" s="22" t="str">
        <f aca="false">IF($A73="","",HOUR($S73)+MINUTE($S73)/60)</f>
        <v/>
      </c>
      <c r="AH73" s="22" t="str">
        <f aca="false">IF($A73="","",HOUR($T73)+MINUTE($T73)/60)</f>
        <v/>
      </c>
      <c r="AI73" s="22" t="str">
        <f aca="false">IF($A73="","",HOUR($V73)+MINUTE($V73)/60)</f>
        <v/>
      </c>
      <c r="AJ73" s="22" t="str">
        <f aca="false">IF($A73="","",HOUR($W73)+MINUTE($W73)/60)</f>
        <v/>
      </c>
      <c r="AK73" s="22" t="str">
        <f aca="false">IF($A73="","",VLOOKUP($F73,Dim_Team!$A:$F,6,0))</f>
        <v/>
      </c>
      <c r="AL73" s="28" t="str">
        <f aca="false">IF($A73="","",VLOOKUP($X73,Dim_Signoff!$A:$C,3,0))</f>
        <v/>
      </c>
      <c r="AM73" s="28" t="str">
        <f aca="false">IF($A73="","",IF($N73="No","n/a",ROUND((AH73-AE73)*60,0)))</f>
        <v/>
      </c>
      <c r="AN73" s="28" t="str">
        <f aca="false">IF($A73="","",IF($O73="No","n/a",ROUND((AH73-AF73)*60,0)))</f>
        <v/>
      </c>
      <c r="AO73" s="28" t="str">
        <f aca="false">IF($A73="","",IF($P73="No","n/a",ROUND((AH73-AG73)*60,0)))</f>
        <v/>
      </c>
      <c r="AP73" s="28" t="str">
        <f aca="false">IF($A73="","",ROUND((AH73-AK73)*60,0))</f>
        <v/>
      </c>
      <c r="AQ73" s="28" t="str">
        <f aca="false">IF($A73="","",ROUND((AI73-AH73)*60,0))</f>
        <v/>
      </c>
      <c r="AR73" s="4" t="str">
        <f aca="false">IF($A73="","",IF(AP73&gt;=AC73,"Yes","No"))</f>
        <v/>
      </c>
      <c r="AS73" s="4" t="str">
        <f aca="false">IF($A73="","",IF(AQ73&gt;=AD73+AL73,"Yes","No"))</f>
        <v/>
      </c>
      <c r="AT73" s="4" t="str">
        <f aca="false">IF($A73="","",IF(AND(AR73="Yes",AS73="Yes"),"OK","REVIEW"))</f>
        <v/>
      </c>
      <c r="AU73" s="4" t="str">
        <f aca="false">IF($A73="","",IF($P73="No","Not applicable",IF(AO73&lt;Constants!$B$14,"CAPTURE","Not needed")))</f>
        <v/>
      </c>
      <c r="AV73" s="4" t="str">
        <f aca="false">IF($A73="","",IF($P73="No","n/a",RANK(AO73,AO:AO,1)))</f>
        <v/>
      </c>
      <c r="AW73" s="4" t="str">
        <f aca="false">IF($A73="","",IF(UPPER($E73)="YES","Strategic","Non-strategic"))</f>
        <v/>
      </c>
      <c r="AX73" s="4" t="str">
        <f aca="false">IF($A73="","",COUNTIFS(Fact_Work!$C:$C,$A73))</f>
        <v/>
      </c>
      <c r="AY73" s="4" t="str">
        <f aca="false">IF($A73="","",IF(AX73=0,"Not seen",IF(AX73&gt;=Constants!$B$13*0.6,"Daily",IF(AX73&gt;=Constants!$B$13*0.12,"Weekly","Monthly or ad hoc"))))</f>
        <v/>
      </c>
      <c r="AZ73" s="22" t="str">
        <f aca="false">IF($A73="","",IFERROR(VLOOKUP($U73,Dim_TOP!$A:$H,8,0),""))</f>
        <v/>
      </c>
      <c r="BA73" s="28" t="str">
        <f aca="false">IF($A73="","",IFERROR(ROUND((AH73-AZ73)*60,0),""))</f>
        <v/>
      </c>
      <c r="BB73" s="4" t="str">
        <f aca="false">IF($A73="","",IF(BA73="","",IF(BA73&lt;=0,"Sets the deadline","Later than peers by "&amp;BA73&amp;" min")))</f>
        <v/>
      </c>
      <c r="BC73" s="29" t="str">
        <f aca="false">IF($A73="","",IF($U73="",0,IF(COUNTIFS($U$2:$U73,$U73,$C$2:$C73,$C73)=1,1,0)))</f>
        <v/>
      </c>
      <c r="BD73" s="10" t="str">
        <f aca="false">IF($A73="","",IF(UPPER($P73)="YES","Yes","No"))</f>
        <v/>
      </c>
      <c r="BE73" s="10" t="str">
        <f aca="false">IF($A73="","",IF($N73="No","n/a",IF(AM73&lt;=Constants!$B$17,"Yes","No")))</f>
        <v/>
      </c>
      <c r="BF73" s="10" t="str">
        <f aca="false">IF($A73="","",IF($O73="No","n/a",IF(AN73&lt;=Constants!$B$17,"Yes","No")))</f>
        <v/>
      </c>
      <c r="BG73" s="10" t="str">
        <f aca="false">IF($A73="","",IF($P73="No","n/a",IF(AO73&lt;=Constants!$B$17,"Yes","No")))</f>
        <v/>
      </c>
      <c r="BH73" s="10" t="str">
        <f aca="false">IF($A73="","",IF($N73="No","No custody process",IF(BE73="Yes","Thin custody slack","Ample custody slack")))</f>
        <v/>
      </c>
      <c r="BI73" s="30" t="str">
        <f aca="false">IF($A73="","",IF($N73="No","",AM73))</f>
        <v/>
      </c>
      <c r="BJ73" s="30" t="str">
        <f aca="false">IF($A73="","",IF($O73="No","",AN73))</f>
        <v/>
      </c>
      <c r="BK73" s="30" t="str">
        <f aca="false">IF($A73="","",IF($P73="No","",AO73))</f>
        <v/>
      </c>
    </row>
    <row r="74" customFormat="false" ht="15" hidden="false" customHeight="true" outlineLevel="0" collapsed="false">
      <c r="Z74" s="28" t="str">
        <f aca="false">IF($A74="","",Constants!$B$6+$I74*Constants!$B$7+$J74*Constants!$B$8+$K74*Constants!$B$9+$L74*Constants!$B$10+$M74*Constants!$B$11)</f>
        <v/>
      </c>
      <c r="AA74" s="28" t="str">
        <f aca="false">IF($A74="","",100-Z74)</f>
        <v/>
      </c>
      <c r="AB74" s="28" t="str">
        <f aca="false">IF($A74="","",ROUND($H74*Constants!$B$4,1))</f>
        <v/>
      </c>
      <c r="AC74" s="28" t="str">
        <f aca="false">IF($A74="","",ROUND(AB74*Z74/100,1))</f>
        <v/>
      </c>
      <c r="AD74" s="28" t="str">
        <f aca="false">IF($A74="","",ROUND(AB74*AA74/100,1))</f>
        <v/>
      </c>
      <c r="AE74" s="22" t="str">
        <f aca="false">IF($A74="","",HOUR($Q74)+MINUTE($Q74)/60)</f>
        <v/>
      </c>
      <c r="AF74" s="22" t="str">
        <f aca="false">IF($A74="","",HOUR($R74)+MINUTE($R74)/60)</f>
        <v/>
      </c>
      <c r="AG74" s="22" t="str">
        <f aca="false">IF($A74="","",HOUR($S74)+MINUTE($S74)/60)</f>
        <v/>
      </c>
      <c r="AH74" s="22" t="str">
        <f aca="false">IF($A74="","",HOUR($T74)+MINUTE($T74)/60)</f>
        <v/>
      </c>
      <c r="AI74" s="22" t="str">
        <f aca="false">IF($A74="","",HOUR($V74)+MINUTE($V74)/60)</f>
        <v/>
      </c>
      <c r="AJ74" s="22" t="str">
        <f aca="false">IF($A74="","",HOUR($W74)+MINUTE($W74)/60)</f>
        <v/>
      </c>
      <c r="AK74" s="22" t="str">
        <f aca="false">IF($A74="","",VLOOKUP($F74,Dim_Team!$A:$F,6,0))</f>
        <v/>
      </c>
      <c r="AL74" s="28" t="str">
        <f aca="false">IF($A74="","",VLOOKUP($X74,Dim_Signoff!$A:$C,3,0))</f>
        <v/>
      </c>
      <c r="AM74" s="28" t="str">
        <f aca="false">IF($A74="","",IF($N74="No","n/a",ROUND((AH74-AE74)*60,0)))</f>
        <v/>
      </c>
      <c r="AN74" s="28" t="str">
        <f aca="false">IF($A74="","",IF($O74="No","n/a",ROUND((AH74-AF74)*60,0)))</f>
        <v/>
      </c>
      <c r="AO74" s="28" t="str">
        <f aca="false">IF($A74="","",IF($P74="No","n/a",ROUND((AH74-AG74)*60,0)))</f>
        <v/>
      </c>
      <c r="AP74" s="28" t="str">
        <f aca="false">IF($A74="","",ROUND((AH74-AK74)*60,0))</f>
        <v/>
      </c>
      <c r="AQ74" s="28" t="str">
        <f aca="false">IF($A74="","",ROUND((AI74-AH74)*60,0))</f>
        <v/>
      </c>
      <c r="AR74" s="4" t="str">
        <f aca="false">IF($A74="","",IF(AP74&gt;=AC74,"Yes","No"))</f>
        <v/>
      </c>
      <c r="AS74" s="4" t="str">
        <f aca="false">IF($A74="","",IF(AQ74&gt;=AD74+AL74,"Yes","No"))</f>
        <v/>
      </c>
      <c r="AT74" s="4" t="str">
        <f aca="false">IF($A74="","",IF(AND(AR74="Yes",AS74="Yes"),"OK","REVIEW"))</f>
        <v/>
      </c>
      <c r="AU74" s="4" t="str">
        <f aca="false">IF($A74="","",IF($P74="No","Not applicable",IF(AO74&lt;Constants!$B$14,"CAPTURE","Not needed")))</f>
        <v/>
      </c>
      <c r="AV74" s="4" t="str">
        <f aca="false">IF($A74="","",IF($P74="No","n/a",RANK(AO74,AO:AO,1)))</f>
        <v/>
      </c>
      <c r="AW74" s="4" t="str">
        <f aca="false">IF($A74="","",IF(UPPER($E74)="YES","Strategic","Non-strategic"))</f>
        <v/>
      </c>
      <c r="AX74" s="4" t="str">
        <f aca="false">IF($A74="","",COUNTIFS(Fact_Work!$C:$C,$A74))</f>
        <v/>
      </c>
      <c r="AY74" s="4" t="str">
        <f aca="false">IF($A74="","",IF(AX74=0,"Not seen",IF(AX74&gt;=Constants!$B$13*0.6,"Daily",IF(AX74&gt;=Constants!$B$13*0.12,"Weekly","Monthly or ad hoc"))))</f>
        <v/>
      </c>
      <c r="AZ74" s="22" t="str">
        <f aca="false">IF($A74="","",IFERROR(VLOOKUP($U74,Dim_TOP!$A:$H,8,0),""))</f>
        <v/>
      </c>
      <c r="BA74" s="28" t="str">
        <f aca="false">IF($A74="","",IFERROR(ROUND((AH74-AZ74)*60,0),""))</f>
        <v/>
      </c>
      <c r="BB74" s="4" t="str">
        <f aca="false">IF($A74="","",IF(BA74="","",IF(BA74&lt;=0,"Sets the deadline","Later than peers by "&amp;BA74&amp;" min")))</f>
        <v/>
      </c>
      <c r="BC74" s="29" t="str">
        <f aca="false">IF($A74="","",IF($U74="",0,IF(COUNTIFS($U$2:$U74,$U74,$C$2:$C74,$C74)=1,1,0)))</f>
        <v/>
      </c>
      <c r="BD74" s="10" t="str">
        <f aca="false">IF($A74="","",IF(UPPER($P74)="YES","Yes","No"))</f>
        <v/>
      </c>
      <c r="BE74" s="10" t="str">
        <f aca="false">IF($A74="","",IF($N74="No","n/a",IF(AM74&lt;=Constants!$B$17,"Yes","No")))</f>
        <v/>
      </c>
      <c r="BF74" s="10" t="str">
        <f aca="false">IF($A74="","",IF($O74="No","n/a",IF(AN74&lt;=Constants!$B$17,"Yes","No")))</f>
        <v/>
      </c>
      <c r="BG74" s="10" t="str">
        <f aca="false">IF($A74="","",IF($P74="No","n/a",IF(AO74&lt;=Constants!$B$17,"Yes","No")))</f>
        <v/>
      </c>
      <c r="BH74" s="10" t="str">
        <f aca="false">IF($A74="","",IF($N74="No","No custody process",IF(BE74="Yes","Thin custody slack","Ample custody slack")))</f>
        <v/>
      </c>
      <c r="BI74" s="30" t="str">
        <f aca="false">IF($A74="","",IF($N74="No","",AM74))</f>
        <v/>
      </c>
      <c r="BJ74" s="30" t="str">
        <f aca="false">IF($A74="","",IF($O74="No","",AN74))</f>
        <v/>
      </c>
      <c r="BK74" s="30" t="str">
        <f aca="false">IF($A74="","",IF($P74="No","",AO74))</f>
        <v/>
      </c>
    </row>
    <row r="75" customFormat="false" ht="15" hidden="false" customHeight="true" outlineLevel="0" collapsed="false">
      <c r="Z75" s="28" t="str">
        <f aca="false">IF($A75="","",Constants!$B$6+$I75*Constants!$B$7+$J75*Constants!$B$8+$K75*Constants!$B$9+$L75*Constants!$B$10+$M75*Constants!$B$11)</f>
        <v/>
      </c>
      <c r="AA75" s="28" t="str">
        <f aca="false">IF($A75="","",100-Z75)</f>
        <v/>
      </c>
      <c r="AB75" s="28" t="str">
        <f aca="false">IF($A75="","",ROUND($H75*Constants!$B$4,1))</f>
        <v/>
      </c>
      <c r="AC75" s="28" t="str">
        <f aca="false">IF($A75="","",ROUND(AB75*Z75/100,1))</f>
        <v/>
      </c>
      <c r="AD75" s="28" t="str">
        <f aca="false">IF($A75="","",ROUND(AB75*AA75/100,1))</f>
        <v/>
      </c>
      <c r="AE75" s="22" t="str">
        <f aca="false">IF($A75="","",HOUR($Q75)+MINUTE($Q75)/60)</f>
        <v/>
      </c>
      <c r="AF75" s="22" t="str">
        <f aca="false">IF($A75="","",HOUR($R75)+MINUTE($R75)/60)</f>
        <v/>
      </c>
      <c r="AG75" s="22" t="str">
        <f aca="false">IF($A75="","",HOUR($S75)+MINUTE($S75)/60)</f>
        <v/>
      </c>
      <c r="AH75" s="22" t="str">
        <f aca="false">IF($A75="","",HOUR($T75)+MINUTE($T75)/60)</f>
        <v/>
      </c>
      <c r="AI75" s="22" t="str">
        <f aca="false">IF($A75="","",HOUR($V75)+MINUTE($V75)/60)</f>
        <v/>
      </c>
      <c r="AJ75" s="22" t="str">
        <f aca="false">IF($A75="","",HOUR($W75)+MINUTE($W75)/60)</f>
        <v/>
      </c>
      <c r="AK75" s="22" t="str">
        <f aca="false">IF($A75="","",VLOOKUP($F75,Dim_Team!$A:$F,6,0))</f>
        <v/>
      </c>
      <c r="AL75" s="28" t="str">
        <f aca="false">IF($A75="","",VLOOKUP($X75,Dim_Signoff!$A:$C,3,0))</f>
        <v/>
      </c>
      <c r="AM75" s="28" t="str">
        <f aca="false">IF($A75="","",IF($N75="No","n/a",ROUND((AH75-AE75)*60,0)))</f>
        <v/>
      </c>
      <c r="AN75" s="28" t="str">
        <f aca="false">IF($A75="","",IF($O75="No","n/a",ROUND((AH75-AF75)*60,0)))</f>
        <v/>
      </c>
      <c r="AO75" s="28" t="str">
        <f aca="false">IF($A75="","",IF($P75="No","n/a",ROUND((AH75-AG75)*60,0)))</f>
        <v/>
      </c>
      <c r="AP75" s="28" t="str">
        <f aca="false">IF($A75="","",ROUND((AH75-AK75)*60,0))</f>
        <v/>
      </c>
      <c r="AQ75" s="28" t="str">
        <f aca="false">IF($A75="","",ROUND((AI75-AH75)*60,0))</f>
        <v/>
      </c>
      <c r="AR75" s="4" t="str">
        <f aca="false">IF($A75="","",IF(AP75&gt;=AC75,"Yes","No"))</f>
        <v/>
      </c>
      <c r="AS75" s="4" t="str">
        <f aca="false">IF($A75="","",IF(AQ75&gt;=AD75+AL75,"Yes","No"))</f>
        <v/>
      </c>
      <c r="AT75" s="4" t="str">
        <f aca="false">IF($A75="","",IF(AND(AR75="Yes",AS75="Yes"),"OK","REVIEW"))</f>
        <v/>
      </c>
      <c r="AU75" s="4" t="str">
        <f aca="false">IF($A75="","",IF($P75="No","Not applicable",IF(AO75&lt;Constants!$B$14,"CAPTURE","Not needed")))</f>
        <v/>
      </c>
      <c r="AV75" s="4" t="str">
        <f aca="false">IF($A75="","",IF($P75="No","n/a",RANK(AO75,AO:AO,1)))</f>
        <v/>
      </c>
      <c r="AW75" s="4" t="str">
        <f aca="false">IF($A75="","",IF(UPPER($E75)="YES","Strategic","Non-strategic"))</f>
        <v/>
      </c>
      <c r="AX75" s="4" t="str">
        <f aca="false">IF($A75="","",COUNTIFS(Fact_Work!$C:$C,$A75))</f>
        <v/>
      </c>
      <c r="AY75" s="4" t="str">
        <f aca="false">IF($A75="","",IF(AX75=0,"Not seen",IF(AX75&gt;=Constants!$B$13*0.6,"Daily",IF(AX75&gt;=Constants!$B$13*0.12,"Weekly","Monthly or ad hoc"))))</f>
        <v/>
      </c>
      <c r="AZ75" s="22" t="str">
        <f aca="false">IF($A75="","",IFERROR(VLOOKUP($U75,Dim_TOP!$A:$H,8,0),""))</f>
        <v/>
      </c>
      <c r="BA75" s="28" t="str">
        <f aca="false">IF($A75="","",IFERROR(ROUND((AH75-AZ75)*60,0),""))</f>
        <v/>
      </c>
      <c r="BB75" s="4" t="str">
        <f aca="false">IF($A75="","",IF(BA75="","",IF(BA75&lt;=0,"Sets the deadline","Later than peers by "&amp;BA75&amp;" min")))</f>
        <v/>
      </c>
      <c r="BC75" s="29" t="str">
        <f aca="false">IF($A75="","",IF($U75="",0,IF(COUNTIFS($U$2:$U75,$U75,$C$2:$C75,$C75)=1,1,0)))</f>
        <v/>
      </c>
      <c r="BD75" s="10" t="str">
        <f aca="false">IF($A75="","",IF(UPPER($P75)="YES","Yes","No"))</f>
        <v/>
      </c>
      <c r="BE75" s="10" t="str">
        <f aca="false">IF($A75="","",IF($N75="No","n/a",IF(AM75&lt;=Constants!$B$17,"Yes","No")))</f>
        <v/>
      </c>
      <c r="BF75" s="10" t="str">
        <f aca="false">IF($A75="","",IF($O75="No","n/a",IF(AN75&lt;=Constants!$B$17,"Yes","No")))</f>
        <v/>
      </c>
      <c r="BG75" s="10" t="str">
        <f aca="false">IF($A75="","",IF($P75="No","n/a",IF(AO75&lt;=Constants!$B$17,"Yes","No")))</f>
        <v/>
      </c>
      <c r="BH75" s="10" t="str">
        <f aca="false">IF($A75="","",IF($N75="No","No custody process",IF(BE75="Yes","Thin custody slack","Ample custody slack")))</f>
        <v/>
      </c>
      <c r="BI75" s="30" t="str">
        <f aca="false">IF($A75="","",IF($N75="No","",AM75))</f>
        <v/>
      </c>
      <c r="BJ75" s="30" t="str">
        <f aca="false">IF($A75="","",IF($O75="No","",AN75))</f>
        <v/>
      </c>
      <c r="BK75" s="30" t="str">
        <f aca="false">IF($A75="","",IF($P75="No","",AO75))</f>
        <v/>
      </c>
    </row>
    <row r="76" customFormat="false" ht="15" hidden="false" customHeight="true" outlineLevel="0" collapsed="false">
      <c r="Z76" s="28" t="str">
        <f aca="false">IF($A76="","",Constants!$B$6+$I76*Constants!$B$7+$J76*Constants!$B$8+$K76*Constants!$B$9+$L76*Constants!$B$10+$M76*Constants!$B$11)</f>
        <v/>
      </c>
      <c r="AA76" s="28" t="str">
        <f aca="false">IF($A76="","",100-Z76)</f>
        <v/>
      </c>
      <c r="AB76" s="28" t="str">
        <f aca="false">IF($A76="","",ROUND($H76*Constants!$B$4,1))</f>
        <v/>
      </c>
      <c r="AC76" s="28" t="str">
        <f aca="false">IF($A76="","",ROUND(AB76*Z76/100,1))</f>
        <v/>
      </c>
      <c r="AD76" s="28" t="str">
        <f aca="false">IF($A76="","",ROUND(AB76*AA76/100,1))</f>
        <v/>
      </c>
      <c r="AE76" s="22" t="str">
        <f aca="false">IF($A76="","",HOUR($Q76)+MINUTE($Q76)/60)</f>
        <v/>
      </c>
      <c r="AF76" s="22" t="str">
        <f aca="false">IF($A76="","",HOUR($R76)+MINUTE($R76)/60)</f>
        <v/>
      </c>
      <c r="AG76" s="22" t="str">
        <f aca="false">IF($A76="","",HOUR($S76)+MINUTE($S76)/60)</f>
        <v/>
      </c>
      <c r="AH76" s="22" t="str">
        <f aca="false">IF($A76="","",HOUR($T76)+MINUTE($T76)/60)</f>
        <v/>
      </c>
      <c r="AI76" s="22" t="str">
        <f aca="false">IF($A76="","",HOUR($V76)+MINUTE($V76)/60)</f>
        <v/>
      </c>
      <c r="AJ76" s="22" t="str">
        <f aca="false">IF($A76="","",HOUR($W76)+MINUTE($W76)/60)</f>
        <v/>
      </c>
      <c r="AK76" s="22" t="str">
        <f aca="false">IF($A76="","",VLOOKUP($F76,Dim_Team!$A:$F,6,0))</f>
        <v/>
      </c>
      <c r="AL76" s="28" t="str">
        <f aca="false">IF($A76="","",VLOOKUP($X76,Dim_Signoff!$A:$C,3,0))</f>
        <v/>
      </c>
      <c r="AM76" s="28" t="str">
        <f aca="false">IF($A76="","",IF($N76="No","n/a",ROUND((AH76-AE76)*60,0)))</f>
        <v/>
      </c>
      <c r="AN76" s="28" t="str">
        <f aca="false">IF($A76="","",IF($O76="No","n/a",ROUND((AH76-AF76)*60,0)))</f>
        <v/>
      </c>
      <c r="AO76" s="28" t="str">
        <f aca="false">IF($A76="","",IF($P76="No","n/a",ROUND((AH76-AG76)*60,0)))</f>
        <v/>
      </c>
      <c r="AP76" s="28" t="str">
        <f aca="false">IF($A76="","",ROUND((AH76-AK76)*60,0))</f>
        <v/>
      </c>
      <c r="AQ76" s="28" t="str">
        <f aca="false">IF($A76="","",ROUND((AI76-AH76)*60,0))</f>
        <v/>
      </c>
      <c r="AR76" s="4" t="str">
        <f aca="false">IF($A76="","",IF(AP76&gt;=AC76,"Yes","No"))</f>
        <v/>
      </c>
      <c r="AS76" s="4" t="str">
        <f aca="false">IF($A76="","",IF(AQ76&gt;=AD76+AL76,"Yes","No"))</f>
        <v/>
      </c>
      <c r="AT76" s="4" t="str">
        <f aca="false">IF($A76="","",IF(AND(AR76="Yes",AS76="Yes"),"OK","REVIEW"))</f>
        <v/>
      </c>
      <c r="AU76" s="4" t="str">
        <f aca="false">IF($A76="","",IF($P76="No","Not applicable",IF(AO76&lt;Constants!$B$14,"CAPTURE","Not needed")))</f>
        <v/>
      </c>
      <c r="AV76" s="4" t="str">
        <f aca="false">IF($A76="","",IF($P76="No","n/a",RANK(AO76,AO:AO,1)))</f>
        <v/>
      </c>
      <c r="AW76" s="4" t="str">
        <f aca="false">IF($A76="","",IF(UPPER($E76)="YES","Strategic","Non-strategic"))</f>
        <v/>
      </c>
      <c r="AX76" s="4" t="str">
        <f aca="false">IF($A76="","",COUNTIFS(Fact_Work!$C:$C,$A76))</f>
        <v/>
      </c>
      <c r="AY76" s="4" t="str">
        <f aca="false">IF($A76="","",IF(AX76=0,"Not seen",IF(AX76&gt;=Constants!$B$13*0.6,"Daily",IF(AX76&gt;=Constants!$B$13*0.12,"Weekly","Monthly or ad hoc"))))</f>
        <v/>
      </c>
      <c r="AZ76" s="22" t="str">
        <f aca="false">IF($A76="","",IFERROR(VLOOKUP($U76,Dim_TOP!$A:$H,8,0),""))</f>
        <v/>
      </c>
      <c r="BA76" s="28" t="str">
        <f aca="false">IF($A76="","",IFERROR(ROUND((AH76-AZ76)*60,0),""))</f>
        <v/>
      </c>
      <c r="BB76" s="4" t="str">
        <f aca="false">IF($A76="","",IF(BA76="","",IF(BA76&lt;=0,"Sets the deadline","Later than peers by "&amp;BA76&amp;" min")))</f>
        <v/>
      </c>
      <c r="BC76" s="29" t="str">
        <f aca="false">IF($A76="","",IF($U76="",0,IF(COUNTIFS($U$2:$U76,$U76,$C$2:$C76,$C76)=1,1,0)))</f>
        <v/>
      </c>
      <c r="BD76" s="10" t="str">
        <f aca="false">IF($A76="","",IF(UPPER($P76)="YES","Yes","No"))</f>
        <v/>
      </c>
      <c r="BE76" s="10" t="str">
        <f aca="false">IF($A76="","",IF($N76="No","n/a",IF(AM76&lt;=Constants!$B$17,"Yes","No")))</f>
        <v/>
      </c>
      <c r="BF76" s="10" t="str">
        <f aca="false">IF($A76="","",IF($O76="No","n/a",IF(AN76&lt;=Constants!$B$17,"Yes","No")))</f>
        <v/>
      </c>
      <c r="BG76" s="10" t="str">
        <f aca="false">IF($A76="","",IF($P76="No","n/a",IF(AO76&lt;=Constants!$B$17,"Yes","No")))</f>
        <v/>
      </c>
      <c r="BH76" s="10" t="str">
        <f aca="false">IF($A76="","",IF($N76="No","No custody process",IF(BE76="Yes","Thin custody slack","Ample custody slack")))</f>
        <v/>
      </c>
      <c r="BI76" s="30" t="str">
        <f aca="false">IF($A76="","",IF($N76="No","",AM76))</f>
        <v/>
      </c>
      <c r="BJ76" s="30" t="str">
        <f aca="false">IF($A76="","",IF($O76="No","",AN76))</f>
        <v/>
      </c>
      <c r="BK76" s="30" t="str">
        <f aca="false">IF($A76="","",IF($P76="No","",AO76))</f>
        <v/>
      </c>
    </row>
    <row r="77" customFormat="false" ht="15" hidden="false" customHeight="true" outlineLevel="0" collapsed="false">
      <c r="Z77" s="28" t="str">
        <f aca="false">IF($A77="","",Constants!$B$6+$I77*Constants!$B$7+$J77*Constants!$B$8+$K77*Constants!$B$9+$L77*Constants!$B$10+$M77*Constants!$B$11)</f>
        <v/>
      </c>
      <c r="AA77" s="28" t="str">
        <f aca="false">IF($A77="","",100-Z77)</f>
        <v/>
      </c>
      <c r="AB77" s="28" t="str">
        <f aca="false">IF($A77="","",ROUND($H77*Constants!$B$4,1))</f>
        <v/>
      </c>
      <c r="AC77" s="28" t="str">
        <f aca="false">IF($A77="","",ROUND(AB77*Z77/100,1))</f>
        <v/>
      </c>
      <c r="AD77" s="28" t="str">
        <f aca="false">IF($A77="","",ROUND(AB77*AA77/100,1))</f>
        <v/>
      </c>
      <c r="AE77" s="22" t="str">
        <f aca="false">IF($A77="","",HOUR($Q77)+MINUTE($Q77)/60)</f>
        <v/>
      </c>
      <c r="AF77" s="22" t="str">
        <f aca="false">IF($A77="","",HOUR($R77)+MINUTE($R77)/60)</f>
        <v/>
      </c>
      <c r="AG77" s="22" t="str">
        <f aca="false">IF($A77="","",HOUR($S77)+MINUTE($S77)/60)</f>
        <v/>
      </c>
      <c r="AH77" s="22" t="str">
        <f aca="false">IF($A77="","",HOUR($T77)+MINUTE($T77)/60)</f>
        <v/>
      </c>
      <c r="AI77" s="22" t="str">
        <f aca="false">IF($A77="","",HOUR($V77)+MINUTE($V77)/60)</f>
        <v/>
      </c>
      <c r="AJ77" s="22" t="str">
        <f aca="false">IF($A77="","",HOUR($W77)+MINUTE($W77)/60)</f>
        <v/>
      </c>
      <c r="AK77" s="22" t="str">
        <f aca="false">IF($A77="","",VLOOKUP($F77,Dim_Team!$A:$F,6,0))</f>
        <v/>
      </c>
      <c r="AL77" s="28" t="str">
        <f aca="false">IF($A77="","",VLOOKUP($X77,Dim_Signoff!$A:$C,3,0))</f>
        <v/>
      </c>
      <c r="AM77" s="28" t="str">
        <f aca="false">IF($A77="","",IF($N77="No","n/a",ROUND((AH77-AE77)*60,0)))</f>
        <v/>
      </c>
      <c r="AN77" s="28" t="str">
        <f aca="false">IF($A77="","",IF($O77="No","n/a",ROUND((AH77-AF77)*60,0)))</f>
        <v/>
      </c>
      <c r="AO77" s="28" t="str">
        <f aca="false">IF($A77="","",IF($P77="No","n/a",ROUND((AH77-AG77)*60,0)))</f>
        <v/>
      </c>
      <c r="AP77" s="28" t="str">
        <f aca="false">IF($A77="","",ROUND((AH77-AK77)*60,0))</f>
        <v/>
      </c>
      <c r="AQ77" s="28" t="str">
        <f aca="false">IF($A77="","",ROUND((AI77-AH77)*60,0))</f>
        <v/>
      </c>
      <c r="AR77" s="4" t="str">
        <f aca="false">IF($A77="","",IF(AP77&gt;=AC77,"Yes","No"))</f>
        <v/>
      </c>
      <c r="AS77" s="4" t="str">
        <f aca="false">IF($A77="","",IF(AQ77&gt;=AD77+AL77,"Yes","No"))</f>
        <v/>
      </c>
      <c r="AT77" s="4" t="str">
        <f aca="false">IF($A77="","",IF(AND(AR77="Yes",AS77="Yes"),"OK","REVIEW"))</f>
        <v/>
      </c>
      <c r="AU77" s="4" t="str">
        <f aca="false">IF($A77="","",IF($P77="No","Not applicable",IF(AO77&lt;Constants!$B$14,"CAPTURE","Not needed")))</f>
        <v/>
      </c>
      <c r="AV77" s="4" t="str">
        <f aca="false">IF($A77="","",IF($P77="No","n/a",RANK(AO77,AO:AO,1)))</f>
        <v/>
      </c>
      <c r="AW77" s="4" t="str">
        <f aca="false">IF($A77="","",IF(UPPER($E77)="YES","Strategic","Non-strategic"))</f>
        <v/>
      </c>
      <c r="AX77" s="4" t="str">
        <f aca="false">IF($A77="","",COUNTIFS(Fact_Work!$C:$C,$A77))</f>
        <v/>
      </c>
      <c r="AY77" s="4" t="str">
        <f aca="false">IF($A77="","",IF(AX77=0,"Not seen",IF(AX77&gt;=Constants!$B$13*0.6,"Daily",IF(AX77&gt;=Constants!$B$13*0.12,"Weekly","Monthly or ad hoc"))))</f>
        <v/>
      </c>
      <c r="AZ77" s="22" t="str">
        <f aca="false">IF($A77="","",IFERROR(VLOOKUP($U77,Dim_TOP!$A:$H,8,0),""))</f>
        <v/>
      </c>
      <c r="BA77" s="28" t="str">
        <f aca="false">IF($A77="","",IFERROR(ROUND((AH77-AZ77)*60,0),""))</f>
        <v/>
      </c>
      <c r="BB77" s="4" t="str">
        <f aca="false">IF($A77="","",IF(BA77="","",IF(BA77&lt;=0,"Sets the deadline","Later than peers by "&amp;BA77&amp;" min")))</f>
        <v/>
      </c>
      <c r="BC77" s="29" t="str">
        <f aca="false">IF($A77="","",IF($U77="",0,IF(COUNTIFS($U$2:$U77,$U77,$C$2:$C77,$C77)=1,1,0)))</f>
        <v/>
      </c>
      <c r="BD77" s="10" t="str">
        <f aca="false">IF($A77="","",IF(UPPER($P77)="YES","Yes","No"))</f>
        <v/>
      </c>
      <c r="BE77" s="10" t="str">
        <f aca="false">IF($A77="","",IF($N77="No","n/a",IF(AM77&lt;=Constants!$B$17,"Yes","No")))</f>
        <v/>
      </c>
      <c r="BF77" s="10" t="str">
        <f aca="false">IF($A77="","",IF($O77="No","n/a",IF(AN77&lt;=Constants!$B$17,"Yes","No")))</f>
        <v/>
      </c>
      <c r="BG77" s="10" t="str">
        <f aca="false">IF($A77="","",IF($P77="No","n/a",IF(AO77&lt;=Constants!$B$17,"Yes","No")))</f>
        <v/>
      </c>
      <c r="BH77" s="10" t="str">
        <f aca="false">IF($A77="","",IF($N77="No","No custody process",IF(BE77="Yes","Thin custody slack","Ample custody slack")))</f>
        <v/>
      </c>
      <c r="BI77" s="30" t="str">
        <f aca="false">IF($A77="","",IF($N77="No","",AM77))</f>
        <v/>
      </c>
      <c r="BJ77" s="30" t="str">
        <f aca="false">IF($A77="","",IF($O77="No","",AN77))</f>
        <v/>
      </c>
      <c r="BK77" s="30" t="str">
        <f aca="false">IF($A77="","",IF($P77="No","",AO77))</f>
        <v/>
      </c>
    </row>
    <row r="78" customFormat="false" ht="15" hidden="false" customHeight="true" outlineLevel="0" collapsed="false">
      <c r="Z78" s="28" t="str">
        <f aca="false">IF($A78="","",Constants!$B$6+$I78*Constants!$B$7+$J78*Constants!$B$8+$K78*Constants!$B$9+$L78*Constants!$B$10+$M78*Constants!$B$11)</f>
        <v/>
      </c>
      <c r="AA78" s="28" t="str">
        <f aca="false">IF($A78="","",100-Z78)</f>
        <v/>
      </c>
      <c r="AB78" s="28" t="str">
        <f aca="false">IF($A78="","",ROUND($H78*Constants!$B$4,1))</f>
        <v/>
      </c>
      <c r="AC78" s="28" t="str">
        <f aca="false">IF($A78="","",ROUND(AB78*Z78/100,1))</f>
        <v/>
      </c>
      <c r="AD78" s="28" t="str">
        <f aca="false">IF($A78="","",ROUND(AB78*AA78/100,1))</f>
        <v/>
      </c>
      <c r="AE78" s="22" t="str">
        <f aca="false">IF($A78="","",HOUR($Q78)+MINUTE($Q78)/60)</f>
        <v/>
      </c>
      <c r="AF78" s="22" t="str">
        <f aca="false">IF($A78="","",HOUR($R78)+MINUTE($R78)/60)</f>
        <v/>
      </c>
      <c r="AG78" s="22" t="str">
        <f aca="false">IF($A78="","",HOUR($S78)+MINUTE($S78)/60)</f>
        <v/>
      </c>
      <c r="AH78" s="22" t="str">
        <f aca="false">IF($A78="","",HOUR($T78)+MINUTE($T78)/60)</f>
        <v/>
      </c>
      <c r="AI78" s="22" t="str">
        <f aca="false">IF($A78="","",HOUR($V78)+MINUTE($V78)/60)</f>
        <v/>
      </c>
      <c r="AJ78" s="22" t="str">
        <f aca="false">IF($A78="","",HOUR($W78)+MINUTE($W78)/60)</f>
        <v/>
      </c>
      <c r="AK78" s="22" t="str">
        <f aca="false">IF($A78="","",VLOOKUP($F78,Dim_Team!$A:$F,6,0))</f>
        <v/>
      </c>
      <c r="AL78" s="28" t="str">
        <f aca="false">IF($A78="","",VLOOKUP($X78,Dim_Signoff!$A:$C,3,0))</f>
        <v/>
      </c>
      <c r="AM78" s="28" t="str">
        <f aca="false">IF($A78="","",IF($N78="No","n/a",ROUND((AH78-AE78)*60,0)))</f>
        <v/>
      </c>
      <c r="AN78" s="28" t="str">
        <f aca="false">IF($A78="","",IF($O78="No","n/a",ROUND((AH78-AF78)*60,0)))</f>
        <v/>
      </c>
      <c r="AO78" s="28" t="str">
        <f aca="false">IF($A78="","",IF($P78="No","n/a",ROUND((AH78-AG78)*60,0)))</f>
        <v/>
      </c>
      <c r="AP78" s="28" t="str">
        <f aca="false">IF($A78="","",ROUND((AH78-AK78)*60,0))</f>
        <v/>
      </c>
      <c r="AQ78" s="28" t="str">
        <f aca="false">IF($A78="","",ROUND((AI78-AH78)*60,0))</f>
        <v/>
      </c>
      <c r="AR78" s="4" t="str">
        <f aca="false">IF($A78="","",IF(AP78&gt;=AC78,"Yes","No"))</f>
        <v/>
      </c>
      <c r="AS78" s="4" t="str">
        <f aca="false">IF($A78="","",IF(AQ78&gt;=AD78+AL78,"Yes","No"))</f>
        <v/>
      </c>
      <c r="AT78" s="4" t="str">
        <f aca="false">IF($A78="","",IF(AND(AR78="Yes",AS78="Yes"),"OK","REVIEW"))</f>
        <v/>
      </c>
      <c r="AU78" s="4" t="str">
        <f aca="false">IF($A78="","",IF($P78="No","Not applicable",IF(AO78&lt;Constants!$B$14,"CAPTURE","Not needed")))</f>
        <v/>
      </c>
      <c r="AV78" s="4" t="str">
        <f aca="false">IF($A78="","",IF($P78="No","n/a",RANK(AO78,AO:AO,1)))</f>
        <v/>
      </c>
      <c r="AW78" s="4" t="str">
        <f aca="false">IF($A78="","",IF(UPPER($E78)="YES","Strategic","Non-strategic"))</f>
        <v/>
      </c>
      <c r="AX78" s="4" t="str">
        <f aca="false">IF($A78="","",COUNTIFS(Fact_Work!$C:$C,$A78))</f>
        <v/>
      </c>
      <c r="AY78" s="4" t="str">
        <f aca="false">IF($A78="","",IF(AX78=0,"Not seen",IF(AX78&gt;=Constants!$B$13*0.6,"Daily",IF(AX78&gt;=Constants!$B$13*0.12,"Weekly","Monthly or ad hoc"))))</f>
        <v/>
      </c>
      <c r="AZ78" s="22" t="str">
        <f aca="false">IF($A78="","",IFERROR(VLOOKUP($U78,Dim_TOP!$A:$H,8,0),""))</f>
        <v/>
      </c>
      <c r="BA78" s="28" t="str">
        <f aca="false">IF($A78="","",IFERROR(ROUND((AH78-AZ78)*60,0),""))</f>
        <v/>
      </c>
      <c r="BB78" s="4" t="str">
        <f aca="false">IF($A78="","",IF(BA78="","",IF(BA78&lt;=0,"Sets the deadline","Later than peers by "&amp;BA78&amp;" min")))</f>
        <v/>
      </c>
      <c r="BC78" s="29" t="str">
        <f aca="false">IF($A78="","",IF($U78="",0,IF(COUNTIFS($U$2:$U78,$U78,$C$2:$C78,$C78)=1,1,0)))</f>
        <v/>
      </c>
      <c r="BD78" s="10" t="str">
        <f aca="false">IF($A78="","",IF(UPPER($P78)="YES","Yes","No"))</f>
        <v/>
      </c>
      <c r="BE78" s="10" t="str">
        <f aca="false">IF($A78="","",IF($N78="No","n/a",IF(AM78&lt;=Constants!$B$17,"Yes","No")))</f>
        <v/>
      </c>
      <c r="BF78" s="10" t="str">
        <f aca="false">IF($A78="","",IF($O78="No","n/a",IF(AN78&lt;=Constants!$B$17,"Yes","No")))</f>
        <v/>
      </c>
      <c r="BG78" s="10" t="str">
        <f aca="false">IF($A78="","",IF($P78="No","n/a",IF(AO78&lt;=Constants!$B$17,"Yes","No")))</f>
        <v/>
      </c>
      <c r="BH78" s="10" t="str">
        <f aca="false">IF($A78="","",IF($N78="No","No custody process",IF(BE78="Yes","Thin custody slack","Ample custody slack")))</f>
        <v/>
      </c>
      <c r="BI78" s="30" t="str">
        <f aca="false">IF($A78="","",IF($N78="No","",AM78))</f>
        <v/>
      </c>
      <c r="BJ78" s="30" t="str">
        <f aca="false">IF($A78="","",IF($O78="No","",AN78))</f>
        <v/>
      </c>
      <c r="BK78" s="30" t="str">
        <f aca="false">IF($A78="","",IF($P78="No","",AO78))</f>
        <v/>
      </c>
    </row>
    <row r="79" customFormat="false" ht="15" hidden="false" customHeight="true" outlineLevel="0" collapsed="false">
      <c r="Z79" s="28" t="str">
        <f aca="false">IF($A79="","",Constants!$B$6+$I79*Constants!$B$7+$J79*Constants!$B$8+$K79*Constants!$B$9+$L79*Constants!$B$10+$M79*Constants!$B$11)</f>
        <v/>
      </c>
      <c r="AA79" s="28" t="str">
        <f aca="false">IF($A79="","",100-Z79)</f>
        <v/>
      </c>
      <c r="AB79" s="28" t="str">
        <f aca="false">IF($A79="","",ROUND($H79*Constants!$B$4,1))</f>
        <v/>
      </c>
      <c r="AC79" s="28" t="str">
        <f aca="false">IF($A79="","",ROUND(AB79*Z79/100,1))</f>
        <v/>
      </c>
      <c r="AD79" s="28" t="str">
        <f aca="false">IF($A79="","",ROUND(AB79*AA79/100,1))</f>
        <v/>
      </c>
      <c r="AE79" s="22" t="str">
        <f aca="false">IF($A79="","",HOUR($Q79)+MINUTE($Q79)/60)</f>
        <v/>
      </c>
      <c r="AF79" s="22" t="str">
        <f aca="false">IF($A79="","",HOUR($R79)+MINUTE($R79)/60)</f>
        <v/>
      </c>
      <c r="AG79" s="22" t="str">
        <f aca="false">IF($A79="","",HOUR($S79)+MINUTE($S79)/60)</f>
        <v/>
      </c>
      <c r="AH79" s="22" t="str">
        <f aca="false">IF($A79="","",HOUR($T79)+MINUTE($T79)/60)</f>
        <v/>
      </c>
      <c r="AI79" s="22" t="str">
        <f aca="false">IF($A79="","",HOUR($V79)+MINUTE($V79)/60)</f>
        <v/>
      </c>
      <c r="AJ79" s="22" t="str">
        <f aca="false">IF($A79="","",HOUR($W79)+MINUTE($W79)/60)</f>
        <v/>
      </c>
      <c r="AK79" s="22" t="str">
        <f aca="false">IF($A79="","",VLOOKUP($F79,Dim_Team!$A:$F,6,0))</f>
        <v/>
      </c>
      <c r="AL79" s="28" t="str">
        <f aca="false">IF($A79="","",VLOOKUP($X79,Dim_Signoff!$A:$C,3,0))</f>
        <v/>
      </c>
      <c r="AM79" s="28" t="str">
        <f aca="false">IF($A79="","",IF($N79="No","n/a",ROUND((AH79-AE79)*60,0)))</f>
        <v/>
      </c>
      <c r="AN79" s="28" t="str">
        <f aca="false">IF($A79="","",IF($O79="No","n/a",ROUND((AH79-AF79)*60,0)))</f>
        <v/>
      </c>
      <c r="AO79" s="28" t="str">
        <f aca="false">IF($A79="","",IF($P79="No","n/a",ROUND((AH79-AG79)*60,0)))</f>
        <v/>
      </c>
      <c r="AP79" s="28" t="str">
        <f aca="false">IF($A79="","",ROUND((AH79-AK79)*60,0))</f>
        <v/>
      </c>
      <c r="AQ79" s="28" t="str">
        <f aca="false">IF($A79="","",ROUND((AI79-AH79)*60,0))</f>
        <v/>
      </c>
      <c r="AR79" s="4" t="str">
        <f aca="false">IF($A79="","",IF(AP79&gt;=AC79,"Yes","No"))</f>
        <v/>
      </c>
      <c r="AS79" s="4" t="str">
        <f aca="false">IF($A79="","",IF(AQ79&gt;=AD79+AL79,"Yes","No"))</f>
        <v/>
      </c>
      <c r="AT79" s="4" t="str">
        <f aca="false">IF($A79="","",IF(AND(AR79="Yes",AS79="Yes"),"OK","REVIEW"))</f>
        <v/>
      </c>
      <c r="AU79" s="4" t="str">
        <f aca="false">IF($A79="","",IF($P79="No","Not applicable",IF(AO79&lt;Constants!$B$14,"CAPTURE","Not needed")))</f>
        <v/>
      </c>
      <c r="AV79" s="4" t="str">
        <f aca="false">IF($A79="","",IF($P79="No","n/a",RANK(AO79,AO:AO,1)))</f>
        <v/>
      </c>
      <c r="AW79" s="4" t="str">
        <f aca="false">IF($A79="","",IF(UPPER($E79)="YES","Strategic","Non-strategic"))</f>
        <v/>
      </c>
      <c r="AX79" s="4" t="str">
        <f aca="false">IF($A79="","",COUNTIFS(Fact_Work!$C:$C,$A79))</f>
        <v/>
      </c>
      <c r="AY79" s="4" t="str">
        <f aca="false">IF($A79="","",IF(AX79=0,"Not seen",IF(AX79&gt;=Constants!$B$13*0.6,"Daily",IF(AX79&gt;=Constants!$B$13*0.12,"Weekly","Monthly or ad hoc"))))</f>
        <v/>
      </c>
      <c r="AZ79" s="22" t="str">
        <f aca="false">IF($A79="","",IFERROR(VLOOKUP($U79,Dim_TOP!$A:$H,8,0),""))</f>
        <v/>
      </c>
      <c r="BA79" s="28" t="str">
        <f aca="false">IF($A79="","",IFERROR(ROUND((AH79-AZ79)*60,0),""))</f>
        <v/>
      </c>
      <c r="BB79" s="4" t="str">
        <f aca="false">IF($A79="","",IF(BA79="","",IF(BA79&lt;=0,"Sets the deadline","Later than peers by "&amp;BA79&amp;" min")))</f>
        <v/>
      </c>
      <c r="BC79" s="29" t="str">
        <f aca="false">IF($A79="","",IF($U79="",0,IF(COUNTIFS($U$2:$U79,$U79,$C$2:$C79,$C79)=1,1,0)))</f>
        <v/>
      </c>
      <c r="BD79" s="10" t="str">
        <f aca="false">IF($A79="","",IF(UPPER($P79)="YES","Yes","No"))</f>
        <v/>
      </c>
      <c r="BE79" s="10" t="str">
        <f aca="false">IF($A79="","",IF($N79="No","n/a",IF(AM79&lt;=Constants!$B$17,"Yes","No")))</f>
        <v/>
      </c>
      <c r="BF79" s="10" t="str">
        <f aca="false">IF($A79="","",IF($O79="No","n/a",IF(AN79&lt;=Constants!$B$17,"Yes","No")))</f>
        <v/>
      </c>
      <c r="BG79" s="10" t="str">
        <f aca="false">IF($A79="","",IF($P79="No","n/a",IF(AO79&lt;=Constants!$B$17,"Yes","No")))</f>
        <v/>
      </c>
      <c r="BH79" s="10" t="str">
        <f aca="false">IF($A79="","",IF($N79="No","No custody process",IF(BE79="Yes","Thin custody slack","Ample custody slack")))</f>
        <v/>
      </c>
      <c r="BI79" s="30" t="str">
        <f aca="false">IF($A79="","",IF($N79="No","",AM79))</f>
        <v/>
      </c>
      <c r="BJ79" s="30" t="str">
        <f aca="false">IF($A79="","",IF($O79="No","",AN79))</f>
        <v/>
      </c>
      <c r="BK79" s="30" t="str">
        <f aca="false">IF($A79="","",IF($P79="No","",AO79))</f>
        <v/>
      </c>
    </row>
    <row r="80" customFormat="false" ht="15" hidden="false" customHeight="true" outlineLevel="0" collapsed="false">
      <c r="Z80" s="28" t="str">
        <f aca="false">IF($A80="","",Constants!$B$6+$I80*Constants!$B$7+$J80*Constants!$B$8+$K80*Constants!$B$9+$L80*Constants!$B$10+$M80*Constants!$B$11)</f>
        <v/>
      </c>
      <c r="AA80" s="28" t="str">
        <f aca="false">IF($A80="","",100-Z80)</f>
        <v/>
      </c>
      <c r="AB80" s="28" t="str">
        <f aca="false">IF($A80="","",ROUND($H80*Constants!$B$4,1))</f>
        <v/>
      </c>
      <c r="AC80" s="28" t="str">
        <f aca="false">IF($A80="","",ROUND(AB80*Z80/100,1))</f>
        <v/>
      </c>
      <c r="AD80" s="28" t="str">
        <f aca="false">IF($A80="","",ROUND(AB80*AA80/100,1))</f>
        <v/>
      </c>
      <c r="AE80" s="22" t="str">
        <f aca="false">IF($A80="","",HOUR($Q80)+MINUTE($Q80)/60)</f>
        <v/>
      </c>
      <c r="AF80" s="22" t="str">
        <f aca="false">IF($A80="","",HOUR($R80)+MINUTE($R80)/60)</f>
        <v/>
      </c>
      <c r="AG80" s="22" t="str">
        <f aca="false">IF($A80="","",HOUR($S80)+MINUTE($S80)/60)</f>
        <v/>
      </c>
      <c r="AH80" s="22" t="str">
        <f aca="false">IF($A80="","",HOUR($T80)+MINUTE($T80)/60)</f>
        <v/>
      </c>
      <c r="AI80" s="22" t="str">
        <f aca="false">IF($A80="","",HOUR($V80)+MINUTE($V80)/60)</f>
        <v/>
      </c>
      <c r="AJ80" s="22" t="str">
        <f aca="false">IF($A80="","",HOUR($W80)+MINUTE($W80)/60)</f>
        <v/>
      </c>
      <c r="AK80" s="22" t="str">
        <f aca="false">IF($A80="","",VLOOKUP($F80,Dim_Team!$A:$F,6,0))</f>
        <v/>
      </c>
      <c r="AL80" s="28" t="str">
        <f aca="false">IF($A80="","",VLOOKUP($X80,Dim_Signoff!$A:$C,3,0))</f>
        <v/>
      </c>
      <c r="AM80" s="28" t="str">
        <f aca="false">IF($A80="","",IF($N80="No","n/a",ROUND((AH80-AE80)*60,0)))</f>
        <v/>
      </c>
      <c r="AN80" s="28" t="str">
        <f aca="false">IF($A80="","",IF($O80="No","n/a",ROUND((AH80-AF80)*60,0)))</f>
        <v/>
      </c>
      <c r="AO80" s="28" t="str">
        <f aca="false">IF($A80="","",IF($P80="No","n/a",ROUND((AH80-AG80)*60,0)))</f>
        <v/>
      </c>
      <c r="AP80" s="28" t="str">
        <f aca="false">IF($A80="","",ROUND((AH80-AK80)*60,0))</f>
        <v/>
      </c>
      <c r="AQ80" s="28" t="str">
        <f aca="false">IF($A80="","",ROUND((AI80-AH80)*60,0))</f>
        <v/>
      </c>
      <c r="AR80" s="4" t="str">
        <f aca="false">IF($A80="","",IF(AP80&gt;=AC80,"Yes","No"))</f>
        <v/>
      </c>
      <c r="AS80" s="4" t="str">
        <f aca="false">IF($A80="","",IF(AQ80&gt;=AD80+AL80,"Yes","No"))</f>
        <v/>
      </c>
      <c r="AT80" s="4" t="str">
        <f aca="false">IF($A80="","",IF(AND(AR80="Yes",AS80="Yes"),"OK","REVIEW"))</f>
        <v/>
      </c>
      <c r="AU80" s="4" t="str">
        <f aca="false">IF($A80="","",IF($P80="No","Not applicable",IF(AO80&lt;Constants!$B$14,"CAPTURE","Not needed")))</f>
        <v/>
      </c>
      <c r="AV80" s="4" t="str">
        <f aca="false">IF($A80="","",IF($P80="No","n/a",RANK(AO80,AO:AO,1)))</f>
        <v/>
      </c>
      <c r="AW80" s="4" t="str">
        <f aca="false">IF($A80="","",IF(UPPER($E80)="YES","Strategic","Non-strategic"))</f>
        <v/>
      </c>
      <c r="AX80" s="4" t="str">
        <f aca="false">IF($A80="","",COUNTIFS(Fact_Work!$C:$C,$A80))</f>
        <v/>
      </c>
      <c r="AY80" s="4" t="str">
        <f aca="false">IF($A80="","",IF(AX80=0,"Not seen",IF(AX80&gt;=Constants!$B$13*0.6,"Daily",IF(AX80&gt;=Constants!$B$13*0.12,"Weekly","Monthly or ad hoc"))))</f>
        <v/>
      </c>
      <c r="AZ80" s="22" t="str">
        <f aca="false">IF($A80="","",IFERROR(VLOOKUP($U80,Dim_TOP!$A:$H,8,0),""))</f>
        <v/>
      </c>
      <c r="BA80" s="28" t="str">
        <f aca="false">IF($A80="","",IFERROR(ROUND((AH80-AZ80)*60,0),""))</f>
        <v/>
      </c>
      <c r="BB80" s="4" t="str">
        <f aca="false">IF($A80="","",IF(BA80="","",IF(BA80&lt;=0,"Sets the deadline","Later than peers by "&amp;BA80&amp;" min")))</f>
        <v/>
      </c>
      <c r="BC80" s="29" t="str">
        <f aca="false">IF($A80="","",IF($U80="",0,IF(COUNTIFS($U$2:$U80,$U80,$C$2:$C80,$C80)=1,1,0)))</f>
        <v/>
      </c>
      <c r="BD80" s="10" t="str">
        <f aca="false">IF($A80="","",IF(UPPER($P80)="YES","Yes","No"))</f>
        <v/>
      </c>
      <c r="BE80" s="10" t="str">
        <f aca="false">IF($A80="","",IF($N80="No","n/a",IF(AM80&lt;=Constants!$B$17,"Yes","No")))</f>
        <v/>
      </c>
      <c r="BF80" s="10" t="str">
        <f aca="false">IF($A80="","",IF($O80="No","n/a",IF(AN80&lt;=Constants!$B$17,"Yes","No")))</f>
        <v/>
      </c>
      <c r="BG80" s="10" t="str">
        <f aca="false">IF($A80="","",IF($P80="No","n/a",IF(AO80&lt;=Constants!$B$17,"Yes","No")))</f>
        <v/>
      </c>
      <c r="BH80" s="10" t="str">
        <f aca="false">IF($A80="","",IF($N80="No","No custody process",IF(BE80="Yes","Thin custody slack","Ample custody slack")))</f>
        <v/>
      </c>
      <c r="BI80" s="30" t="str">
        <f aca="false">IF($A80="","",IF($N80="No","",AM80))</f>
        <v/>
      </c>
      <c r="BJ80" s="30" t="str">
        <f aca="false">IF($A80="","",IF($O80="No","",AN80))</f>
        <v/>
      </c>
      <c r="BK80" s="30" t="str">
        <f aca="false">IF($A80="","",IF($P80="No","",AO80))</f>
        <v/>
      </c>
    </row>
    <row r="81" customFormat="false" ht="15" hidden="false" customHeight="true" outlineLevel="0" collapsed="false">
      <c r="Z81" s="28" t="str">
        <f aca="false">IF($A81="","",Constants!$B$6+$I81*Constants!$B$7+$J81*Constants!$B$8+$K81*Constants!$B$9+$L81*Constants!$B$10+$M81*Constants!$B$11)</f>
        <v/>
      </c>
      <c r="AA81" s="28" t="str">
        <f aca="false">IF($A81="","",100-Z81)</f>
        <v/>
      </c>
      <c r="AB81" s="28" t="str">
        <f aca="false">IF($A81="","",ROUND($H81*Constants!$B$4,1))</f>
        <v/>
      </c>
      <c r="AC81" s="28" t="str">
        <f aca="false">IF($A81="","",ROUND(AB81*Z81/100,1))</f>
        <v/>
      </c>
      <c r="AD81" s="28" t="str">
        <f aca="false">IF($A81="","",ROUND(AB81*AA81/100,1))</f>
        <v/>
      </c>
      <c r="AE81" s="22" t="str">
        <f aca="false">IF($A81="","",HOUR($Q81)+MINUTE($Q81)/60)</f>
        <v/>
      </c>
      <c r="AF81" s="22" t="str">
        <f aca="false">IF($A81="","",HOUR($R81)+MINUTE($R81)/60)</f>
        <v/>
      </c>
      <c r="AG81" s="22" t="str">
        <f aca="false">IF($A81="","",HOUR($S81)+MINUTE($S81)/60)</f>
        <v/>
      </c>
      <c r="AH81" s="22" t="str">
        <f aca="false">IF($A81="","",HOUR($T81)+MINUTE($T81)/60)</f>
        <v/>
      </c>
      <c r="AI81" s="22" t="str">
        <f aca="false">IF($A81="","",HOUR($V81)+MINUTE($V81)/60)</f>
        <v/>
      </c>
      <c r="AJ81" s="22" t="str">
        <f aca="false">IF($A81="","",HOUR($W81)+MINUTE($W81)/60)</f>
        <v/>
      </c>
      <c r="AK81" s="22" t="str">
        <f aca="false">IF($A81="","",VLOOKUP($F81,Dim_Team!$A:$F,6,0))</f>
        <v/>
      </c>
      <c r="AL81" s="28" t="str">
        <f aca="false">IF($A81="","",VLOOKUP($X81,Dim_Signoff!$A:$C,3,0))</f>
        <v/>
      </c>
      <c r="AM81" s="28" t="str">
        <f aca="false">IF($A81="","",IF($N81="No","n/a",ROUND((AH81-AE81)*60,0)))</f>
        <v/>
      </c>
      <c r="AN81" s="28" t="str">
        <f aca="false">IF($A81="","",IF($O81="No","n/a",ROUND((AH81-AF81)*60,0)))</f>
        <v/>
      </c>
      <c r="AO81" s="28" t="str">
        <f aca="false">IF($A81="","",IF($P81="No","n/a",ROUND((AH81-AG81)*60,0)))</f>
        <v/>
      </c>
      <c r="AP81" s="28" t="str">
        <f aca="false">IF($A81="","",ROUND((AH81-AK81)*60,0))</f>
        <v/>
      </c>
      <c r="AQ81" s="28" t="str">
        <f aca="false">IF($A81="","",ROUND((AI81-AH81)*60,0))</f>
        <v/>
      </c>
      <c r="AR81" s="4" t="str">
        <f aca="false">IF($A81="","",IF(AP81&gt;=AC81,"Yes","No"))</f>
        <v/>
      </c>
      <c r="AS81" s="4" t="str">
        <f aca="false">IF($A81="","",IF(AQ81&gt;=AD81+AL81,"Yes","No"))</f>
        <v/>
      </c>
      <c r="AT81" s="4" t="str">
        <f aca="false">IF($A81="","",IF(AND(AR81="Yes",AS81="Yes"),"OK","REVIEW"))</f>
        <v/>
      </c>
      <c r="AU81" s="4" t="str">
        <f aca="false">IF($A81="","",IF($P81="No","Not applicable",IF(AO81&lt;Constants!$B$14,"CAPTURE","Not needed")))</f>
        <v/>
      </c>
      <c r="AV81" s="4" t="str">
        <f aca="false">IF($A81="","",IF($P81="No","n/a",RANK(AO81,AO:AO,1)))</f>
        <v/>
      </c>
      <c r="AW81" s="4" t="str">
        <f aca="false">IF($A81="","",IF(UPPER($E81)="YES","Strategic","Non-strategic"))</f>
        <v/>
      </c>
      <c r="AX81" s="4" t="str">
        <f aca="false">IF($A81="","",COUNTIFS(Fact_Work!$C:$C,$A81))</f>
        <v/>
      </c>
      <c r="AY81" s="4" t="str">
        <f aca="false">IF($A81="","",IF(AX81=0,"Not seen",IF(AX81&gt;=Constants!$B$13*0.6,"Daily",IF(AX81&gt;=Constants!$B$13*0.12,"Weekly","Monthly or ad hoc"))))</f>
        <v/>
      </c>
      <c r="AZ81" s="22" t="str">
        <f aca="false">IF($A81="","",IFERROR(VLOOKUP($U81,Dim_TOP!$A:$H,8,0),""))</f>
        <v/>
      </c>
      <c r="BA81" s="28" t="str">
        <f aca="false">IF($A81="","",IFERROR(ROUND((AH81-AZ81)*60,0),""))</f>
        <v/>
      </c>
      <c r="BB81" s="4" t="str">
        <f aca="false">IF($A81="","",IF(BA81="","",IF(BA81&lt;=0,"Sets the deadline","Later than peers by "&amp;BA81&amp;" min")))</f>
        <v/>
      </c>
      <c r="BC81" s="29" t="str">
        <f aca="false">IF($A81="","",IF($U81="",0,IF(COUNTIFS($U$2:$U81,$U81,$C$2:$C81,$C81)=1,1,0)))</f>
        <v/>
      </c>
      <c r="BD81" s="10" t="str">
        <f aca="false">IF($A81="","",IF(UPPER($P81)="YES","Yes","No"))</f>
        <v/>
      </c>
      <c r="BE81" s="10" t="str">
        <f aca="false">IF($A81="","",IF($N81="No","n/a",IF(AM81&lt;=Constants!$B$17,"Yes","No")))</f>
        <v/>
      </c>
      <c r="BF81" s="10" t="str">
        <f aca="false">IF($A81="","",IF($O81="No","n/a",IF(AN81&lt;=Constants!$B$17,"Yes","No")))</f>
        <v/>
      </c>
      <c r="BG81" s="10" t="str">
        <f aca="false">IF($A81="","",IF($P81="No","n/a",IF(AO81&lt;=Constants!$B$17,"Yes","No")))</f>
        <v/>
      </c>
      <c r="BH81" s="10" t="str">
        <f aca="false">IF($A81="","",IF($N81="No","No custody process",IF(BE81="Yes","Thin custody slack","Ample custody slack")))</f>
        <v/>
      </c>
      <c r="BI81" s="30" t="str">
        <f aca="false">IF($A81="","",IF($N81="No","",AM81))</f>
        <v/>
      </c>
      <c r="BJ81" s="30" t="str">
        <f aca="false">IF($A81="","",IF($O81="No","",AN81))</f>
        <v/>
      </c>
      <c r="BK81" s="30" t="str">
        <f aca="false">IF($A81="","",IF($P81="No","",AO81))</f>
        <v/>
      </c>
    </row>
    <row r="82" customFormat="false" ht="15" hidden="false" customHeight="true" outlineLevel="0" collapsed="false">
      <c r="Z82" s="28" t="str">
        <f aca="false">IF($A82="","",Constants!$B$6+$I82*Constants!$B$7+$J82*Constants!$B$8+$K82*Constants!$B$9+$L82*Constants!$B$10+$M82*Constants!$B$11)</f>
        <v/>
      </c>
      <c r="AA82" s="28" t="str">
        <f aca="false">IF($A82="","",100-Z82)</f>
        <v/>
      </c>
      <c r="AB82" s="28" t="str">
        <f aca="false">IF($A82="","",ROUND($H82*Constants!$B$4,1))</f>
        <v/>
      </c>
      <c r="AC82" s="28" t="str">
        <f aca="false">IF($A82="","",ROUND(AB82*Z82/100,1))</f>
        <v/>
      </c>
      <c r="AD82" s="28" t="str">
        <f aca="false">IF($A82="","",ROUND(AB82*AA82/100,1))</f>
        <v/>
      </c>
      <c r="AE82" s="22" t="str">
        <f aca="false">IF($A82="","",HOUR($Q82)+MINUTE($Q82)/60)</f>
        <v/>
      </c>
      <c r="AF82" s="22" t="str">
        <f aca="false">IF($A82="","",HOUR($R82)+MINUTE($R82)/60)</f>
        <v/>
      </c>
      <c r="AG82" s="22" t="str">
        <f aca="false">IF($A82="","",HOUR($S82)+MINUTE($S82)/60)</f>
        <v/>
      </c>
      <c r="AH82" s="22" t="str">
        <f aca="false">IF($A82="","",HOUR($T82)+MINUTE($T82)/60)</f>
        <v/>
      </c>
      <c r="AI82" s="22" t="str">
        <f aca="false">IF($A82="","",HOUR($V82)+MINUTE($V82)/60)</f>
        <v/>
      </c>
      <c r="AJ82" s="22" t="str">
        <f aca="false">IF($A82="","",HOUR($W82)+MINUTE($W82)/60)</f>
        <v/>
      </c>
      <c r="AK82" s="22" t="str">
        <f aca="false">IF($A82="","",VLOOKUP($F82,Dim_Team!$A:$F,6,0))</f>
        <v/>
      </c>
      <c r="AL82" s="28" t="str">
        <f aca="false">IF($A82="","",VLOOKUP($X82,Dim_Signoff!$A:$C,3,0))</f>
        <v/>
      </c>
      <c r="AM82" s="28" t="str">
        <f aca="false">IF($A82="","",IF($N82="No","n/a",ROUND((AH82-AE82)*60,0)))</f>
        <v/>
      </c>
      <c r="AN82" s="28" t="str">
        <f aca="false">IF($A82="","",IF($O82="No","n/a",ROUND((AH82-AF82)*60,0)))</f>
        <v/>
      </c>
      <c r="AO82" s="28" t="str">
        <f aca="false">IF($A82="","",IF($P82="No","n/a",ROUND((AH82-AG82)*60,0)))</f>
        <v/>
      </c>
      <c r="AP82" s="28" t="str">
        <f aca="false">IF($A82="","",ROUND((AH82-AK82)*60,0))</f>
        <v/>
      </c>
      <c r="AQ82" s="28" t="str">
        <f aca="false">IF($A82="","",ROUND((AI82-AH82)*60,0))</f>
        <v/>
      </c>
      <c r="AR82" s="4" t="str">
        <f aca="false">IF($A82="","",IF(AP82&gt;=AC82,"Yes","No"))</f>
        <v/>
      </c>
      <c r="AS82" s="4" t="str">
        <f aca="false">IF($A82="","",IF(AQ82&gt;=AD82+AL82,"Yes","No"))</f>
        <v/>
      </c>
      <c r="AT82" s="4" t="str">
        <f aca="false">IF($A82="","",IF(AND(AR82="Yes",AS82="Yes"),"OK","REVIEW"))</f>
        <v/>
      </c>
      <c r="AU82" s="4" t="str">
        <f aca="false">IF($A82="","",IF($P82="No","Not applicable",IF(AO82&lt;Constants!$B$14,"CAPTURE","Not needed")))</f>
        <v/>
      </c>
      <c r="AV82" s="4" t="str">
        <f aca="false">IF($A82="","",IF($P82="No","n/a",RANK(AO82,AO:AO,1)))</f>
        <v/>
      </c>
      <c r="AW82" s="4" t="str">
        <f aca="false">IF($A82="","",IF(UPPER($E82)="YES","Strategic","Non-strategic"))</f>
        <v/>
      </c>
      <c r="AX82" s="4" t="str">
        <f aca="false">IF($A82="","",COUNTIFS(Fact_Work!$C:$C,$A82))</f>
        <v/>
      </c>
      <c r="AY82" s="4" t="str">
        <f aca="false">IF($A82="","",IF(AX82=0,"Not seen",IF(AX82&gt;=Constants!$B$13*0.6,"Daily",IF(AX82&gt;=Constants!$B$13*0.12,"Weekly","Monthly or ad hoc"))))</f>
        <v/>
      </c>
      <c r="AZ82" s="22" t="str">
        <f aca="false">IF($A82="","",IFERROR(VLOOKUP($U82,Dim_TOP!$A:$H,8,0),""))</f>
        <v/>
      </c>
      <c r="BA82" s="28" t="str">
        <f aca="false">IF($A82="","",IFERROR(ROUND((AH82-AZ82)*60,0),""))</f>
        <v/>
      </c>
      <c r="BB82" s="4" t="str">
        <f aca="false">IF($A82="","",IF(BA82="","",IF(BA82&lt;=0,"Sets the deadline","Later than peers by "&amp;BA82&amp;" min")))</f>
        <v/>
      </c>
      <c r="BC82" s="29" t="str">
        <f aca="false">IF($A82="","",IF($U82="",0,IF(COUNTIFS($U$2:$U82,$U82,$C$2:$C82,$C82)=1,1,0)))</f>
        <v/>
      </c>
      <c r="BD82" s="10" t="str">
        <f aca="false">IF($A82="","",IF(UPPER($P82)="YES","Yes","No"))</f>
        <v/>
      </c>
      <c r="BE82" s="10" t="str">
        <f aca="false">IF($A82="","",IF($N82="No","n/a",IF(AM82&lt;=Constants!$B$17,"Yes","No")))</f>
        <v/>
      </c>
      <c r="BF82" s="10" t="str">
        <f aca="false">IF($A82="","",IF($O82="No","n/a",IF(AN82&lt;=Constants!$B$17,"Yes","No")))</f>
        <v/>
      </c>
      <c r="BG82" s="10" t="str">
        <f aca="false">IF($A82="","",IF($P82="No","n/a",IF(AO82&lt;=Constants!$B$17,"Yes","No")))</f>
        <v/>
      </c>
      <c r="BH82" s="10" t="str">
        <f aca="false">IF($A82="","",IF($N82="No","No custody process",IF(BE82="Yes","Thin custody slack","Ample custody slack")))</f>
        <v/>
      </c>
      <c r="BI82" s="30" t="str">
        <f aca="false">IF($A82="","",IF($N82="No","",AM82))</f>
        <v/>
      </c>
      <c r="BJ82" s="30" t="str">
        <f aca="false">IF($A82="","",IF($O82="No","",AN82))</f>
        <v/>
      </c>
      <c r="BK82" s="30" t="str">
        <f aca="false">IF($A82="","",IF($P82="No","",AO82))</f>
        <v/>
      </c>
    </row>
    <row r="83" customFormat="false" ht="15" hidden="false" customHeight="true" outlineLevel="0" collapsed="false">
      <c r="Z83" s="28" t="str">
        <f aca="false">IF($A83="","",Constants!$B$6+$I83*Constants!$B$7+$J83*Constants!$B$8+$K83*Constants!$B$9+$L83*Constants!$B$10+$M83*Constants!$B$11)</f>
        <v/>
      </c>
      <c r="AA83" s="28" t="str">
        <f aca="false">IF($A83="","",100-Z83)</f>
        <v/>
      </c>
      <c r="AB83" s="28" t="str">
        <f aca="false">IF($A83="","",ROUND($H83*Constants!$B$4,1))</f>
        <v/>
      </c>
      <c r="AC83" s="28" t="str">
        <f aca="false">IF($A83="","",ROUND(AB83*Z83/100,1))</f>
        <v/>
      </c>
      <c r="AD83" s="28" t="str">
        <f aca="false">IF($A83="","",ROUND(AB83*AA83/100,1))</f>
        <v/>
      </c>
      <c r="AE83" s="22" t="str">
        <f aca="false">IF($A83="","",HOUR($Q83)+MINUTE($Q83)/60)</f>
        <v/>
      </c>
      <c r="AF83" s="22" t="str">
        <f aca="false">IF($A83="","",HOUR($R83)+MINUTE($R83)/60)</f>
        <v/>
      </c>
      <c r="AG83" s="22" t="str">
        <f aca="false">IF($A83="","",HOUR($S83)+MINUTE($S83)/60)</f>
        <v/>
      </c>
      <c r="AH83" s="22" t="str">
        <f aca="false">IF($A83="","",HOUR($T83)+MINUTE($T83)/60)</f>
        <v/>
      </c>
      <c r="AI83" s="22" t="str">
        <f aca="false">IF($A83="","",HOUR($V83)+MINUTE($V83)/60)</f>
        <v/>
      </c>
      <c r="AJ83" s="22" t="str">
        <f aca="false">IF($A83="","",HOUR($W83)+MINUTE($W83)/60)</f>
        <v/>
      </c>
      <c r="AK83" s="22" t="str">
        <f aca="false">IF($A83="","",VLOOKUP($F83,Dim_Team!$A:$F,6,0))</f>
        <v/>
      </c>
      <c r="AL83" s="28" t="str">
        <f aca="false">IF($A83="","",VLOOKUP($X83,Dim_Signoff!$A:$C,3,0))</f>
        <v/>
      </c>
      <c r="AM83" s="28" t="str">
        <f aca="false">IF($A83="","",IF($N83="No","n/a",ROUND((AH83-AE83)*60,0)))</f>
        <v/>
      </c>
      <c r="AN83" s="28" t="str">
        <f aca="false">IF($A83="","",IF($O83="No","n/a",ROUND((AH83-AF83)*60,0)))</f>
        <v/>
      </c>
      <c r="AO83" s="28" t="str">
        <f aca="false">IF($A83="","",IF($P83="No","n/a",ROUND((AH83-AG83)*60,0)))</f>
        <v/>
      </c>
      <c r="AP83" s="28" t="str">
        <f aca="false">IF($A83="","",ROUND((AH83-AK83)*60,0))</f>
        <v/>
      </c>
      <c r="AQ83" s="28" t="str">
        <f aca="false">IF($A83="","",ROUND((AI83-AH83)*60,0))</f>
        <v/>
      </c>
      <c r="AR83" s="4" t="str">
        <f aca="false">IF($A83="","",IF(AP83&gt;=AC83,"Yes","No"))</f>
        <v/>
      </c>
      <c r="AS83" s="4" t="str">
        <f aca="false">IF($A83="","",IF(AQ83&gt;=AD83+AL83,"Yes","No"))</f>
        <v/>
      </c>
      <c r="AT83" s="4" t="str">
        <f aca="false">IF($A83="","",IF(AND(AR83="Yes",AS83="Yes"),"OK","REVIEW"))</f>
        <v/>
      </c>
      <c r="AU83" s="4" t="str">
        <f aca="false">IF($A83="","",IF($P83="No","Not applicable",IF(AO83&lt;Constants!$B$14,"CAPTURE","Not needed")))</f>
        <v/>
      </c>
      <c r="AV83" s="4" t="str">
        <f aca="false">IF($A83="","",IF($P83="No","n/a",RANK(AO83,AO:AO,1)))</f>
        <v/>
      </c>
      <c r="AW83" s="4" t="str">
        <f aca="false">IF($A83="","",IF(UPPER($E83)="YES","Strategic","Non-strategic"))</f>
        <v/>
      </c>
      <c r="AX83" s="4" t="str">
        <f aca="false">IF($A83="","",COUNTIFS(Fact_Work!$C:$C,$A83))</f>
        <v/>
      </c>
      <c r="AY83" s="4" t="str">
        <f aca="false">IF($A83="","",IF(AX83=0,"Not seen",IF(AX83&gt;=Constants!$B$13*0.6,"Daily",IF(AX83&gt;=Constants!$B$13*0.12,"Weekly","Monthly or ad hoc"))))</f>
        <v/>
      </c>
      <c r="AZ83" s="22" t="str">
        <f aca="false">IF($A83="","",IFERROR(VLOOKUP($U83,Dim_TOP!$A:$H,8,0),""))</f>
        <v/>
      </c>
      <c r="BA83" s="28" t="str">
        <f aca="false">IF($A83="","",IFERROR(ROUND((AH83-AZ83)*60,0),""))</f>
        <v/>
      </c>
      <c r="BB83" s="4" t="str">
        <f aca="false">IF($A83="","",IF(BA83="","",IF(BA83&lt;=0,"Sets the deadline","Later than peers by "&amp;BA83&amp;" min")))</f>
        <v/>
      </c>
      <c r="BC83" s="29" t="str">
        <f aca="false">IF($A83="","",IF($U83="",0,IF(COUNTIFS($U$2:$U83,$U83,$C$2:$C83,$C83)=1,1,0)))</f>
        <v/>
      </c>
      <c r="BD83" s="10" t="str">
        <f aca="false">IF($A83="","",IF(UPPER($P83)="YES","Yes","No"))</f>
        <v/>
      </c>
      <c r="BE83" s="10" t="str">
        <f aca="false">IF($A83="","",IF($N83="No","n/a",IF(AM83&lt;=Constants!$B$17,"Yes","No")))</f>
        <v/>
      </c>
      <c r="BF83" s="10" t="str">
        <f aca="false">IF($A83="","",IF($O83="No","n/a",IF(AN83&lt;=Constants!$B$17,"Yes","No")))</f>
        <v/>
      </c>
      <c r="BG83" s="10" t="str">
        <f aca="false">IF($A83="","",IF($P83="No","n/a",IF(AO83&lt;=Constants!$B$17,"Yes","No")))</f>
        <v/>
      </c>
      <c r="BH83" s="10" t="str">
        <f aca="false">IF($A83="","",IF($N83="No","No custody process",IF(BE83="Yes","Thin custody slack","Ample custody slack")))</f>
        <v/>
      </c>
      <c r="BI83" s="30" t="str">
        <f aca="false">IF($A83="","",IF($N83="No","",AM83))</f>
        <v/>
      </c>
      <c r="BJ83" s="30" t="str">
        <f aca="false">IF($A83="","",IF($O83="No","",AN83))</f>
        <v/>
      </c>
      <c r="BK83" s="30" t="str">
        <f aca="false">IF($A83="","",IF($P83="No","",AO83))</f>
        <v/>
      </c>
    </row>
    <row r="84" customFormat="false" ht="15" hidden="false" customHeight="true" outlineLevel="0" collapsed="false">
      <c r="Z84" s="28" t="str">
        <f aca="false">IF($A84="","",Constants!$B$6+$I84*Constants!$B$7+$J84*Constants!$B$8+$K84*Constants!$B$9+$L84*Constants!$B$10+$M84*Constants!$B$11)</f>
        <v/>
      </c>
      <c r="AA84" s="28" t="str">
        <f aca="false">IF($A84="","",100-Z84)</f>
        <v/>
      </c>
      <c r="AB84" s="28" t="str">
        <f aca="false">IF($A84="","",ROUND($H84*Constants!$B$4,1))</f>
        <v/>
      </c>
      <c r="AC84" s="28" t="str">
        <f aca="false">IF($A84="","",ROUND(AB84*Z84/100,1))</f>
        <v/>
      </c>
      <c r="AD84" s="28" t="str">
        <f aca="false">IF($A84="","",ROUND(AB84*AA84/100,1))</f>
        <v/>
      </c>
      <c r="AE84" s="22" t="str">
        <f aca="false">IF($A84="","",HOUR($Q84)+MINUTE($Q84)/60)</f>
        <v/>
      </c>
      <c r="AF84" s="22" t="str">
        <f aca="false">IF($A84="","",HOUR($R84)+MINUTE($R84)/60)</f>
        <v/>
      </c>
      <c r="AG84" s="22" t="str">
        <f aca="false">IF($A84="","",HOUR($S84)+MINUTE($S84)/60)</f>
        <v/>
      </c>
      <c r="AH84" s="22" t="str">
        <f aca="false">IF($A84="","",HOUR($T84)+MINUTE($T84)/60)</f>
        <v/>
      </c>
      <c r="AI84" s="22" t="str">
        <f aca="false">IF($A84="","",HOUR($V84)+MINUTE($V84)/60)</f>
        <v/>
      </c>
      <c r="AJ84" s="22" t="str">
        <f aca="false">IF($A84="","",HOUR($W84)+MINUTE($W84)/60)</f>
        <v/>
      </c>
      <c r="AK84" s="22" t="str">
        <f aca="false">IF($A84="","",VLOOKUP($F84,Dim_Team!$A:$F,6,0))</f>
        <v/>
      </c>
      <c r="AL84" s="28" t="str">
        <f aca="false">IF($A84="","",VLOOKUP($X84,Dim_Signoff!$A:$C,3,0))</f>
        <v/>
      </c>
      <c r="AM84" s="28" t="str">
        <f aca="false">IF($A84="","",IF($N84="No","n/a",ROUND((AH84-AE84)*60,0)))</f>
        <v/>
      </c>
      <c r="AN84" s="28" t="str">
        <f aca="false">IF($A84="","",IF($O84="No","n/a",ROUND((AH84-AF84)*60,0)))</f>
        <v/>
      </c>
      <c r="AO84" s="28" t="str">
        <f aca="false">IF($A84="","",IF($P84="No","n/a",ROUND((AH84-AG84)*60,0)))</f>
        <v/>
      </c>
      <c r="AP84" s="28" t="str">
        <f aca="false">IF($A84="","",ROUND((AH84-AK84)*60,0))</f>
        <v/>
      </c>
      <c r="AQ84" s="28" t="str">
        <f aca="false">IF($A84="","",ROUND((AI84-AH84)*60,0))</f>
        <v/>
      </c>
      <c r="AR84" s="4" t="str">
        <f aca="false">IF($A84="","",IF(AP84&gt;=AC84,"Yes","No"))</f>
        <v/>
      </c>
      <c r="AS84" s="4" t="str">
        <f aca="false">IF($A84="","",IF(AQ84&gt;=AD84+AL84,"Yes","No"))</f>
        <v/>
      </c>
      <c r="AT84" s="4" t="str">
        <f aca="false">IF($A84="","",IF(AND(AR84="Yes",AS84="Yes"),"OK","REVIEW"))</f>
        <v/>
      </c>
      <c r="AU84" s="4" t="str">
        <f aca="false">IF($A84="","",IF($P84="No","Not applicable",IF(AO84&lt;Constants!$B$14,"CAPTURE","Not needed")))</f>
        <v/>
      </c>
      <c r="AV84" s="4" t="str">
        <f aca="false">IF($A84="","",IF($P84="No","n/a",RANK(AO84,AO:AO,1)))</f>
        <v/>
      </c>
      <c r="AW84" s="4" t="str">
        <f aca="false">IF($A84="","",IF(UPPER($E84)="YES","Strategic","Non-strategic"))</f>
        <v/>
      </c>
      <c r="AX84" s="4" t="str">
        <f aca="false">IF($A84="","",COUNTIFS(Fact_Work!$C:$C,$A84))</f>
        <v/>
      </c>
      <c r="AY84" s="4" t="str">
        <f aca="false">IF($A84="","",IF(AX84=0,"Not seen",IF(AX84&gt;=Constants!$B$13*0.6,"Daily",IF(AX84&gt;=Constants!$B$13*0.12,"Weekly","Monthly or ad hoc"))))</f>
        <v/>
      </c>
      <c r="AZ84" s="22" t="str">
        <f aca="false">IF($A84="","",IFERROR(VLOOKUP($U84,Dim_TOP!$A:$H,8,0),""))</f>
        <v/>
      </c>
      <c r="BA84" s="28" t="str">
        <f aca="false">IF($A84="","",IFERROR(ROUND((AH84-AZ84)*60,0),""))</f>
        <v/>
      </c>
      <c r="BB84" s="4" t="str">
        <f aca="false">IF($A84="","",IF(BA84="","",IF(BA84&lt;=0,"Sets the deadline","Later than peers by "&amp;BA84&amp;" min")))</f>
        <v/>
      </c>
      <c r="BC84" s="29" t="str">
        <f aca="false">IF($A84="","",IF($U84="",0,IF(COUNTIFS($U$2:$U84,$U84,$C$2:$C84,$C84)=1,1,0)))</f>
        <v/>
      </c>
      <c r="BD84" s="10" t="str">
        <f aca="false">IF($A84="","",IF(UPPER($P84)="YES","Yes","No"))</f>
        <v/>
      </c>
      <c r="BE84" s="10" t="str">
        <f aca="false">IF($A84="","",IF($N84="No","n/a",IF(AM84&lt;=Constants!$B$17,"Yes","No")))</f>
        <v/>
      </c>
      <c r="BF84" s="10" t="str">
        <f aca="false">IF($A84="","",IF($O84="No","n/a",IF(AN84&lt;=Constants!$B$17,"Yes","No")))</f>
        <v/>
      </c>
      <c r="BG84" s="10" t="str">
        <f aca="false">IF($A84="","",IF($P84="No","n/a",IF(AO84&lt;=Constants!$B$17,"Yes","No")))</f>
        <v/>
      </c>
      <c r="BH84" s="10" t="str">
        <f aca="false">IF($A84="","",IF($N84="No","No custody process",IF(BE84="Yes","Thin custody slack","Ample custody slack")))</f>
        <v/>
      </c>
      <c r="BI84" s="30" t="str">
        <f aca="false">IF($A84="","",IF($N84="No","",AM84))</f>
        <v/>
      </c>
      <c r="BJ84" s="30" t="str">
        <f aca="false">IF($A84="","",IF($O84="No","",AN84))</f>
        <v/>
      </c>
      <c r="BK84" s="30" t="str">
        <f aca="false">IF($A84="","",IF($P84="No","",AO84))</f>
        <v/>
      </c>
    </row>
    <row r="85" customFormat="false" ht="15" hidden="false" customHeight="true" outlineLevel="0" collapsed="false">
      <c r="Z85" s="28" t="str">
        <f aca="false">IF($A85="","",Constants!$B$6+$I85*Constants!$B$7+$J85*Constants!$B$8+$K85*Constants!$B$9+$L85*Constants!$B$10+$M85*Constants!$B$11)</f>
        <v/>
      </c>
      <c r="AA85" s="28" t="str">
        <f aca="false">IF($A85="","",100-Z85)</f>
        <v/>
      </c>
      <c r="AB85" s="28" t="str">
        <f aca="false">IF($A85="","",ROUND($H85*Constants!$B$4,1))</f>
        <v/>
      </c>
      <c r="AC85" s="28" t="str">
        <f aca="false">IF($A85="","",ROUND(AB85*Z85/100,1))</f>
        <v/>
      </c>
      <c r="AD85" s="28" t="str">
        <f aca="false">IF($A85="","",ROUND(AB85*AA85/100,1))</f>
        <v/>
      </c>
      <c r="AE85" s="22" t="str">
        <f aca="false">IF($A85="","",HOUR($Q85)+MINUTE($Q85)/60)</f>
        <v/>
      </c>
      <c r="AF85" s="22" t="str">
        <f aca="false">IF($A85="","",HOUR($R85)+MINUTE($R85)/60)</f>
        <v/>
      </c>
      <c r="AG85" s="22" t="str">
        <f aca="false">IF($A85="","",HOUR($S85)+MINUTE($S85)/60)</f>
        <v/>
      </c>
      <c r="AH85" s="22" t="str">
        <f aca="false">IF($A85="","",HOUR($T85)+MINUTE($T85)/60)</f>
        <v/>
      </c>
      <c r="AI85" s="22" t="str">
        <f aca="false">IF($A85="","",HOUR($V85)+MINUTE($V85)/60)</f>
        <v/>
      </c>
      <c r="AJ85" s="22" t="str">
        <f aca="false">IF($A85="","",HOUR($W85)+MINUTE($W85)/60)</f>
        <v/>
      </c>
      <c r="AK85" s="22" t="str">
        <f aca="false">IF($A85="","",VLOOKUP($F85,Dim_Team!$A:$F,6,0))</f>
        <v/>
      </c>
      <c r="AL85" s="28" t="str">
        <f aca="false">IF($A85="","",VLOOKUP($X85,Dim_Signoff!$A:$C,3,0))</f>
        <v/>
      </c>
      <c r="AM85" s="28" t="str">
        <f aca="false">IF($A85="","",IF($N85="No","n/a",ROUND((AH85-AE85)*60,0)))</f>
        <v/>
      </c>
      <c r="AN85" s="28" t="str">
        <f aca="false">IF($A85="","",IF($O85="No","n/a",ROUND((AH85-AF85)*60,0)))</f>
        <v/>
      </c>
      <c r="AO85" s="28" t="str">
        <f aca="false">IF($A85="","",IF($P85="No","n/a",ROUND((AH85-AG85)*60,0)))</f>
        <v/>
      </c>
      <c r="AP85" s="28" t="str">
        <f aca="false">IF($A85="","",ROUND((AH85-AK85)*60,0))</f>
        <v/>
      </c>
      <c r="AQ85" s="28" t="str">
        <f aca="false">IF($A85="","",ROUND((AI85-AH85)*60,0))</f>
        <v/>
      </c>
      <c r="AR85" s="4" t="str">
        <f aca="false">IF($A85="","",IF(AP85&gt;=AC85,"Yes","No"))</f>
        <v/>
      </c>
      <c r="AS85" s="4" t="str">
        <f aca="false">IF($A85="","",IF(AQ85&gt;=AD85+AL85,"Yes","No"))</f>
        <v/>
      </c>
      <c r="AT85" s="4" t="str">
        <f aca="false">IF($A85="","",IF(AND(AR85="Yes",AS85="Yes"),"OK","REVIEW"))</f>
        <v/>
      </c>
      <c r="AU85" s="4" t="str">
        <f aca="false">IF($A85="","",IF($P85="No","Not applicable",IF(AO85&lt;Constants!$B$14,"CAPTURE","Not needed")))</f>
        <v/>
      </c>
      <c r="AV85" s="4" t="str">
        <f aca="false">IF($A85="","",IF($P85="No","n/a",RANK(AO85,AO:AO,1)))</f>
        <v/>
      </c>
      <c r="AW85" s="4" t="str">
        <f aca="false">IF($A85="","",IF(UPPER($E85)="YES","Strategic","Non-strategic"))</f>
        <v/>
      </c>
      <c r="AX85" s="4" t="str">
        <f aca="false">IF($A85="","",COUNTIFS(Fact_Work!$C:$C,$A85))</f>
        <v/>
      </c>
      <c r="AY85" s="4" t="str">
        <f aca="false">IF($A85="","",IF(AX85=0,"Not seen",IF(AX85&gt;=Constants!$B$13*0.6,"Daily",IF(AX85&gt;=Constants!$B$13*0.12,"Weekly","Monthly or ad hoc"))))</f>
        <v/>
      </c>
      <c r="AZ85" s="22" t="str">
        <f aca="false">IF($A85="","",IFERROR(VLOOKUP($U85,Dim_TOP!$A:$H,8,0),""))</f>
        <v/>
      </c>
      <c r="BA85" s="28" t="str">
        <f aca="false">IF($A85="","",IFERROR(ROUND((AH85-AZ85)*60,0),""))</f>
        <v/>
      </c>
      <c r="BB85" s="4" t="str">
        <f aca="false">IF($A85="","",IF(BA85="","",IF(BA85&lt;=0,"Sets the deadline","Later than peers by "&amp;BA85&amp;" min")))</f>
        <v/>
      </c>
      <c r="BC85" s="29" t="str">
        <f aca="false">IF($A85="","",IF($U85="",0,IF(COUNTIFS($U$2:$U85,$U85,$C$2:$C85,$C85)=1,1,0)))</f>
        <v/>
      </c>
      <c r="BD85" s="10" t="str">
        <f aca="false">IF($A85="","",IF(UPPER($P85)="YES","Yes","No"))</f>
        <v/>
      </c>
      <c r="BE85" s="10" t="str">
        <f aca="false">IF($A85="","",IF($N85="No","n/a",IF(AM85&lt;=Constants!$B$17,"Yes","No")))</f>
        <v/>
      </c>
      <c r="BF85" s="10" t="str">
        <f aca="false">IF($A85="","",IF($O85="No","n/a",IF(AN85&lt;=Constants!$B$17,"Yes","No")))</f>
        <v/>
      </c>
      <c r="BG85" s="10" t="str">
        <f aca="false">IF($A85="","",IF($P85="No","n/a",IF(AO85&lt;=Constants!$B$17,"Yes","No")))</f>
        <v/>
      </c>
      <c r="BH85" s="10" t="str">
        <f aca="false">IF($A85="","",IF($N85="No","No custody process",IF(BE85="Yes","Thin custody slack","Ample custody slack")))</f>
        <v/>
      </c>
      <c r="BI85" s="30" t="str">
        <f aca="false">IF($A85="","",IF($N85="No","",AM85))</f>
        <v/>
      </c>
      <c r="BJ85" s="30" t="str">
        <f aca="false">IF($A85="","",IF($O85="No","",AN85))</f>
        <v/>
      </c>
      <c r="BK85" s="30" t="str">
        <f aca="false">IF($A85="","",IF($P85="No","",AO85))</f>
        <v/>
      </c>
    </row>
    <row r="86" customFormat="false" ht="15" hidden="false" customHeight="true" outlineLevel="0" collapsed="false">
      <c r="Z86" s="28" t="str">
        <f aca="false">IF($A86="","",Constants!$B$6+$I86*Constants!$B$7+$J86*Constants!$B$8+$K86*Constants!$B$9+$L86*Constants!$B$10+$M86*Constants!$B$11)</f>
        <v/>
      </c>
      <c r="AA86" s="28" t="str">
        <f aca="false">IF($A86="","",100-Z86)</f>
        <v/>
      </c>
      <c r="AB86" s="28" t="str">
        <f aca="false">IF($A86="","",ROUND($H86*Constants!$B$4,1))</f>
        <v/>
      </c>
      <c r="AC86" s="28" t="str">
        <f aca="false">IF($A86="","",ROUND(AB86*Z86/100,1))</f>
        <v/>
      </c>
      <c r="AD86" s="28" t="str">
        <f aca="false">IF($A86="","",ROUND(AB86*AA86/100,1))</f>
        <v/>
      </c>
      <c r="AE86" s="22" t="str">
        <f aca="false">IF($A86="","",HOUR($Q86)+MINUTE($Q86)/60)</f>
        <v/>
      </c>
      <c r="AF86" s="22" t="str">
        <f aca="false">IF($A86="","",HOUR($R86)+MINUTE($R86)/60)</f>
        <v/>
      </c>
      <c r="AG86" s="22" t="str">
        <f aca="false">IF($A86="","",HOUR($S86)+MINUTE($S86)/60)</f>
        <v/>
      </c>
      <c r="AH86" s="22" t="str">
        <f aca="false">IF($A86="","",HOUR($T86)+MINUTE($T86)/60)</f>
        <v/>
      </c>
      <c r="AI86" s="22" t="str">
        <f aca="false">IF($A86="","",HOUR($V86)+MINUTE($V86)/60)</f>
        <v/>
      </c>
      <c r="AJ86" s="22" t="str">
        <f aca="false">IF($A86="","",HOUR($W86)+MINUTE($W86)/60)</f>
        <v/>
      </c>
      <c r="AK86" s="22" t="str">
        <f aca="false">IF($A86="","",VLOOKUP($F86,Dim_Team!$A:$F,6,0))</f>
        <v/>
      </c>
      <c r="AL86" s="28" t="str">
        <f aca="false">IF($A86="","",VLOOKUP($X86,Dim_Signoff!$A:$C,3,0))</f>
        <v/>
      </c>
      <c r="AM86" s="28" t="str">
        <f aca="false">IF($A86="","",IF($N86="No","n/a",ROUND((AH86-AE86)*60,0)))</f>
        <v/>
      </c>
      <c r="AN86" s="28" t="str">
        <f aca="false">IF($A86="","",IF($O86="No","n/a",ROUND((AH86-AF86)*60,0)))</f>
        <v/>
      </c>
      <c r="AO86" s="28" t="str">
        <f aca="false">IF($A86="","",IF($P86="No","n/a",ROUND((AH86-AG86)*60,0)))</f>
        <v/>
      </c>
      <c r="AP86" s="28" t="str">
        <f aca="false">IF($A86="","",ROUND((AH86-AK86)*60,0))</f>
        <v/>
      </c>
      <c r="AQ86" s="28" t="str">
        <f aca="false">IF($A86="","",ROUND((AI86-AH86)*60,0))</f>
        <v/>
      </c>
      <c r="AR86" s="4" t="str">
        <f aca="false">IF($A86="","",IF(AP86&gt;=AC86,"Yes","No"))</f>
        <v/>
      </c>
      <c r="AS86" s="4" t="str">
        <f aca="false">IF($A86="","",IF(AQ86&gt;=AD86+AL86,"Yes","No"))</f>
        <v/>
      </c>
      <c r="AT86" s="4" t="str">
        <f aca="false">IF($A86="","",IF(AND(AR86="Yes",AS86="Yes"),"OK","REVIEW"))</f>
        <v/>
      </c>
      <c r="AU86" s="4" t="str">
        <f aca="false">IF($A86="","",IF($P86="No","Not applicable",IF(AO86&lt;Constants!$B$14,"CAPTURE","Not needed")))</f>
        <v/>
      </c>
      <c r="AV86" s="4" t="str">
        <f aca="false">IF($A86="","",IF($P86="No","n/a",RANK(AO86,AO:AO,1)))</f>
        <v/>
      </c>
      <c r="AW86" s="4" t="str">
        <f aca="false">IF($A86="","",IF(UPPER($E86)="YES","Strategic","Non-strategic"))</f>
        <v/>
      </c>
      <c r="AX86" s="4" t="str">
        <f aca="false">IF($A86="","",COUNTIFS(Fact_Work!$C:$C,$A86))</f>
        <v/>
      </c>
      <c r="AY86" s="4" t="str">
        <f aca="false">IF($A86="","",IF(AX86=0,"Not seen",IF(AX86&gt;=Constants!$B$13*0.6,"Daily",IF(AX86&gt;=Constants!$B$13*0.12,"Weekly","Monthly or ad hoc"))))</f>
        <v/>
      </c>
      <c r="AZ86" s="22" t="str">
        <f aca="false">IF($A86="","",IFERROR(VLOOKUP($U86,Dim_TOP!$A:$H,8,0),""))</f>
        <v/>
      </c>
      <c r="BA86" s="28" t="str">
        <f aca="false">IF($A86="","",IFERROR(ROUND((AH86-AZ86)*60,0),""))</f>
        <v/>
      </c>
      <c r="BB86" s="4" t="str">
        <f aca="false">IF($A86="","",IF(BA86="","",IF(BA86&lt;=0,"Sets the deadline","Later than peers by "&amp;BA86&amp;" min")))</f>
        <v/>
      </c>
      <c r="BC86" s="29" t="str">
        <f aca="false">IF($A86="","",IF($U86="",0,IF(COUNTIFS($U$2:$U86,$U86,$C$2:$C86,$C86)=1,1,0)))</f>
        <v/>
      </c>
      <c r="BD86" s="10" t="str">
        <f aca="false">IF($A86="","",IF(UPPER($P86)="YES","Yes","No"))</f>
        <v/>
      </c>
      <c r="BE86" s="10" t="str">
        <f aca="false">IF($A86="","",IF($N86="No","n/a",IF(AM86&lt;=Constants!$B$17,"Yes","No")))</f>
        <v/>
      </c>
      <c r="BF86" s="10" t="str">
        <f aca="false">IF($A86="","",IF($O86="No","n/a",IF(AN86&lt;=Constants!$B$17,"Yes","No")))</f>
        <v/>
      </c>
      <c r="BG86" s="10" t="str">
        <f aca="false">IF($A86="","",IF($P86="No","n/a",IF(AO86&lt;=Constants!$B$17,"Yes","No")))</f>
        <v/>
      </c>
      <c r="BH86" s="10" t="str">
        <f aca="false">IF($A86="","",IF($N86="No","No custody process",IF(BE86="Yes","Thin custody slack","Ample custody slack")))</f>
        <v/>
      </c>
      <c r="BI86" s="30" t="str">
        <f aca="false">IF($A86="","",IF($N86="No","",AM86))</f>
        <v/>
      </c>
      <c r="BJ86" s="30" t="str">
        <f aca="false">IF($A86="","",IF($O86="No","",AN86))</f>
        <v/>
      </c>
      <c r="BK86" s="30" t="str">
        <f aca="false">IF($A86="","",IF($P86="No","",AO86))</f>
        <v/>
      </c>
    </row>
    <row r="87" customFormat="false" ht="15" hidden="false" customHeight="true" outlineLevel="0" collapsed="false">
      <c r="Z87" s="28" t="str">
        <f aca="false">IF($A87="","",Constants!$B$6+$I87*Constants!$B$7+$J87*Constants!$B$8+$K87*Constants!$B$9+$L87*Constants!$B$10+$M87*Constants!$B$11)</f>
        <v/>
      </c>
      <c r="AA87" s="28" t="str">
        <f aca="false">IF($A87="","",100-Z87)</f>
        <v/>
      </c>
      <c r="AB87" s="28" t="str">
        <f aca="false">IF($A87="","",ROUND($H87*Constants!$B$4,1))</f>
        <v/>
      </c>
      <c r="AC87" s="28" t="str">
        <f aca="false">IF($A87="","",ROUND(AB87*Z87/100,1))</f>
        <v/>
      </c>
      <c r="AD87" s="28" t="str">
        <f aca="false">IF($A87="","",ROUND(AB87*AA87/100,1))</f>
        <v/>
      </c>
      <c r="AE87" s="22" t="str">
        <f aca="false">IF($A87="","",HOUR($Q87)+MINUTE($Q87)/60)</f>
        <v/>
      </c>
      <c r="AF87" s="22" t="str">
        <f aca="false">IF($A87="","",HOUR($R87)+MINUTE($R87)/60)</f>
        <v/>
      </c>
      <c r="AG87" s="22" t="str">
        <f aca="false">IF($A87="","",HOUR($S87)+MINUTE($S87)/60)</f>
        <v/>
      </c>
      <c r="AH87" s="22" t="str">
        <f aca="false">IF($A87="","",HOUR($T87)+MINUTE($T87)/60)</f>
        <v/>
      </c>
      <c r="AI87" s="22" t="str">
        <f aca="false">IF($A87="","",HOUR($V87)+MINUTE($V87)/60)</f>
        <v/>
      </c>
      <c r="AJ87" s="22" t="str">
        <f aca="false">IF($A87="","",HOUR($W87)+MINUTE($W87)/60)</f>
        <v/>
      </c>
      <c r="AK87" s="22" t="str">
        <f aca="false">IF($A87="","",VLOOKUP($F87,Dim_Team!$A:$F,6,0))</f>
        <v/>
      </c>
      <c r="AL87" s="28" t="str">
        <f aca="false">IF($A87="","",VLOOKUP($X87,Dim_Signoff!$A:$C,3,0))</f>
        <v/>
      </c>
      <c r="AM87" s="28" t="str">
        <f aca="false">IF($A87="","",IF($N87="No","n/a",ROUND((AH87-AE87)*60,0)))</f>
        <v/>
      </c>
      <c r="AN87" s="28" t="str">
        <f aca="false">IF($A87="","",IF($O87="No","n/a",ROUND((AH87-AF87)*60,0)))</f>
        <v/>
      </c>
      <c r="AO87" s="28" t="str">
        <f aca="false">IF($A87="","",IF($P87="No","n/a",ROUND((AH87-AG87)*60,0)))</f>
        <v/>
      </c>
      <c r="AP87" s="28" t="str">
        <f aca="false">IF($A87="","",ROUND((AH87-AK87)*60,0))</f>
        <v/>
      </c>
      <c r="AQ87" s="28" t="str">
        <f aca="false">IF($A87="","",ROUND((AI87-AH87)*60,0))</f>
        <v/>
      </c>
      <c r="AR87" s="4" t="str">
        <f aca="false">IF($A87="","",IF(AP87&gt;=AC87,"Yes","No"))</f>
        <v/>
      </c>
      <c r="AS87" s="4" t="str">
        <f aca="false">IF($A87="","",IF(AQ87&gt;=AD87+AL87,"Yes","No"))</f>
        <v/>
      </c>
      <c r="AT87" s="4" t="str">
        <f aca="false">IF($A87="","",IF(AND(AR87="Yes",AS87="Yes"),"OK","REVIEW"))</f>
        <v/>
      </c>
      <c r="AU87" s="4" t="str">
        <f aca="false">IF($A87="","",IF($P87="No","Not applicable",IF(AO87&lt;Constants!$B$14,"CAPTURE","Not needed")))</f>
        <v/>
      </c>
      <c r="AV87" s="4" t="str">
        <f aca="false">IF($A87="","",IF($P87="No","n/a",RANK(AO87,AO:AO,1)))</f>
        <v/>
      </c>
      <c r="AW87" s="4" t="str">
        <f aca="false">IF($A87="","",IF(UPPER($E87)="YES","Strategic","Non-strategic"))</f>
        <v/>
      </c>
      <c r="AX87" s="4" t="str">
        <f aca="false">IF($A87="","",COUNTIFS(Fact_Work!$C:$C,$A87))</f>
        <v/>
      </c>
      <c r="AY87" s="4" t="str">
        <f aca="false">IF($A87="","",IF(AX87=0,"Not seen",IF(AX87&gt;=Constants!$B$13*0.6,"Daily",IF(AX87&gt;=Constants!$B$13*0.12,"Weekly","Monthly or ad hoc"))))</f>
        <v/>
      </c>
      <c r="AZ87" s="22" t="str">
        <f aca="false">IF($A87="","",IFERROR(VLOOKUP($U87,Dim_TOP!$A:$H,8,0),""))</f>
        <v/>
      </c>
      <c r="BA87" s="28" t="str">
        <f aca="false">IF($A87="","",IFERROR(ROUND((AH87-AZ87)*60,0),""))</f>
        <v/>
      </c>
      <c r="BB87" s="4" t="str">
        <f aca="false">IF($A87="","",IF(BA87="","",IF(BA87&lt;=0,"Sets the deadline","Later than peers by "&amp;BA87&amp;" min")))</f>
        <v/>
      </c>
      <c r="BC87" s="29" t="str">
        <f aca="false">IF($A87="","",IF($U87="",0,IF(COUNTIFS($U$2:$U87,$U87,$C$2:$C87,$C87)=1,1,0)))</f>
        <v/>
      </c>
      <c r="BD87" s="10" t="str">
        <f aca="false">IF($A87="","",IF(UPPER($P87)="YES","Yes","No"))</f>
        <v/>
      </c>
      <c r="BE87" s="10" t="str">
        <f aca="false">IF($A87="","",IF($N87="No","n/a",IF(AM87&lt;=Constants!$B$17,"Yes","No")))</f>
        <v/>
      </c>
      <c r="BF87" s="10" t="str">
        <f aca="false">IF($A87="","",IF($O87="No","n/a",IF(AN87&lt;=Constants!$B$17,"Yes","No")))</f>
        <v/>
      </c>
      <c r="BG87" s="10" t="str">
        <f aca="false">IF($A87="","",IF($P87="No","n/a",IF(AO87&lt;=Constants!$B$17,"Yes","No")))</f>
        <v/>
      </c>
      <c r="BH87" s="10" t="str">
        <f aca="false">IF($A87="","",IF($N87="No","No custody process",IF(BE87="Yes","Thin custody slack","Ample custody slack")))</f>
        <v/>
      </c>
      <c r="BI87" s="30" t="str">
        <f aca="false">IF($A87="","",IF($N87="No","",AM87))</f>
        <v/>
      </c>
      <c r="BJ87" s="30" t="str">
        <f aca="false">IF($A87="","",IF($O87="No","",AN87))</f>
        <v/>
      </c>
      <c r="BK87" s="30" t="str">
        <f aca="false">IF($A87="","",IF($P87="No","",AO87))</f>
        <v/>
      </c>
    </row>
    <row r="88" customFormat="false" ht="15" hidden="false" customHeight="true" outlineLevel="0" collapsed="false">
      <c r="Z88" s="28" t="str">
        <f aca="false">IF($A88="","",Constants!$B$6+$I88*Constants!$B$7+$J88*Constants!$B$8+$K88*Constants!$B$9+$L88*Constants!$B$10+$M88*Constants!$B$11)</f>
        <v/>
      </c>
      <c r="AA88" s="28" t="str">
        <f aca="false">IF($A88="","",100-Z88)</f>
        <v/>
      </c>
      <c r="AB88" s="28" t="str">
        <f aca="false">IF($A88="","",ROUND($H88*Constants!$B$4,1))</f>
        <v/>
      </c>
      <c r="AC88" s="28" t="str">
        <f aca="false">IF($A88="","",ROUND(AB88*Z88/100,1))</f>
        <v/>
      </c>
      <c r="AD88" s="28" t="str">
        <f aca="false">IF($A88="","",ROUND(AB88*AA88/100,1))</f>
        <v/>
      </c>
      <c r="AE88" s="22" t="str">
        <f aca="false">IF($A88="","",HOUR($Q88)+MINUTE($Q88)/60)</f>
        <v/>
      </c>
      <c r="AF88" s="22" t="str">
        <f aca="false">IF($A88="","",HOUR($R88)+MINUTE($R88)/60)</f>
        <v/>
      </c>
      <c r="AG88" s="22" t="str">
        <f aca="false">IF($A88="","",HOUR($S88)+MINUTE($S88)/60)</f>
        <v/>
      </c>
      <c r="AH88" s="22" t="str">
        <f aca="false">IF($A88="","",HOUR($T88)+MINUTE($T88)/60)</f>
        <v/>
      </c>
      <c r="AI88" s="22" t="str">
        <f aca="false">IF($A88="","",HOUR($V88)+MINUTE($V88)/60)</f>
        <v/>
      </c>
      <c r="AJ88" s="22" t="str">
        <f aca="false">IF($A88="","",HOUR($W88)+MINUTE($W88)/60)</f>
        <v/>
      </c>
      <c r="AK88" s="22" t="str">
        <f aca="false">IF($A88="","",VLOOKUP($F88,Dim_Team!$A:$F,6,0))</f>
        <v/>
      </c>
      <c r="AL88" s="28" t="str">
        <f aca="false">IF($A88="","",VLOOKUP($X88,Dim_Signoff!$A:$C,3,0))</f>
        <v/>
      </c>
      <c r="AM88" s="28" t="str">
        <f aca="false">IF($A88="","",IF($N88="No","n/a",ROUND((AH88-AE88)*60,0)))</f>
        <v/>
      </c>
      <c r="AN88" s="28" t="str">
        <f aca="false">IF($A88="","",IF($O88="No","n/a",ROUND((AH88-AF88)*60,0)))</f>
        <v/>
      </c>
      <c r="AO88" s="28" t="str">
        <f aca="false">IF($A88="","",IF($P88="No","n/a",ROUND((AH88-AG88)*60,0)))</f>
        <v/>
      </c>
      <c r="AP88" s="28" t="str">
        <f aca="false">IF($A88="","",ROUND((AH88-AK88)*60,0))</f>
        <v/>
      </c>
      <c r="AQ88" s="28" t="str">
        <f aca="false">IF($A88="","",ROUND((AI88-AH88)*60,0))</f>
        <v/>
      </c>
      <c r="AR88" s="4" t="str">
        <f aca="false">IF($A88="","",IF(AP88&gt;=AC88,"Yes","No"))</f>
        <v/>
      </c>
      <c r="AS88" s="4" t="str">
        <f aca="false">IF($A88="","",IF(AQ88&gt;=AD88+AL88,"Yes","No"))</f>
        <v/>
      </c>
      <c r="AT88" s="4" t="str">
        <f aca="false">IF($A88="","",IF(AND(AR88="Yes",AS88="Yes"),"OK","REVIEW"))</f>
        <v/>
      </c>
      <c r="AU88" s="4" t="str">
        <f aca="false">IF($A88="","",IF($P88="No","Not applicable",IF(AO88&lt;Constants!$B$14,"CAPTURE","Not needed")))</f>
        <v/>
      </c>
      <c r="AV88" s="4" t="str">
        <f aca="false">IF($A88="","",IF($P88="No","n/a",RANK(AO88,AO:AO,1)))</f>
        <v/>
      </c>
      <c r="AW88" s="4" t="str">
        <f aca="false">IF($A88="","",IF(UPPER($E88)="YES","Strategic","Non-strategic"))</f>
        <v/>
      </c>
      <c r="AX88" s="4" t="str">
        <f aca="false">IF($A88="","",COUNTIFS(Fact_Work!$C:$C,$A88))</f>
        <v/>
      </c>
      <c r="AY88" s="4" t="str">
        <f aca="false">IF($A88="","",IF(AX88=0,"Not seen",IF(AX88&gt;=Constants!$B$13*0.6,"Daily",IF(AX88&gt;=Constants!$B$13*0.12,"Weekly","Monthly or ad hoc"))))</f>
        <v/>
      </c>
      <c r="AZ88" s="22" t="str">
        <f aca="false">IF($A88="","",IFERROR(VLOOKUP($U88,Dim_TOP!$A:$H,8,0),""))</f>
        <v/>
      </c>
      <c r="BA88" s="28" t="str">
        <f aca="false">IF($A88="","",IFERROR(ROUND((AH88-AZ88)*60,0),""))</f>
        <v/>
      </c>
      <c r="BB88" s="4" t="str">
        <f aca="false">IF($A88="","",IF(BA88="","",IF(BA88&lt;=0,"Sets the deadline","Later than peers by "&amp;BA88&amp;" min")))</f>
        <v/>
      </c>
      <c r="BC88" s="29" t="str">
        <f aca="false">IF($A88="","",IF($U88="",0,IF(COUNTIFS($U$2:$U88,$U88,$C$2:$C88,$C88)=1,1,0)))</f>
        <v/>
      </c>
      <c r="BD88" s="10" t="str">
        <f aca="false">IF($A88="","",IF(UPPER($P88)="YES","Yes","No"))</f>
        <v/>
      </c>
      <c r="BE88" s="10" t="str">
        <f aca="false">IF($A88="","",IF($N88="No","n/a",IF(AM88&lt;=Constants!$B$17,"Yes","No")))</f>
        <v/>
      </c>
      <c r="BF88" s="10" t="str">
        <f aca="false">IF($A88="","",IF($O88="No","n/a",IF(AN88&lt;=Constants!$B$17,"Yes","No")))</f>
        <v/>
      </c>
      <c r="BG88" s="10" t="str">
        <f aca="false">IF($A88="","",IF($P88="No","n/a",IF(AO88&lt;=Constants!$B$17,"Yes","No")))</f>
        <v/>
      </c>
      <c r="BH88" s="10" t="str">
        <f aca="false">IF($A88="","",IF($N88="No","No custody process",IF(BE88="Yes","Thin custody slack","Ample custody slack")))</f>
        <v/>
      </c>
      <c r="BI88" s="30" t="str">
        <f aca="false">IF($A88="","",IF($N88="No","",AM88))</f>
        <v/>
      </c>
      <c r="BJ88" s="30" t="str">
        <f aca="false">IF($A88="","",IF($O88="No","",AN88))</f>
        <v/>
      </c>
      <c r="BK88" s="30" t="str">
        <f aca="false">IF($A88="","",IF($P88="No","",AO88))</f>
        <v/>
      </c>
    </row>
    <row r="89" customFormat="false" ht="15" hidden="false" customHeight="true" outlineLevel="0" collapsed="false">
      <c r="Z89" s="28" t="str">
        <f aca="false">IF($A89="","",Constants!$B$6+$I89*Constants!$B$7+$J89*Constants!$B$8+$K89*Constants!$B$9+$L89*Constants!$B$10+$M89*Constants!$B$11)</f>
        <v/>
      </c>
      <c r="AA89" s="28" t="str">
        <f aca="false">IF($A89="","",100-Z89)</f>
        <v/>
      </c>
      <c r="AB89" s="28" t="str">
        <f aca="false">IF($A89="","",ROUND($H89*Constants!$B$4,1))</f>
        <v/>
      </c>
      <c r="AC89" s="28" t="str">
        <f aca="false">IF($A89="","",ROUND(AB89*Z89/100,1))</f>
        <v/>
      </c>
      <c r="AD89" s="28" t="str">
        <f aca="false">IF($A89="","",ROUND(AB89*AA89/100,1))</f>
        <v/>
      </c>
      <c r="AE89" s="22" t="str">
        <f aca="false">IF($A89="","",HOUR($Q89)+MINUTE($Q89)/60)</f>
        <v/>
      </c>
      <c r="AF89" s="22" t="str">
        <f aca="false">IF($A89="","",HOUR($R89)+MINUTE($R89)/60)</f>
        <v/>
      </c>
      <c r="AG89" s="22" t="str">
        <f aca="false">IF($A89="","",HOUR($S89)+MINUTE($S89)/60)</f>
        <v/>
      </c>
      <c r="AH89" s="22" t="str">
        <f aca="false">IF($A89="","",HOUR($T89)+MINUTE($T89)/60)</f>
        <v/>
      </c>
      <c r="AI89" s="22" t="str">
        <f aca="false">IF($A89="","",HOUR($V89)+MINUTE($V89)/60)</f>
        <v/>
      </c>
      <c r="AJ89" s="22" t="str">
        <f aca="false">IF($A89="","",HOUR($W89)+MINUTE($W89)/60)</f>
        <v/>
      </c>
      <c r="AK89" s="22" t="str">
        <f aca="false">IF($A89="","",VLOOKUP($F89,Dim_Team!$A:$F,6,0))</f>
        <v/>
      </c>
      <c r="AL89" s="28" t="str">
        <f aca="false">IF($A89="","",VLOOKUP($X89,Dim_Signoff!$A:$C,3,0))</f>
        <v/>
      </c>
      <c r="AM89" s="28" t="str">
        <f aca="false">IF($A89="","",IF($N89="No","n/a",ROUND((AH89-AE89)*60,0)))</f>
        <v/>
      </c>
      <c r="AN89" s="28" t="str">
        <f aca="false">IF($A89="","",IF($O89="No","n/a",ROUND((AH89-AF89)*60,0)))</f>
        <v/>
      </c>
      <c r="AO89" s="28" t="str">
        <f aca="false">IF($A89="","",IF($P89="No","n/a",ROUND((AH89-AG89)*60,0)))</f>
        <v/>
      </c>
      <c r="AP89" s="28" t="str">
        <f aca="false">IF($A89="","",ROUND((AH89-AK89)*60,0))</f>
        <v/>
      </c>
      <c r="AQ89" s="28" t="str">
        <f aca="false">IF($A89="","",ROUND((AI89-AH89)*60,0))</f>
        <v/>
      </c>
      <c r="AR89" s="4" t="str">
        <f aca="false">IF($A89="","",IF(AP89&gt;=AC89,"Yes","No"))</f>
        <v/>
      </c>
      <c r="AS89" s="4" t="str">
        <f aca="false">IF($A89="","",IF(AQ89&gt;=AD89+AL89,"Yes","No"))</f>
        <v/>
      </c>
      <c r="AT89" s="4" t="str">
        <f aca="false">IF($A89="","",IF(AND(AR89="Yes",AS89="Yes"),"OK","REVIEW"))</f>
        <v/>
      </c>
      <c r="AU89" s="4" t="str">
        <f aca="false">IF($A89="","",IF($P89="No","Not applicable",IF(AO89&lt;Constants!$B$14,"CAPTURE","Not needed")))</f>
        <v/>
      </c>
      <c r="AV89" s="4" t="str">
        <f aca="false">IF($A89="","",IF($P89="No","n/a",RANK(AO89,AO:AO,1)))</f>
        <v/>
      </c>
      <c r="AW89" s="4" t="str">
        <f aca="false">IF($A89="","",IF(UPPER($E89)="YES","Strategic","Non-strategic"))</f>
        <v/>
      </c>
      <c r="AX89" s="4" t="str">
        <f aca="false">IF($A89="","",COUNTIFS(Fact_Work!$C:$C,$A89))</f>
        <v/>
      </c>
      <c r="AY89" s="4" t="str">
        <f aca="false">IF($A89="","",IF(AX89=0,"Not seen",IF(AX89&gt;=Constants!$B$13*0.6,"Daily",IF(AX89&gt;=Constants!$B$13*0.12,"Weekly","Monthly or ad hoc"))))</f>
        <v/>
      </c>
      <c r="AZ89" s="22" t="str">
        <f aca="false">IF($A89="","",IFERROR(VLOOKUP($U89,Dim_TOP!$A:$H,8,0),""))</f>
        <v/>
      </c>
      <c r="BA89" s="28" t="str">
        <f aca="false">IF($A89="","",IFERROR(ROUND((AH89-AZ89)*60,0),""))</f>
        <v/>
      </c>
      <c r="BB89" s="4" t="str">
        <f aca="false">IF($A89="","",IF(BA89="","",IF(BA89&lt;=0,"Sets the deadline","Later than peers by "&amp;BA89&amp;" min")))</f>
        <v/>
      </c>
      <c r="BC89" s="29" t="str">
        <f aca="false">IF($A89="","",IF($U89="",0,IF(COUNTIFS($U$2:$U89,$U89,$C$2:$C89,$C89)=1,1,0)))</f>
        <v/>
      </c>
      <c r="BD89" s="10" t="str">
        <f aca="false">IF($A89="","",IF(UPPER($P89)="YES","Yes","No"))</f>
        <v/>
      </c>
      <c r="BE89" s="10" t="str">
        <f aca="false">IF($A89="","",IF($N89="No","n/a",IF(AM89&lt;=Constants!$B$17,"Yes","No")))</f>
        <v/>
      </c>
      <c r="BF89" s="10" t="str">
        <f aca="false">IF($A89="","",IF($O89="No","n/a",IF(AN89&lt;=Constants!$B$17,"Yes","No")))</f>
        <v/>
      </c>
      <c r="BG89" s="10" t="str">
        <f aca="false">IF($A89="","",IF($P89="No","n/a",IF(AO89&lt;=Constants!$B$17,"Yes","No")))</f>
        <v/>
      </c>
      <c r="BH89" s="10" t="str">
        <f aca="false">IF($A89="","",IF($N89="No","No custody process",IF(BE89="Yes","Thin custody slack","Ample custody slack")))</f>
        <v/>
      </c>
      <c r="BI89" s="30" t="str">
        <f aca="false">IF($A89="","",IF($N89="No","",AM89))</f>
        <v/>
      </c>
      <c r="BJ89" s="30" t="str">
        <f aca="false">IF($A89="","",IF($O89="No","",AN89))</f>
        <v/>
      </c>
      <c r="BK89" s="30" t="str">
        <f aca="false">IF($A89="","",IF($P89="No","",AO89))</f>
        <v/>
      </c>
    </row>
    <row r="90" customFormat="false" ht="15" hidden="false" customHeight="true" outlineLevel="0" collapsed="false">
      <c r="Z90" s="28" t="str">
        <f aca="false">IF($A90="","",Constants!$B$6+$I90*Constants!$B$7+$J90*Constants!$B$8+$K90*Constants!$B$9+$L90*Constants!$B$10+$M90*Constants!$B$11)</f>
        <v/>
      </c>
      <c r="AA90" s="28" t="str">
        <f aca="false">IF($A90="","",100-Z90)</f>
        <v/>
      </c>
      <c r="AB90" s="28" t="str">
        <f aca="false">IF($A90="","",ROUND($H90*Constants!$B$4,1))</f>
        <v/>
      </c>
      <c r="AC90" s="28" t="str">
        <f aca="false">IF($A90="","",ROUND(AB90*Z90/100,1))</f>
        <v/>
      </c>
      <c r="AD90" s="28" t="str">
        <f aca="false">IF($A90="","",ROUND(AB90*AA90/100,1))</f>
        <v/>
      </c>
      <c r="AE90" s="22" t="str">
        <f aca="false">IF($A90="","",HOUR($Q90)+MINUTE($Q90)/60)</f>
        <v/>
      </c>
      <c r="AF90" s="22" t="str">
        <f aca="false">IF($A90="","",HOUR($R90)+MINUTE($R90)/60)</f>
        <v/>
      </c>
      <c r="AG90" s="22" t="str">
        <f aca="false">IF($A90="","",HOUR($S90)+MINUTE($S90)/60)</f>
        <v/>
      </c>
      <c r="AH90" s="22" t="str">
        <f aca="false">IF($A90="","",HOUR($T90)+MINUTE($T90)/60)</f>
        <v/>
      </c>
      <c r="AI90" s="22" t="str">
        <f aca="false">IF($A90="","",HOUR($V90)+MINUTE($V90)/60)</f>
        <v/>
      </c>
      <c r="AJ90" s="22" t="str">
        <f aca="false">IF($A90="","",HOUR($W90)+MINUTE($W90)/60)</f>
        <v/>
      </c>
      <c r="AK90" s="22" t="str">
        <f aca="false">IF($A90="","",VLOOKUP($F90,Dim_Team!$A:$F,6,0))</f>
        <v/>
      </c>
      <c r="AL90" s="28" t="str">
        <f aca="false">IF($A90="","",VLOOKUP($X90,Dim_Signoff!$A:$C,3,0))</f>
        <v/>
      </c>
      <c r="AM90" s="28" t="str">
        <f aca="false">IF($A90="","",IF($N90="No","n/a",ROUND((AH90-AE90)*60,0)))</f>
        <v/>
      </c>
      <c r="AN90" s="28" t="str">
        <f aca="false">IF($A90="","",IF($O90="No","n/a",ROUND((AH90-AF90)*60,0)))</f>
        <v/>
      </c>
      <c r="AO90" s="28" t="str">
        <f aca="false">IF($A90="","",IF($P90="No","n/a",ROUND((AH90-AG90)*60,0)))</f>
        <v/>
      </c>
      <c r="AP90" s="28" t="str">
        <f aca="false">IF($A90="","",ROUND((AH90-AK90)*60,0))</f>
        <v/>
      </c>
      <c r="AQ90" s="28" t="str">
        <f aca="false">IF($A90="","",ROUND((AI90-AH90)*60,0))</f>
        <v/>
      </c>
      <c r="AR90" s="4" t="str">
        <f aca="false">IF($A90="","",IF(AP90&gt;=AC90,"Yes","No"))</f>
        <v/>
      </c>
      <c r="AS90" s="4" t="str">
        <f aca="false">IF($A90="","",IF(AQ90&gt;=AD90+AL90,"Yes","No"))</f>
        <v/>
      </c>
      <c r="AT90" s="4" t="str">
        <f aca="false">IF($A90="","",IF(AND(AR90="Yes",AS90="Yes"),"OK","REVIEW"))</f>
        <v/>
      </c>
      <c r="AU90" s="4" t="str">
        <f aca="false">IF($A90="","",IF($P90="No","Not applicable",IF(AO90&lt;Constants!$B$14,"CAPTURE","Not needed")))</f>
        <v/>
      </c>
      <c r="AV90" s="4" t="str">
        <f aca="false">IF($A90="","",IF($P90="No","n/a",RANK(AO90,AO:AO,1)))</f>
        <v/>
      </c>
      <c r="AW90" s="4" t="str">
        <f aca="false">IF($A90="","",IF(UPPER($E90)="YES","Strategic","Non-strategic"))</f>
        <v/>
      </c>
      <c r="AX90" s="4" t="str">
        <f aca="false">IF($A90="","",COUNTIFS(Fact_Work!$C:$C,$A90))</f>
        <v/>
      </c>
      <c r="AY90" s="4" t="str">
        <f aca="false">IF($A90="","",IF(AX90=0,"Not seen",IF(AX90&gt;=Constants!$B$13*0.6,"Daily",IF(AX90&gt;=Constants!$B$13*0.12,"Weekly","Monthly or ad hoc"))))</f>
        <v/>
      </c>
      <c r="AZ90" s="22" t="str">
        <f aca="false">IF($A90="","",IFERROR(VLOOKUP($U90,Dim_TOP!$A:$H,8,0),""))</f>
        <v/>
      </c>
      <c r="BA90" s="28" t="str">
        <f aca="false">IF($A90="","",IFERROR(ROUND((AH90-AZ90)*60,0),""))</f>
        <v/>
      </c>
      <c r="BB90" s="4" t="str">
        <f aca="false">IF($A90="","",IF(BA90="","",IF(BA90&lt;=0,"Sets the deadline","Later than peers by "&amp;BA90&amp;" min")))</f>
        <v/>
      </c>
      <c r="BC90" s="29" t="str">
        <f aca="false">IF($A90="","",IF($U90="",0,IF(COUNTIFS($U$2:$U90,$U90,$C$2:$C90,$C90)=1,1,0)))</f>
        <v/>
      </c>
      <c r="BD90" s="10" t="str">
        <f aca="false">IF($A90="","",IF(UPPER($P90)="YES","Yes","No"))</f>
        <v/>
      </c>
      <c r="BE90" s="10" t="str">
        <f aca="false">IF($A90="","",IF($N90="No","n/a",IF(AM90&lt;=Constants!$B$17,"Yes","No")))</f>
        <v/>
      </c>
      <c r="BF90" s="10" t="str">
        <f aca="false">IF($A90="","",IF($O90="No","n/a",IF(AN90&lt;=Constants!$B$17,"Yes","No")))</f>
        <v/>
      </c>
      <c r="BG90" s="10" t="str">
        <f aca="false">IF($A90="","",IF($P90="No","n/a",IF(AO90&lt;=Constants!$B$17,"Yes","No")))</f>
        <v/>
      </c>
      <c r="BH90" s="10" t="str">
        <f aca="false">IF($A90="","",IF($N90="No","No custody process",IF(BE90="Yes","Thin custody slack","Ample custody slack")))</f>
        <v/>
      </c>
      <c r="BI90" s="30" t="str">
        <f aca="false">IF($A90="","",IF($N90="No","",AM90))</f>
        <v/>
      </c>
      <c r="BJ90" s="30" t="str">
        <f aca="false">IF($A90="","",IF($O90="No","",AN90))</f>
        <v/>
      </c>
      <c r="BK90" s="30" t="str">
        <f aca="false">IF($A90="","",IF($P90="No","",AO90))</f>
        <v/>
      </c>
    </row>
    <row r="91" customFormat="false" ht="15" hidden="false" customHeight="true" outlineLevel="0" collapsed="false">
      <c r="Z91" s="28" t="str">
        <f aca="false">IF($A91="","",Constants!$B$6+$I91*Constants!$B$7+$J91*Constants!$B$8+$K91*Constants!$B$9+$L91*Constants!$B$10+$M91*Constants!$B$11)</f>
        <v/>
      </c>
      <c r="AA91" s="28" t="str">
        <f aca="false">IF($A91="","",100-Z91)</f>
        <v/>
      </c>
      <c r="AB91" s="28" t="str">
        <f aca="false">IF($A91="","",ROUND($H91*Constants!$B$4,1))</f>
        <v/>
      </c>
      <c r="AC91" s="28" t="str">
        <f aca="false">IF($A91="","",ROUND(AB91*Z91/100,1))</f>
        <v/>
      </c>
      <c r="AD91" s="28" t="str">
        <f aca="false">IF($A91="","",ROUND(AB91*AA91/100,1))</f>
        <v/>
      </c>
      <c r="AE91" s="22" t="str">
        <f aca="false">IF($A91="","",HOUR($Q91)+MINUTE($Q91)/60)</f>
        <v/>
      </c>
      <c r="AF91" s="22" t="str">
        <f aca="false">IF($A91="","",HOUR($R91)+MINUTE($R91)/60)</f>
        <v/>
      </c>
      <c r="AG91" s="22" t="str">
        <f aca="false">IF($A91="","",HOUR($S91)+MINUTE($S91)/60)</f>
        <v/>
      </c>
      <c r="AH91" s="22" t="str">
        <f aca="false">IF($A91="","",HOUR($T91)+MINUTE($T91)/60)</f>
        <v/>
      </c>
      <c r="AI91" s="22" t="str">
        <f aca="false">IF($A91="","",HOUR($V91)+MINUTE($V91)/60)</f>
        <v/>
      </c>
      <c r="AJ91" s="22" t="str">
        <f aca="false">IF($A91="","",HOUR($W91)+MINUTE($W91)/60)</f>
        <v/>
      </c>
      <c r="AK91" s="22" t="str">
        <f aca="false">IF($A91="","",VLOOKUP($F91,Dim_Team!$A:$F,6,0))</f>
        <v/>
      </c>
      <c r="AL91" s="28" t="str">
        <f aca="false">IF($A91="","",VLOOKUP($X91,Dim_Signoff!$A:$C,3,0))</f>
        <v/>
      </c>
      <c r="AM91" s="28" t="str">
        <f aca="false">IF($A91="","",IF($N91="No","n/a",ROUND((AH91-AE91)*60,0)))</f>
        <v/>
      </c>
      <c r="AN91" s="28" t="str">
        <f aca="false">IF($A91="","",IF($O91="No","n/a",ROUND((AH91-AF91)*60,0)))</f>
        <v/>
      </c>
      <c r="AO91" s="28" t="str">
        <f aca="false">IF($A91="","",IF($P91="No","n/a",ROUND((AH91-AG91)*60,0)))</f>
        <v/>
      </c>
      <c r="AP91" s="28" t="str">
        <f aca="false">IF($A91="","",ROUND((AH91-AK91)*60,0))</f>
        <v/>
      </c>
      <c r="AQ91" s="28" t="str">
        <f aca="false">IF($A91="","",ROUND((AI91-AH91)*60,0))</f>
        <v/>
      </c>
      <c r="AR91" s="4" t="str">
        <f aca="false">IF($A91="","",IF(AP91&gt;=AC91,"Yes","No"))</f>
        <v/>
      </c>
      <c r="AS91" s="4" t="str">
        <f aca="false">IF($A91="","",IF(AQ91&gt;=AD91+AL91,"Yes","No"))</f>
        <v/>
      </c>
      <c r="AT91" s="4" t="str">
        <f aca="false">IF($A91="","",IF(AND(AR91="Yes",AS91="Yes"),"OK","REVIEW"))</f>
        <v/>
      </c>
      <c r="AU91" s="4" t="str">
        <f aca="false">IF($A91="","",IF($P91="No","Not applicable",IF(AO91&lt;Constants!$B$14,"CAPTURE","Not needed")))</f>
        <v/>
      </c>
      <c r="AV91" s="4" t="str">
        <f aca="false">IF($A91="","",IF($P91="No","n/a",RANK(AO91,AO:AO,1)))</f>
        <v/>
      </c>
      <c r="AW91" s="4" t="str">
        <f aca="false">IF($A91="","",IF(UPPER($E91)="YES","Strategic","Non-strategic"))</f>
        <v/>
      </c>
      <c r="AX91" s="4" t="str">
        <f aca="false">IF($A91="","",COUNTIFS(Fact_Work!$C:$C,$A91))</f>
        <v/>
      </c>
      <c r="AY91" s="4" t="str">
        <f aca="false">IF($A91="","",IF(AX91=0,"Not seen",IF(AX91&gt;=Constants!$B$13*0.6,"Daily",IF(AX91&gt;=Constants!$B$13*0.12,"Weekly","Monthly or ad hoc"))))</f>
        <v/>
      </c>
      <c r="AZ91" s="22" t="str">
        <f aca="false">IF($A91="","",IFERROR(VLOOKUP($U91,Dim_TOP!$A:$H,8,0),""))</f>
        <v/>
      </c>
      <c r="BA91" s="28" t="str">
        <f aca="false">IF($A91="","",IFERROR(ROUND((AH91-AZ91)*60,0),""))</f>
        <v/>
      </c>
      <c r="BB91" s="4" t="str">
        <f aca="false">IF($A91="","",IF(BA91="","",IF(BA91&lt;=0,"Sets the deadline","Later than peers by "&amp;BA91&amp;" min")))</f>
        <v/>
      </c>
      <c r="BC91" s="29" t="str">
        <f aca="false">IF($A91="","",IF($U91="",0,IF(COUNTIFS($U$2:$U91,$U91,$C$2:$C91,$C91)=1,1,0)))</f>
        <v/>
      </c>
      <c r="BD91" s="10" t="str">
        <f aca="false">IF($A91="","",IF(UPPER($P91)="YES","Yes","No"))</f>
        <v/>
      </c>
      <c r="BE91" s="10" t="str">
        <f aca="false">IF($A91="","",IF($N91="No","n/a",IF(AM91&lt;=Constants!$B$17,"Yes","No")))</f>
        <v/>
      </c>
      <c r="BF91" s="10" t="str">
        <f aca="false">IF($A91="","",IF($O91="No","n/a",IF(AN91&lt;=Constants!$B$17,"Yes","No")))</f>
        <v/>
      </c>
      <c r="BG91" s="10" t="str">
        <f aca="false">IF($A91="","",IF($P91="No","n/a",IF(AO91&lt;=Constants!$B$17,"Yes","No")))</f>
        <v/>
      </c>
      <c r="BH91" s="10" t="str">
        <f aca="false">IF($A91="","",IF($N91="No","No custody process",IF(BE91="Yes","Thin custody slack","Ample custody slack")))</f>
        <v/>
      </c>
      <c r="BI91" s="30" t="str">
        <f aca="false">IF($A91="","",IF($N91="No","",AM91))</f>
        <v/>
      </c>
      <c r="BJ91" s="30" t="str">
        <f aca="false">IF($A91="","",IF($O91="No","",AN91))</f>
        <v/>
      </c>
      <c r="BK91" s="30" t="str">
        <f aca="false">IF($A91="","",IF($P91="No","",AO91))</f>
        <v/>
      </c>
    </row>
    <row r="92" customFormat="false" ht="15" hidden="false" customHeight="true" outlineLevel="0" collapsed="false">
      <c r="Z92" s="28" t="str">
        <f aca="false">IF($A92="","",Constants!$B$6+$I92*Constants!$B$7+$J92*Constants!$B$8+$K92*Constants!$B$9+$L92*Constants!$B$10+$M92*Constants!$B$11)</f>
        <v/>
      </c>
      <c r="AA92" s="28" t="str">
        <f aca="false">IF($A92="","",100-Z92)</f>
        <v/>
      </c>
      <c r="AB92" s="28" t="str">
        <f aca="false">IF($A92="","",ROUND($H92*Constants!$B$4,1))</f>
        <v/>
      </c>
      <c r="AC92" s="28" t="str">
        <f aca="false">IF($A92="","",ROUND(AB92*Z92/100,1))</f>
        <v/>
      </c>
      <c r="AD92" s="28" t="str">
        <f aca="false">IF($A92="","",ROUND(AB92*AA92/100,1))</f>
        <v/>
      </c>
      <c r="AE92" s="22" t="str">
        <f aca="false">IF($A92="","",HOUR($Q92)+MINUTE($Q92)/60)</f>
        <v/>
      </c>
      <c r="AF92" s="22" t="str">
        <f aca="false">IF($A92="","",HOUR($R92)+MINUTE($R92)/60)</f>
        <v/>
      </c>
      <c r="AG92" s="22" t="str">
        <f aca="false">IF($A92="","",HOUR($S92)+MINUTE($S92)/60)</f>
        <v/>
      </c>
      <c r="AH92" s="22" t="str">
        <f aca="false">IF($A92="","",HOUR($T92)+MINUTE($T92)/60)</f>
        <v/>
      </c>
      <c r="AI92" s="22" t="str">
        <f aca="false">IF($A92="","",HOUR($V92)+MINUTE($V92)/60)</f>
        <v/>
      </c>
      <c r="AJ92" s="22" t="str">
        <f aca="false">IF($A92="","",HOUR($W92)+MINUTE($W92)/60)</f>
        <v/>
      </c>
      <c r="AK92" s="22" t="str">
        <f aca="false">IF($A92="","",VLOOKUP($F92,Dim_Team!$A:$F,6,0))</f>
        <v/>
      </c>
      <c r="AL92" s="28" t="str">
        <f aca="false">IF($A92="","",VLOOKUP($X92,Dim_Signoff!$A:$C,3,0))</f>
        <v/>
      </c>
      <c r="AM92" s="28" t="str">
        <f aca="false">IF($A92="","",IF($N92="No","n/a",ROUND((AH92-AE92)*60,0)))</f>
        <v/>
      </c>
      <c r="AN92" s="28" t="str">
        <f aca="false">IF($A92="","",IF($O92="No","n/a",ROUND((AH92-AF92)*60,0)))</f>
        <v/>
      </c>
      <c r="AO92" s="28" t="str">
        <f aca="false">IF($A92="","",IF($P92="No","n/a",ROUND((AH92-AG92)*60,0)))</f>
        <v/>
      </c>
      <c r="AP92" s="28" t="str">
        <f aca="false">IF($A92="","",ROUND((AH92-AK92)*60,0))</f>
        <v/>
      </c>
      <c r="AQ92" s="28" t="str">
        <f aca="false">IF($A92="","",ROUND((AI92-AH92)*60,0))</f>
        <v/>
      </c>
      <c r="AR92" s="4" t="str">
        <f aca="false">IF($A92="","",IF(AP92&gt;=AC92,"Yes","No"))</f>
        <v/>
      </c>
      <c r="AS92" s="4" t="str">
        <f aca="false">IF($A92="","",IF(AQ92&gt;=AD92+AL92,"Yes","No"))</f>
        <v/>
      </c>
      <c r="AT92" s="4" t="str">
        <f aca="false">IF($A92="","",IF(AND(AR92="Yes",AS92="Yes"),"OK","REVIEW"))</f>
        <v/>
      </c>
      <c r="AU92" s="4" t="str">
        <f aca="false">IF($A92="","",IF($P92="No","Not applicable",IF(AO92&lt;Constants!$B$14,"CAPTURE","Not needed")))</f>
        <v/>
      </c>
      <c r="AV92" s="4" t="str">
        <f aca="false">IF($A92="","",IF($P92="No","n/a",RANK(AO92,AO:AO,1)))</f>
        <v/>
      </c>
      <c r="AW92" s="4" t="str">
        <f aca="false">IF($A92="","",IF(UPPER($E92)="YES","Strategic","Non-strategic"))</f>
        <v/>
      </c>
      <c r="AX92" s="4" t="str">
        <f aca="false">IF($A92="","",COUNTIFS(Fact_Work!$C:$C,$A92))</f>
        <v/>
      </c>
      <c r="AY92" s="4" t="str">
        <f aca="false">IF($A92="","",IF(AX92=0,"Not seen",IF(AX92&gt;=Constants!$B$13*0.6,"Daily",IF(AX92&gt;=Constants!$B$13*0.12,"Weekly","Monthly or ad hoc"))))</f>
        <v/>
      </c>
      <c r="AZ92" s="22" t="str">
        <f aca="false">IF($A92="","",IFERROR(VLOOKUP($U92,Dim_TOP!$A:$H,8,0),""))</f>
        <v/>
      </c>
      <c r="BA92" s="28" t="str">
        <f aca="false">IF($A92="","",IFERROR(ROUND((AH92-AZ92)*60,0),""))</f>
        <v/>
      </c>
      <c r="BB92" s="4" t="str">
        <f aca="false">IF($A92="","",IF(BA92="","",IF(BA92&lt;=0,"Sets the deadline","Later than peers by "&amp;BA92&amp;" min")))</f>
        <v/>
      </c>
      <c r="BC92" s="29" t="str">
        <f aca="false">IF($A92="","",IF($U92="",0,IF(COUNTIFS($U$2:$U92,$U92,$C$2:$C92,$C92)=1,1,0)))</f>
        <v/>
      </c>
      <c r="BD92" s="10" t="str">
        <f aca="false">IF($A92="","",IF(UPPER($P92)="YES","Yes","No"))</f>
        <v/>
      </c>
      <c r="BE92" s="10" t="str">
        <f aca="false">IF($A92="","",IF($N92="No","n/a",IF(AM92&lt;=Constants!$B$17,"Yes","No")))</f>
        <v/>
      </c>
      <c r="BF92" s="10" t="str">
        <f aca="false">IF($A92="","",IF($O92="No","n/a",IF(AN92&lt;=Constants!$B$17,"Yes","No")))</f>
        <v/>
      </c>
      <c r="BG92" s="10" t="str">
        <f aca="false">IF($A92="","",IF($P92="No","n/a",IF(AO92&lt;=Constants!$B$17,"Yes","No")))</f>
        <v/>
      </c>
      <c r="BH92" s="10" t="str">
        <f aca="false">IF($A92="","",IF($N92="No","No custody process",IF(BE92="Yes","Thin custody slack","Ample custody slack")))</f>
        <v/>
      </c>
      <c r="BI92" s="30" t="str">
        <f aca="false">IF($A92="","",IF($N92="No","",AM92))</f>
        <v/>
      </c>
      <c r="BJ92" s="30" t="str">
        <f aca="false">IF($A92="","",IF($O92="No","",AN92))</f>
        <v/>
      </c>
      <c r="BK92" s="30" t="str">
        <f aca="false">IF($A92="","",IF($P92="No","",AO92))</f>
        <v/>
      </c>
    </row>
    <row r="93" customFormat="false" ht="15" hidden="false" customHeight="true" outlineLevel="0" collapsed="false">
      <c r="Z93" s="28" t="str">
        <f aca="false">IF($A93="","",Constants!$B$6+$I93*Constants!$B$7+$J93*Constants!$B$8+$K93*Constants!$B$9+$L93*Constants!$B$10+$M93*Constants!$B$11)</f>
        <v/>
      </c>
      <c r="AA93" s="28" t="str">
        <f aca="false">IF($A93="","",100-Z93)</f>
        <v/>
      </c>
      <c r="AB93" s="28" t="str">
        <f aca="false">IF($A93="","",ROUND($H93*Constants!$B$4,1))</f>
        <v/>
      </c>
      <c r="AC93" s="28" t="str">
        <f aca="false">IF($A93="","",ROUND(AB93*Z93/100,1))</f>
        <v/>
      </c>
      <c r="AD93" s="28" t="str">
        <f aca="false">IF($A93="","",ROUND(AB93*AA93/100,1))</f>
        <v/>
      </c>
      <c r="AE93" s="22" t="str">
        <f aca="false">IF($A93="","",HOUR($Q93)+MINUTE($Q93)/60)</f>
        <v/>
      </c>
      <c r="AF93" s="22" t="str">
        <f aca="false">IF($A93="","",HOUR($R93)+MINUTE($R93)/60)</f>
        <v/>
      </c>
      <c r="AG93" s="22" t="str">
        <f aca="false">IF($A93="","",HOUR($S93)+MINUTE($S93)/60)</f>
        <v/>
      </c>
      <c r="AH93" s="22" t="str">
        <f aca="false">IF($A93="","",HOUR($T93)+MINUTE($T93)/60)</f>
        <v/>
      </c>
      <c r="AI93" s="22" t="str">
        <f aca="false">IF($A93="","",HOUR($V93)+MINUTE($V93)/60)</f>
        <v/>
      </c>
      <c r="AJ93" s="22" t="str">
        <f aca="false">IF($A93="","",HOUR($W93)+MINUTE($W93)/60)</f>
        <v/>
      </c>
      <c r="AK93" s="22" t="str">
        <f aca="false">IF($A93="","",VLOOKUP($F93,Dim_Team!$A:$F,6,0))</f>
        <v/>
      </c>
      <c r="AL93" s="28" t="str">
        <f aca="false">IF($A93="","",VLOOKUP($X93,Dim_Signoff!$A:$C,3,0))</f>
        <v/>
      </c>
      <c r="AM93" s="28" t="str">
        <f aca="false">IF($A93="","",IF($N93="No","n/a",ROUND((AH93-AE93)*60,0)))</f>
        <v/>
      </c>
      <c r="AN93" s="28" t="str">
        <f aca="false">IF($A93="","",IF($O93="No","n/a",ROUND((AH93-AF93)*60,0)))</f>
        <v/>
      </c>
      <c r="AO93" s="28" t="str">
        <f aca="false">IF($A93="","",IF($P93="No","n/a",ROUND((AH93-AG93)*60,0)))</f>
        <v/>
      </c>
      <c r="AP93" s="28" t="str">
        <f aca="false">IF($A93="","",ROUND((AH93-AK93)*60,0))</f>
        <v/>
      </c>
      <c r="AQ93" s="28" t="str">
        <f aca="false">IF($A93="","",ROUND((AI93-AH93)*60,0))</f>
        <v/>
      </c>
      <c r="AR93" s="4" t="str">
        <f aca="false">IF($A93="","",IF(AP93&gt;=AC93,"Yes","No"))</f>
        <v/>
      </c>
      <c r="AS93" s="4" t="str">
        <f aca="false">IF($A93="","",IF(AQ93&gt;=AD93+AL93,"Yes","No"))</f>
        <v/>
      </c>
      <c r="AT93" s="4" t="str">
        <f aca="false">IF($A93="","",IF(AND(AR93="Yes",AS93="Yes"),"OK","REVIEW"))</f>
        <v/>
      </c>
      <c r="AU93" s="4" t="str">
        <f aca="false">IF($A93="","",IF($P93="No","Not applicable",IF(AO93&lt;Constants!$B$14,"CAPTURE","Not needed")))</f>
        <v/>
      </c>
      <c r="AV93" s="4" t="str">
        <f aca="false">IF($A93="","",IF($P93="No","n/a",RANK(AO93,AO:AO,1)))</f>
        <v/>
      </c>
      <c r="AW93" s="4" t="str">
        <f aca="false">IF($A93="","",IF(UPPER($E93)="YES","Strategic","Non-strategic"))</f>
        <v/>
      </c>
      <c r="AX93" s="4" t="str">
        <f aca="false">IF($A93="","",COUNTIFS(Fact_Work!$C:$C,$A93))</f>
        <v/>
      </c>
      <c r="AY93" s="4" t="str">
        <f aca="false">IF($A93="","",IF(AX93=0,"Not seen",IF(AX93&gt;=Constants!$B$13*0.6,"Daily",IF(AX93&gt;=Constants!$B$13*0.12,"Weekly","Monthly or ad hoc"))))</f>
        <v/>
      </c>
      <c r="AZ93" s="22" t="str">
        <f aca="false">IF($A93="","",IFERROR(VLOOKUP($U93,Dim_TOP!$A:$H,8,0),""))</f>
        <v/>
      </c>
      <c r="BA93" s="28" t="str">
        <f aca="false">IF($A93="","",IFERROR(ROUND((AH93-AZ93)*60,0),""))</f>
        <v/>
      </c>
      <c r="BB93" s="4" t="str">
        <f aca="false">IF($A93="","",IF(BA93="","",IF(BA93&lt;=0,"Sets the deadline","Later than peers by "&amp;BA93&amp;" min")))</f>
        <v/>
      </c>
      <c r="BC93" s="29" t="str">
        <f aca="false">IF($A93="","",IF($U93="",0,IF(COUNTIFS($U$2:$U93,$U93,$C$2:$C93,$C93)=1,1,0)))</f>
        <v/>
      </c>
      <c r="BD93" s="10" t="str">
        <f aca="false">IF($A93="","",IF(UPPER($P93)="YES","Yes","No"))</f>
        <v/>
      </c>
      <c r="BE93" s="10" t="str">
        <f aca="false">IF($A93="","",IF($N93="No","n/a",IF(AM93&lt;=Constants!$B$17,"Yes","No")))</f>
        <v/>
      </c>
      <c r="BF93" s="10" t="str">
        <f aca="false">IF($A93="","",IF($O93="No","n/a",IF(AN93&lt;=Constants!$B$17,"Yes","No")))</f>
        <v/>
      </c>
      <c r="BG93" s="10" t="str">
        <f aca="false">IF($A93="","",IF($P93="No","n/a",IF(AO93&lt;=Constants!$B$17,"Yes","No")))</f>
        <v/>
      </c>
      <c r="BH93" s="10" t="str">
        <f aca="false">IF($A93="","",IF($N93="No","No custody process",IF(BE93="Yes","Thin custody slack","Ample custody slack")))</f>
        <v/>
      </c>
      <c r="BI93" s="30" t="str">
        <f aca="false">IF($A93="","",IF($N93="No","",AM93))</f>
        <v/>
      </c>
      <c r="BJ93" s="30" t="str">
        <f aca="false">IF($A93="","",IF($O93="No","",AN93))</f>
        <v/>
      </c>
      <c r="BK93" s="30" t="str">
        <f aca="false">IF($A93="","",IF($P93="No","",AO93))</f>
        <v/>
      </c>
    </row>
    <row r="94" customFormat="false" ht="15" hidden="false" customHeight="true" outlineLevel="0" collapsed="false">
      <c r="Z94" s="28" t="str">
        <f aca="false">IF($A94="","",Constants!$B$6+$I94*Constants!$B$7+$J94*Constants!$B$8+$K94*Constants!$B$9+$L94*Constants!$B$10+$M94*Constants!$B$11)</f>
        <v/>
      </c>
      <c r="AA94" s="28" t="str">
        <f aca="false">IF($A94="","",100-Z94)</f>
        <v/>
      </c>
      <c r="AB94" s="28" t="str">
        <f aca="false">IF($A94="","",ROUND($H94*Constants!$B$4,1))</f>
        <v/>
      </c>
      <c r="AC94" s="28" t="str">
        <f aca="false">IF($A94="","",ROUND(AB94*Z94/100,1))</f>
        <v/>
      </c>
      <c r="AD94" s="28" t="str">
        <f aca="false">IF($A94="","",ROUND(AB94*AA94/100,1))</f>
        <v/>
      </c>
      <c r="AE94" s="22" t="str">
        <f aca="false">IF($A94="","",HOUR($Q94)+MINUTE($Q94)/60)</f>
        <v/>
      </c>
      <c r="AF94" s="22" t="str">
        <f aca="false">IF($A94="","",HOUR($R94)+MINUTE($R94)/60)</f>
        <v/>
      </c>
      <c r="AG94" s="22" t="str">
        <f aca="false">IF($A94="","",HOUR($S94)+MINUTE($S94)/60)</f>
        <v/>
      </c>
      <c r="AH94" s="22" t="str">
        <f aca="false">IF($A94="","",HOUR($T94)+MINUTE($T94)/60)</f>
        <v/>
      </c>
      <c r="AI94" s="22" t="str">
        <f aca="false">IF($A94="","",HOUR($V94)+MINUTE($V94)/60)</f>
        <v/>
      </c>
      <c r="AJ94" s="22" t="str">
        <f aca="false">IF($A94="","",HOUR($W94)+MINUTE($W94)/60)</f>
        <v/>
      </c>
      <c r="AK94" s="22" t="str">
        <f aca="false">IF($A94="","",VLOOKUP($F94,Dim_Team!$A:$F,6,0))</f>
        <v/>
      </c>
      <c r="AL94" s="28" t="str">
        <f aca="false">IF($A94="","",VLOOKUP($X94,Dim_Signoff!$A:$C,3,0))</f>
        <v/>
      </c>
      <c r="AM94" s="28" t="str">
        <f aca="false">IF($A94="","",IF($N94="No","n/a",ROUND((AH94-AE94)*60,0)))</f>
        <v/>
      </c>
      <c r="AN94" s="28" t="str">
        <f aca="false">IF($A94="","",IF($O94="No","n/a",ROUND((AH94-AF94)*60,0)))</f>
        <v/>
      </c>
      <c r="AO94" s="28" t="str">
        <f aca="false">IF($A94="","",IF($P94="No","n/a",ROUND((AH94-AG94)*60,0)))</f>
        <v/>
      </c>
      <c r="AP94" s="28" t="str">
        <f aca="false">IF($A94="","",ROUND((AH94-AK94)*60,0))</f>
        <v/>
      </c>
      <c r="AQ94" s="28" t="str">
        <f aca="false">IF($A94="","",ROUND((AI94-AH94)*60,0))</f>
        <v/>
      </c>
      <c r="AR94" s="4" t="str">
        <f aca="false">IF($A94="","",IF(AP94&gt;=AC94,"Yes","No"))</f>
        <v/>
      </c>
      <c r="AS94" s="4" t="str">
        <f aca="false">IF($A94="","",IF(AQ94&gt;=AD94+AL94,"Yes","No"))</f>
        <v/>
      </c>
      <c r="AT94" s="4" t="str">
        <f aca="false">IF($A94="","",IF(AND(AR94="Yes",AS94="Yes"),"OK","REVIEW"))</f>
        <v/>
      </c>
      <c r="AU94" s="4" t="str">
        <f aca="false">IF($A94="","",IF($P94="No","Not applicable",IF(AO94&lt;Constants!$B$14,"CAPTURE","Not needed")))</f>
        <v/>
      </c>
      <c r="AV94" s="4" t="str">
        <f aca="false">IF($A94="","",IF($P94="No","n/a",RANK(AO94,AO:AO,1)))</f>
        <v/>
      </c>
      <c r="AW94" s="4" t="str">
        <f aca="false">IF($A94="","",IF(UPPER($E94)="YES","Strategic","Non-strategic"))</f>
        <v/>
      </c>
      <c r="AX94" s="4" t="str">
        <f aca="false">IF($A94="","",COUNTIFS(Fact_Work!$C:$C,$A94))</f>
        <v/>
      </c>
      <c r="AY94" s="4" t="str">
        <f aca="false">IF($A94="","",IF(AX94=0,"Not seen",IF(AX94&gt;=Constants!$B$13*0.6,"Daily",IF(AX94&gt;=Constants!$B$13*0.12,"Weekly","Monthly or ad hoc"))))</f>
        <v/>
      </c>
      <c r="AZ94" s="22" t="str">
        <f aca="false">IF($A94="","",IFERROR(VLOOKUP($U94,Dim_TOP!$A:$H,8,0),""))</f>
        <v/>
      </c>
      <c r="BA94" s="28" t="str">
        <f aca="false">IF($A94="","",IFERROR(ROUND((AH94-AZ94)*60,0),""))</f>
        <v/>
      </c>
      <c r="BB94" s="4" t="str">
        <f aca="false">IF($A94="","",IF(BA94="","",IF(BA94&lt;=0,"Sets the deadline","Later than peers by "&amp;BA94&amp;" min")))</f>
        <v/>
      </c>
      <c r="BC94" s="29" t="str">
        <f aca="false">IF($A94="","",IF($U94="",0,IF(COUNTIFS($U$2:$U94,$U94,$C$2:$C94,$C94)=1,1,0)))</f>
        <v/>
      </c>
      <c r="BD94" s="10" t="str">
        <f aca="false">IF($A94="","",IF(UPPER($P94)="YES","Yes","No"))</f>
        <v/>
      </c>
      <c r="BE94" s="10" t="str">
        <f aca="false">IF($A94="","",IF($N94="No","n/a",IF(AM94&lt;=Constants!$B$17,"Yes","No")))</f>
        <v/>
      </c>
      <c r="BF94" s="10" t="str">
        <f aca="false">IF($A94="","",IF($O94="No","n/a",IF(AN94&lt;=Constants!$B$17,"Yes","No")))</f>
        <v/>
      </c>
      <c r="BG94" s="10" t="str">
        <f aca="false">IF($A94="","",IF($P94="No","n/a",IF(AO94&lt;=Constants!$B$17,"Yes","No")))</f>
        <v/>
      </c>
      <c r="BH94" s="10" t="str">
        <f aca="false">IF($A94="","",IF($N94="No","No custody process",IF(BE94="Yes","Thin custody slack","Ample custody slack")))</f>
        <v/>
      </c>
      <c r="BI94" s="30" t="str">
        <f aca="false">IF($A94="","",IF($N94="No","",AM94))</f>
        <v/>
      </c>
      <c r="BJ94" s="30" t="str">
        <f aca="false">IF($A94="","",IF($O94="No","",AN94))</f>
        <v/>
      </c>
      <c r="BK94" s="30" t="str">
        <f aca="false">IF($A94="","",IF($P94="No","",AO94))</f>
        <v/>
      </c>
    </row>
    <row r="95" customFormat="false" ht="15" hidden="false" customHeight="true" outlineLevel="0" collapsed="false">
      <c r="Z95" s="28" t="str">
        <f aca="false">IF($A95="","",Constants!$B$6+$I95*Constants!$B$7+$J95*Constants!$B$8+$K95*Constants!$B$9+$L95*Constants!$B$10+$M95*Constants!$B$11)</f>
        <v/>
      </c>
      <c r="AA95" s="28" t="str">
        <f aca="false">IF($A95="","",100-Z95)</f>
        <v/>
      </c>
      <c r="AB95" s="28" t="str">
        <f aca="false">IF($A95="","",ROUND($H95*Constants!$B$4,1))</f>
        <v/>
      </c>
      <c r="AC95" s="28" t="str">
        <f aca="false">IF($A95="","",ROUND(AB95*Z95/100,1))</f>
        <v/>
      </c>
      <c r="AD95" s="28" t="str">
        <f aca="false">IF($A95="","",ROUND(AB95*AA95/100,1))</f>
        <v/>
      </c>
      <c r="AE95" s="22" t="str">
        <f aca="false">IF($A95="","",HOUR($Q95)+MINUTE($Q95)/60)</f>
        <v/>
      </c>
      <c r="AF95" s="22" t="str">
        <f aca="false">IF($A95="","",HOUR($R95)+MINUTE($R95)/60)</f>
        <v/>
      </c>
      <c r="AG95" s="22" t="str">
        <f aca="false">IF($A95="","",HOUR($S95)+MINUTE($S95)/60)</f>
        <v/>
      </c>
      <c r="AH95" s="22" t="str">
        <f aca="false">IF($A95="","",HOUR($T95)+MINUTE($T95)/60)</f>
        <v/>
      </c>
      <c r="AI95" s="22" t="str">
        <f aca="false">IF($A95="","",HOUR($V95)+MINUTE($V95)/60)</f>
        <v/>
      </c>
      <c r="AJ95" s="22" t="str">
        <f aca="false">IF($A95="","",HOUR($W95)+MINUTE($W95)/60)</f>
        <v/>
      </c>
      <c r="AK95" s="22" t="str">
        <f aca="false">IF($A95="","",VLOOKUP($F95,Dim_Team!$A:$F,6,0))</f>
        <v/>
      </c>
      <c r="AL95" s="28" t="str">
        <f aca="false">IF($A95="","",VLOOKUP($X95,Dim_Signoff!$A:$C,3,0))</f>
        <v/>
      </c>
      <c r="AM95" s="28" t="str">
        <f aca="false">IF($A95="","",IF($N95="No","n/a",ROUND((AH95-AE95)*60,0)))</f>
        <v/>
      </c>
      <c r="AN95" s="28" t="str">
        <f aca="false">IF($A95="","",IF($O95="No","n/a",ROUND((AH95-AF95)*60,0)))</f>
        <v/>
      </c>
      <c r="AO95" s="28" t="str">
        <f aca="false">IF($A95="","",IF($P95="No","n/a",ROUND((AH95-AG95)*60,0)))</f>
        <v/>
      </c>
      <c r="AP95" s="28" t="str">
        <f aca="false">IF($A95="","",ROUND((AH95-AK95)*60,0))</f>
        <v/>
      </c>
      <c r="AQ95" s="28" t="str">
        <f aca="false">IF($A95="","",ROUND((AI95-AH95)*60,0))</f>
        <v/>
      </c>
      <c r="AR95" s="4" t="str">
        <f aca="false">IF($A95="","",IF(AP95&gt;=AC95,"Yes","No"))</f>
        <v/>
      </c>
      <c r="AS95" s="4" t="str">
        <f aca="false">IF($A95="","",IF(AQ95&gt;=AD95+AL95,"Yes","No"))</f>
        <v/>
      </c>
      <c r="AT95" s="4" t="str">
        <f aca="false">IF($A95="","",IF(AND(AR95="Yes",AS95="Yes"),"OK","REVIEW"))</f>
        <v/>
      </c>
      <c r="AU95" s="4" t="str">
        <f aca="false">IF($A95="","",IF($P95="No","Not applicable",IF(AO95&lt;Constants!$B$14,"CAPTURE","Not needed")))</f>
        <v/>
      </c>
      <c r="AV95" s="4" t="str">
        <f aca="false">IF($A95="","",IF($P95="No","n/a",RANK(AO95,AO:AO,1)))</f>
        <v/>
      </c>
      <c r="AW95" s="4" t="str">
        <f aca="false">IF($A95="","",IF(UPPER($E95)="YES","Strategic","Non-strategic"))</f>
        <v/>
      </c>
      <c r="AX95" s="4" t="str">
        <f aca="false">IF($A95="","",COUNTIFS(Fact_Work!$C:$C,$A95))</f>
        <v/>
      </c>
      <c r="AY95" s="4" t="str">
        <f aca="false">IF($A95="","",IF(AX95=0,"Not seen",IF(AX95&gt;=Constants!$B$13*0.6,"Daily",IF(AX95&gt;=Constants!$B$13*0.12,"Weekly","Monthly or ad hoc"))))</f>
        <v/>
      </c>
      <c r="AZ95" s="22" t="str">
        <f aca="false">IF($A95="","",IFERROR(VLOOKUP($U95,Dim_TOP!$A:$H,8,0),""))</f>
        <v/>
      </c>
      <c r="BA95" s="28" t="str">
        <f aca="false">IF($A95="","",IFERROR(ROUND((AH95-AZ95)*60,0),""))</f>
        <v/>
      </c>
      <c r="BB95" s="4" t="str">
        <f aca="false">IF($A95="","",IF(BA95="","",IF(BA95&lt;=0,"Sets the deadline","Later than peers by "&amp;BA95&amp;" min")))</f>
        <v/>
      </c>
      <c r="BC95" s="29" t="str">
        <f aca="false">IF($A95="","",IF($U95="",0,IF(COUNTIFS($U$2:$U95,$U95,$C$2:$C95,$C95)=1,1,0)))</f>
        <v/>
      </c>
      <c r="BD95" s="10" t="str">
        <f aca="false">IF($A95="","",IF(UPPER($P95)="YES","Yes","No"))</f>
        <v/>
      </c>
      <c r="BE95" s="10" t="str">
        <f aca="false">IF($A95="","",IF($N95="No","n/a",IF(AM95&lt;=Constants!$B$17,"Yes","No")))</f>
        <v/>
      </c>
      <c r="BF95" s="10" t="str">
        <f aca="false">IF($A95="","",IF($O95="No","n/a",IF(AN95&lt;=Constants!$B$17,"Yes","No")))</f>
        <v/>
      </c>
      <c r="BG95" s="10" t="str">
        <f aca="false">IF($A95="","",IF($P95="No","n/a",IF(AO95&lt;=Constants!$B$17,"Yes","No")))</f>
        <v/>
      </c>
      <c r="BH95" s="10" t="str">
        <f aca="false">IF($A95="","",IF($N95="No","No custody process",IF(BE95="Yes","Thin custody slack","Ample custody slack")))</f>
        <v/>
      </c>
      <c r="BI95" s="30" t="str">
        <f aca="false">IF($A95="","",IF($N95="No","",AM95))</f>
        <v/>
      </c>
      <c r="BJ95" s="30" t="str">
        <f aca="false">IF($A95="","",IF($O95="No","",AN95))</f>
        <v/>
      </c>
      <c r="BK95" s="30" t="str">
        <f aca="false">IF($A95="","",IF($P95="No","",AO95))</f>
        <v/>
      </c>
    </row>
    <row r="96" customFormat="false" ht="15" hidden="false" customHeight="true" outlineLevel="0" collapsed="false">
      <c r="Z96" s="28" t="str">
        <f aca="false">IF($A96="","",Constants!$B$6+$I96*Constants!$B$7+$J96*Constants!$B$8+$K96*Constants!$B$9+$L96*Constants!$B$10+$M96*Constants!$B$11)</f>
        <v/>
      </c>
      <c r="AA96" s="28" t="str">
        <f aca="false">IF($A96="","",100-Z96)</f>
        <v/>
      </c>
      <c r="AB96" s="28" t="str">
        <f aca="false">IF($A96="","",ROUND($H96*Constants!$B$4,1))</f>
        <v/>
      </c>
      <c r="AC96" s="28" t="str">
        <f aca="false">IF($A96="","",ROUND(AB96*Z96/100,1))</f>
        <v/>
      </c>
      <c r="AD96" s="28" t="str">
        <f aca="false">IF($A96="","",ROUND(AB96*AA96/100,1))</f>
        <v/>
      </c>
      <c r="AE96" s="22" t="str">
        <f aca="false">IF($A96="","",HOUR($Q96)+MINUTE($Q96)/60)</f>
        <v/>
      </c>
      <c r="AF96" s="22" t="str">
        <f aca="false">IF($A96="","",HOUR($R96)+MINUTE($R96)/60)</f>
        <v/>
      </c>
      <c r="AG96" s="22" t="str">
        <f aca="false">IF($A96="","",HOUR($S96)+MINUTE($S96)/60)</f>
        <v/>
      </c>
      <c r="AH96" s="22" t="str">
        <f aca="false">IF($A96="","",HOUR($T96)+MINUTE($T96)/60)</f>
        <v/>
      </c>
      <c r="AI96" s="22" t="str">
        <f aca="false">IF($A96="","",HOUR($V96)+MINUTE($V96)/60)</f>
        <v/>
      </c>
      <c r="AJ96" s="22" t="str">
        <f aca="false">IF($A96="","",HOUR($W96)+MINUTE($W96)/60)</f>
        <v/>
      </c>
      <c r="AK96" s="22" t="str">
        <f aca="false">IF($A96="","",VLOOKUP($F96,Dim_Team!$A:$F,6,0))</f>
        <v/>
      </c>
      <c r="AL96" s="28" t="str">
        <f aca="false">IF($A96="","",VLOOKUP($X96,Dim_Signoff!$A:$C,3,0))</f>
        <v/>
      </c>
      <c r="AM96" s="28" t="str">
        <f aca="false">IF($A96="","",IF($N96="No","n/a",ROUND((AH96-AE96)*60,0)))</f>
        <v/>
      </c>
      <c r="AN96" s="28" t="str">
        <f aca="false">IF($A96="","",IF($O96="No","n/a",ROUND((AH96-AF96)*60,0)))</f>
        <v/>
      </c>
      <c r="AO96" s="28" t="str">
        <f aca="false">IF($A96="","",IF($P96="No","n/a",ROUND((AH96-AG96)*60,0)))</f>
        <v/>
      </c>
      <c r="AP96" s="28" t="str">
        <f aca="false">IF($A96="","",ROUND((AH96-AK96)*60,0))</f>
        <v/>
      </c>
      <c r="AQ96" s="28" t="str">
        <f aca="false">IF($A96="","",ROUND((AI96-AH96)*60,0))</f>
        <v/>
      </c>
      <c r="AR96" s="4" t="str">
        <f aca="false">IF($A96="","",IF(AP96&gt;=AC96,"Yes","No"))</f>
        <v/>
      </c>
      <c r="AS96" s="4" t="str">
        <f aca="false">IF($A96="","",IF(AQ96&gt;=AD96+AL96,"Yes","No"))</f>
        <v/>
      </c>
      <c r="AT96" s="4" t="str">
        <f aca="false">IF($A96="","",IF(AND(AR96="Yes",AS96="Yes"),"OK","REVIEW"))</f>
        <v/>
      </c>
      <c r="AU96" s="4" t="str">
        <f aca="false">IF($A96="","",IF($P96="No","Not applicable",IF(AO96&lt;Constants!$B$14,"CAPTURE","Not needed")))</f>
        <v/>
      </c>
      <c r="AV96" s="4" t="str">
        <f aca="false">IF($A96="","",IF($P96="No","n/a",RANK(AO96,AO:AO,1)))</f>
        <v/>
      </c>
      <c r="AW96" s="4" t="str">
        <f aca="false">IF($A96="","",IF(UPPER($E96)="YES","Strategic","Non-strategic"))</f>
        <v/>
      </c>
      <c r="AX96" s="4" t="str">
        <f aca="false">IF($A96="","",COUNTIFS(Fact_Work!$C:$C,$A96))</f>
        <v/>
      </c>
      <c r="AY96" s="4" t="str">
        <f aca="false">IF($A96="","",IF(AX96=0,"Not seen",IF(AX96&gt;=Constants!$B$13*0.6,"Daily",IF(AX96&gt;=Constants!$B$13*0.12,"Weekly","Monthly or ad hoc"))))</f>
        <v/>
      </c>
      <c r="AZ96" s="22" t="str">
        <f aca="false">IF($A96="","",IFERROR(VLOOKUP($U96,Dim_TOP!$A:$H,8,0),""))</f>
        <v/>
      </c>
      <c r="BA96" s="28" t="str">
        <f aca="false">IF($A96="","",IFERROR(ROUND((AH96-AZ96)*60,0),""))</f>
        <v/>
      </c>
      <c r="BB96" s="4" t="str">
        <f aca="false">IF($A96="","",IF(BA96="","",IF(BA96&lt;=0,"Sets the deadline","Later than peers by "&amp;BA96&amp;" min")))</f>
        <v/>
      </c>
      <c r="BC96" s="29" t="str">
        <f aca="false">IF($A96="","",IF($U96="",0,IF(COUNTIFS($U$2:$U96,$U96,$C$2:$C96,$C96)=1,1,0)))</f>
        <v/>
      </c>
      <c r="BD96" s="10" t="str">
        <f aca="false">IF($A96="","",IF(UPPER($P96)="YES","Yes","No"))</f>
        <v/>
      </c>
      <c r="BE96" s="10" t="str">
        <f aca="false">IF($A96="","",IF($N96="No","n/a",IF(AM96&lt;=Constants!$B$17,"Yes","No")))</f>
        <v/>
      </c>
      <c r="BF96" s="10" t="str">
        <f aca="false">IF($A96="","",IF($O96="No","n/a",IF(AN96&lt;=Constants!$B$17,"Yes","No")))</f>
        <v/>
      </c>
      <c r="BG96" s="10" t="str">
        <f aca="false">IF($A96="","",IF($P96="No","n/a",IF(AO96&lt;=Constants!$B$17,"Yes","No")))</f>
        <v/>
      </c>
      <c r="BH96" s="10" t="str">
        <f aca="false">IF($A96="","",IF($N96="No","No custody process",IF(BE96="Yes","Thin custody slack","Ample custody slack")))</f>
        <v/>
      </c>
      <c r="BI96" s="30" t="str">
        <f aca="false">IF($A96="","",IF($N96="No","",AM96))</f>
        <v/>
      </c>
      <c r="BJ96" s="30" t="str">
        <f aca="false">IF($A96="","",IF($O96="No","",AN96))</f>
        <v/>
      </c>
      <c r="BK96" s="30" t="str">
        <f aca="false">IF($A96="","",IF($P96="No","",AO96))</f>
        <v/>
      </c>
    </row>
    <row r="97" customFormat="false" ht="15" hidden="false" customHeight="true" outlineLevel="0" collapsed="false">
      <c r="Z97" s="28" t="str">
        <f aca="false">IF($A97="","",Constants!$B$6+$I97*Constants!$B$7+$J97*Constants!$B$8+$K97*Constants!$B$9+$L97*Constants!$B$10+$M97*Constants!$B$11)</f>
        <v/>
      </c>
      <c r="AA97" s="28" t="str">
        <f aca="false">IF($A97="","",100-Z97)</f>
        <v/>
      </c>
      <c r="AB97" s="28" t="str">
        <f aca="false">IF($A97="","",ROUND($H97*Constants!$B$4,1))</f>
        <v/>
      </c>
      <c r="AC97" s="28" t="str">
        <f aca="false">IF($A97="","",ROUND(AB97*Z97/100,1))</f>
        <v/>
      </c>
      <c r="AD97" s="28" t="str">
        <f aca="false">IF($A97="","",ROUND(AB97*AA97/100,1))</f>
        <v/>
      </c>
      <c r="AE97" s="22" t="str">
        <f aca="false">IF($A97="","",HOUR($Q97)+MINUTE($Q97)/60)</f>
        <v/>
      </c>
      <c r="AF97" s="22" t="str">
        <f aca="false">IF($A97="","",HOUR($R97)+MINUTE($R97)/60)</f>
        <v/>
      </c>
      <c r="AG97" s="22" t="str">
        <f aca="false">IF($A97="","",HOUR($S97)+MINUTE($S97)/60)</f>
        <v/>
      </c>
      <c r="AH97" s="22" t="str">
        <f aca="false">IF($A97="","",HOUR($T97)+MINUTE($T97)/60)</f>
        <v/>
      </c>
      <c r="AI97" s="22" t="str">
        <f aca="false">IF($A97="","",HOUR($V97)+MINUTE($V97)/60)</f>
        <v/>
      </c>
      <c r="AJ97" s="22" t="str">
        <f aca="false">IF($A97="","",HOUR($W97)+MINUTE($W97)/60)</f>
        <v/>
      </c>
      <c r="AK97" s="22" t="str">
        <f aca="false">IF($A97="","",VLOOKUP($F97,Dim_Team!$A:$F,6,0))</f>
        <v/>
      </c>
      <c r="AL97" s="28" t="str">
        <f aca="false">IF($A97="","",VLOOKUP($X97,Dim_Signoff!$A:$C,3,0))</f>
        <v/>
      </c>
      <c r="AM97" s="28" t="str">
        <f aca="false">IF($A97="","",IF($N97="No","n/a",ROUND((AH97-AE97)*60,0)))</f>
        <v/>
      </c>
      <c r="AN97" s="28" t="str">
        <f aca="false">IF($A97="","",IF($O97="No","n/a",ROUND((AH97-AF97)*60,0)))</f>
        <v/>
      </c>
      <c r="AO97" s="28" t="str">
        <f aca="false">IF($A97="","",IF($P97="No","n/a",ROUND((AH97-AG97)*60,0)))</f>
        <v/>
      </c>
      <c r="AP97" s="28" t="str">
        <f aca="false">IF($A97="","",ROUND((AH97-AK97)*60,0))</f>
        <v/>
      </c>
      <c r="AQ97" s="28" t="str">
        <f aca="false">IF($A97="","",ROUND((AI97-AH97)*60,0))</f>
        <v/>
      </c>
      <c r="AR97" s="4" t="str">
        <f aca="false">IF($A97="","",IF(AP97&gt;=AC97,"Yes","No"))</f>
        <v/>
      </c>
      <c r="AS97" s="4" t="str">
        <f aca="false">IF($A97="","",IF(AQ97&gt;=AD97+AL97,"Yes","No"))</f>
        <v/>
      </c>
      <c r="AT97" s="4" t="str">
        <f aca="false">IF($A97="","",IF(AND(AR97="Yes",AS97="Yes"),"OK","REVIEW"))</f>
        <v/>
      </c>
      <c r="AU97" s="4" t="str">
        <f aca="false">IF($A97="","",IF($P97="No","Not applicable",IF(AO97&lt;Constants!$B$14,"CAPTURE","Not needed")))</f>
        <v/>
      </c>
      <c r="AV97" s="4" t="str">
        <f aca="false">IF($A97="","",IF($P97="No","n/a",RANK(AO97,AO:AO,1)))</f>
        <v/>
      </c>
      <c r="AW97" s="4" t="str">
        <f aca="false">IF($A97="","",IF(UPPER($E97)="YES","Strategic","Non-strategic"))</f>
        <v/>
      </c>
      <c r="AX97" s="4" t="str">
        <f aca="false">IF($A97="","",COUNTIFS(Fact_Work!$C:$C,$A97))</f>
        <v/>
      </c>
      <c r="AY97" s="4" t="str">
        <f aca="false">IF($A97="","",IF(AX97=0,"Not seen",IF(AX97&gt;=Constants!$B$13*0.6,"Daily",IF(AX97&gt;=Constants!$B$13*0.12,"Weekly","Monthly or ad hoc"))))</f>
        <v/>
      </c>
      <c r="AZ97" s="22" t="str">
        <f aca="false">IF($A97="","",IFERROR(VLOOKUP($U97,Dim_TOP!$A:$H,8,0),""))</f>
        <v/>
      </c>
      <c r="BA97" s="28" t="str">
        <f aca="false">IF($A97="","",IFERROR(ROUND((AH97-AZ97)*60,0),""))</f>
        <v/>
      </c>
      <c r="BB97" s="4" t="str">
        <f aca="false">IF($A97="","",IF(BA97="","",IF(BA97&lt;=0,"Sets the deadline","Later than peers by "&amp;BA97&amp;" min")))</f>
        <v/>
      </c>
      <c r="BC97" s="29" t="str">
        <f aca="false">IF($A97="","",IF($U97="",0,IF(COUNTIFS($U$2:$U97,$U97,$C$2:$C97,$C97)=1,1,0)))</f>
        <v/>
      </c>
      <c r="BD97" s="10" t="str">
        <f aca="false">IF($A97="","",IF(UPPER($P97)="YES","Yes","No"))</f>
        <v/>
      </c>
      <c r="BE97" s="10" t="str">
        <f aca="false">IF($A97="","",IF($N97="No","n/a",IF(AM97&lt;=Constants!$B$17,"Yes","No")))</f>
        <v/>
      </c>
      <c r="BF97" s="10" t="str">
        <f aca="false">IF($A97="","",IF($O97="No","n/a",IF(AN97&lt;=Constants!$B$17,"Yes","No")))</f>
        <v/>
      </c>
      <c r="BG97" s="10" t="str">
        <f aca="false">IF($A97="","",IF($P97="No","n/a",IF(AO97&lt;=Constants!$B$17,"Yes","No")))</f>
        <v/>
      </c>
      <c r="BH97" s="10" t="str">
        <f aca="false">IF($A97="","",IF($N97="No","No custody process",IF(BE97="Yes","Thin custody slack","Ample custody slack")))</f>
        <v/>
      </c>
      <c r="BI97" s="30" t="str">
        <f aca="false">IF($A97="","",IF($N97="No","",AM97))</f>
        <v/>
      </c>
      <c r="BJ97" s="30" t="str">
        <f aca="false">IF($A97="","",IF($O97="No","",AN97))</f>
        <v/>
      </c>
      <c r="BK97" s="30" t="str">
        <f aca="false">IF($A97="","",IF($P97="No","",AO97))</f>
        <v/>
      </c>
    </row>
    <row r="98" customFormat="false" ht="15" hidden="false" customHeight="true" outlineLevel="0" collapsed="false">
      <c r="Z98" s="28" t="str">
        <f aca="false">IF($A98="","",Constants!$B$6+$I98*Constants!$B$7+$J98*Constants!$B$8+$K98*Constants!$B$9+$L98*Constants!$B$10+$M98*Constants!$B$11)</f>
        <v/>
      </c>
      <c r="AA98" s="28" t="str">
        <f aca="false">IF($A98="","",100-Z98)</f>
        <v/>
      </c>
      <c r="AB98" s="28" t="str">
        <f aca="false">IF($A98="","",ROUND($H98*Constants!$B$4,1))</f>
        <v/>
      </c>
      <c r="AC98" s="28" t="str">
        <f aca="false">IF($A98="","",ROUND(AB98*Z98/100,1))</f>
        <v/>
      </c>
      <c r="AD98" s="28" t="str">
        <f aca="false">IF($A98="","",ROUND(AB98*AA98/100,1))</f>
        <v/>
      </c>
      <c r="AE98" s="22" t="str">
        <f aca="false">IF($A98="","",HOUR($Q98)+MINUTE($Q98)/60)</f>
        <v/>
      </c>
      <c r="AF98" s="22" t="str">
        <f aca="false">IF($A98="","",HOUR($R98)+MINUTE($R98)/60)</f>
        <v/>
      </c>
      <c r="AG98" s="22" t="str">
        <f aca="false">IF($A98="","",HOUR($S98)+MINUTE($S98)/60)</f>
        <v/>
      </c>
      <c r="AH98" s="22" t="str">
        <f aca="false">IF($A98="","",HOUR($T98)+MINUTE($T98)/60)</f>
        <v/>
      </c>
      <c r="AI98" s="22" t="str">
        <f aca="false">IF($A98="","",HOUR($V98)+MINUTE($V98)/60)</f>
        <v/>
      </c>
      <c r="AJ98" s="22" t="str">
        <f aca="false">IF($A98="","",HOUR($W98)+MINUTE($W98)/60)</f>
        <v/>
      </c>
      <c r="AK98" s="22" t="str">
        <f aca="false">IF($A98="","",VLOOKUP($F98,Dim_Team!$A:$F,6,0))</f>
        <v/>
      </c>
      <c r="AL98" s="28" t="str">
        <f aca="false">IF($A98="","",VLOOKUP($X98,Dim_Signoff!$A:$C,3,0))</f>
        <v/>
      </c>
      <c r="AM98" s="28" t="str">
        <f aca="false">IF($A98="","",IF($N98="No","n/a",ROUND((AH98-AE98)*60,0)))</f>
        <v/>
      </c>
      <c r="AN98" s="28" t="str">
        <f aca="false">IF($A98="","",IF($O98="No","n/a",ROUND((AH98-AF98)*60,0)))</f>
        <v/>
      </c>
      <c r="AO98" s="28" t="str">
        <f aca="false">IF($A98="","",IF($P98="No","n/a",ROUND((AH98-AG98)*60,0)))</f>
        <v/>
      </c>
      <c r="AP98" s="28" t="str">
        <f aca="false">IF($A98="","",ROUND((AH98-AK98)*60,0))</f>
        <v/>
      </c>
      <c r="AQ98" s="28" t="str">
        <f aca="false">IF($A98="","",ROUND((AI98-AH98)*60,0))</f>
        <v/>
      </c>
      <c r="AR98" s="4" t="str">
        <f aca="false">IF($A98="","",IF(AP98&gt;=AC98,"Yes","No"))</f>
        <v/>
      </c>
      <c r="AS98" s="4" t="str">
        <f aca="false">IF($A98="","",IF(AQ98&gt;=AD98+AL98,"Yes","No"))</f>
        <v/>
      </c>
      <c r="AT98" s="4" t="str">
        <f aca="false">IF($A98="","",IF(AND(AR98="Yes",AS98="Yes"),"OK","REVIEW"))</f>
        <v/>
      </c>
      <c r="AU98" s="4" t="str">
        <f aca="false">IF($A98="","",IF($P98="No","Not applicable",IF(AO98&lt;Constants!$B$14,"CAPTURE","Not needed")))</f>
        <v/>
      </c>
      <c r="AV98" s="4" t="str">
        <f aca="false">IF($A98="","",IF($P98="No","n/a",RANK(AO98,AO:AO,1)))</f>
        <v/>
      </c>
      <c r="AW98" s="4" t="str">
        <f aca="false">IF($A98="","",IF(UPPER($E98)="YES","Strategic","Non-strategic"))</f>
        <v/>
      </c>
      <c r="AX98" s="4" t="str">
        <f aca="false">IF($A98="","",COUNTIFS(Fact_Work!$C:$C,$A98))</f>
        <v/>
      </c>
      <c r="AY98" s="4" t="str">
        <f aca="false">IF($A98="","",IF(AX98=0,"Not seen",IF(AX98&gt;=Constants!$B$13*0.6,"Daily",IF(AX98&gt;=Constants!$B$13*0.12,"Weekly","Monthly or ad hoc"))))</f>
        <v/>
      </c>
      <c r="AZ98" s="22" t="str">
        <f aca="false">IF($A98="","",IFERROR(VLOOKUP($U98,Dim_TOP!$A:$H,8,0),""))</f>
        <v/>
      </c>
      <c r="BA98" s="28" t="str">
        <f aca="false">IF($A98="","",IFERROR(ROUND((AH98-AZ98)*60,0),""))</f>
        <v/>
      </c>
      <c r="BB98" s="4" t="str">
        <f aca="false">IF($A98="","",IF(BA98="","",IF(BA98&lt;=0,"Sets the deadline","Later than peers by "&amp;BA98&amp;" min")))</f>
        <v/>
      </c>
      <c r="BC98" s="29" t="str">
        <f aca="false">IF($A98="","",IF($U98="",0,IF(COUNTIFS($U$2:$U98,$U98,$C$2:$C98,$C98)=1,1,0)))</f>
        <v/>
      </c>
      <c r="BD98" s="10" t="str">
        <f aca="false">IF($A98="","",IF(UPPER($P98)="YES","Yes","No"))</f>
        <v/>
      </c>
      <c r="BE98" s="10" t="str">
        <f aca="false">IF($A98="","",IF($N98="No","n/a",IF(AM98&lt;=Constants!$B$17,"Yes","No")))</f>
        <v/>
      </c>
      <c r="BF98" s="10" t="str">
        <f aca="false">IF($A98="","",IF($O98="No","n/a",IF(AN98&lt;=Constants!$B$17,"Yes","No")))</f>
        <v/>
      </c>
      <c r="BG98" s="10" t="str">
        <f aca="false">IF($A98="","",IF($P98="No","n/a",IF(AO98&lt;=Constants!$B$17,"Yes","No")))</f>
        <v/>
      </c>
      <c r="BH98" s="10" t="str">
        <f aca="false">IF($A98="","",IF($N98="No","No custody process",IF(BE98="Yes","Thin custody slack","Ample custody slack")))</f>
        <v/>
      </c>
      <c r="BI98" s="30" t="str">
        <f aca="false">IF($A98="","",IF($N98="No","",AM98))</f>
        <v/>
      </c>
      <c r="BJ98" s="30" t="str">
        <f aca="false">IF($A98="","",IF($O98="No","",AN98))</f>
        <v/>
      </c>
      <c r="BK98" s="30" t="str">
        <f aca="false">IF($A98="","",IF($P98="No","",AO98))</f>
        <v/>
      </c>
    </row>
    <row r="99" customFormat="false" ht="15" hidden="false" customHeight="true" outlineLevel="0" collapsed="false">
      <c r="Z99" s="28" t="str">
        <f aca="false">IF($A99="","",Constants!$B$6+$I99*Constants!$B$7+$J99*Constants!$B$8+$K99*Constants!$B$9+$L99*Constants!$B$10+$M99*Constants!$B$11)</f>
        <v/>
      </c>
      <c r="AA99" s="28" t="str">
        <f aca="false">IF($A99="","",100-Z99)</f>
        <v/>
      </c>
      <c r="AB99" s="28" t="str">
        <f aca="false">IF($A99="","",ROUND($H99*Constants!$B$4,1))</f>
        <v/>
      </c>
      <c r="AC99" s="28" t="str">
        <f aca="false">IF($A99="","",ROUND(AB99*Z99/100,1))</f>
        <v/>
      </c>
      <c r="AD99" s="28" t="str">
        <f aca="false">IF($A99="","",ROUND(AB99*AA99/100,1))</f>
        <v/>
      </c>
      <c r="AE99" s="22" t="str">
        <f aca="false">IF($A99="","",HOUR($Q99)+MINUTE($Q99)/60)</f>
        <v/>
      </c>
      <c r="AF99" s="22" t="str">
        <f aca="false">IF($A99="","",HOUR($R99)+MINUTE($R99)/60)</f>
        <v/>
      </c>
      <c r="AG99" s="22" t="str">
        <f aca="false">IF($A99="","",HOUR($S99)+MINUTE($S99)/60)</f>
        <v/>
      </c>
      <c r="AH99" s="22" t="str">
        <f aca="false">IF($A99="","",HOUR($T99)+MINUTE($T99)/60)</f>
        <v/>
      </c>
      <c r="AI99" s="22" t="str">
        <f aca="false">IF($A99="","",HOUR($V99)+MINUTE($V99)/60)</f>
        <v/>
      </c>
      <c r="AJ99" s="22" t="str">
        <f aca="false">IF($A99="","",HOUR($W99)+MINUTE($W99)/60)</f>
        <v/>
      </c>
      <c r="AK99" s="22" t="str">
        <f aca="false">IF($A99="","",VLOOKUP($F99,Dim_Team!$A:$F,6,0))</f>
        <v/>
      </c>
      <c r="AL99" s="28" t="str">
        <f aca="false">IF($A99="","",VLOOKUP($X99,Dim_Signoff!$A:$C,3,0))</f>
        <v/>
      </c>
      <c r="AM99" s="28" t="str">
        <f aca="false">IF($A99="","",IF($N99="No","n/a",ROUND((AH99-AE99)*60,0)))</f>
        <v/>
      </c>
      <c r="AN99" s="28" t="str">
        <f aca="false">IF($A99="","",IF($O99="No","n/a",ROUND((AH99-AF99)*60,0)))</f>
        <v/>
      </c>
      <c r="AO99" s="28" t="str">
        <f aca="false">IF($A99="","",IF($P99="No","n/a",ROUND((AH99-AG99)*60,0)))</f>
        <v/>
      </c>
      <c r="AP99" s="28" t="str">
        <f aca="false">IF($A99="","",ROUND((AH99-AK99)*60,0))</f>
        <v/>
      </c>
      <c r="AQ99" s="28" t="str">
        <f aca="false">IF($A99="","",ROUND((AI99-AH99)*60,0))</f>
        <v/>
      </c>
      <c r="AR99" s="4" t="str">
        <f aca="false">IF($A99="","",IF(AP99&gt;=AC99,"Yes","No"))</f>
        <v/>
      </c>
      <c r="AS99" s="4" t="str">
        <f aca="false">IF($A99="","",IF(AQ99&gt;=AD99+AL99,"Yes","No"))</f>
        <v/>
      </c>
      <c r="AT99" s="4" t="str">
        <f aca="false">IF($A99="","",IF(AND(AR99="Yes",AS99="Yes"),"OK","REVIEW"))</f>
        <v/>
      </c>
      <c r="AU99" s="4" t="str">
        <f aca="false">IF($A99="","",IF($P99="No","Not applicable",IF(AO99&lt;Constants!$B$14,"CAPTURE","Not needed")))</f>
        <v/>
      </c>
      <c r="AV99" s="4" t="str">
        <f aca="false">IF($A99="","",IF($P99="No","n/a",RANK(AO99,AO:AO,1)))</f>
        <v/>
      </c>
      <c r="AW99" s="4" t="str">
        <f aca="false">IF($A99="","",IF(UPPER($E99)="YES","Strategic","Non-strategic"))</f>
        <v/>
      </c>
      <c r="AX99" s="4" t="str">
        <f aca="false">IF($A99="","",COUNTIFS(Fact_Work!$C:$C,$A99))</f>
        <v/>
      </c>
      <c r="AY99" s="4" t="str">
        <f aca="false">IF($A99="","",IF(AX99=0,"Not seen",IF(AX99&gt;=Constants!$B$13*0.6,"Daily",IF(AX99&gt;=Constants!$B$13*0.12,"Weekly","Monthly or ad hoc"))))</f>
        <v/>
      </c>
      <c r="AZ99" s="22" t="str">
        <f aca="false">IF($A99="","",IFERROR(VLOOKUP($U99,Dim_TOP!$A:$H,8,0),""))</f>
        <v/>
      </c>
      <c r="BA99" s="28" t="str">
        <f aca="false">IF($A99="","",IFERROR(ROUND((AH99-AZ99)*60,0),""))</f>
        <v/>
      </c>
      <c r="BB99" s="4" t="str">
        <f aca="false">IF($A99="","",IF(BA99="","",IF(BA99&lt;=0,"Sets the deadline","Later than peers by "&amp;BA99&amp;" min")))</f>
        <v/>
      </c>
      <c r="BC99" s="29" t="str">
        <f aca="false">IF($A99="","",IF($U99="",0,IF(COUNTIFS($U$2:$U99,$U99,$C$2:$C99,$C99)=1,1,0)))</f>
        <v/>
      </c>
      <c r="BD99" s="10" t="str">
        <f aca="false">IF($A99="","",IF(UPPER($P99)="YES","Yes","No"))</f>
        <v/>
      </c>
      <c r="BE99" s="10" t="str">
        <f aca="false">IF($A99="","",IF($N99="No","n/a",IF(AM99&lt;=Constants!$B$17,"Yes","No")))</f>
        <v/>
      </c>
      <c r="BF99" s="10" t="str">
        <f aca="false">IF($A99="","",IF($O99="No","n/a",IF(AN99&lt;=Constants!$B$17,"Yes","No")))</f>
        <v/>
      </c>
      <c r="BG99" s="10" t="str">
        <f aca="false">IF($A99="","",IF($P99="No","n/a",IF(AO99&lt;=Constants!$B$17,"Yes","No")))</f>
        <v/>
      </c>
      <c r="BH99" s="10" t="str">
        <f aca="false">IF($A99="","",IF($N99="No","No custody process",IF(BE99="Yes","Thin custody slack","Ample custody slack")))</f>
        <v/>
      </c>
      <c r="BI99" s="30" t="str">
        <f aca="false">IF($A99="","",IF($N99="No","",AM99))</f>
        <v/>
      </c>
      <c r="BJ99" s="30" t="str">
        <f aca="false">IF($A99="","",IF($O99="No","",AN99))</f>
        <v/>
      </c>
      <c r="BK99" s="30" t="str">
        <f aca="false">IF($A99="","",IF($P99="No","",AO99))</f>
        <v/>
      </c>
    </row>
    <row r="100" customFormat="false" ht="15" hidden="false" customHeight="true" outlineLevel="0" collapsed="false">
      <c r="Z100" s="28" t="str">
        <f aca="false">IF($A100="","",Constants!$B$6+$I100*Constants!$B$7+$J100*Constants!$B$8+$K100*Constants!$B$9+$L100*Constants!$B$10+$M100*Constants!$B$11)</f>
        <v/>
      </c>
      <c r="AA100" s="28" t="str">
        <f aca="false">IF($A100="","",100-Z100)</f>
        <v/>
      </c>
      <c r="AB100" s="28" t="str">
        <f aca="false">IF($A100="","",ROUND($H100*Constants!$B$4,1))</f>
        <v/>
      </c>
      <c r="AC100" s="28" t="str">
        <f aca="false">IF($A100="","",ROUND(AB100*Z100/100,1))</f>
        <v/>
      </c>
      <c r="AD100" s="28" t="str">
        <f aca="false">IF($A100="","",ROUND(AB100*AA100/100,1))</f>
        <v/>
      </c>
      <c r="AE100" s="22" t="str">
        <f aca="false">IF($A100="","",HOUR($Q100)+MINUTE($Q100)/60)</f>
        <v/>
      </c>
      <c r="AF100" s="22" t="str">
        <f aca="false">IF($A100="","",HOUR($R100)+MINUTE($R100)/60)</f>
        <v/>
      </c>
      <c r="AG100" s="22" t="str">
        <f aca="false">IF($A100="","",HOUR($S100)+MINUTE($S100)/60)</f>
        <v/>
      </c>
      <c r="AH100" s="22" t="str">
        <f aca="false">IF($A100="","",HOUR($T100)+MINUTE($T100)/60)</f>
        <v/>
      </c>
      <c r="AI100" s="22" t="str">
        <f aca="false">IF($A100="","",HOUR($V100)+MINUTE($V100)/60)</f>
        <v/>
      </c>
      <c r="AJ100" s="22" t="str">
        <f aca="false">IF($A100="","",HOUR($W100)+MINUTE($W100)/60)</f>
        <v/>
      </c>
      <c r="AK100" s="22" t="str">
        <f aca="false">IF($A100="","",VLOOKUP($F100,Dim_Team!$A:$F,6,0))</f>
        <v/>
      </c>
      <c r="AL100" s="28" t="str">
        <f aca="false">IF($A100="","",VLOOKUP($X100,Dim_Signoff!$A:$C,3,0))</f>
        <v/>
      </c>
      <c r="AM100" s="28" t="str">
        <f aca="false">IF($A100="","",IF($N100="No","n/a",ROUND((AH100-AE100)*60,0)))</f>
        <v/>
      </c>
      <c r="AN100" s="28" t="str">
        <f aca="false">IF($A100="","",IF($O100="No","n/a",ROUND((AH100-AF100)*60,0)))</f>
        <v/>
      </c>
      <c r="AO100" s="28" t="str">
        <f aca="false">IF($A100="","",IF($P100="No","n/a",ROUND((AH100-AG100)*60,0)))</f>
        <v/>
      </c>
      <c r="AP100" s="28" t="str">
        <f aca="false">IF($A100="","",ROUND((AH100-AK100)*60,0))</f>
        <v/>
      </c>
      <c r="AQ100" s="28" t="str">
        <f aca="false">IF($A100="","",ROUND((AI100-AH100)*60,0))</f>
        <v/>
      </c>
      <c r="AR100" s="4" t="str">
        <f aca="false">IF($A100="","",IF(AP100&gt;=AC100,"Yes","No"))</f>
        <v/>
      </c>
      <c r="AS100" s="4" t="str">
        <f aca="false">IF($A100="","",IF(AQ100&gt;=AD100+AL100,"Yes","No"))</f>
        <v/>
      </c>
      <c r="AT100" s="4" t="str">
        <f aca="false">IF($A100="","",IF(AND(AR100="Yes",AS100="Yes"),"OK","REVIEW"))</f>
        <v/>
      </c>
      <c r="AU100" s="4" t="str">
        <f aca="false">IF($A100="","",IF($P100="No","Not applicable",IF(AO100&lt;Constants!$B$14,"CAPTURE","Not needed")))</f>
        <v/>
      </c>
      <c r="AV100" s="4" t="str">
        <f aca="false">IF($A100="","",IF($P100="No","n/a",RANK(AO100,AO:AO,1)))</f>
        <v/>
      </c>
      <c r="AW100" s="4" t="str">
        <f aca="false">IF($A100="","",IF(UPPER($E100)="YES","Strategic","Non-strategic"))</f>
        <v/>
      </c>
      <c r="AX100" s="4" t="str">
        <f aca="false">IF($A100="","",COUNTIFS(Fact_Work!$C:$C,$A100))</f>
        <v/>
      </c>
      <c r="AY100" s="4" t="str">
        <f aca="false">IF($A100="","",IF(AX100=0,"Not seen",IF(AX100&gt;=Constants!$B$13*0.6,"Daily",IF(AX100&gt;=Constants!$B$13*0.12,"Weekly","Monthly or ad hoc"))))</f>
        <v/>
      </c>
      <c r="AZ100" s="22" t="str">
        <f aca="false">IF($A100="","",IFERROR(VLOOKUP($U100,Dim_TOP!$A:$H,8,0),""))</f>
        <v/>
      </c>
      <c r="BA100" s="28" t="str">
        <f aca="false">IF($A100="","",IFERROR(ROUND((AH100-AZ100)*60,0),""))</f>
        <v/>
      </c>
      <c r="BB100" s="4" t="str">
        <f aca="false">IF($A100="","",IF(BA100="","",IF(BA100&lt;=0,"Sets the deadline","Later than peers by "&amp;BA100&amp;" min")))</f>
        <v/>
      </c>
      <c r="BC100" s="29" t="str">
        <f aca="false">IF($A100="","",IF($U100="",0,IF(COUNTIFS($U$2:$U100,$U100,$C$2:$C100,$C100)=1,1,0)))</f>
        <v/>
      </c>
      <c r="BD100" s="10" t="str">
        <f aca="false">IF($A100="","",IF(UPPER($P100)="YES","Yes","No"))</f>
        <v/>
      </c>
      <c r="BE100" s="10" t="str">
        <f aca="false">IF($A100="","",IF($N100="No","n/a",IF(AM100&lt;=Constants!$B$17,"Yes","No")))</f>
        <v/>
      </c>
      <c r="BF100" s="10" t="str">
        <f aca="false">IF($A100="","",IF($O100="No","n/a",IF(AN100&lt;=Constants!$B$17,"Yes","No")))</f>
        <v/>
      </c>
      <c r="BG100" s="10" t="str">
        <f aca="false">IF($A100="","",IF($P100="No","n/a",IF(AO100&lt;=Constants!$B$17,"Yes","No")))</f>
        <v/>
      </c>
      <c r="BH100" s="10" t="str">
        <f aca="false">IF($A100="","",IF($N100="No","No custody process",IF(BE100="Yes","Thin custody slack","Ample custody slack")))</f>
        <v/>
      </c>
      <c r="BI100" s="30" t="str">
        <f aca="false">IF($A100="","",IF($N100="No","",AM100))</f>
        <v/>
      </c>
      <c r="BJ100" s="30" t="str">
        <f aca="false">IF($A100="","",IF($O100="No","",AN100))</f>
        <v/>
      </c>
      <c r="BK100" s="30" t="str">
        <f aca="false">IF($A100="","",IF($P100="No","",AO100))</f>
        <v/>
      </c>
    </row>
    <row r="101" customFormat="false" ht="15" hidden="false" customHeight="true" outlineLevel="0" collapsed="false">
      <c r="Z101" s="28" t="str">
        <f aca="false">IF($A101="","",Constants!$B$6+$I101*Constants!$B$7+$J101*Constants!$B$8+$K101*Constants!$B$9+$L101*Constants!$B$10+$M101*Constants!$B$11)</f>
        <v/>
      </c>
      <c r="AA101" s="28" t="str">
        <f aca="false">IF($A101="","",100-Z101)</f>
        <v/>
      </c>
      <c r="AB101" s="28" t="str">
        <f aca="false">IF($A101="","",ROUND($H101*Constants!$B$4,1))</f>
        <v/>
      </c>
      <c r="AC101" s="28" t="str">
        <f aca="false">IF($A101="","",ROUND(AB101*Z101/100,1))</f>
        <v/>
      </c>
      <c r="AD101" s="28" t="str">
        <f aca="false">IF($A101="","",ROUND(AB101*AA101/100,1))</f>
        <v/>
      </c>
      <c r="AE101" s="22" t="str">
        <f aca="false">IF($A101="","",HOUR($Q101)+MINUTE($Q101)/60)</f>
        <v/>
      </c>
      <c r="AF101" s="22" t="str">
        <f aca="false">IF($A101="","",HOUR($R101)+MINUTE($R101)/60)</f>
        <v/>
      </c>
      <c r="AG101" s="22" t="str">
        <f aca="false">IF($A101="","",HOUR($S101)+MINUTE($S101)/60)</f>
        <v/>
      </c>
      <c r="AH101" s="22" t="str">
        <f aca="false">IF($A101="","",HOUR($T101)+MINUTE($T101)/60)</f>
        <v/>
      </c>
      <c r="AI101" s="22" t="str">
        <f aca="false">IF($A101="","",HOUR($V101)+MINUTE($V101)/60)</f>
        <v/>
      </c>
      <c r="AJ101" s="22" t="str">
        <f aca="false">IF($A101="","",HOUR($W101)+MINUTE($W101)/60)</f>
        <v/>
      </c>
      <c r="AK101" s="22" t="str">
        <f aca="false">IF($A101="","",VLOOKUP($F101,Dim_Team!$A:$F,6,0))</f>
        <v/>
      </c>
      <c r="AL101" s="28" t="str">
        <f aca="false">IF($A101="","",VLOOKUP($X101,Dim_Signoff!$A:$C,3,0))</f>
        <v/>
      </c>
      <c r="AM101" s="28" t="str">
        <f aca="false">IF($A101="","",IF($N101="No","n/a",ROUND((AH101-AE101)*60,0)))</f>
        <v/>
      </c>
      <c r="AN101" s="28" t="str">
        <f aca="false">IF($A101="","",IF($O101="No","n/a",ROUND((AH101-AF101)*60,0)))</f>
        <v/>
      </c>
      <c r="AO101" s="28" t="str">
        <f aca="false">IF($A101="","",IF($P101="No","n/a",ROUND((AH101-AG101)*60,0)))</f>
        <v/>
      </c>
      <c r="AP101" s="28" t="str">
        <f aca="false">IF($A101="","",ROUND((AH101-AK101)*60,0))</f>
        <v/>
      </c>
      <c r="AQ101" s="28" t="str">
        <f aca="false">IF($A101="","",ROUND((AI101-AH101)*60,0))</f>
        <v/>
      </c>
      <c r="AR101" s="4" t="str">
        <f aca="false">IF($A101="","",IF(AP101&gt;=AC101,"Yes","No"))</f>
        <v/>
      </c>
      <c r="AS101" s="4" t="str">
        <f aca="false">IF($A101="","",IF(AQ101&gt;=AD101+AL101,"Yes","No"))</f>
        <v/>
      </c>
      <c r="AT101" s="4" t="str">
        <f aca="false">IF($A101="","",IF(AND(AR101="Yes",AS101="Yes"),"OK","REVIEW"))</f>
        <v/>
      </c>
      <c r="AU101" s="4" t="str">
        <f aca="false">IF($A101="","",IF($P101="No","Not applicable",IF(AO101&lt;Constants!$B$14,"CAPTURE","Not needed")))</f>
        <v/>
      </c>
      <c r="AV101" s="4" t="str">
        <f aca="false">IF($A101="","",IF($P101="No","n/a",RANK(AO101,AO:AO,1)))</f>
        <v/>
      </c>
      <c r="AW101" s="4" t="str">
        <f aca="false">IF($A101="","",IF(UPPER($E101)="YES","Strategic","Non-strategic"))</f>
        <v/>
      </c>
      <c r="AX101" s="4" t="str">
        <f aca="false">IF($A101="","",COUNTIFS(Fact_Work!$C:$C,$A101))</f>
        <v/>
      </c>
      <c r="AY101" s="4" t="str">
        <f aca="false">IF($A101="","",IF(AX101=0,"Not seen",IF(AX101&gt;=Constants!$B$13*0.6,"Daily",IF(AX101&gt;=Constants!$B$13*0.12,"Weekly","Monthly or ad hoc"))))</f>
        <v/>
      </c>
      <c r="AZ101" s="22" t="str">
        <f aca="false">IF($A101="","",IFERROR(VLOOKUP($U101,Dim_TOP!$A:$H,8,0),""))</f>
        <v/>
      </c>
      <c r="BA101" s="28" t="str">
        <f aca="false">IF($A101="","",IFERROR(ROUND((AH101-AZ101)*60,0),""))</f>
        <v/>
      </c>
      <c r="BB101" s="4" t="str">
        <f aca="false">IF($A101="","",IF(BA101="","",IF(BA101&lt;=0,"Sets the deadline","Later than peers by "&amp;BA101&amp;" min")))</f>
        <v/>
      </c>
      <c r="BC101" s="29" t="str">
        <f aca="false">IF($A101="","",IF($U101="",0,IF(COUNTIFS($U$2:$U101,$U101,$C$2:$C101,$C101)=1,1,0)))</f>
        <v/>
      </c>
      <c r="BD101" s="10" t="str">
        <f aca="false">IF($A101="","",IF(UPPER($P101)="YES","Yes","No"))</f>
        <v/>
      </c>
      <c r="BE101" s="10" t="str">
        <f aca="false">IF($A101="","",IF($N101="No","n/a",IF(AM101&lt;=Constants!$B$17,"Yes","No")))</f>
        <v/>
      </c>
      <c r="BF101" s="10" t="str">
        <f aca="false">IF($A101="","",IF($O101="No","n/a",IF(AN101&lt;=Constants!$B$17,"Yes","No")))</f>
        <v/>
      </c>
      <c r="BG101" s="10" t="str">
        <f aca="false">IF($A101="","",IF($P101="No","n/a",IF(AO101&lt;=Constants!$B$17,"Yes","No")))</f>
        <v/>
      </c>
      <c r="BH101" s="10" t="str">
        <f aca="false">IF($A101="","",IF($N101="No","No custody process",IF(BE101="Yes","Thin custody slack","Ample custody slack")))</f>
        <v/>
      </c>
      <c r="BI101" s="30" t="str">
        <f aca="false">IF($A101="","",IF($N101="No","",AM101))</f>
        <v/>
      </c>
      <c r="BJ101" s="30" t="str">
        <f aca="false">IF($A101="","",IF($O101="No","",AN101))</f>
        <v/>
      </c>
      <c r="BK101" s="30" t="str">
        <f aca="false">IF($A101="","",IF($P101="No","",AO101))</f>
        <v/>
      </c>
    </row>
    <row r="102" customFormat="false" ht="15" hidden="false" customHeight="true" outlineLevel="0" collapsed="false">
      <c r="Z102" s="28" t="str">
        <f aca="false">IF($A102="","",Constants!$B$6+$I102*Constants!$B$7+$J102*Constants!$B$8+$K102*Constants!$B$9+$L102*Constants!$B$10+$M102*Constants!$B$11)</f>
        <v/>
      </c>
      <c r="AA102" s="28" t="str">
        <f aca="false">IF($A102="","",100-Z102)</f>
        <v/>
      </c>
      <c r="AB102" s="28" t="str">
        <f aca="false">IF($A102="","",ROUND($H102*Constants!$B$4,1))</f>
        <v/>
      </c>
      <c r="AC102" s="28" t="str">
        <f aca="false">IF($A102="","",ROUND(AB102*Z102/100,1))</f>
        <v/>
      </c>
      <c r="AD102" s="28" t="str">
        <f aca="false">IF($A102="","",ROUND(AB102*AA102/100,1))</f>
        <v/>
      </c>
      <c r="AE102" s="22" t="str">
        <f aca="false">IF($A102="","",HOUR($Q102)+MINUTE($Q102)/60)</f>
        <v/>
      </c>
      <c r="AF102" s="22" t="str">
        <f aca="false">IF($A102="","",HOUR($R102)+MINUTE($R102)/60)</f>
        <v/>
      </c>
      <c r="AG102" s="22" t="str">
        <f aca="false">IF($A102="","",HOUR($S102)+MINUTE($S102)/60)</f>
        <v/>
      </c>
      <c r="AH102" s="22" t="str">
        <f aca="false">IF($A102="","",HOUR($T102)+MINUTE($T102)/60)</f>
        <v/>
      </c>
      <c r="AI102" s="22" t="str">
        <f aca="false">IF($A102="","",HOUR($V102)+MINUTE($V102)/60)</f>
        <v/>
      </c>
      <c r="AJ102" s="22" t="str">
        <f aca="false">IF($A102="","",HOUR($W102)+MINUTE($W102)/60)</f>
        <v/>
      </c>
      <c r="AK102" s="22" t="str">
        <f aca="false">IF($A102="","",VLOOKUP($F102,Dim_Team!$A:$F,6,0))</f>
        <v/>
      </c>
      <c r="AL102" s="28" t="str">
        <f aca="false">IF($A102="","",VLOOKUP($X102,Dim_Signoff!$A:$C,3,0))</f>
        <v/>
      </c>
      <c r="AM102" s="28" t="str">
        <f aca="false">IF($A102="","",IF($N102="No","n/a",ROUND((AH102-AE102)*60,0)))</f>
        <v/>
      </c>
      <c r="AN102" s="28" t="str">
        <f aca="false">IF($A102="","",IF($O102="No","n/a",ROUND((AH102-AF102)*60,0)))</f>
        <v/>
      </c>
      <c r="AO102" s="28" t="str">
        <f aca="false">IF($A102="","",IF($P102="No","n/a",ROUND((AH102-AG102)*60,0)))</f>
        <v/>
      </c>
      <c r="AP102" s="28" t="str">
        <f aca="false">IF($A102="","",ROUND((AH102-AK102)*60,0))</f>
        <v/>
      </c>
      <c r="AQ102" s="28" t="str">
        <f aca="false">IF($A102="","",ROUND((AI102-AH102)*60,0))</f>
        <v/>
      </c>
      <c r="AR102" s="4" t="str">
        <f aca="false">IF($A102="","",IF(AP102&gt;=AC102,"Yes","No"))</f>
        <v/>
      </c>
      <c r="AS102" s="4" t="str">
        <f aca="false">IF($A102="","",IF(AQ102&gt;=AD102+AL102,"Yes","No"))</f>
        <v/>
      </c>
      <c r="AT102" s="4" t="str">
        <f aca="false">IF($A102="","",IF(AND(AR102="Yes",AS102="Yes"),"OK","REVIEW"))</f>
        <v/>
      </c>
      <c r="AU102" s="4" t="str">
        <f aca="false">IF($A102="","",IF($P102="No","Not applicable",IF(AO102&lt;Constants!$B$14,"CAPTURE","Not needed")))</f>
        <v/>
      </c>
      <c r="AV102" s="4" t="str">
        <f aca="false">IF($A102="","",IF($P102="No","n/a",RANK(AO102,AO:AO,1)))</f>
        <v/>
      </c>
      <c r="AW102" s="4" t="str">
        <f aca="false">IF($A102="","",IF(UPPER($E102)="YES","Strategic","Non-strategic"))</f>
        <v/>
      </c>
      <c r="AX102" s="4" t="str">
        <f aca="false">IF($A102="","",COUNTIFS(Fact_Work!$C:$C,$A102))</f>
        <v/>
      </c>
      <c r="AY102" s="4" t="str">
        <f aca="false">IF($A102="","",IF(AX102=0,"Not seen",IF(AX102&gt;=Constants!$B$13*0.6,"Daily",IF(AX102&gt;=Constants!$B$13*0.12,"Weekly","Monthly or ad hoc"))))</f>
        <v/>
      </c>
      <c r="AZ102" s="22" t="str">
        <f aca="false">IF($A102="","",IFERROR(VLOOKUP($U102,Dim_TOP!$A:$H,8,0),""))</f>
        <v/>
      </c>
      <c r="BA102" s="28" t="str">
        <f aca="false">IF($A102="","",IFERROR(ROUND((AH102-AZ102)*60,0),""))</f>
        <v/>
      </c>
      <c r="BB102" s="4" t="str">
        <f aca="false">IF($A102="","",IF(BA102="","",IF(BA102&lt;=0,"Sets the deadline","Later than peers by "&amp;BA102&amp;" min")))</f>
        <v/>
      </c>
      <c r="BC102" s="29" t="str">
        <f aca="false">IF($A102="","",IF($U102="",0,IF(COUNTIFS($U$2:$U102,$U102,$C$2:$C102,$C102)=1,1,0)))</f>
        <v/>
      </c>
      <c r="BD102" s="10" t="str">
        <f aca="false">IF($A102="","",IF(UPPER($P102)="YES","Yes","No"))</f>
        <v/>
      </c>
      <c r="BE102" s="10" t="str">
        <f aca="false">IF($A102="","",IF($N102="No","n/a",IF(AM102&lt;=Constants!$B$17,"Yes","No")))</f>
        <v/>
      </c>
      <c r="BF102" s="10" t="str">
        <f aca="false">IF($A102="","",IF($O102="No","n/a",IF(AN102&lt;=Constants!$B$17,"Yes","No")))</f>
        <v/>
      </c>
      <c r="BG102" s="10" t="str">
        <f aca="false">IF($A102="","",IF($P102="No","n/a",IF(AO102&lt;=Constants!$B$17,"Yes","No")))</f>
        <v/>
      </c>
      <c r="BH102" s="10" t="str">
        <f aca="false">IF($A102="","",IF($N102="No","No custody process",IF(BE102="Yes","Thin custody slack","Ample custody slack")))</f>
        <v/>
      </c>
      <c r="BI102" s="30" t="str">
        <f aca="false">IF($A102="","",IF($N102="No","",AM102))</f>
        <v/>
      </c>
      <c r="BJ102" s="30" t="str">
        <f aca="false">IF($A102="","",IF($O102="No","",AN102))</f>
        <v/>
      </c>
      <c r="BK102" s="30" t="str">
        <f aca="false">IF($A102="","",IF($P102="No","",AO102))</f>
        <v/>
      </c>
    </row>
    <row r="103" customFormat="false" ht="15" hidden="false" customHeight="true" outlineLevel="0" collapsed="false">
      <c r="Z103" s="28" t="str">
        <f aca="false">IF($A103="","",Constants!$B$6+$I103*Constants!$B$7+$J103*Constants!$B$8+$K103*Constants!$B$9+$L103*Constants!$B$10+$M103*Constants!$B$11)</f>
        <v/>
      </c>
      <c r="AA103" s="28" t="str">
        <f aca="false">IF($A103="","",100-Z103)</f>
        <v/>
      </c>
      <c r="AB103" s="28" t="str">
        <f aca="false">IF($A103="","",ROUND($H103*Constants!$B$4,1))</f>
        <v/>
      </c>
      <c r="AC103" s="28" t="str">
        <f aca="false">IF($A103="","",ROUND(AB103*Z103/100,1))</f>
        <v/>
      </c>
      <c r="AD103" s="28" t="str">
        <f aca="false">IF($A103="","",ROUND(AB103*AA103/100,1))</f>
        <v/>
      </c>
      <c r="AE103" s="22" t="str">
        <f aca="false">IF($A103="","",HOUR($Q103)+MINUTE($Q103)/60)</f>
        <v/>
      </c>
      <c r="AF103" s="22" t="str">
        <f aca="false">IF($A103="","",HOUR($R103)+MINUTE($R103)/60)</f>
        <v/>
      </c>
      <c r="AG103" s="22" t="str">
        <f aca="false">IF($A103="","",HOUR($S103)+MINUTE($S103)/60)</f>
        <v/>
      </c>
      <c r="AH103" s="22" t="str">
        <f aca="false">IF($A103="","",HOUR($T103)+MINUTE($T103)/60)</f>
        <v/>
      </c>
      <c r="AI103" s="22" t="str">
        <f aca="false">IF($A103="","",HOUR($V103)+MINUTE($V103)/60)</f>
        <v/>
      </c>
      <c r="AJ103" s="22" t="str">
        <f aca="false">IF($A103="","",HOUR($W103)+MINUTE($W103)/60)</f>
        <v/>
      </c>
      <c r="AK103" s="22" t="str">
        <f aca="false">IF($A103="","",VLOOKUP($F103,Dim_Team!$A:$F,6,0))</f>
        <v/>
      </c>
      <c r="AL103" s="28" t="str">
        <f aca="false">IF($A103="","",VLOOKUP($X103,Dim_Signoff!$A:$C,3,0))</f>
        <v/>
      </c>
      <c r="AM103" s="28" t="str">
        <f aca="false">IF($A103="","",IF($N103="No","n/a",ROUND((AH103-AE103)*60,0)))</f>
        <v/>
      </c>
      <c r="AN103" s="28" t="str">
        <f aca="false">IF($A103="","",IF($O103="No","n/a",ROUND((AH103-AF103)*60,0)))</f>
        <v/>
      </c>
      <c r="AO103" s="28" t="str">
        <f aca="false">IF($A103="","",IF($P103="No","n/a",ROUND((AH103-AG103)*60,0)))</f>
        <v/>
      </c>
      <c r="AP103" s="28" t="str">
        <f aca="false">IF($A103="","",ROUND((AH103-AK103)*60,0))</f>
        <v/>
      </c>
      <c r="AQ103" s="28" t="str">
        <f aca="false">IF($A103="","",ROUND((AI103-AH103)*60,0))</f>
        <v/>
      </c>
      <c r="AR103" s="4" t="str">
        <f aca="false">IF($A103="","",IF(AP103&gt;=AC103,"Yes","No"))</f>
        <v/>
      </c>
      <c r="AS103" s="4" t="str">
        <f aca="false">IF($A103="","",IF(AQ103&gt;=AD103+AL103,"Yes","No"))</f>
        <v/>
      </c>
      <c r="AT103" s="4" t="str">
        <f aca="false">IF($A103="","",IF(AND(AR103="Yes",AS103="Yes"),"OK","REVIEW"))</f>
        <v/>
      </c>
      <c r="AU103" s="4" t="str">
        <f aca="false">IF($A103="","",IF($P103="No","Not applicable",IF(AO103&lt;Constants!$B$14,"CAPTURE","Not needed")))</f>
        <v/>
      </c>
      <c r="AV103" s="4" t="str">
        <f aca="false">IF($A103="","",IF($P103="No","n/a",RANK(AO103,AO:AO,1)))</f>
        <v/>
      </c>
      <c r="AW103" s="4" t="str">
        <f aca="false">IF($A103="","",IF(UPPER($E103)="YES","Strategic","Non-strategic"))</f>
        <v/>
      </c>
      <c r="AX103" s="4" t="str">
        <f aca="false">IF($A103="","",COUNTIFS(Fact_Work!$C:$C,$A103))</f>
        <v/>
      </c>
      <c r="AY103" s="4" t="str">
        <f aca="false">IF($A103="","",IF(AX103=0,"Not seen",IF(AX103&gt;=Constants!$B$13*0.6,"Daily",IF(AX103&gt;=Constants!$B$13*0.12,"Weekly","Monthly or ad hoc"))))</f>
        <v/>
      </c>
      <c r="AZ103" s="22" t="str">
        <f aca="false">IF($A103="","",IFERROR(VLOOKUP($U103,Dim_TOP!$A:$H,8,0),""))</f>
        <v/>
      </c>
      <c r="BA103" s="28" t="str">
        <f aca="false">IF($A103="","",IFERROR(ROUND((AH103-AZ103)*60,0),""))</f>
        <v/>
      </c>
      <c r="BB103" s="4" t="str">
        <f aca="false">IF($A103="","",IF(BA103="","",IF(BA103&lt;=0,"Sets the deadline","Later than peers by "&amp;BA103&amp;" min")))</f>
        <v/>
      </c>
      <c r="BC103" s="29" t="str">
        <f aca="false">IF($A103="","",IF($U103="",0,IF(COUNTIFS($U$2:$U103,$U103,$C$2:$C103,$C103)=1,1,0)))</f>
        <v/>
      </c>
      <c r="BD103" s="10" t="str">
        <f aca="false">IF($A103="","",IF(UPPER($P103)="YES","Yes","No"))</f>
        <v/>
      </c>
      <c r="BE103" s="10" t="str">
        <f aca="false">IF($A103="","",IF($N103="No","n/a",IF(AM103&lt;=Constants!$B$17,"Yes","No")))</f>
        <v/>
      </c>
      <c r="BF103" s="10" t="str">
        <f aca="false">IF($A103="","",IF($O103="No","n/a",IF(AN103&lt;=Constants!$B$17,"Yes","No")))</f>
        <v/>
      </c>
      <c r="BG103" s="10" t="str">
        <f aca="false">IF($A103="","",IF($P103="No","n/a",IF(AO103&lt;=Constants!$B$17,"Yes","No")))</f>
        <v/>
      </c>
      <c r="BH103" s="10" t="str">
        <f aca="false">IF($A103="","",IF($N103="No","No custody process",IF(BE103="Yes","Thin custody slack","Ample custody slack")))</f>
        <v/>
      </c>
      <c r="BI103" s="30" t="str">
        <f aca="false">IF($A103="","",IF($N103="No","",AM103))</f>
        <v/>
      </c>
      <c r="BJ103" s="30" t="str">
        <f aca="false">IF($A103="","",IF($O103="No","",AN103))</f>
        <v/>
      </c>
      <c r="BK103" s="30" t="str">
        <f aca="false">IF($A103="","",IF($P103="No","",AO103))</f>
        <v/>
      </c>
    </row>
    <row r="104" customFormat="false" ht="15" hidden="false" customHeight="true" outlineLevel="0" collapsed="false">
      <c r="Z104" s="28" t="str">
        <f aca="false">IF($A104="","",Constants!$B$6+$I104*Constants!$B$7+$J104*Constants!$B$8+$K104*Constants!$B$9+$L104*Constants!$B$10+$M104*Constants!$B$11)</f>
        <v/>
      </c>
      <c r="AA104" s="28" t="str">
        <f aca="false">IF($A104="","",100-Z104)</f>
        <v/>
      </c>
      <c r="AB104" s="28" t="str">
        <f aca="false">IF($A104="","",ROUND($H104*Constants!$B$4,1))</f>
        <v/>
      </c>
      <c r="AC104" s="28" t="str">
        <f aca="false">IF($A104="","",ROUND(AB104*Z104/100,1))</f>
        <v/>
      </c>
      <c r="AD104" s="28" t="str">
        <f aca="false">IF($A104="","",ROUND(AB104*AA104/100,1))</f>
        <v/>
      </c>
      <c r="AE104" s="22" t="str">
        <f aca="false">IF($A104="","",HOUR($Q104)+MINUTE($Q104)/60)</f>
        <v/>
      </c>
      <c r="AF104" s="22" t="str">
        <f aca="false">IF($A104="","",HOUR($R104)+MINUTE($R104)/60)</f>
        <v/>
      </c>
      <c r="AG104" s="22" t="str">
        <f aca="false">IF($A104="","",HOUR($S104)+MINUTE($S104)/60)</f>
        <v/>
      </c>
      <c r="AH104" s="22" t="str">
        <f aca="false">IF($A104="","",HOUR($T104)+MINUTE($T104)/60)</f>
        <v/>
      </c>
      <c r="AI104" s="22" t="str">
        <f aca="false">IF($A104="","",HOUR($V104)+MINUTE($V104)/60)</f>
        <v/>
      </c>
      <c r="AJ104" s="22" t="str">
        <f aca="false">IF($A104="","",HOUR($W104)+MINUTE($W104)/60)</f>
        <v/>
      </c>
      <c r="AK104" s="22" t="str">
        <f aca="false">IF($A104="","",VLOOKUP($F104,Dim_Team!$A:$F,6,0))</f>
        <v/>
      </c>
      <c r="AL104" s="28" t="str">
        <f aca="false">IF($A104="","",VLOOKUP($X104,Dim_Signoff!$A:$C,3,0))</f>
        <v/>
      </c>
      <c r="AM104" s="28" t="str">
        <f aca="false">IF($A104="","",IF($N104="No","n/a",ROUND((AH104-AE104)*60,0)))</f>
        <v/>
      </c>
      <c r="AN104" s="28" t="str">
        <f aca="false">IF($A104="","",IF($O104="No","n/a",ROUND((AH104-AF104)*60,0)))</f>
        <v/>
      </c>
      <c r="AO104" s="28" t="str">
        <f aca="false">IF($A104="","",IF($P104="No","n/a",ROUND((AH104-AG104)*60,0)))</f>
        <v/>
      </c>
      <c r="AP104" s="28" t="str">
        <f aca="false">IF($A104="","",ROUND((AH104-AK104)*60,0))</f>
        <v/>
      </c>
      <c r="AQ104" s="28" t="str">
        <f aca="false">IF($A104="","",ROUND((AI104-AH104)*60,0))</f>
        <v/>
      </c>
      <c r="AR104" s="4" t="str">
        <f aca="false">IF($A104="","",IF(AP104&gt;=AC104,"Yes","No"))</f>
        <v/>
      </c>
      <c r="AS104" s="4" t="str">
        <f aca="false">IF($A104="","",IF(AQ104&gt;=AD104+AL104,"Yes","No"))</f>
        <v/>
      </c>
      <c r="AT104" s="4" t="str">
        <f aca="false">IF($A104="","",IF(AND(AR104="Yes",AS104="Yes"),"OK","REVIEW"))</f>
        <v/>
      </c>
      <c r="AU104" s="4" t="str">
        <f aca="false">IF($A104="","",IF($P104="No","Not applicable",IF(AO104&lt;Constants!$B$14,"CAPTURE","Not needed")))</f>
        <v/>
      </c>
      <c r="AV104" s="4" t="str">
        <f aca="false">IF($A104="","",IF($P104="No","n/a",RANK(AO104,AO:AO,1)))</f>
        <v/>
      </c>
      <c r="AW104" s="4" t="str">
        <f aca="false">IF($A104="","",IF(UPPER($E104)="YES","Strategic","Non-strategic"))</f>
        <v/>
      </c>
      <c r="AX104" s="4" t="str">
        <f aca="false">IF($A104="","",COUNTIFS(Fact_Work!$C:$C,$A104))</f>
        <v/>
      </c>
      <c r="AY104" s="4" t="str">
        <f aca="false">IF($A104="","",IF(AX104=0,"Not seen",IF(AX104&gt;=Constants!$B$13*0.6,"Daily",IF(AX104&gt;=Constants!$B$13*0.12,"Weekly","Monthly or ad hoc"))))</f>
        <v/>
      </c>
      <c r="AZ104" s="22" t="str">
        <f aca="false">IF($A104="","",IFERROR(VLOOKUP($U104,Dim_TOP!$A:$H,8,0),""))</f>
        <v/>
      </c>
      <c r="BA104" s="28" t="str">
        <f aca="false">IF($A104="","",IFERROR(ROUND((AH104-AZ104)*60,0),""))</f>
        <v/>
      </c>
      <c r="BB104" s="4" t="str">
        <f aca="false">IF($A104="","",IF(BA104="","",IF(BA104&lt;=0,"Sets the deadline","Later than peers by "&amp;BA104&amp;" min")))</f>
        <v/>
      </c>
      <c r="BC104" s="29" t="str">
        <f aca="false">IF($A104="","",IF($U104="",0,IF(COUNTIFS($U$2:$U104,$U104,$C$2:$C104,$C104)=1,1,0)))</f>
        <v/>
      </c>
      <c r="BD104" s="10" t="str">
        <f aca="false">IF($A104="","",IF(UPPER($P104)="YES","Yes","No"))</f>
        <v/>
      </c>
      <c r="BE104" s="10" t="str">
        <f aca="false">IF($A104="","",IF($N104="No","n/a",IF(AM104&lt;=Constants!$B$17,"Yes","No")))</f>
        <v/>
      </c>
      <c r="BF104" s="10" t="str">
        <f aca="false">IF($A104="","",IF($O104="No","n/a",IF(AN104&lt;=Constants!$B$17,"Yes","No")))</f>
        <v/>
      </c>
      <c r="BG104" s="10" t="str">
        <f aca="false">IF($A104="","",IF($P104="No","n/a",IF(AO104&lt;=Constants!$B$17,"Yes","No")))</f>
        <v/>
      </c>
      <c r="BH104" s="10" t="str">
        <f aca="false">IF($A104="","",IF($N104="No","No custody process",IF(BE104="Yes","Thin custody slack","Ample custody slack")))</f>
        <v/>
      </c>
      <c r="BI104" s="30" t="str">
        <f aca="false">IF($A104="","",IF($N104="No","",AM104))</f>
        <v/>
      </c>
      <c r="BJ104" s="30" t="str">
        <f aca="false">IF($A104="","",IF($O104="No","",AN104))</f>
        <v/>
      </c>
      <c r="BK104" s="30" t="str">
        <f aca="false">IF($A104="","",IF($P104="No","",AO104))</f>
        <v/>
      </c>
    </row>
    <row r="105" customFormat="false" ht="15" hidden="false" customHeight="true" outlineLevel="0" collapsed="false">
      <c r="Z105" s="28" t="str">
        <f aca="false">IF($A105="","",Constants!$B$6+$I105*Constants!$B$7+$J105*Constants!$B$8+$K105*Constants!$B$9+$L105*Constants!$B$10+$M105*Constants!$B$11)</f>
        <v/>
      </c>
      <c r="AA105" s="28" t="str">
        <f aca="false">IF($A105="","",100-Z105)</f>
        <v/>
      </c>
      <c r="AB105" s="28" t="str">
        <f aca="false">IF($A105="","",ROUND($H105*Constants!$B$4,1))</f>
        <v/>
      </c>
      <c r="AC105" s="28" t="str">
        <f aca="false">IF($A105="","",ROUND(AB105*Z105/100,1))</f>
        <v/>
      </c>
      <c r="AD105" s="28" t="str">
        <f aca="false">IF($A105="","",ROUND(AB105*AA105/100,1))</f>
        <v/>
      </c>
      <c r="AE105" s="22" t="str">
        <f aca="false">IF($A105="","",HOUR($Q105)+MINUTE($Q105)/60)</f>
        <v/>
      </c>
      <c r="AF105" s="22" t="str">
        <f aca="false">IF($A105="","",HOUR($R105)+MINUTE($R105)/60)</f>
        <v/>
      </c>
      <c r="AG105" s="22" t="str">
        <f aca="false">IF($A105="","",HOUR($S105)+MINUTE($S105)/60)</f>
        <v/>
      </c>
      <c r="AH105" s="22" t="str">
        <f aca="false">IF($A105="","",HOUR($T105)+MINUTE($T105)/60)</f>
        <v/>
      </c>
      <c r="AI105" s="22" t="str">
        <f aca="false">IF($A105="","",HOUR($V105)+MINUTE($V105)/60)</f>
        <v/>
      </c>
      <c r="AJ105" s="22" t="str">
        <f aca="false">IF($A105="","",HOUR($W105)+MINUTE($W105)/60)</f>
        <v/>
      </c>
      <c r="AK105" s="22" t="str">
        <f aca="false">IF($A105="","",VLOOKUP($F105,Dim_Team!$A:$F,6,0))</f>
        <v/>
      </c>
      <c r="AL105" s="28" t="str">
        <f aca="false">IF($A105="","",VLOOKUP($X105,Dim_Signoff!$A:$C,3,0))</f>
        <v/>
      </c>
      <c r="AM105" s="28" t="str">
        <f aca="false">IF($A105="","",IF($N105="No","n/a",ROUND((AH105-AE105)*60,0)))</f>
        <v/>
      </c>
      <c r="AN105" s="28" t="str">
        <f aca="false">IF($A105="","",IF($O105="No","n/a",ROUND((AH105-AF105)*60,0)))</f>
        <v/>
      </c>
      <c r="AO105" s="28" t="str">
        <f aca="false">IF($A105="","",IF($P105="No","n/a",ROUND((AH105-AG105)*60,0)))</f>
        <v/>
      </c>
      <c r="AP105" s="28" t="str">
        <f aca="false">IF($A105="","",ROUND((AH105-AK105)*60,0))</f>
        <v/>
      </c>
      <c r="AQ105" s="28" t="str">
        <f aca="false">IF($A105="","",ROUND((AI105-AH105)*60,0))</f>
        <v/>
      </c>
      <c r="AR105" s="4" t="str">
        <f aca="false">IF($A105="","",IF(AP105&gt;=AC105,"Yes","No"))</f>
        <v/>
      </c>
      <c r="AS105" s="4" t="str">
        <f aca="false">IF($A105="","",IF(AQ105&gt;=AD105+AL105,"Yes","No"))</f>
        <v/>
      </c>
      <c r="AT105" s="4" t="str">
        <f aca="false">IF($A105="","",IF(AND(AR105="Yes",AS105="Yes"),"OK","REVIEW"))</f>
        <v/>
      </c>
      <c r="AU105" s="4" t="str">
        <f aca="false">IF($A105="","",IF($P105="No","Not applicable",IF(AO105&lt;Constants!$B$14,"CAPTURE","Not needed")))</f>
        <v/>
      </c>
      <c r="AV105" s="4" t="str">
        <f aca="false">IF($A105="","",IF($P105="No","n/a",RANK(AO105,AO:AO,1)))</f>
        <v/>
      </c>
      <c r="AW105" s="4" t="str">
        <f aca="false">IF($A105="","",IF(UPPER($E105)="YES","Strategic","Non-strategic"))</f>
        <v/>
      </c>
      <c r="AX105" s="4" t="str">
        <f aca="false">IF($A105="","",COUNTIFS(Fact_Work!$C:$C,$A105))</f>
        <v/>
      </c>
      <c r="AY105" s="4" t="str">
        <f aca="false">IF($A105="","",IF(AX105=0,"Not seen",IF(AX105&gt;=Constants!$B$13*0.6,"Daily",IF(AX105&gt;=Constants!$B$13*0.12,"Weekly","Monthly or ad hoc"))))</f>
        <v/>
      </c>
      <c r="AZ105" s="22" t="str">
        <f aca="false">IF($A105="","",IFERROR(VLOOKUP($U105,Dim_TOP!$A:$H,8,0),""))</f>
        <v/>
      </c>
      <c r="BA105" s="28" t="str">
        <f aca="false">IF($A105="","",IFERROR(ROUND((AH105-AZ105)*60,0),""))</f>
        <v/>
      </c>
      <c r="BB105" s="4" t="str">
        <f aca="false">IF($A105="","",IF(BA105="","",IF(BA105&lt;=0,"Sets the deadline","Later than peers by "&amp;BA105&amp;" min")))</f>
        <v/>
      </c>
      <c r="BC105" s="29" t="str">
        <f aca="false">IF($A105="","",IF($U105="",0,IF(COUNTIFS($U$2:$U105,$U105,$C$2:$C105,$C105)=1,1,0)))</f>
        <v/>
      </c>
      <c r="BD105" s="10" t="str">
        <f aca="false">IF($A105="","",IF(UPPER($P105)="YES","Yes","No"))</f>
        <v/>
      </c>
      <c r="BE105" s="10" t="str">
        <f aca="false">IF($A105="","",IF($N105="No","n/a",IF(AM105&lt;=Constants!$B$17,"Yes","No")))</f>
        <v/>
      </c>
      <c r="BF105" s="10" t="str">
        <f aca="false">IF($A105="","",IF($O105="No","n/a",IF(AN105&lt;=Constants!$B$17,"Yes","No")))</f>
        <v/>
      </c>
      <c r="BG105" s="10" t="str">
        <f aca="false">IF($A105="","",IF($P105="No","n/a",IF(AO105&lt;=Constants!$B$17,"Yes","No")))</f>
        <v/>
      </c>
      <c r="BH105" s="10" t="str">
        <f aca="false">IF($A105="","",IF($N105="No","No custody process",IF(BE105="Yes","Thin custody slack","Ample custody slack")))</f>
        <v/>
      </c>
      <c r="BI105" s="30" t="str">
        <f aca="false">IF($A105="","",IF($N105="No","",AM105))</f>
        <v/>
      </c>
      <c r="BJ105" s="30" t="str">
        <f aca="false">IF($A105="","",IF($O105="No","",AN105))</f>
        <v/>
      </c>
      <c r="BK105" s="30" t="str">
        <f aca="false">IF($A105="","",IF($P105="No","",AO105))</f>
        <v/>
      </c>
    </row>
    <row r="106" customFormat="false" ht="15" hidden="false" customHeight="true" outlineLevel="0" collapsed="false">
      <c r="Z106" s="28" t="str">
        <f aca="false">IF($A106="","",Constants!$B$6+$I106*Constants!$B$7+$J106*Constants!$B$8+$K106*Constants!$B$9+$L106*Constants!$B$10+$M106*Constants!$B$11)</f>
        <v/>
      </c>
      <c r="AA106" s="28" t="str">
        <f aca="false">IF($A106="","",100-Z106)</f>
        <v/>
      </c>
      <c r="AB106" s="28" t="str">
        <f aca="false">IF($A106="","",ROUND($H106*Constants!$B$4,1))</f>
        <v/>
      </c>
      <c r="AC106" s="28" t="str">
        <f aca="false">IF($A106="","",ROUND(AB106*Z106/100,1))</f>
        <v/>
      </c>
      <c r="AD106" s="28" t="str">
        <f aca="false">IF($A106="","",ROUND(AB106*AA106/100,1))</f>
        <v/>
      </c>
      <c r="AE106" s="22" t="str">
        <f aca="false">IF($A106="","",HOUR($Q106)+MINUTE($Q106)/60)</f>
        <v/>
      </c>
      <c r="AF106" s="22" t="str">
        <f aca="false">IF($A106="","",HOUR($R106)+MINUTE($R106)/60)</f>
        <v/>
      </c>
      <c r="AG106" s="22" t="str">
        <f aca="false">IF($A106="","",HOUR($S106)+MINUTE($S106)/60)</f>
        <v/>
      </c>
      <c r="AH106" s="22" t="str">
        <f aca="false">IF($A106="","",HOUR($T106)+MINUTE($T106)/60)</f>
        <v/>
      </c>
      <c r="AI106" s="22" t="str">
        <f aca="false">IF($A106="","",HOUR($V106)+MINUTE($V106)/60)</f>
        <v/>
      </c>
      <c r="AJ106" s="22" t="str">
        <f aca="false">IF($A106="","",HOUR($W106)+MINUTE($W106)/60)</f>
        <v/>
      </c>
      <c r="AK106" s="22" t="str">
        <f aca="false">IF($A106="","",VLOOKUP($F106,Dim_Team!$A:$F,6,0))</f>
        <v/>
      </c>
      <c r="AL106" s="28" t="str">
        <f aca="false">IF($A106="","",VLOOKUP($X106,Dim_Signoff!$A:$C,3,0))</f>
        <v/>
      </c>
      <c r="AM106" s="28" t="str">
        <f aca="false">IF($A106="","",IF($N106="No","n/a",ROUND((AH106-AE106)*60,0)))</f>
        <v/>
      </c>
      <c r="AN106" s="28" t="str">
        <f aca="false">IF($A106="","",IF($O106="No","n/a",ROUND((AH106-AF106)*60,0)))</f>
        <v/>
      </c>
      <c r="AO106" s="28" t="str">
        <f aca="false">IF($A106="","",IF($P106="No","n/a",ROUND((AH106-AG106)*60,0)))</f>
        <v/>
      </c>
      <c r="AP106" s="28" t="str">
        <f aca="false">IF($A106="","",ROUND((AH106-AK106)*60,0))</f>
        <v/>
      </c>
      <c r="AQ106" s="28" t="str">
        <f aca="false">IF($A106="","",ROUND((AI106-AH106)*60,0))</f>
        <v/>
      </c>
      <c r="AR106" s="4" t="str">
        <f aca="false">IF($A106="","",IF(AP106&gt;=AC106,"Yes","No"))</f>
        <v/>
      </c>
      <c r="AS106" s="4" t="str">
        <f aca="false">IF($A106="","",IF(AQ106&gt;=AD106+AL106,"Yes","No"))</f>
        <v/>
      </c>
      <c r="AT106" s="4" t="str">
        <f aca="false">IF($A106="","",IF(AND(AR106="Yes",AS106="Yes"),"OK","REVIEW"))</f>
        <v/>
      </c>
      <c r="AU106" s="4" t="str">
        <f aca="false">IF($A106="","",IF($P106="No","Not applicable",IF(AO106&lt;Constants!$B$14,"CAPTURE","Not needed")))</f>
        <v/>
      </c>
      <c r="AV106" s="4" t="str">
        <f aca="false">IF($A106="","",IF($P106="No","n/a",RANK(AO106,AO:AO,1)))</f>
        <v/>
      </c>
      <c r="AW106" s="4" t="str">
        <f aca="false">IF($A106="","",IF(UPPER($E106)="YES","Strategic","Non-strategic"))</f>
        <v/>
      </c>
      <c r="AX106" s="4" t="str">
        <f aca="false">IF($A106="","",COUNTIFS(Fact_Work!$C:$C,$A106))</f>
        <v/>
      </c>
      <c r="AY106" s="4" t="str">
        <f aca="false">IF($A106="","",IF(AX106=0,"Not seen",IF(AX106&gt;=Constants!$B$13*0.6,"Daily",IF(AX106&gt;=Constants!$B$13*0.12,"Weekly","Monthly or ad hoc"))))</f>
        <v/>
      </c>
      <c r="AZ106" s="22" t="str">
        <f aca="false">IF($A106="","",IFERROR(VLOOKUP($U106,Dim_TOP!$A:$H,8,0),""))</f>
        <v/>
      </c>
      <c r="BA106" s="28" t="str">
        <f aca="false">IF($A106="","",IFERROR(ROUND((AH106-AZ106)*60,0),""))</f>
        <v/>
      </c>
      <c r="BB106" s="4" t="str">
        <f aca="false">IF($A106="","",IF(BA106="","",IF(BA106&lt;=0,"Sets the deadline","Later than peers by "&amp;BA106&amp;" min")))</f>
        <v/>
      </c>
      <c r="BC106" s="29" t="str">
        <f aca="false">IF($A106="","",IF($U106="",0,IF(COUNTIFS($U$2:$U106,$U106,$C$2:$C106,$C106)=1,1,0)))</f>
        <v/>
      </c>
      <c r="BD106" s="10" t="str">
        <f aca="false">IF($A106="","",IF(UPPER($P106)="YES","Yes","No"))</f>
        <v/>
      </c>
      <c r="BE106" s="10" t="str">
        <f aca="false">IF($A106="","",IF($N106="No","n/a",IF(AM106&lt;=Constants!$B$17,"Yes","No")))</f>
        <v/>
      </c>
      <c r="BF106" s="10" t="str">
        <f aca="false">IF($A106="","",IF($O106="No","n/a",IF(AN106&lt;=Constants!$B$17,"Yes","No")))</f>
        <v/>
      </c>
      <c r="BG106" s="10" t="str">
        <f aca="false">IF($A106="","",IF($P106="No","n/a",IF(AO106&lt;=Constants!$B$17,"Yes","No")))</f>
        <v/>
      </c>
      <c r="BH106" s="10" t="str">
        <f aca="false">IF($A106="","",IF($N106="No","No custody process",IF(BE106="Yes","Thin custody slack","Ample custody slack")))</f>
        <v/>
      </c>
      <c r="BI106" s="30" t="str">
        <f aca="false">IF($A106="","",IF($N106="No","",AM106))</f>
        <v/>
      </c>
      <c r="BJ106" s="30" t="str">
        <f aca="false">IF($A106="","",IF($O106="No","",AN106))</f>
        <v/>
      </c>
      <c r="BK106" s="30" t="str">
        <f aca="false">IF($A106="","",IF($P106="No","",AO106))</f>
        <v/>
      </c>
    </row>
    <row r="107" customFormat="false" ht="15" hidden="false" customHeight="true" outlineLevel="0" collapsed="false">
      <c r="Z107" s="28" t="str">
        <f aca="false">IF($A107="","",Constants!$B$6+$I107*Constants!$B$7+$J107*Constants!$B$8+$K107*Constants!$B$9+$L107*Constants!$B$10+$M107*Constants!$B$11)</f>
        <v/>
      </c>
      <c r="AA107" s="28" t="str">
        <f aca="false">IF($A107="","",100-Z107)</f>
        <v/>
      </c>
      <c r="AB107" s="28" t="str">
        <f aca="false">IF($A107="","",ROUND($H107*Constants!$B$4,1))</f>
        <v/>
      </c>
      <c r="AC107" s="28" t="str">
        <f aca="false">IF($A107="","",ROUND(AB107*Z107/100,1))</f>
        <v/>
      </c>
      <c r="AD107" s="28" t="str">
        <f aca="false">IF($A107="","",ROUND(AB107*AA107/100,1))</f>
        <v/>
      </c>
      <c r="AE107" s="22" t="str">
        <f aca="false">IF($A107="","",HOUR($Q107)+MINUTE($Q107)/60)</f>
        <v/>
      </c>
      <c r="AF107" s="22" t="str">
        <f aca="false">IF($A107="","",HOUR($R107)+MINUTE($R107)/60)</f>
        <v/>
      </c>
      <c r="AG107" s="22" t="str">
        <f aca="false">IF($A107="","",HOUR($S107)+MINUTE($S107)/60)</f>
        <v/>
      </c>
      <c r="AH107" s="22" t="str">
        <f aca="false">IF($A107="","",HOUR($T107)+MINUTE($T107)/60)</f>
        <v/>
      </c>
      <c r="AI107" s="22" t="str">
        <f aca="false">IF($A107="","",HOUR($V107)+MINUTE($V107)/60)</f>
        <v/>
      </c>
      <c r="AJ107" s="22" t="str">
        <f aca="false">IF($A107="","",HOUR($W107)+MINUTE($W107)/60)</f>
        <v/>
      </c>
      <c r="AK107" s="22" t="str">
        <f aca="false">IF($A107="","",VLOOKUP($F107,Dim_Team!$A:$F,6,0))</f>
        <v/>
      </c>
      <c r="AL107" s="28" t="str">
        <f aca="false">IF($A107="","",VLOOKUP($X107,Dim_Signoff!$A:$C,3,0))</f>
        <v/>
      </c>
      <c r="AM107" s="28" t="str">
        <f aca="false">IF($A107="","",IF($N107="No","n/a",ROUND((AH107-AE107)*60,0)))</f>
        <v/>
      </c>
      <c r="AN107" s="28" t="str">
        <f aca="false">IF($A107="","",IF($O107="No","n/a",ROUND((AH107-AF107)*60,0)))</f>
        <v/>
      </c>
      <c r="AO107" s="28" t="str">
        <f aca="false">IF($A107="","",IF($P107="No","n/a",ROUND((AH107-AG107)*60,0)))</f>
        <v/>
      </c>
      <c r="AP107" s="28" t="str">
        <f aca="false">IF($A107="","",ROUND((AH107-AK107)*60,0))</f>
        <v/>
      </c>
      <c r="AQ107" s="28" t="str">
        <f aca="false">IF($A107="","",ROUND((AI107-AH107)*60,0))</f>
        <v/>
      </c>
      <c r="AR107" s="4" t="str">
        <f aca="false">IF($A107="","",IF(AP107&gt;=AC107,"Yes","No"))</f>
        <v/>
      </c>
      <c r="AS107" s="4" t="str">
        <f aca="false">IF($A107="","",IF(AQ107&gt;=AD107+AL107,"Yes","No"))</f>
        <v/>
      </c>
      <c r="AT107" s="4" t="str">
        <f aca="false">IF($A107="","",IF(AND(AR107="Yes",AS107="Yes"),"OK","REVIEW"))</f>
        <v/>
      </c>
      <c r="AU107" s="4" t="str">
        <f aca="false">IF($A107="","",IF($P107="No","Not applicable",IF(AO107&lt;Constants!$B$14,"CAPTURE","Not needed")))</f>
        <v/>
      </c>
      <c r="AV107" s="4" t="str">
        <f aca="false">IF($A107="","",IF($P107="No","n/a",RANK(AO107,AO:AO,1)))</f>
        <v/>
      </c>
      <c r="AW107" s="4" t="str">
        <f aca="false">IF($A107="","",IF(UPPER($E107)="YES","Strategic","Non-strategic"))</f>
        <v/>
      </c>
      <c r="AX107" s="4" t="str">
        <f aca="false">IF($A107="","",COUNTIFS(Fact_Work!$C:$C,$A107))</f>
        <v/>
      </c>
      <c r="AY107" s="4" t="str">
        <f aca="false">IF($A107="","",IF(AX107=0,"Not seen",IF(AX107&gt;=Constants!$B$13*0.6,"Daily",IF(AX107&gt;=Constants!$B$13*0.12,"Weekly","Monthly or ad hoc"))))</f>
        <v/>
      </c>
      <c r="AZ107" s="22" t="str">
        <f aca="false">IF($A107="","",IFERROR(VLOOKUP($U107,Dim_TOP!$A:$H,8,0),""))</f>
        <v/>
      </c>
      <c r="BA107" s="28" t="str">
        <f aca="false">IF($A107="","",IFERROR(ROUND((AH107-AZ107)*60,0),""))</f>
        <v/>
      </c>
      <c r="BB107" s="4" t="str">
        <f aca="false">IF($A107="","",IF(BA107="","",IF(BA107&lt;=0,"Sets the deadline","Later than peers by "&amp;BA107&amp;" min")))</f>
        <v/>
      </c>
      <c r="BC107" s="29" t="str">
        <f aca="false">IF($A107="","",IF($U107="",0,IF(COUNTIFS($U$2:$U107,$U107,$C$2:$C107,$C107)=1,1,0)))</f>
        <v/>
      </c>
      <c r="BD107" s="10" t="str">
        <f aca="false">IF($A107="","",IF(UPPER($P107)="YES","Yes","No"))</f>
        <v/>
      </c>
      <c r="BE107" s="10" t="str">
        <f aca="false">IF($A107="","",IF($N107="No","n/a",IF(AM107&lt;=Constants!$B$17,"Yes","No")))</f>
        <v/>
      </c>
      <c r="BF107" s="10" t="str">
        <f aca="false">IF($A107="","",IF($O107="No","n/a",IF(AN107&lt;=Constants!$B$17,"Yes","No")))</f>
        <v/>
      </c>
      <c r="BG107" s="10" t="str">
        <f aca="false">IF($A107="","",IF($P107="No","n/a",IF(AO107&lt;=Constants!$B$17,"Yes","No")))</f>
        <v/>
      </c>
      <c r="BH107" s="10" t="str">
        <f aca="false">IF($A107="","",IF($N107="No","No custody process",IF(BE107="Yes","Thin custody slack","Ample custody slack")))</f>
        <v/>
      </c>
      <c r="BI107" s="30" t="str">
        <f aca="false">IF($A107="","",IF($N107="No","",AM107))</f>
        <v/>
      </c>
      <c r="BJ107" s="30" t="str">
        <f aca="false">IF($A107="","",IF($O107="No","",AN107))</f>
        <v/>
      </c>
      <c r="BK107" s="30" t="str">
        <f aca="false">IF($A107="","",IF($P107="No","",AO107))</f>
        <v/>
      </c>
    </row>
    <row r="108" customFormat="false" ht="15" hidden="false" customHeight="true" outlineLevel="0" collapsed="false">
      <c r="Z108" s="28" t="str">
        <f aca="false">IF($A108="","",Constants!$B$6+$I108*Constants!$B$7+$J108*Constants!$B$8+$K108*Constants!$B$9+$L108*Constants!$B$10+$M108*Constants!$B$11)</f>
        <v/>
      </c>
      <c r="AA108" s="28" t="str">
        <f aca="false">IF($A108="","",100-Z108)</f>
        <v/>
      </c>
      <c r="AB108" s="28" t="str">
        <f aca="false">IF($A108="","",ROUND($H108*Constants!$B$4,1))</f>
        <v/>
      </c>
      <c r="AC108" s="28" t="str">
        <f aca="false">IF($A108="","",ROUND(AB108*Z108/100,1))</f>
        <v/>
      </c>
      <c r="AD108" s="28" t="str">
        <f aca="false">IF($A108="","",ROUND(AB108*AA108/100,1))</f>
        <v/>
      </c>
      <c r="AE108" s="22" t="str">
        <f aca="false">IF($A108="","",HOUR($Q108)+MINUTE($Q108)/60)</f>
        <v/>
      </c>
      <c r="AF108" s="22" t="str">
        <f aca="false">IF($A108="","",HOUR($R108)+MINUTE($R108)/60)</f>
        <v/>
      </c>
      <c r="AG108" s="22" t="str">
        <f aca="false">IF($A108="","",HOUR($S108)+MINUTE($S108)/60)</f>
        <v/>
      </c>
      <c r="AH108" s="22" t="str">
        <f aca="false">IF($A108="","",HOUR($T108)+MINUTE($T108)/60)</f>
        <v/>
      </c>
      <c r="AI108" s="22" t="str">
        <f aca="false">IF($A108="","",HOUR($V108)+MINUTE($V108)/60)</f>
        <v/>
      </c>
      <c r="AJ108" s="22" t="str">
        <f aca="false">IF($A108="","",HOUR($W108)+MINUTE($W108)/60)</f>
        <v/>
      </c>
      <c r="AK108" s="22" t="str">
        <f aca="false">IF($A108="","",VLOOKUP($F108,Dim_Team!$A:$F,6,0))</f>
        <v/>
      </c>
      <c r="AL108" s="28" t="str">
        <f aca="false">IF($A108="","",VLOOKUP($X108,Dim_Signoff!$A:$C,3,0))</f>
        <v/>
      </c>
      <c r="AM108" s="28" t="str">
        <f aca="false">IF($A108="","",IF($N108="No","n/a",ROUND((AH108-AE108)*60,0)))</f>
        <v/>
      </c>
      <c r="AN108" s="28" t="str">
        <f aca="false">IF($A108="","",IF($O108="No","n/a",ROUND((AH108-AF108)*60,0)))</f>
        <v/>
      </c>
      <c r="AO108" s="28" t="str">
        <f aca="false">IF($A108="","",IF($P108="No","n/a",ROUND((AH108-AG108)*60,0)))</f>
        <v/>
      </c>
      <c r="AP108" s="28" t="str">
        <f aca="false">IF($A108="","",ROUND((AH108-AK108)*60,0))</f>
        <v/>
      </c>
      <c r="AQ108" s="28" t="str">
        <f aca="false">IF($A108="","",ROUND((AI108-AH108)*60,0))</f>
        <v/>
      </c>
      <c r="AR108" s="4" t="str">
        <f aca="false">IF($A108="","",IF(AP108&gt;=AC108,"Yes","No"))</f>
        <v/>
      </c>
      <c r="AS108" s="4" t="str">
        <f aca="false">IF($A108="","",IF(AQ108&gt;=AD108+AL108,"Yes","No"))</f>
        <v/>
      </c>
      <c r="AT108" s="4" t="str">
        <f aca="false">IF($A108="","",IF(AND(AR108="Yes",AS108="Yes"),"OK","REVIEW"))</f>
        <v/>
      </c>
      <c r="AU108" s="4" t="str">
        <f aca="false">IF($A108="","",IF($P108="No","Not applicable",IF(AO108&lt;Constants!$B$14,"CAPTURE","Not needed")))</f>
        <v/>
      </c>
      <c r="AV108" s="4" t="str">
        <f aca="false">IF($A108="","",IF($P108="No","n/a",RANK(AO108,AO:AO,1)))</f>
        <v/>
      </c>
      <c r="AW108" s="4" t="str">
        <f aca="false">IF($A108="","",IF(UPPER($E108)="YES","Strategic","Non-strategic"))</f>
        <v/>
      </c>
      <c r="AX108" s="4" t="str">
        <f aca="false">IF($A108="","",COUNTIFS(Fact_Work!$C:$C,$A108))</f>
        <v/>
      </c>
      <c r="AY108" s="4" t="str">
        <f aca="false">IF($A108="","",IF(AX108=0,"Not seen",IF(AX108&gt;=Constants!$B$13*0.6,"Daily",IF(AX108&gt;=Constants!$B$13*0.12,"Weekly","Monthly or ad hoc"))))</f>
        <v/>
      </c>
      <c r="AZ108" s="22" t="str">
        <f aca="false">IF($A108="","",IFERROR(VLOOKUP($U108,Dim_TOP!$A:$H,8,0),""))</f>
        <v/>
      </c>
      <c r="BA108" s="28" t="str">
        <f aca="false">IF($A108="","",IFERROR(ROUND((AH108-AZ108)*60,0),""))</f>
        <v/>
      </c>
      <c r="BB108" s="4" t="str">
        <f aca="false">IF($A108="","",IF(BA108="","",IF(BA108&lt;=0,"Sets the deadline","Later than peers by "&amp;BA108&amp;" min")))</f>
        <v/>
      </c>
      <c r="BC108" s="29" t="str">
        <f aca="false">IF($A108="","",IF($U108="",0,IF(COUNTIFS($U$2:$U108,$U108,$C$2:$C108,$C108)=1,1,0)))</f>
        <v/>
      </c>
      <c r="BD108" s="10" t="str">
        <f aca="false">IF($A108="","",IF(UPPER($P108)="YES","Yes","No"))</f>
        <v/>
      </c>
      <c r="BE108" s="10" t="str">
        <f aca="false">IF($A108="","",IF($N108="No","n/a",IF(AM108&lt;=Constants!$B$17,"Yes","No")))</f>
        <v/>
      </c>
      <c r="BF108" s="10" t="str">
        <f aca="false">IF($A108="","",IF($O108="No","n/a",IF(AN108&lt;=Constants!$B$17,"Yes","No")))</f>
        <v/>
      </c>
      <c r="BG108" s="10" t="str">
        <f aca="false">IF($A108="","",IF($P108="No","n/a",IF(AO108&lt;=Constants!$B$17,"Yes","No")))</f>
        <v/>
      </c>
      <c r="BH108" s="10" t="str">
        <f aca="false">IF($A108="","",IF($N108="No","No custody process",IF(BE108="Yes","Thin custody slack","Ample custody slack")))</f>
        <v/>
      </c>
      <c r="BI108" s="30" t="str">
        <f aca="false">IF($A108="","",IF($N108="No","",AM108))</f>
        <v/>
      </c>
      <c r="BJ108" s="30" t="str">
        <f aca="false">IF($A108="","",IF($O108="No","",AN108))</f>
        <v/>
      </c>
      <c r="BK108" s="30" t="str">
        <f aca="false">IF($A108="","",IF($P108="No","",AO108))</f>
        <v/>
      </c>
    </row>
    <row r="109" customFormat="false" ht="15" hidden="false" customHeight="true" outlineLevel="0" collapsed="false">
      <c r="Z109" s="28" t="str">
        <f aca="false">IF($A109="","",Constants!$B$6+$I109*Constants!$B$7+$J109*Constants!$B$8+$K109*Constants!$B$9+$L109*Constants!$B$10+$M109*Constants!$B$11)</f>
        <v/>
      </c>
      <c r="AA109" s="28" t="str">
        <f aca="false">IF($A109="","",100-Z109)</f>
        <v/>
      </c>
      <c r="AB109" s="28" t="str">
        <f aca="false">IF($A109="","",ROUND($H109*Constants!$B$4,1))</f>
        <v/>
      </c>
      <c r="AC109" s="28" t="str">
        <f aca="false">IF($A109="","",ROUND(AB109*Z109/100,1))</f>
        <v/>
      </c>
      <c r="AD109" s="28" t="str">
        <f aca="false">IF($A109="","",ROUND(AB109*AA109/100,1))</f>
        <v/>
      </c>
      <c r="AE109" s="22" t="str">
        <f aca="false">IF($A109="","",HOUR($Q109)+MINUTE($Q109)/60)</f>
        <v/>
      </c>
      <c r="AF109" s="22" t="str">
        <f aca="false">IF($A109="","",HOUR($R109)+MINUTE($R109)/60)</f>
        <v/>
      </c>
      <c r="AG109" s="22" t="str">
        <f aca="false">IF($A109="","",HOUR($S109)+MINUTE($S109)/60)</f>
        <v/>
      </c>
      <c r="AH109" s="22" t="str">
        <f aca="false">IF($A109="","",HOUR($T109)+MINUTE($T109)/60)</f>
        <v/>
      </c>
      <c r="AI109" s="22" t="str">
        <f aca="false">IF($A109="","",HOUR($V109)+MINUTE($V109)/60)</f>
        <v/>
      </c>
      <c r="AJ109" s="22" t="str">
        <f aca="false">IF($A109="","",HOUR($W109)+MINUTE($W109)/60)</f>
        <v/>
      </c>
      <c r="AK109" s="22" t="str">
        <f aca="false">IF($A109="","",VLOOKUP($F109,Dim_Team!$A:$F,6,0))</f>
        <v/>
      </c>
      <c r="AL109" s="28" t="str">
        <f aca="false">IF($A109="","",VLOOKUP($X109,Dim_Signoff!$A:$C,3,0))</f>
        <v/>
      </c>
      <c r="AM109" s="28" t="str">
        <f aca="false">IF($A109="","",IF($N109="No","n/a",ROUND((AH109-AE109)*60,0)))</f>
        <v/>
      </c>
      <c r="AN109" s="28" t="str">
        <f aca="false">IF($A109="","",IF($O109="No","n/a",ROUND((AH109-AF109)*60,0)))</f>
        <v/>
      </c>
      <c r="AO109" s="28" t="str">
        <f aca="false">IF($A109="","",IF($P109="No","n/a",ROUND((AH109-AG109)*60,0)))</f>
        <v/>
      </c>
      <c r="AP109" s="28" t="str">
        <f aca="false">IF($A109="","",ROUND((AH109-AK109)*60,0))</f>
        <v/>
      </c>
      <c r="AQ109" s="28" t="str">
        <f aca="false">IF($A109="","",ROUND((AI109-AH109)*60,0))</f>
        <v/>
      </c>
      <c r="AR109" s="4" t="str">
        <f aca="false">IF($A109="","",IF(AP109&gt;=AC109,"Yes","No"))</f>
        <v/>
      </c>
      <c r="AS109" s="4" t="str">
        <f aca="false">IF($A109="","",IF(AQ109&gt;=AD109+AL109,"Yes","No"))</f>
        <v/>
      </c>
      <c r="AT109" s="4" t="str">
        <f aca="false">IF($A109="","",IF(AND(AR109="Yes",AS109="Yes"),"OK","REVIEW"))</f>
        <v/>
      </c>
      <c r="AU109" s="4" t="str">
        <f aca="false">IF($A109="","",IF($P109="No","Not applicable",IF(AO109&lt;Constants!$B$14,"CAPTURE","Not needed")))</f>
        <v/>
      </c>
      <c r="AV109" s="4" t="str">
        <f aca="false">IF($A109="","",IF($P109="No","n/a",RANK(AO109,AO:AO,1)))</f>
        <v/>
      </c>
      <c r="AW109" s="4" t="str">
        <f aca="false">IF($A109="","",IF(UPPER($E109)="YES","Strategic","Non-strategic"))</f>
        <v/>
      </c>
      <c r="AX109" s="4" t="str">
        <f aca="false">IF($A109="","",COUNTIFS(Fact_Work!$C:$C,$A109))</f>
        <v/>
      </c>
      <c r="AY109" s="4" t="str">
        <f aca="false">IF($A109="","",IF(AX109=0,"Not seen",IF(AX109&gt;=Constants!$B$13*0.6,"Daily",IF(AX109&gt;=Constants!$B$13*0.12,"Weekly","Monthly or ad hoc"))))</f>
        <v/>
      </c>
      <c r="AZ109" s="22" t="str">
        <f aca="false">IF($A109="","",IFERROR(VLOOKUP($U109,Dim_TOP!$A:$H,8,0),""))</f>
        <v/>
      </c>
      <c r="BA109" s="28" t="str">
        <f aca="false">IF($A109="","",IFERROR(ROUND((AH109-AZ109)*60,0),""))</f>
        <v/>
      </c>
      <c r="BB109" s="4" t="str">
        <f aca="false">IF($A109="","",IF(BA109="","",IF(BA109&lt;=0,"Sets the deadline","Later than peers by "&amp;BA109&amp;" min")))</f>
        <v/>
      </c>
      <c r="BC109" s="29" t="str">
        <f aca="false">IF($A109="","",IF($U109="",0,IF(COUNTIFS($U$2:$U109,$U109,$C$2:$C109,$C109)=1,1,0)))</f>
        <v/>
      </c>
      <c r="BD109" s="10" t="str">
        <f aca="false">IF($A109="","",IF(UPPER($P109)="YES","Yes","No"))</f>
        <v/>
      </c>
      <c r="BE109" s="10" t="str">
        <f aca="false">IF($A109="","",IF($N109="No","n/a",IF(AM109&lt;=Constants!$B$17,"Yes","No")))</f>
        <v/>
      </c>
      <c r="BF109" s="10" t="str">
        <f aca="false">IF($A109="","",IF($O109="No","n/a",IF(AN109&lt;=Constants!$B$17,"Yes","No")))</f>
        <v/>
      </c>
      <c r="BG109" s="10" t="str">
        <f aca="false">IF($A109="","",IF($P109="No","n/a",IF(AO109&lt;=Constants!$B$17,"Yes","No")))</f>
        <v/>
      </c>
      <c r="BH109" s="10" t="str">
        <f aca="false">IF($A109="","",IF($N109="No","No custody process",IF(BE109="Yes","Thin custody slack","Ample custody slack")))</f>
        <v/>
      </c>
      <c r="BI109" s="30" t="str">
        <f aca="false">IF($A109="","",IF($N109="No","",AM109))</f>
        <v/>
      </c>
      <c r="BJ109" s="30" t="str">
        <f aca="false">IF($A109="","",IF($O109="No","",AN109))</f>
        <v/>
      </c>
      <c r="BK109" s="30" t="str">
        <f aca="false">IF($A109="","",IF($P109="No","",AO109))</f>
        <v/>
      </c>
    </row>
    <row r="110" customFormat="false" ht="15" hidden="false" customHeight="true" outlineLevel="0" collapsed="false">
      <c r="Z110" s="28" t="str">
        <f aca="false">IF($A110="","",Constants!$B$6+$I110*Constants!$B$7+$J110*Constants!$B$8+$K110*Constants!$B$9+$L110*Constants!$B$10+$M110*Constants!$B$11)</f>
        <v/>
      </c>
      <c r="AA110" s="28" t="str">
        <f aca="false">IF($A110="","",100-Z110)</f>
        <v/>
      </c>
      <c r="AB110" s="28" t="str">
        <f aca="false">IF($A110="","",ROUND($H110*Constants!$B$4,1))</f>
        <v/>
      </c>
      <c r="AC110" s="28" t="str">
        <f aca="false">IF($A110="","",ROUND(AB110*Z110/100,1))</f>
        <v/>
      </c>
      <c r="AD110" s="28" t="str">
        <f aca="false">IF($A110="","",ROUND(AB110*AA110/100,1))</f>
        <v/>
      </c>
      <c r="AE110" s="22" t="str">
        <f aca="false">IF($A110="","",HOUR($Q110)+MINUTE($Q110)/60)</f>
        <v/>
      </c>
      <c r="AF110" s="22" t="str">
        <f aca="false">IF($A110="","",HOUR($R110)+MINUTE($R110)/60)</f>
        <v/>
      </c>
      <c r="AG110" s="22" t="str">
        <f aca="false">IF($A110="","",HOUR($S110)+MINUTE($S110)/60)</f>
        <v/>
      </c>
      <c r="AH110" s="22" t="str">
        <f aca="false">IF($A110="","",HOUR($T110)+MINUTE($T110)/60)</f>
        <v/>
      </c>
      <c r="AI110" s="22" t="str">
        <f aca="false">IF($A110="","",HOUR($V110)+MINUTE($V110)/60)</f>
        <v/>
      </c>
      <c r="AJ110" s="22" t="str">
        <f aca="false">IF($A110="","",HOUR($W110)+MINUTE($W110)/60)</f>
        <v/>
      </c>
      <c r="AK110" s="22" t="str">
        <f aca="false">IF($A110="","",VLOOKUP($F110,Dim_Team!$A:$F,6,0))</f>
        <v/>
      </c>
      <c r="AL110" s="28" t="str">
        <f aca="false">IF($A110="","",VLOOKUP($X110,Dim_Signoff!$A:$C,3,0))</f>
        <v/>
      </c>
      <c r="AM110" s="28" t="str">
        <f aca="false">IF($A110="","",IF($N110="No","n/a",ROUND((AH110-AE110)*60,0)))</f>
        <v/>
      </c>
      <c r="AN110" s="28" t="str">
        <f aca="false">IF($A110="","",IF($O110="No","n/a",ROUND((AH110-AF110)*60,0)))</f>
        <v/>
      </c>
      <c r="AO110" s="28" t="str">
        <f aca="false">IF($A110="","",IF($P110="No","n/a",ROUND((AH110-AG110)*60,0)))</f>
        <v/>
      </c>
      <c r="AP110" s="28" t="str">
        <f aca="false">IF($A110="","",ROUND((AH110-AK110)*60,0))</f>
        <v/>
      </c>
      <c r="AQ110" s="28" t="str">
        <f aca="false">IF($A110="","",ROUND((AI110-AH110)*60,0))</f>
        <v/>
      </c>
      <c r="AR110" s="4" t="str">
        <f aca="false">IF($A110="","",IF(AP110&gt;=AC110,"Yes","No"))</f>
        <v/>
      </c>
      <c r="AS110" s="4" t="str">
        <f aca="false">IF($A110="","",IF(AQ110&gt;=AD110+AL110,"Yes","No"))</f>
        <v/>
      </c>
      <c r="AT110" s="4" t="str">
        <f aca="false">IF($A110="","",IF(AND(AR110="Yes",AS110="Yes"),"OK","REVIEW"))</f>
        <v/>
      </c>
      <c r="AU110" s="4" t="str">
        <f aca="false">IF($A110="","",IF($P110="No","Not applicable",IF(AO110&lt;Constants!$B$14,"CAPTURE","Not needed")))</f>
        <v/>
      </c>
      <c r="AV110" s="4" t="str">
        <f aca="false">IF($A110="","",IF($P110="No","n/a",RANK(AO110,AO:AO,1)))</f>
        <v/>
      </c>
      <c r="AW110" s="4" t="str">
        <f aca="false">IF($A110="","",IF(UPPER($E110)="YES","Strategic","Non-strategic"))</f>
        <v/>
      </c>
      <c r="AX110" s="4" t="str">
        <f aca="false">IF($A110="","",COUNTIFS(Fact_Work!$C:$C,$A110))</f>
        <v/>
      </c>
      <c r="AY110" s="4" t="str">
        <f aca="false">IF($A110="","",IF(AX110=0,"Not seen",IF(AX110&gt;=Constants!$B$13*0.6,"Daily",IF(AX110&gt;=Constants!$B$13*0.12,"Weekly","Monthly or ad hoc"))))</f>
        <v/>
      </c>
      <c r="AZ110" s="22" t="str">
        <f aca="false">IF($A110="","",IFERROR(VLOOKUP($U110,Dim_TOP!$A:$H,8,0),""))</f>
        <v/>
      </c>
      <c r="BA110" s="28" t="str">
        <f aca="false">IF($A110="","",IFERROR(ROUND((AH110-AZ110)*60,0),""))</f>
        <v/>
      </c>
      <c r="BB110" s="4" t="str">
        <f aca="false">IF($A110="","",IF(BA110="","",IF(BA110&lt;=0,"Sets the deadline","Later than peers by "&amp;BA110&amp;" min")))</f>
        <v/>
      </c>
      <c r="BC110" s="29" t="str">
        <f aca="false">IF($A110="","",IF($U110="",0,IF(COUNTIFS($U$2:$U110,$U110,$C$2:$C110,$C110)=1,1,0)))</f>
        <v/>
      </c>
      <c r="BD110" s="10" t="str">
        <f aca="false">IF($A110="","",IF(UPPER($P110)="YES","Yes","No"))</f>
        <v/>
      </c>
      <c r="BE110" s="10" t="str">
        <f aca="false">IF($A110="","",IF($N110="No","n/a",IF(AM110&lt;=Constants!$B$17,"Yes","No")))</f>
        <v/>
      </c>
      <c r="BF110" s="10" t="str">
        <f aca="false">IF($A110="","",IF($O110="No","n/a",IF(AN110&lt;=Constants!$B$17,"Yes","No")))</f>
        <v/>
      </c>
      <c r="BG110" s="10" t="str">
        <f aca="false">IF($A110="","",IF($P110="No","n/a",IF(AO110&lt;=Constants!$B$17,"Yes","No")))</f>
        <v/>
      </c>
      <c r="BH110" s="10" t="str">
        <f aca="false">IF($A110="","",IF($N110="No","No custody process",IF(BE110="Yes","Thin custody slack","Ample custody slack")))</f>
        <v/>
      </c>
      <c r="BI110" s="30" t="str">
        <f aca="false">IF($A110="","",IF($N110="No","",AM110))</f>
        <v/>
      </c>
      <c r="BJ110" s="30" t="str">
        <f aca="false">IF($A110="","",IF($O110="No","",AN110))</f>
        <v/>
      </c>
      <c r="BK110" s="30" t="str">
        <f aca="false">IF($A110="","",IF($P110="No","",AO110))</f>
        <v/>
      </c>
    </row>
    <row r="111" customFormat="false" ht="15" hidden="false" customHeight="true" outlineLevel="0" collapsed="false">
      <c r="Z111" s="28" t="str">
        <f aca="false">IF($A111="","",Constants!$B$6+$I111*Constants!$B$7+$J111*Constants!$B$8+$K111*Constants!$B$9+$L111*Constants!$B$10+$M111*Constants!$B$11)</f>
        <v/>
      </c>
      <c r="AA111" s="28" t="str">
        <f aca="false">IF($A111="","",100-Z111)</f>
        <v/>
      </c>
      <c r="AB111" s="28" t="str">
        <f aca="false">IF($A111="","",ROUND($H111*Constants!$B$4,1))</f>
        <v/>
      </c>
      <c r="AC111" s="28" t="str">
        <f aca="false">IF($A111="","",ROUND(AB111*Z111/100,1))</f>
        <v/>
      </c>
      <c r="AD111" s="28" t="str">
        <f aca="false">IF($A111="","",ROUND(AB111*AA111/100,1))</f>
        <v/>
      </c>
      <c r="AE111" s="22" t="str">
        <f aca="false">IF($A111="","",HOUR($Q111)+MINUTE($Q111)/60)</f>
        <v/>
      </c>
      <c r="AF111" s="22" t="str">
        <f aca="false">IF($A111="","",HOUR($R111)+MINUTE($R111)/60)</f>
        <v/>
      </c>
      <c r="AG111" s="22" t="str">
        <f aca="false">IF($A111="","",HOUR($S111)+MINUTE($S111)/60)</f>
        <v/>
      </c>
      <c r="AH111" s="22" t="str">
        <f aca="false">IF($A111="","",HOUR($T111)+MINUTE($T111)/60)</f>
        <v/>
      </c>
      <c r="AI111" s="22" t="str">
        <f aca="false">IF($A111="","",HOUR($V111)+MINUTE($V111)/60)</f>
        <v/>
      </c>
      <c r="AJ111" s="22" t="str">
        <f aca="false">IF($A111="","",HOUR($W111)+MINUTE($W111)/60)</f>
        <v/>
      </c>
      <c r="AK111" s="22" t="str">
        <f aca="false">IF($A111="","",VLOOKUP($F111,Dim_Team!$A:$F,6,0))</f>
        <v/>
      </c>
      <c r="AL111" s="28" t="str">
        <f aca="false">IF($A111="","",VLOOKUP($X111,Dim_Signoff!$A:$C,3,0))</f>
        <v/>
      </c>
      <c r="AM111" s="28" t="str">
        <f aca="false">IF($A111="","",IF($N111="No","n/a",ROUND((AH111-AE111)*60,0)))</f>
        <v/>
      </c>
      <c r="AN111" s="28" t="str">
        <f aca="false">IF($A111="","",IF($O111="No","n/a",ROUND((AH111-AF111)*60,0)))</f>
        <v/>
      </c>
      <c r="AO111" s="28" t="str">
        <f aca="false">IF($A111="","",IF($P111="No","n/a",ROUND((AH111-AG111)*60,0)))</f>
        <v/>
      </c>
      <c r="AP111" s="28" t="str">
        <f aca="false">IF($A111="","",ROUND((AH111-AK111)*60,0))</f>
        <v/>
      </c>
      <c r="AQ111" s="28" t="str">
        <f aca="false">IF($A111="","",ROUND((AI111-AH111)*60,0))</f>
        <v/>
      </c>
      <c r="AR111" s="4" t="str">
        <f aca="false">IF($A111="","",IF(AP111&gt;=AC111,"Yes","No"))</f>
        <v/>
      </c>
      <c r="AS111" s="4" t="str">
        <f aca="false">IF($A111="","",IF(AQ111&gt;=AD111+AL111,"Yes","No"))</f>
        <v/>
      </c>
      <c r="AT111" s="4" t="str">
        <f aca="false">IF($A111="","",IF(AND(AR111="Yes",AS111="Yes"),"OK","REVIEW"))</f>
        <v/>
      </c>
      <c r="AU111" s="4" t="str">
        <f aca="false">IF($A111="","",IF($P111="No","Not applicable",IF(AO111&lt;Constants!$B$14,"CAPTURE","Not needed")))</f>
        <v/>
      </c>
      <c r="AV111" s="4" t="str">
        <f aca="false">IF($A111="","",IF($P111="No","n/a",RANK(AO111,AO:AO,1)))</f>
        <v/>
      </c>
      <c r="AW111" s="4" t="str">
        <f aca="false">IF($A111="","",IF(UPPER($E111)="YES","Strategic","Non-strategic"))</f>
        <v/>
      </c>
      <c r="AX111" s="4" t="str">
        <f aca="false">IF($A111="","",COUNTIFS(Fact_Work!$C:$C,$A111))</f>
        <v/>
      </c>
      <c r="AY111" s="4" t="str">
        <f aca="false">IF($A111="","",IF(AX111=0,"Not seen",IF(AX111&gt;=Constants!$B$13*0.6,"Daily",IF(AX111&gt;=Constants!$B$13*0.12,"Weekly","Monthly or ad hoc"))))</f>
        <v/>
      </c>
      <c r="AZ111" s="22" t="str">
        <f aca="false">IF($A111="","",IFERROR(VLOOKUP($U111,Dim_TOP!$A:$H,8,0),""))</f>
        <v/>
      </c>
      <c r="BA111" s="28" t="str">
        <f aca="false">IF($A111="","",IFERROR(ROUND((AH111-AZ111)*60,0),""))</f>
        <v/>
      </c>
      <c r="BB111" s="4" t="str">
        <f aca="false">IF($A111="","",IF(BA111="","",IF(BA111&lt;=0,"Sets the deadline","Later than peers by "&amp;BA111&amp;" min")))</f>
        <v/>
      </c>
      <c r="BC111" s="29" t="str">
        <f aca="false">IF($A111="","",IF($U111="",0,IF(COUNTIFS($U$2:$U111,$U111,$C$2:$C111,$C111)=1,1,0)))</f>
        <v/>
      </c>
      <c r="BD111" s="10" t="str">
        <f aca="false">IF($A111="","",IF(UPPER($P111)="YES","Yes","No"))</f>
        <v/>
      </c>
      <c r="BE111" s="10" t="str">
        <f aca="false">IF($A111="","",IF($N111="No","n/a",IF(AM111&lt;=Constants!$B$17,"Yes","No")))</f>
        <v/>
      </c>
      <c r="BF111" s="10" t="str">
        <f aca="false">IF($A111="","",IF($O111="No","n/a",IF(AN111&lt;=Constants!$B$17,"Yes","No")))</f>
        <v/>
      </c>
      <c r="BG111" s="10" t="str">
        <f aca="false">IF($A111="","",IF($P111="No","n/a",IF(AO111&lt;=Constants!$B$17,"Yes","No")))</f>
        <v/>
      </c>
      <c r="BH111" s="10" t="str">
        <f aca="false">IF($A111="","",IF($N111="No","No custody process",IF(BE111="Yes","Thin custody slack","Ample custody slack")))</f>
        <v/>
      </c>
      <c r="BI111" s="30" t="str">
        <f aca="false">IF($A111="","",IF($N111="No","",AM111))</f>
        <v/>
      </c>
      <c r="BJ111" s="30" t="str">
        <f aca="false">IF($A111="","",IF($O111="No","",AN111))</f>
        <v/>
      </c>
      <c r="BK111" s="30" t="str">
        <f aca="false">IF($A111="","",IF($P111="No","",AO111))</f>
        <v/>
      </c>
    </row>
    <row r="112" customFormat="false" ht="15" hidden="false" customHeight="true" outlineLevel="0" collapsed="false">
      <c r="Z112" s="28" t="str">
        <f aca="false">IF($A112="","",Constants!$B$6+$I112*Constants!$B$7+$J112*Constants!$B$8+$K112*Constants!$B$9+$L112*Constants!$B$10+$M112*Constants!$B$11)</f>
        <v/>
      </c>
      <c r="AA112" s="28" t="str">
        <f aca="false">IF($A112="","",100-Z112)</f>
        <v/>
      </c>
      <c r="AB112" s="28" t="str">
        <f aca="false">IF($A112="","",ROUND($H112*Constants!$B$4,1))</f>
        <v/>
      </c>
      <c r="AC112" s="28" t="str">
        <f aca="false">IF($A112="","",ROUND(AB112*Z112/100,1))</f>
        <v/>
      </c>
      <c r="AD112" s="28" t="str">
        <f aca="false">IF($A112="","",ROUND(AB112*AA112/100,1))</f>
        <v/>
      </c>
      <c r="AE112" s="22" t="str">
        <f aca="false">IF($A112="","",HOUR($Q112)+MINUTE($Q112)/60)</f>
        <v/>
      </c>
      <c r="AF112" s="22" t="str">
        <f aca="false">IF($A112="","",HOUR($R112)+MINUTE($R112)/60)</f>
        <v/>
      </c>
      <c r="AG112" s="22" t="str">
        <f aca="false">IF($A112="","",HOUR($S112)+MINUTE($S112)/60)</f>
        <v/>
      </c>
      <c r="AH112" s="22" t="str">
        <f aca="false">IF($A112="","",HOUR($T112)+MINUTE($T112)/60)</f>
        <v/>
      </c>
      <c r="AI112" s="22" t="str">
        <f aca="false">IF($A112="","",HOUR($V112)+MINUTE($V112)/60)</f>
        <v/>
      </c>
      <c r="AJ112" s="22" t="str">
        <f aca="false">IF($A112="","",HOUR($W112)+MINUTE($W112)/60)</f>
        <v/>
      </c>
      <c r="AK112" s="22" t="str">
        <f aca="false">IF($A112="","",VLOOKUP($F112,Dim_Team!$A:$F,6,0))</f>
        <v/>
      </c>
      <c r="AL112" s="28" t="str">
        <f aca="false">IF($A112="","",VLOOKUP($X112,Dim_Signoff!$A:$C,3,0))</f>
        <v/>
      </c>
      <c r="AM112" s="28" t="str">
        <f aca="false">IF($A112="","",IF($N112="No","n/a",ROUND((AH112-AE112)*60,0)))</f>
        <v/>
      </c>
      <c r="AN112" s="28" t="str">
        <f aca="false">IF($A112="","",IF($O112="No","n/a",ROUND((AH112-AF112)*60,0)))</f>
        <v/>
      </c>
      <c r="AO112" s="28" t="str">
        <f aca="false">IF($A112="","",IF($P112="No","n/a",ROUND((AH112-AG112)*60,0)))</f>
        <v/>
      </c>
      <c r="AP112" s="28" t="str">
        <f aca="false">IF($A112="","",ROUND((AH112-AK112)*60,0))</f>
        <v/>
      </c>
      <c r="AQ112" s="28" t="str">
        <f aca="false">IF($A112="","",ROUND((AI112-AH112)*60,0))</f>
        <v/>
      </c>
      <c r="AR112" s="4" t="str">
        <f aca="false">IF($A112="","",IF(AP112&gt;=AC112,"Yes","No"))</f>
        <v/>
      </c>
      <c r="AS112" s="4" t="str">
        <f aca="false">IF($A112="","",IF(AQ112&gt;=AD112+AL112,"Yes","No"))</f>
        <v/>
      </c>
      <c r="AT112" s="4" t="str">
        <f aca="false">IF($A112="","",IF(AND(AR112="Yes",AS112="Yes"),"OK","REVIEW"))</f>
        <v/>
      </c>
      <c r="AU112" s="4" t="str">
        <f aca="false">IF($A112="","",IF($P112="No","Not applicable",IF(AO112&lt;Constants!$B$14,"CAPTURE","Not needed")))</f>
        <v/>
      </c>
      <c r="AV112" s="4" t="str">
        <f aca="false">IF($A112="","",IF($P112="No","n/a",RANK(AO112,AO:AO,1)))</f>
        <v/>
      </c>
      <c r="AW112" s="4" t="str">
        <f aca="false">IF($A112="","",IF(UPPER($E112)="YES","Strategic","Non-strategic"))</f>
        <v/>
      </c>
      <c r="AX112" s="4" t="str">
        <f aca="false">IF($A112="","",COUNTIFS(Fact_Work!$C:$C,$A112))</f>
        <v/>
      </c>
      <c r="AY112" s="4" t="str">
        <f aca="false">IF($A112="","",IF(AX112=0,"Not seen",IF(AX112&gt;=Constants!$B$13*0.6,"Daily",IF(AX112&gt;=Constants!$B$13*0.12,"Weekly","Monthly or ad hoc"))))</f>
        <v/>
      </c>
      <c r="AZ112" s="22" t="str">
        <f aca="false">IF($A112="","",IFERROR(VLOOKUP($U112,Dim_TOP!$A:$H,8,0),""))</f>
        <v/>
      </c>
      <c r="BA112" s="28" t="str">
        <f aca="false">IF($A112="","",IFERROR(ROUND((AH112-AZ112)*60,0),""))</f>
        <v/>
      </c>
      <c r="BB112" s="4" t="str">
        <f aca="false">IF($A112="","",IF(BA112="","",IF(BA112&lt;=0,"Sets the deadline","Later than peers by "&amp;BA112&amp;" min")))</f>
        <v/>
      </c>
      <c r="BC112" s="29" t="str">
        <f aca="false">IF($A112="","",IF($U112="",0,IF(COUNTIFS($U$2:$U112,$U112,$C$2:$C112,$C112)=1,1,0)))</f>
        <v/>
      </c>
      <c r="BD112" s="10" t="str">
        <f aca="false">IF($A112="","",IF(UPPER($P112)="YES","Yes","No"))</f>
        <v/>
      </c>
      <c r="BE112" s="10" t="str">
        <f aca="false">IF($A112="","",IF($N112="No","n/a",IF(AM112&lt;=Constants!$B$17,"Yes","No")))</f>
        <v/>
      </c>
      <c r="BF112" s="10" t="str">
        <f aca="false">IF($A112="","",IF($O112="No","n/a",IF(AN112&lt;=Constants!$B$17,"Yes","No")))</f>
        <v/>
      </c>
      <c r="BG112" s="10" t="str">
        <f aca="false">IF($A112="","",IF($P112="No","n/a",IF(AO112&lt;=Constants!$B$17,"Yes","No")))</f>
        <v/>
      </c>
      <c r="BH112" s="10" t="str">
        <f aca="false">IF($A112="","",IF($N112="No","No custody process",IF(BE112="Yes","Thin custody slack","Ample custody slack")))</f>
        <v/>
      </c>
      <c r="BI112" s="30" t="str">
        <f aca="false">IF($A112="","",IF($N112="No","",AM112))</f>
        <v/>
      </c>
      <c r="BJ112" s="30" t="str">
        <f aca="false">IF($A112="","",IF($O112="No","",AN112))</f>
        <v/>
      </c>
      <c r="BK112" s="30" t="str">
        <f aca="false">IF($A112="","",IF($P112="No","",AO112))</f>
        <v/>
      </c>
    </row>
    <row r="113" customFormat="false" ht="15" hidden="false" customHeight="true" outlineLevel="0" collapsed="false">
      <c r="Z113" s="28" t="str">
        <f aca="false">IF($A113="","",Constants!$B$6+$I113*Constants!$B$7+$J113*Constants!$B$8+$K113*Constants!$B$9+$L113*Constants!$B$10+$M113*Constants!$B$11)</f>
        <v/>
      </c>
      <c r="AA113" s="28" t="str">
        <f aca="false">IF($A113="","",100-Z113)</f>
        <v/>
      </c>
      <c r="AB113" s="28" t="str">
        <f aca="false">IF($A113="","",ROUND($H113*Constants!$B$4,1))</f>
        <v/>
      </c>
      <c r="AC113" s="28" t="str">
        <f aca="false">IF($A113="","",ROUND(AB113*Z113/100,1))</f>
        <v/>
      </c>
      <c r="AD113" s="28" t="str">
        <f aca="false">IF($A113="","",ROUND(AB113*AA113/100,1))</f>
        <v/>
      </c>
      <c r="AE113" s="22" t="str">
        <f aca="false">IF($A113="","",HOUR($Q113)+MINUTE($Q113)/60)</f>
        <v/>
      </c>
      <c r="AF113" s="22" t="str">
        <f aca="false">IF($A113="","",HOUR($R113)+MINUTE($R113)/60)</f>
        <v/>
      </c>
      <c r="AG113" s="22" t="str">
        <f aca="false">IF($A113="","",HOUR($S113)+MINUTE($S113)/60)</f>
        <v/>
      </c>
      <c r="AH113" s="22" t="str">
        <f aca="false">IF($A113="","",HOUR($T113)+MINUTE($T113)/60)</f>
        <v/>
      </c>
      <c r="AI113" s="22" t="str">
        <f aca="false">IF($A113="","",HOUR($V113)+MINUTE($V113)/60)</f>
        <v/>
      </c>
      <c r="AJ113" s="22" t="str">
        <f aca="false">IF($A113="","",HOUR($W113)+MINUTE($W113)/60)</f>
        <v/>
      </c>
      <c r="AK113" s="22" t="str">
        <f aca="false">IF($A113="","",VLOOKUP($F113,Dim_Team!$A:$F,6,0))</f>
        <v/>
      </c>
      <c r="AL113" s="28" t="str">
        <f aca="false">IF($A113="","",VLOOKUP($X113,Dim_Signoff!$A:$C,3,0))</f>
        <v/>
      </c>
      <c r="AM113" s="28" t="str">
        <f aca="false">IF($A113="","",IF($N113="No","n/a",ROUND((AH113-AE113)*60,0)))</f>
        <v/>
      </c>
      <c r="AN113" s="28" t="str">
        <f aca="false">IF($A113="","",IF($O113="No","n/a",ROUND((AH113-AF113)*60,0)))</f>
        <v/>
      </c>
      <c r="AO113" s="28" t="str">
        <f aca="false">IF($A113="","",IF($P113="No","n/a",ROUND((AH113-AG113)*60,0)))</f>
        <v/>
      </c>
      <c r="AP113" s="28" t="str">
        <f aca="false">IF($A113="","",ROUND((AH113-AK113)*60,0))</f>
        <v/>
      </c>
      <c r="AQ113" s="28" t="str">
        <f aca="false">IF($A113="","",ROUND((AI113-AH113)*60,0))</f>
        <v/>
      </c>
      <c r="AR113" s="4" t="str">
        <f aca="false">IF($A113="","",IF(AP113&gt;=AC113,"Yes","No"))</f>
        <v/>
      </c>
      <c r="AS113" s="4" t="str">
        <f aca="false">IF($A113="","",IF(AQ113&gt;=AD113+AL113,"Yes","No"))</f>
        <v/>
      </c>
      <c r="AT113" s="4" t="str">
        <f aca="false">IF($A113="","",IF(AND(AR113="Yes",AS113="Yes"),"OK","REVIEW"))</f>
        <v/>
      </c>
      <c r="AU113" s="4" t="str">
        <f aca="false">IF($A113="","",IF($P113="No","Not applicable",IF(AO113&lt;Constants!$B$14,"CAPTURE","Not needed")))</f>
        <v/>
      </c>
      <c r="AV113" s="4" t="str">
        <f aca="false">IF($A113="","",IF($P113="No","n/a",RANK(AO113,AO:AO,1)))</f>
        <v/>
      </c>
      <c r="AW113" s="4" t="str">
        <f aca="false">IF($A113="","",IF(UPPER($E113)="YES","Strategic","Non-strategic"))</f>
        <v/>
      </c>
      <c r="AX113" s="4" t="str">
        <f aca="false">IF($A113="","",COUNTIFS(Fact_Work!$C:$C,$A113))</f>
        <v/>
      </c>
      <c r="AY113" s="4" t="str">
        <f aca="false">IF($A113="","",IF(AX113=0,"Not seen",IF(AX113&gt;=Constants!$B$13*0.6,"Daily",IF(AX113&gt;=Constants!$B$13*0.12,"Weekly","Monthly or ad hoc"))))</f>
        <v/>
      </c>
      <c r="AZ113" s="22" t="str">
        <f aca="false">IF($A113="","",IFERROR(VLOOKUP($U113,Dim_TOP!$A:$H,8,0),""))</f>
        <v/>
      </c>
      <c r="BA113" s="28" t="str">
        <f aca="false">IF($A113="","",IFERROR(ROUND((AH113-AZ113)*60,0),""))</f>
        <v/>
      </c>
      <c r="BB113" s="4" t="str">
        <f aca="false">IF($A113="","",IF(BA113="","",IF(BA113&lt;=0,"Sets the deadline","Later than peers by "&amp;BA113&amp;" min")))</f>
        <v/>
      </c>
      <c r="BC113" s="29" t="str">
        <f aca="false">IF($A113="","",IF($U113="",0,IF(COUNTIFS($U$2:$U113,$U113,$C$2:$C113,$C113)=1,1,0)))</f>
        <v/>
      </c>
      <c r="BD113" s="10" t="str">
        <f aca="false">IF($A113="","",IF(UPPER($P113)="YES","Yes","No"))</f>
        <v/>
      </c>
      <c r="BE113" s="10" t="str">
        <f aca="false">IF($A113="","",IF($N113="No","n/a",IF(AM113&lt;=Constants!$B$17,"Yes","No")))</f>
        <v/>
      </c>
      <c r="BF113" s="10" t="str">
        <f aca="false">IF($A113="","",IF($O113="No","n/a",IF(AN113&lt;=Constants!$B$17,"Yes","No")))</f>
        <v/>
      </c>
      <c r="BG113" s="10" t="str">
        <f aca="false">IF($A113="","",IF($P113="No","n/a",IF(AO113&lt;=Constants!$B$17,"Yes","No")))</f>
        <v/>
      </c>
      <c r="BH113" s="10" t="str">
        <f aca="false">IF($A113="","",IF($N113="No","No custody process",IF(BE113="Yes","Thin custody slack","Ample custody slack")))</f>
        <v/>
      </c>
      <c r="BI113" s="30" t="str">
        <f aca="false">IF($A113="","",IF($N113="No","",AM113))</f>
        <v/>
      </c>
      <c r="BJ113" s="30" t="str">
        <f aca="false">IF($A113="","",IF($O113="No","",AN113))</f>
        <v/>
      </c>
      <c r="BK113" s="30" t="str">
        <f aca="false">IF($A113="","",IF($P113="No","",AO113))</f>
        <v/>
      </c>
    </row>
    <row r="114" customFormat="false" ht="15" hidden="false" customHeight="true" outlineLevel="0" collapsed="false">
      <c r="Z114" s="28" t="str">
        <f aca="false">IF($A114="","",Constants!$B$6+$I114*Constants!$B$7+$J114*Constants!$B$8+$K114*Constants!$B$9+$L114*Constants!$B$10+$M114*Constants!$B$11)</f>
        <v/>
      </c>
      <c r="AA114" s="28" t="str">
        <f aca="false">IF($A114="","",100-Z114)</f>
        <v/>
      </c>
      <c r="AB114" s="28" t="str">
        <f aca="false">IF($A114="","",ROUND($H114*Constants!$B$4,1))</f>
        <v/>
      </c>
      <c r="AC114" s="28" t="str">
        <f aca="false">IF($A114="","",ROUND(AB114*Z114/100,1))</f>
        <v/>
      </c>
      <c r="AD114" s="28" t="str">
        <f aca="false">IF($A114="","",ROUND(AB114*AA114/100,1))</f>
        <v/>
      </c>
      <c r="AE114" s="22" t="str">
        <f aca="false">IF($A114="","",HOUR($Q114)+MINUTE($Q114)/60)</f>
        <v/>
      </c>
      <c r="AF114" s="22" t="str">
        <f aca="false">IF($A114="","",HOUR($R114)+MINUTE($R114)/60)</f>
        <v/>
      </c>
      <c r="AG114" s="22" t="str">
        <f aca="false">IF($A114="","",HOUR($S114)+MINUTE($S114)/60)</f>
        <v/>
      </c>
      <c r="AH114" s="22" t="str">
        <f aca="false">IF($A114="","",HOUR($T114)+MINUTE($T114)/60)</f>
        <v/>
      </c>
      <c r="AI114" s="22" t="str">
        <f aca="false">IF($A114="","",HOUR($V114)+MINUTE($V114)/60)</f>
        <v/>
      </c>
      <c r="AJ114" s="22" t="str">
        <f aca="false">IF($A114="","",HOUR($W114)+MINUTE($W114)/60)</f>
        <v/>
      </c>
      <c r="AK114" s="22" t="str">
        <f aca="false">IF($A114="","",VLOOKUP($F114,Dim_Team!$A:$F,6,0))</f>
        <v/>
      </c>
      <c r="AL114" s="28" t="str">
        <f aca="false">IF($A114="","",VLOOKUP($X114,Dim_Signoff!$A:$C,3,0))</f>
        <v/>
      </c>
      <c r="AM114" s="28" t="str">
        <f aca="false">IF($A114="","",IF($N114="No","n/a",ROUND((AH114-AE114)*60,0)))</f>
        <v/>
      </c>
      <c r="AN114" s="28" t="str">
        <f aca="false">IF($A114="","",IF($O114="No","n/a",ROUND((AH114-AF114)*60,0)))</f>
        <v/>
      </c>
      <c r="AO114" s="28" t="str">
        <f aca="false">IF($A114="","",IF($P114="No","n/a",ROUND((AH114-AG114)*60,0)))</f>
        <v/>
      </c>
      <c r="AP114" s="28" t="str">
        <f aca="false">IF($A114="","",ROUND((AH114-AK114)*60,0))</f>
        <v/>
      </c>
      <c r="AQ114" s="28" t="str">
        <f aca="false">IF($A114="","",ROUND((AI114-AH114)*60,0))</f>
        <v/>
      </c>
      <c r="AR114" s="4" t="str">
        <f aca="false">IF($A114="","",IF(AP114&gt;=AC114,"Yes","No"))</f>
        <v/>
      </c>
      <c r="AS114" s="4" t="str">
        <f aca="false">IF($A114="","",IF(AQ114&gt;=AD114+AL114,"Yes","No"))</f>
        <v/>
      </c>
      <c r="AT114" s="4" t="str">
        <f aca="false">IF($A114="","",IF(AND(AR114="Yes",AS114="Yes"),"OK","REVIEW"))</f>
        <v/>
      </c>
      <c r="AU114" s="4" t="str">
        <f aca="false">IF($A114="","",IF($P114="No","Not applicable",IF(AO114&lt;Constants!$B$14,"CAPTURE","Not needed")))</f>
        <v/>
      </c>
      <c r="AV114" s="4" t="str">
        <f aca="false">IF($A114="","",IF($P114="No","n/a",RANK(AO114,AO:AO,1)))</f>
        <v/>
      </c>
      <c r="AW114" s="4" t="str">
        <f aca="false">IF($A114="","",IF(UPPER($E114)="YES","Strategic","Non-strategic"))</f>
        <v/>
      </c>
      <c r="AX114" s="4" t="str">
        <f aca="false">IF($A114="","",COUNTIFS(Fact_Work!$C:$C,$A114))</f>
        <v/>
      </c>
      <c r="AY114" s="4" t="str">
        <f aca="false">IF($A114="","",IF(AX114=0,"Not seen",IF(AX114&gt;=Constants!$B$13*0.6,"Daily",IF(AX114&gt;=Constants!$B$13*0.12,"Weekly","Monthly or ad hoc"))))</f>
        <v/>
      </c>
      <c r="AZ114" s="22" t="str">
        <f aca="false">IF($A114="","",IFERROR(VLOOKUP($U114,Dim_TOP!$A:$H,8,0),""))</f>
        <v/>
      </c>
      <c r="BA114" s="28" t="str">
        <f aca="false">IF($A114="","",IFERROR(ROUND((AH114-AZ114)*60,0),""))</f>
        <v/>
      </c>
      <c r="BB114" s="4" t="str">
        <f aca="false">IF($A114="","",IF(BA114="","",IF(BA114&lt;=0,"Sets the deadline","Later than peers by "&amp;BA114&amp;" min")))</f>
        <v/>
      </c>
      <c r="BC114" s="29" t="str">
        <f aca="false">IF($A114="","",IF($U114="",0,IF(COUNTIFS($U$2:$U114,$U114,$C$2:$C114,$C114)=1,1,0)))</f>
        <v/>
      </c>
      <c r="BD114" s="10" t="str">
        <f aca="false">IF($A114="","",IF(UPPER($P114)="YES","Yes","No"))</f>
        <v/>
      </c>
      <c r="BE114" s="10" t="str">
        <f aca="false">IF($A114="","",IF($N114="No","n/a",IF(AM114&lt;=Constants!$B$17,"Yes","No")))</f>
        <v/>
      </c>
      <c r="BF114" s="10" t="str">
        <f aca="false">IF($A114="","",IF($O114="No","n/a",IF(AN114&lt;=Constants!$B$17,"Yes","No")))</f>
        <v/>
      </c>
      <c r="BG114" s="10" t="str">
        <f aca="false">IF($A114="","",IF($P114="No","n/a",IF(AO114&lt;=Constants!$B$17,"Yes","No")))</f>
        <v/>
      </c>
      <c r="BH114" s="10" t="str">
        <f aca="false">IF($A114="","",IF($N114="No","No custody process",IF(BE114="Yes","Thin custody slack","Ample custody slack")))</f>
        <v/>
      </c>
      <c r="BI114" s="30" t="str">
        <f aca="false">IF($A114="","",IF($N114="No","",AM114))</f>
        <v/>
      </c>
      <c r="BJ114" s="30" t="str">
        <f aca="false">IF($A114="","",IF($O114="No","",AN114))</f>
        <v/>
      </c>
      <c r="BK114" s="30" t="str">
        <f aca="false">IF($A114="","",IF($P114="No","",AO114))</f>
        <v/>
      </c>
    </row>
    <row r="115" customFormat="false" ht="15" hidden="false" customHeight="true" outlineLevel="0" collapsed="false">
      <c r="Z115" s="28" t="str">
        <f aca="false">IF($A115="","",Constants!$B$6+$I115*Constants!$B$7+$J115*Constants!$B$8+$K115*Constants!$B$9+$L115*Constants!$B$10+$M115*Constants!$B$11)</f>
        <v/>
      </c>
      <c r="AA115" s="28" t="str">
        <f aca="false">IF($A115="","",100-Z115)</f>
        <v/>
      </c>
      <c r="AB115" s="28" t="str">
        <f aca="false">IF($A115="","",ROUND($H115*Constants!$B$4,1))</f>
        <v/>
      </c>
      <c r="AC115" s="28" t="str">
        <f aca="false">IF($A115="","",ROUND(AB115*Z115/100,1))</f>
        <v/>
      </c>
      <c r="AD115" s="28" t="str">
        <f aca="false">IF($A115="","",ROUND(AB115*AA115/100,1))</f>
        <v/>
      </c>
      <c r="AE115" s="22" t="str">
        <f aca="false">IF($A115="","",HOUR($Q115)+MINUTE($Q115)/60)</f>
        <v/>
      </c>
      <c r="AF115" s="22" t="str">
        <f aca="false">IF($A115="","",HOUR($R115)+MINUTE($R115)/60)</f>
        <v/>
      </c>
      <c r="AG115" s="22" t="str">
        <f aca="false">IF($A115="","",HOUR($S115)+MINUTE($S115)/60)</f>
        <v/>
      </c>
      <c r="AH115" s="22" t="str">
        <f aca="false">IF($A115="","",HOUR($T115)+MINUTE($T115)/60)</f>
        <v/>
      </c>
      <c r="AI115" s="22" t="str">
        <f aca="false">IF($A115="","",HOUR($V115)+MINUTE($V115)/60)</f>
        <v/>
      </c>
      <c r="AJ115" s="22" t="str">
        <f aca="false">IF($A115="","",HOUR($W115)+MINUTE($W115)/60)</f>
        <v/>
      </c>
      <c r="AK115" s="22" t="str">
        <f aca="false">IF($A115="","",VLOOKUP($F115,Dim_Team!$A:$F,6,0))</f>
        <v/>
      </c>
      <c r="AL115" s="28" t="str">
        <f aca="false">IF($A115="","",VLOOKUP($X115,Dim_Signoff!$A:$C,3,0))</f>
        <v/>
      </c>
      <c r="AM115" s="28" t="str">
        <f aca="false">IF($A115="","",IF($N115="No","n/a",ROUND((AH115-AE115)*60,0)))</f>
        <v/>
      </c>
      <c r="AN115" s="28" t="str">
        <f aca="false">IF($A115="","",IF($O115="No","n/a",ROUND((AH115-AF115)*60,0)))</f>
        <v/>
      </c>
      <c r="AO115" s="28" t="str">
        <f aca="false">IF($A115="","",IF($P115="No","n/a",ROUND((AH115-AG115)*60,0)))</f>
        <v/>
      </c>
      <c r="AP115" s="28" t="str">
        <f aca="false">IF($A115="","",ROUND((AH115-AK115)*60,0))</f>
        <v/>
      </c>
      <c r="AQ115" s="28" t="str">
        <f aca="false">IF($A115="","",ROUND((AI115-AH115)*60,0))</f>
        <v/>
      </c>
      <c r="AR115" s="4" t="str">
        <f aca="false">IF($A115="","",IF(AP115&gt;=AC115,"Yes","No"))</f>
        <v/>
      </c>
      <c r="AS115" s="4" t="str">
        <f aca="false">IF($A115="","",IF(AQ115&gt;=AD115+AL115,"Yes","No"))</f>
        <v/>
      </c>
      <c r="AT115" s="4" t="str">
        <f aca="false">IF($A115="","",IF(AND(AR115="Yes",AS115="Yes"),"OK","REVIEW"))</f>
        <v/>
      </c>
      <c r="AU115" s="4" t="str">
        <f aca="false">IF($A115="","",IF($P115="No","Not applicable",IF(AO115&lt;Constants!$B$14,"CAPTURE","Not needed")))</f>
        <v/>
      </c>
      <c r="AV115" s="4" t="str">
        <f aca="false">IF($A115="","",IF($P115="No","n/a",RANK(AO115,AO:AO,1)))</f>
        <v/>
      </c>
      <c r="AW115" s="4" t="str">
        <f aca="false">IF($A115="","",IF(UPPER($E115)="YES","Strategic","Non-strategic"))</f>
        <v/>
      </c>
      <c r="AX115" s="4" t="str">
        <f aca="false">IF($A115="","",COUNTIFS(Fact_Work!$C:$C,$A115))</f>
        <v/>
      </c>
      <c r="AY115" s="4" t="str">
        <f aca="false">IF($A115="","",IF(AX115=0,"Not seen",IF(AX115&gt;=Constants!$B$13*0.6,"Daily",IF(AX115&gt;=Constants!$B$13*0.12,"Weekly","Monthly or ad hoc"))))</f>
        <v/>
      </c>
      <c r="AZ115" s="22" t="str">
        <f aca="false">IF($A115="","",IFERROR(VLOOKUP($U115,Dim_TOP!$A:$H,8,0),""))</f>
        <v/>
      </c>
      <c r="BA115" s="28" t="str">
        <f aca="false">IF($A115="","",IFERROR(ROUND((AH115-AZ115)*60,0),""))</f>
        <v/>
      </c>
      <c r="BB115" s="4" t="str">
        <f aca="false">IF($A115="","",IF(BA115="","",IF(BA115&lt;=0,"Sets the deadline","Later than peers by "&amp;BA115&amp;" min")))</f>
        <v/>
      </c>
      <c r="BC115" s="29" t="str">
        <f aca="false">IF($A115="","",IF($U115="",0,IF(COUNTIFS($U$2:$U115,$U115,$C$2:$C115,$C115)=1,1,0)))</f>
        <v/>
      </c>
      <c r="BD115" s="10" t="str">
        <f aca="false">IF($A115="","",IF(UPPER($P115)="YES","Yes","No"))</f>
        <v/>
      </c>
      <c r="BE115" s="10" t="str">
        <f aca="false">IF($A115="","",IF($N115="No","n/a",IF(AM115&lt;=Constants!$B$17,"Yes","No")))</f>
        <v/>
      </c>
      <c r="BF115" s="10" t="str">
        <f aca="false">IF($A115="","",IF($O115="No","n/a",IF(AN115&lt;=Constants!$B$17,"Yes","No")))</f>
        <v/>
      </c>
      <c r="BG115" s="10" t="str">
        <f aca="false">IF($A115="","",IF($P115="No","n/a",IF(AO115&lt;=Constants!$B$17,"Yes","No")))</f>
        <v/>
      </c>
      <c r="BH115" s="10" t="str">
        <f aca="false">IF($A115="","",IF($N115="No","No custody process",IF(BE115="Yes","Thin custody slack","Ample custody slack")))</f>
        <v/>
      </c>
      <c r="BI115" s="30" t="str">
        <f aca="false">IF($A115="","",IF($N115="No","",AM115))</f>
        <v/>
      </c>
      <c r="BJ115" s="30" t="str">
        <f aca="false">IF($A115="","",IF($O115="No","",AN115))</f>
        <v/>
      </c>
      <c r="BK115" s="30" t="str">
        <f aca="false">IF($A115="","",IF($P115="No","",AO115))</f>
        <v/>
      </c>
    </row>
    <row r="116" customFormat="false" ht="15" hidden="false" customHeight="true" outlineLevel="0" collapsed="false">
      <c r="Z116" s="28" t="str">
        <f aca="false">IF($A116="","",Constants!$B$6+$I116*Constants!$B$7+$J116*Constants!$B$8+$K116*Constants!$B$9+$L116*Constants!$B$10+$M116*Constants!$B$11)</f>
        <v/>
      </c>
      <c r="AA116" s="28" t="str">
        <f aca="false">IF($A116="","",100-Z116)</f>
        <v/>
      </c>
      <c r="AB116" s="28" t="str">
        <f aca="false">IF($A116="","",ROUND($H116*Constants!$B$4,1))</f>
        <v/>
      </c>
      <c r="AC116" s="28" t="str">
        <f aca="false">IF($A116="","",ROUND(AB116*Z116/100,1))</f>
        <v/>
      </c>
      <c r="AD116" s="28" t="str">
        <f aca="false">IF($A116="","",ROUND(AB116*AA116/100,1))</f>
        <v/>
      </c>
      <c r="AE116" s="22" t="str">
        <f aca="false">IF($A116="","",HOUR($Q116)+MINUTE($Q116)/60)</f>
        <v/>
      </c>
      <c r="AF116" s="22" t="str">
        <f aca="false">IF($A116="","",HOUR($R116)+MINUTE($R116)/60)</f>
        <v/>
      </c>
      <c r="AG116" s="22" t="str">
        <f aca="false">IF($A116="","",HOUR($S116)+MINUTE($S116)/60)</f>
        <v/>
      </c>
      <c r="AH116" s="22" t="str">
        <f aca="false">IF($A116="","",HOUR($T116)+MINUTE($T116)/60)</f>
        <v/>
      </c>
      <c r="AI116" s="22" t="str">
        <f aca="false">IF($A116="","",HOUR($V116)+MINUTE($V116)/60)</f>
        <v/>
      </c>
      <c r="AJ116" s="22" t="str">
        <f aca="false">IF($A116="","",HOUR($W116)+MINUTE($W116)/60)</f>
        <v/>
      </c>
      <c r="AK116" s="22" t="str">
        <f aca="false">IF($A116="","",VLOOKUP($F116,Dim_Team!$A:$F,6,0))</f>
        <v/>
      </c>
      <c r="AL116" s="28" t="str">
        <f aca="false">IF($A116="","",VLOOKUP($X116,Dim_Signoff!$A:$C,3,0))</f>
        <v/>
      </c>
      <c r="AM116" s="28" t="str">
        <f aca="false">IF($A116="","",IF($N116="No","n/a",ROUND((AH116-AE116)*60,0)))</f>
        <v/>
      </c>
      <c r="AN116" s="28" t="str">
        <f aca="false">IF($A116="","",IF($O116="No","n/a",ROUND((AH116-AF116)*60,0)))</f>
        <v/>
      </c>
      <c r="AO116" s="28" t="str">
        <f aca="false">IF($A116="","",IF($P116="No","n/a",ROUND((AH116-AG116)*60,0)))</f>
        <v/>
      </c>
      <c r="AP116" s="28" t="str">
        <f aca="false">IF($A116="","",ROUND((AH116-AK116)*60,0))</f>
        <v/>
      </c>
      <c r="AQ116" s="28" t="str">
        <f aca="false">IF($A116="","",ROUND((AI116-AH116)*60,0))</f>
        <v/>
      </c>
      <c r="AR116" s="4" t="str">
        <f aca="false">IF($A116="","",IF(AP116&gt;=AC116,"Yes","No"))</f>
        <v/>
      </c>
      <c r="AS116" s="4" t="str">
        <f aca="false">IF($A116="","",IF(AQ116&gt;=AD116+AL116,"Yes","No"))</f>
        <v/>
      </c>
      <c r="AT116" s="4" t="str">
        <f aca="false">IF($A116="","",IF(AND(AR116="Yes",AS116="Yes"),"OK","REVIEW"))</f>
        <v/>
      </c>
      <c r="AU116" s="4" t="str">
        <f aca="false">IF($A116="","",IF($P116="No","Not applicable",IF(AO116&lt;Constants!$B$14,"CAPTURE","Not needed")))</f>
        <v/>
      </c>
      <c r="AV116" s="4" t="str">
        <f aca="false">IF($A116="","",IF($P116="No","n/a",RANK(AO116,AO:AO,1)))</f>
        <v/>
      </c>
      <c r="AW116" s="4" t="str">
        <f aca="false">IF($A116="","",IF(UPPER($E116)="YES","Strategic","Non-strategic"))</f>
        <v/>
      </c>
      <c r="AX116" s="4" t="str">
        <f aca="false">IF($A116="","",COUNTIFS(Fact_Work!$C:$C,$A116))</f>
        <v/>
      </c>
      <c r="AY116" s="4" t="str">
        <f aca="false">IF($A116="","",IF(AX116=0,"Not seen",IF(AX116&gt;=Constants!$B$13*0.6,"Daily",IF(AX116&gt;=Constants!$B$13*0.12,"Weekly","Monthly or ad hoc"))))</f>
        <v/>
      </c>
      <c r="AZ116" s="22" t="str">
        <f aca="false">IF($A116="","",IFERROR(VLOOKUP($U116,Dim_TOP!$A:$H,8,0),""))</f>
        <v/>
      </c>
      <c r="BA116" s="28" t="str">
        <f aca="false">IF($A116="","",IFERROR(ROUND((AH116-AZ116)*60,0),""))</f>
        <v/>
      </c>
      <c r="BB116" s="4" t="str">
        <f aca="false">IF($A116="","",IF(BA116="","",IF(BA116&lt;=0,"Sets the deadline","Later than peers by "&amp;BA116&amp;" min")))</f>
        <v/>
      </c>
      <c r="BC116" s="29" t="str">
        <f aca="false">IF($A116="","",IF($U116="",0,IF(COUNTIFS($U$2:$U116,$U116,$C$2:$C116,$C116)=1,1,0)))</f>
        <v/>
      </c>
      <c r="BD116" s="10" t="str">
        <f aca="false">IF($A116="","",IF(UPPER($P116)="YES","Yes","No"))</f>
        <v/>
      </c>
      <c r="BE116" s="10" t="str">
        <f aca="false">IF($A116="","",IF($N116="No","n/a",IF(AM116&lt;=Constants!$B$17,"Yes","No")))</f>
        <v/>
      </c>
      <c r="BF116" s="10" t="str">
        <f aca="false">IF($A116="","",IF($O116="No","n/a",IF(AN116&lt;=Constants!$B$17,"Yes","No")))</f>
        <v/>
      </c>
      <c r="BG116" s="10" t="str">
        <f aca="false">IF($A116="","",IF($P116="No","n/a",IF(AO116&lt;=Constants!$B$17,"Yes","No")))</f>
        <v/>
      </c>
      <c r="BH116" s="10" t="str">
        <f aca="false">IF($A116="","",IF($N116="No","No custody process",IF(BE116="Yes","Thin custody slack","Ample custody slack")))</f>
        <v/>
      </c>
      <c r="BI116" s="30" t="str">
        <f aca="false">IF($A116="","",IF($N116="No","",AM116))</f>
        <v/>
      </c>
      <c r="BJ116" s="30" t="str">
        <f aca="false">IF($A116="","",IF($O116="No","",AN116))</f>
        <v/>
      </c>
      <c r="BK116" s="30" t="str">
        <f aca="false">IF($A116="","",IF($P116="No","",AO116))</f>
        <v/>
      </c>
    </row>
    <row r="117" customFormat="false" ht="15" hidden="false" customHeight="true" outlineLevel="0" collapsed="false">
      <c r="Z117" s="28" t="str">
        <f aca="false">IF($A117="","",Constants!$B$6+$I117*Constants!$B$7+$J117*Constants!$B$8+$K117*Constants!$B$9+$L117*Constants!$B$10+$M117*Constants!$B$11)</f>
        <v/>
      </c>
      <c r="AA117" s="28" t="str">
        <f aca="false">IF($A117="","",100-Z117)</f>
        <v/>
      </c>
      <c r="AB117" s="28" t="str">
        <f aca="false">IF($A117="","",ROUND($H117*Constants!$B$4,1))</f>
        <v/>
      </c>
      <c r="AC117" s="28" t="str">
        <f aca="false">IF($A117="","",ROUND(AB117*Z117/100,1))</f>
        <v/>
      </c>
      <c r="AD117" s="28" t="str">
        <f aca="false">IF($A117="","",ROUND(AB117*AA117/100,1))</f>
        <v/>
      </c>
      <c r="AE117" s="22" t="str">
        <f aca="false">IF($A117="","",HOUR($Q117)+MINUTE($Q117)/60)</f>
        <v/>
      </c>
      <c r="AF117" s="22" t="str">
        <f aca="false">IF($A117="","",HOUR($R117)+MINUTE($R117)/60)</f>
        <v/>
      </c>
      <c r="AG117" s="22" t="str">
        <f aca="false">IF($A117="","",HOUR($S117)+MINUTE($S117)/60)</f>
        <v/>
      </c>
      <c r="AH117" s="22" t="str">
        <f aca="false">IF($A117="","",HOUR($T117)+MINUTE($T117)/60)</f>
        <v/>
      </c>
      <c r="AI117" s="22" t="str">
        <f aca="false">IF($A117="","",HOUR($V117)+MINUTE($V117)/60)</f>
        <v/>
      </c>
      <c r="AJ117" s="22" t="str">
        <f aca="false">IF($A117="","",HOUR($W117)+MINUTE($W117)/60)</f>
        <v/>
      </c>
      <c r="AK117" s="22" t="str">
        <f aca="false">IF($A117="","",VLOOKUP($F117,Dim_Team!$A:$F,6,0))</f>
        <v/>
      </c>
      <c r="AL117" s="28" t="str">
        <f aca="false">IF($A117="","",VLOOKUP($X117,Dim_Signoff!$A:$C,3,0))</f>
        <v/>
      </c>
      <c r="AM117" s="28" t="str">
        <f aca="false">IF($A117="","",IF($N117="No","n/a",ROUND((AH117-AE117)*60,0)))</f>
        <v/>
      </c>
      <c r="AN117" s="28" t="str">
        <f aca="false">IF($A117="","",IF($O117="No","n/a",ROUND((AH117-AF117)*60,0)))</f>
        <v/>
      </c>
      <c r="AO117" s="28" t="str">
        <f aca="false">IF($A117="","",IF($P117="No","n/a",ROUND((AH117-AG117)*60,0)))</f>
        <v/>
      </c>
      <c r="AP117" s="28" t="str">
        <f aca="false">IF($A117="","",ROUND((AH117-AK117)*60,0))</f>
        <v/>
      </c>
      <c r="AQ117" s="28" t="str">
        <f aca="false">IF($A117="","",ROUND((AI117-AH117)*60,0))</f>
        <v/>
      </c>
      <c r="AR117" s="4" t="str">
        <f aca="false">IF($A117="","",IF(AP117&gt;=AC117,"Yes","No"))</f>
        <v/>
      </c>
      <c r="AS117" s="4" t="str">
        <f aca="false">IF($A117="","",IF(AQ117&gt;=AD117+AL117,"Yes","No"))</f>
        <v/>
      </c>
      <c r="AT117" s="4" t="str">
        <f aca="false">IF($A117="","",IF(AND(AR117="Yes",AS117="Yes"),"OK","REVIEW"))</f>
        <v/>
      </c>
      <c r="AU117" s="4" t="str">
        <f aca="false">IF($A117="","",IF($P117="No","Not applicable",IF(AO117&lt;Constants!$B$14,"CAPTURE","Not needed")))</f>
        <v/>
      </c>
      <c r="AV117" s="4" t="str">
        <f aca="false">IF($A117="","",IF($P117="No","n/a",RANK(AO117,AO:AO,1)))</f>
        <v/>
      </c>
      <c r="AW117" s="4" t="str">
        <f aca="false">IF($A117="","",IF(UPPER($E117)="YES","Strategic","Non-strategic"))</f>
        <v/>
      </c>
      <c r="AX117" s="4" t="str">
        <f aca="false">IF($A117="","",COUNTIFS(Fact_Work!$C:$C,$A117))</f>
        <v/>
      </c>
      <c r="AY117" s="4" t="str">
        <f aca="false">IF($A117="","",IF(AX117=0,"Not seen",IF(AX117&gt;=Constants!$B$13*0.6,"Daily",IF(AX117&gt;=Constants!$B$13*0.12,"Weekly","Monthly or ad hoc"))))</f>
        <v/>
      </c>
      <c r="AZ117" s="22" t="str">
        <f aca="false">IF($A117="","",IFERROR(VLOOKUP($U117,Dim_TOP!$A:$H,8,0),""))</f>
        <v/>
      </c>
      <c r="BA117" s="28" t="str">
        <f aca="false">IF($A117="","",IFERROR(ROUND((AH117-AZ117)*60,0),""))</f>
        <v/>
      </c>
      <c r="BB117" s="4" t="str">
        <f aca="false">IF($A117="","",IF(BA117="","",IF(BA117&lt;=0,"Sets the deadline","Later than peers by "&amp;BA117&amp;" min")))</f>
        <v/>
      </c>
      <c r="BC117" s="29" t="str">
        <f aca="false">IF($A117="","",IF($U117="",0,IF(COUNTIFS($U$2:$U117,$U117,$C$2:$C117,$C117)=1,1,0)))</f>
        <v/>
      </c>
      <c r="BD117" s="10" t="str">
        <f aca="false">IF($A117="","",IF(UPPER($P117)="YES","Yes","No"))</f>
        <v/>
      </c>
      <c r="BE117" s="10" t="str">
        <f aca="false">IF($A117="","",IF($N117="No","n/a",IF(AM117&lt;=Constants!$B$17,"Yes","No")))</f>
        <v/>
      </c>
      <c r="BF117" s="10" t="str">
        <f aca="false">IF($A117="","",IF($O117="No","n/a",IF(AN117&lt;=Constants!$B$17,"Yes","No")))</f>
        <v/>
      </c>
      <c r="BG117" s="10" t="str">
        <f aca="false">IF($A117="","",IF($P117="No","n/a",IF(AO117&lt;=Constants!$B$17,"Yes","No")))</f>
        <v/>
      </c>
      <c r="BH117" s="10" t="str">
        <f aca="false">IF($A117="","",IF($N117="No","No custody process",IF(BE117="Yes","Thin custody slack","Ample custody slack")))</f>
        <v/>
      </c>
      <c r="BI117" s="30" t="str">
        <f aca="false">IF($A117="","",IF($N117="No","",AM117))</f>
        <v/>
      </c>
      <c r="BJ117" s="30" t="str">
        <f aca="false">IF($A117="","",IF($O117="No","",AN117))</f>
        <v/>
      </c>
      <c r="BK117" s="30" t="str">
        <f aca="false">IF($A117="","",IF($P117="No","",AO117))</f>
        <v/>
      </c>
    </row>
    <row r="118" customFormat="false" ht="15" hidden="false" customHeight="true" outlineLevel="0" collapsed="false">
      <c r="Z118" s="28" t="str">
        <f aca="false">IF($A118="","",Constants!$B$6+$I118*Constants!$B$7+$J118*Constants!$B$8+$K118*Constants!$B$9+$L118*Constants!$B$10+$M118*Constants!$B$11)</f>
        <v/>
      </c>
      <c r="AA118" s="28" t="str">
        <f aca="false">IF($A118="","",100-Z118)</f>
        <v/>
      </c>
      <c r="AB118" s="28" t="str">
        <f aca="false">IF($A118="","",ROUND($H118*Constants!$B$4,1))</f>
        <v/>
      </c>
      <c r="AC118" s="28" t="str">
        <f aca="false">IF($A118="","",ROUND(AB118*Z118/100,1))</f>
        <v/>
      </c>
      <c r="AD118" s="28" t="str">
        <f aca="false">IF($A118="","",ROUND(AB118*AA118/100,1))</f>
        <v/>
      </c>
      <c r="AE118" s="22" t="str">
        <f aca="false">IF($A118="","",HOUR($Q118)+MINUTE($Q118)/60)</f>
        <v/>
      </c>
      <c r="AF118" s="22" t="str">
        <f aca="false">IF($A118="","",HOUR($R118)+MINUTE($R118)/60)</f>
        <v/>
      </c>
      <c r="AG118" s="22" t="str">
        <f aca="false">IF($A118="","",HOUR($S118)+MINUTE($S118)/60)</f>
        <v/>
      </c>
      <c r="AH118" s="22" t="str">
        <f aca="false">IF($A118="","",HOUR($T118)+MINUTE($T118)/60)</f>
        <v/>
      </c>
      <c r="AI118" s="22" t="str">
        <f aca="false">IF($A118="","",HOUR($V118)+MINUTE($V118)/60)</f>
        <v/>
      </c>
      <c r="AJ118" s="22" t="str">
        <f aca="false">IF($A118="","",HOUR($W118)+MINUTE($W118)/60)</f>
        <v/>
      </c>
      <c r="AK118" s="22" t="str">
        <f aca="false">IF($A118="","",VLOOKUP($F118,Dim_Team!$A:$F,6,0))</f>
        <v/>
      </c>
      <c r="AL118" s="28" t="str">
        <f aca="false">IF($A118="","",VLOOKUP($X118,Dim_Signoff!$A:$C,3,0))</f>
        <v/>
      </c>
      <c r="AM118" s="28" t="str">
        <f aca="false">IF($A118="","",IF($N118="No","n/a",ROUND((AH118-AE118)*60,0)))</f>
        <v/>
      </c>
      <c r="AN118" s="28" t="str">
        <f aca="false">IF($A118="","",IF($O118="No","n/a",ROUND((AH118-AF118)*60,0)))</f>
        <v/>
      </c>
      <c r="AO118" s="28" t="str">
        <f aca="false">IF($A118="","",IF($P118="No","n/a",ROUND((AH118-AG118)*60,0)))</f>
        <v/>
      </c>
      <c r="AP118" s="28" t="str">
        <f aca="false">IF($A118="","",ROUND((AH118-AK118)*60,0))</f>
        <v/>
      </c>
      <c r="AQ118" s="28" t="str">
        <f aca="false">IF($A118="","",ROUND((AI118-AH118)*60,0))</f>
        <v/>
      </c>
      <c r="AR118" s="4" t="str">
        <f aca="false">IF($A118="","",IF(AP118&gt;=AC118,"Yes","No"))</f>
        <v/>
      </c>
      <c r="AS118" s="4" t="str">
        <f aca="false">IF($A118="","",IF(AQ118&gt;=AD118+AL118,"Yes","No"))</f>
        <v/>
      </c>
      <c r="AT118" s="4" t="str">
        <f aca="false">IF($A118="","",IF(AND(AR118="Yes",AS118="Yes"),"OK","REVIEW"))</f>
        <v/>
      </c>
      <c r="AU118" s="4" t="str">
        <f aca="false">IF($A118="","",IF($P118="No","Not applicable",IF(AO118&lt;Constants!$B$14,"CAPTURE","Not needed")))</f>
        <v/>
      </c>
      <c r="AV118" s="4" t="str">
        <f aca="false">IF($A118="","",IF($P118="No","n/a",RANK(AO118,AO:AO,1)))</f>
        <v/>
      </c>
      <c r="AW118" s="4" t="str">
        <f aca="false">IF($A118="","",IF(UPPER($E118)="YES","Strategic","Non-strategic"))</f>
        <v/>
      </c>
      <c r="AX118" s="4" t="str">
        <f aca="false">IF($A118="","",COUNTIFS(Fact_Work!$C:$C,$A118))</f>
        <v/>
      </c>
      <c r="AY118" s="4" t="str">
        <f aca="false">IF($A118="","",IF(AX118=0,"Not seen",IF(AX118&gt;=Constants!$B$13*0.6,"Daily",IF(AX118&gt;=Constants!$B$13*0.12,"Weekly","Monthly or ad hoc"))))</f>
        <v/>
      </c>
      <c r="AZ118" s="22" t="str">
        <f aca="false">IF($A118="","",IFERROR(VLOOKUP($U118,Dim_TOP!$A:$H,8,0),""))</f>
        <v/>
      </c>
      <c r="BA118" s="28" t="str">
        <f aca="false">IF($A118="","",IFERROR(ROUND((AH118-AZ118)*60,0),""))</f>
        <v/>
      </c>
      <c r="BB118" s="4" t="str">
        <f aca="false">IF($A118="","",IF(BA118="","",IF(BA118&lt;=0,"Sets the deadline","Later than peers by "&amp;BA118&amp;" min")))</f>
        <v/>
      </c>
      <c r="BC118" s="29" t="str">
        <f aca="false">IF($A118="","",IF($U118="",0,IF(COUNTIFS($U$2:$U118,$U118,$C$2:$C118,$C118)=1,1,0)))</f>
        <v/>
      </c>
      <c r="BD118" s="10" t="str">
        <f aca="false">IF($A118="","",IF(UPPER($P118)="YES","Yes","No"))</f>
        <v/>
      </c>
      <c r="BE118" s="10" t="str">
        <f aca="false">IF($A118="","",IF($N118="No","n/a",IF(AM118&lt;=Constants!$B$17,"Yes","No")))</f>
        <v/>
      </c>
      <c r="BF118" s="10" t="str">
        <f aca="false">IF($A118="","",IF($O118="No","n/a",IF(AN118&lt;=Constants!$B$17,"Yes","No")))</f>
        <v/>
      </c>
      <c r="BG118" s="10" t="str">
        <f aca="false">IF($A118="","",IF($P118="No","n/a",IF(AO118&lt;=Constants!$B$17,"Yes","No")))</f>
        <v/>
      </c>
      <c r="BH118" s="10" t="str">
        <f aca="false">IF($A118="","",IF($N118="No","No custody process",IF(BE118="Yes","Thin custody slack","Ample custody slack")))</f>
        <v/>
      </c>
      <c r="BI118" s="30" t="str">
        <f aca="false">IF($A118="","",IF($N118="No","",AM118))</f>
        <v/>
      </c>
      <c r="BJ118" s="30" t="str">
        <f aca="false">IF($A118="","",IF($O118="No","",AN118))</f>
        <v/>
      </c>
      <c r="BK118" s="30" t="str">
        <f aca="false">IF($A118="","",IF($P118="No","",AO118))</f>
        <v/>
      </c>
    </row>
    <row r="119" customFormat="false" ht="15" hidden="false" customHeight="true" outlineLevel="0" collapsed="false">
      <c r="Z119" s="28" t="str">
        <f aca="false">IF($A119="","",Constants!$B$6+$I119*Constants!$B$7+$J119*Constants!$B$8+$K119*Constants!$B$9+$L119*Constants!$B$10+$M119*Constants!$B$11)</f>
        <v/>
      </c>
      <c r="AA119" s="28" t="str">
        <f aca="false">IF($A119="","",100-Z119)</f>
        <v/>
      </c>
      <c r="AB119" s="28" t="str">
        <f aca="false">IF($A119="","",ROUND($H119*Constants!$B$4,1))</f>
        <v/>
      </c>
      <c r="AC119" s="28" t="str">
        <f aca="false">IF($A119="","",ROUND(AB119*Z119/100,1))</f>
        <v/>
      </c>
      <c r="AD119" s="28" t="str">
        <f aca="false">IF($A119="","",ROUND(AB119*AA119/100,1))</f>
        <v/>
      </c>
      <c r="AE119" s="22" t="str">
        <f aca="false">IF($A119="","",HOUR($Q119)+MINUTE($Q119)/60)</f>
        <v/>
      </c>
      <c r="AF119" s="22" t="str">
        <f aca="false">IF($A119="","",HOUR($R119)+MINUTE($R119)/60)</f>
        <v/>
      </c>
      <c r="AG119" s="22" t="str">
        <f aca="false">IF($A119="","",HOUR($S119)+MINUTE($S119)/60)</f>
        <v/>
      </c>
      <c r="AH119" s="22" t="str">
        <f aca="false">IF($A119="","",HOUR($T119)+MINUTE($T119)/60)</f>
        <v/>
      </c>
      <c r="AI119" s="22" t="str">
        <f aca="false">IF($A119="","",HOUR($V119)+MINUTE($V119)/60)</f>
        <v/>
      </c>
      <c r="AJ119" s="22" t="str">
        <f aca="false">IF($A119="","",HOUR($W119)+MINUTE($W119)/60)</f>
        <v/>
      </c>
      <c r="AK119" s="22" t="str">
        <f aca="false">IF($A119="","",VLOOKUP($F119,Dim_Team!$A:$F,6,0))</f>
        <v/>
      </c>
      <c r="AL119" s="28" t="str">
        <f aca="false">IF($A119="","",VLOOKUP($X119,Dim_Signoff!$A:$C,3,0))</f>
        <v/>
      </c>
      <c r="AM119" s="28" t="str">
        <f aca="false">IF($A119="","",IF($N119="No","n/a",ROUND((AH119-AE119)*60,0)))</f>
        <v/>
      </c>
      <c r="AN119" s="28" t="str">
        <f aca="false">IF($A119="","",IF($O119="No","n/a",ROUND((AH119-AF119)*60,0)))</f>
        <v/>
      </c>
      <c r="AO119" s="28" t="str">
        <f aca="false">IF($A119="","",IF($P119="No","n/a",ROUND((AH119-AG119)*60,0)))</f>
        <v/>
      </c>
      <c r="AP119" s="28" t="str">
        <f aca="false">IF($A119="","",ROUND((AH119-AK119)*60,0))</f>
        <v/>
      </c>
      <c r="AQ119" s="28" t="str">
        <f aca="false">IF($A119="","",ROUND((AI119-AH119)*60,0))</f>
        <v/>
      </c>
      <c r="AR119" s="4" t="str">
        <f aca="false">IF($A119="","",IF(AP119&gt;=AC119,"Yes","No"))</f>
        <v/>
      </c>
      <c r="AS119" s="4" t="str">
        <f aca="false">IF($A119="","",IF(AQ119&gt;=AD119+AL119,"Yes","No"))</f>
        <v/>
      </c>
      <c r="AT119" s="4" t="str">
        <f aca="false">IF($A119="","",IF(AND(AR119="Yes",AS119="Yes"),"OK","REVIEW"))</f>
        <v/>
      </c>
      <c r="AU119" s="4" t="str">
        <f aca="false">IF($A119="","",IF($P119="No","Not applicable",IF(AO119&lt;Constants!$B$14,"CAPTURE","Not needed")))</f>
        <v/>
      </c>
      <c r="AV119" s="4" t="str">
        <f aca="false">IF($A119="","",IF($P119="No","n/a",RANK(AO119,AO:AO,1)))</f>
        <v/>
      </c>
      <c r="AW119" s="4" t="str">
        <f aca="false">IF($A119="","",IF(UPPER($E119)="YES","Strategic","Non-strategic"))</f>
        <v/>
      </c>
      <c r="AX119" s="4" t="str">
        <f aca="false">IF($A119="","",COUNTIFS(Fact_Work!$C:$C,$A119))</f>
        <v/>
      </c>
      <c r="AY119" s="4" t="str">
        <f aca="false">IF($A119="","",IF(AX119=0,"Not seen",IF(AX119&gt;=Constants!$B$13*0.6,"Daily",IF(AX119&gt;=Constants!$B$13*0.12,"Weekly","Monthly or ad hoc"))))</f>
        <v/>
      </c>
      <c r="AZ119" s="22" t="str">
        <f aca="false">IF($A119="","",IFERROR(VLOOKUP($U119,Dim_TOP!$A:$H,8,0),""))</f>
        <v/>
      </c>
      <c r="BA119" s="28" t="str">
        <f aca="false">IF($A119="","",IFERROR(ROUND((AH119-AZ119)*60,0),""))</f>
        <v/>
      </c>
      <c r="BB119" s="4" t="str">
        <f aca="false">IF($A119="","",IF(BA119="","",IF(BA119&lt;=0,"Sets the deadline","Later than peers by "&amp;BA119&amp;" min")))</f>
        <v/>
      </c>
      <c r="BC119" s="29" t="str">
        <f aca="false">IF($A119="","",IF($U119="",0,IF(COUNTIFS($U$2:$U119,$U119,$C$2:$C119,$C119)=1,1,0)))</f>
        <v/>
      </c>
      <c r="BD119" s="10" t="str">
        <f aca="false">IF($A119="","",IF(UPPER($P119)="YES","Yes","No"))</f>
        <v/>
      </c>
      <c r="BE119" s="10" t="str">
        <f aca="false">IF($A119="","",IF($N119="No","n/a",IF(AM119&lt;=Constants!$B$17,"Yes","No")))</f>
        <v/>
      </c>
      <c r="BF119" s="10" t="str">
        <f aca="false">IF($A119="","",IF($O119="No","n/a",IF(AN119&lt;=Constants!$B$17,"Yes","No")))</f>
        <v/>
      </c>
      <c r="BG119" s="10" t="str">
        <f aca="false">IF($A119="","",IF($P119="No","n/a",IF(AO119&lt;=Constants!$B$17,"Yes","No")))</f>
        <v/>
      </c>
      <c r="BH119" s="10" t="str">
        <f aca="false">IF($A119="","",IF($N119="No","No custody process",IF(BE119="Yes","Thin custody slack","Ample custody slack")))</f>
        <v/>
      </c>
      <c r="BI119" s="30" t="str">
        <f aca="false">IF($A119="","",IF($N119="No","",AM119))</f>
        <v/>
      </c>
      <c r="BJ119" s="30" t="str">
        <f aca="false">IF($A119="","",IF($O119="No","",AN119))</f>
        <v/>
      </c>
      <c r="BK119" s="30" t="str">
        <f aca="false">IF($A119="","",IF($P119="No","",AO119))</f>
        <v/>
      </c>
    </row>
    <row r="120" customFormat="false" ht="15" hidden="false" customHeight="true" outlineLevel="0" collapsed="false">
      <c r="Z120" s="28" t="str">
        <f aca="false">IF($A120="","",Constants!$B$6+$I120*Constants!$B$7+$J120*Constants!$B$8+$K120*Constants!$B$9+$L120*Constants!$B$10+$M120*Constants!$B$11)</f>
        <v/>
      </c>
      <c r="AA120" s="28" t="str">
        <f aca="false">IF($A120="","",100-Z120)</f>
        <v/>
      </c>
      <c r="AB120" s="28" t="str">
        <f aca="false">IF($A120="","",ROUND($H120*Constants!$B$4,1))</f>
        <v/>
      </c>
      <c r="AC120" s="28" t="str">
        <f aca="false">IF($A120="","",ROUND(AB120*Z120/100,1))</f>
        <v/>
      </c>
      <c r="AD120" s="28" t="str">
        <f aca="false">IF($A120="","",ROUND(AB120*AA120/100,1))</f>
        <v/>
      </c>
      <c r="AE120" s="22" t="str">
        <f aca="false">IF($A120="","",HOUR($Q120)+MINUTE($Q120)/60)</f>
        <v/>
      </c>
      <c r="AF120" s="22" t="str">
        <f aca="false">IF($A120="","",HOUR($R120)+MINUTE($R120)/60)</f>
        <v/>
      </c>
      <c r="AG120" s="22" t="str">
        <f aca="false">IF($A120="","",HOUR($S120)+MINUTE($S120)/60)</f>
        <v/>
      </c>
      <c r="AH120" s="22" t="str">
        <f aca="false">IF($A120="","",HOUR($T120)+MINUTE($T120)/60)</f>
        <v/>
      </c>
      <c r="AI120" s="22" t="str">
        <f aca="false">IF($A120="","",HOUR($V120)+MINUTE($V120)/60)</f>
        <v/>
      </c>
      <c r="AJ120" s="22" t="str">
        <f aca="false">IF($A120="","",HOUR($W120)+MINUTE($W120)/60)</f>
        <v/>
      </c>
      <c r="AK120" s="22" t="str">
        <f aca="false">IF($A120="","",VLOOKUP($F120,Dim_Team!$A:$F,6,0))</f>
        <v/>
      </c>
      <c r="AL120" s="28" t="str">
        <f aca="false">IF($A120="","",VLOOKUP($X120,Dim_Signoff!$A:$C,3,0))</f>
        <v/>
      </c>
      <c r="AM120" s="28" t="str">
        <f aca="false">IF($A120="","",IF($N120="No","n/a",ROUND((AH120-AE120)*60,0)))</f>
        <v/>
      </c>
      <c r="AN120" s="28" t="str">
        <f aca="false">IF($A120="","",IF($O120="No","n/a",ROUND((AH120-AF120)*60,0)))</f>
        <v/>
      </c>
      <c r="AO120" s="28" t="str">
        <f aca="false">IF($A120="","",IF($P120="No","n/a",ROUND((AH120-AG120)*60,0)))</f>
        <v/>
      </c>
      <c r="AP120" s="28" t="str">
        <f aca="false">IF($A120="","",ROUND((AH120-AK120)*60,0))</f>
        <v/>
      </c>
      <c r="AQ120" s="28" t="str">
        <f aca="false">IF($A120="","",ROUND((AI120-AH120)*60,0))</f>
        <v/>
      </c>
      <c r="AR120" s="4" t="str">
        <f aca="false">IF($A120="","",IF(AP120&gt;=AC120,"Yes","No"))</f>
        <v/>
      </c>
      <c r="AS120" s="4" t="str">
        <f aca="false">IF($A120="","",IF(AQ120&gt;=AD120+AL120,"Yes","No"))</f>
        <v/>
      </c>
      <c r="AT120" s="4" t="str">
        <f aca="false">IF($A120="","",IF(AND(AR120="Yes",AS120="Yes"),"OK","REVIEW"))</f>
        <v/>
      </c>
      <c r="AU120" s="4" t="str">
        <f aca="false">IF($A120="","",IF($P120="No","Not applicable",IF(AO120&lt;Constants!$B$14,"CAPTURE","Not needed")))</f>
        <v/>
      </c>
      <c r="AV120" s="4" t="str">
        <f aca="false">IF($A120="","",IF($P120="No","n/a",RANK(AO120,AO:AO,1)))</f>
        <v/>
      </c>
      <c r="AW120" s="4" t="str">
        <f aca="false">IF($A120="","",IF(UPPER($E120)="YES","Strategic","Non-strategic"))</f>
        <v/>
      </c>
      <c r="AX120" s="4" t="str">
        <f aca="false">IF($A120="","",COUNTIFS(Fact_Work!$C:$C,$A120))</f>
        <v/>
      </c>
      <c r="AY120" s="4" t="str">
        <f aca="false">IF($A120="","",IF(AX120=0,"Not seen",IF(AX120&gt;=Constants!$B$13*0.6,"Daily",IF(AX120&gt;=Constants!$B$13*0.12,"Weekly","Monthly or ad hoc"))))</f>
        <v/>
      </c>
      <c r="AZ120" s="22" t="str">
        <f aca="false">IF($A120="","",IFERROR(VLOOKUP($U120,Dim_TOP!$A:$H,8,0),""))</f>
        <v/>
      </c>
      <c r="BA120" s="28" t="str">
        <f aca="false">IF($A120="","",IFERROR(ROUND((AH120-AZ120)*60,0),""))</f>
        <v/>
      </c>
      <c r="BB120" s="4" t="str">
        <f aca="false">IF($A120="","",IF(BA120="","",IF(BA120&lt;=0,"Sets the deadline","Later than peers by "&amp;BA120&amp;" min")))</f>
        <v/>
      </c>
      <c r="BC120" s="29" t="str">
        <f aca="false">IF($A120="","",IF($U120="",0,IF(COUNTIFS($U$2:$U120,$U120,$C$2:$C120,$C120)=1,1,0)))</f>
        <v/>
      </c>
      <c r="BD120" s="10" t="str">
        <f aca="false">IF($A120="","",IF(UPPER($P120)="YES","Yes","No"))</f>
        <v/>
      </c>
      <c r="BE120" s="10" t="str">
        <f aca="false">IF($A120="","",IF($N120="No","n/a",IF(AM120&lt;=Constants!$B$17,"Yes","No")))</f>
        <v/>
      </c>
      <c r="BF120" s="10" t="str">
        <f aca="false">IF($A120="","",IF($O120="No","n/a",IF(AN120&lt;=Constants!$B$17,"Yes","No")))</f>
        <v/>
      </c>
      <c r="BG120" s="10" t="str">
        <f aca="false">IF($A120="","",IF($P120="No","n/a",IF(AO120&lt;=Constants!$B$17,"Yes","No")))</f>
        <v/>
      </c>
      <c r="BH120" s="10" t="str">
        <f aca="false">IF($A120="","",IF($N120="No","No custody process",IF(BE120="Yes","Thin custody slack","Ample custody slack")))</f>
        <v/>
      </c>
      <c r="BI120" s="30" t="str">
        <f aca="false">IF($A120="","",IF($N120="No","",AM120))</f>
        <v/>
      </c>
      <c r="BJ120" s="30" t="str">
        <f aca="false">IF($A120="","",IF($O120="No","",AN120))</f>
        <v/>
      </c>
      <c r="BK120" s="30" t="str">
        <f aca="false">IF($A120="","",IF($P120="No","",AO120))</f>
        <v/>
      </c>
    </row>
    <row r="121" customFormat="false" ht="15" hidden="false" customHeight="true" outlineLevel="0" collapsed="false">
      <c r="Z121" s="28" t="str">
        <f aca="false">IF($A121="","",Constants!$B$6+$I121*Constants!$B$7+$J121*Constants!$B$8+$K121*Constants!$B$9+$L121*Constants!$B$10+$M121*Constants!$B$11)</f>
        <v/>
      </c>
      <c r="AA121" s="28" t="str">
        <f aca="false">IF($A121="","",100-Z121)</f>
        <v/>
      </c>
      <c r="AB121" s="28" t="str">
        <f aca="false">IF($A121="","",ROUND($H121*Constants!$B$4,1))</f>
        <v/>
      </c>
      <c r="AC121" s="28" t="str">
        <f aca="false">IF($A121="","",ROUND(AB121*Z121/100,1))</f>
        <v/>
      </c>
      <c r="AD121" s="28" t="str">
        <f aca="false">IF($A121="","",ROUND(AB121*AA121/100,1))</f>
        <v/>
      </c>
      <c r="AE121" s="22" t="str">
        <f aca="false">IF($A121="","",HOUR($Q121)+MINUTE($Q121)/60)</f>
        <v/>
      </c>
      <c r="AF121" s="22" t="str">
        <f aca="false">IF($A121="","",HOUR($R121)+MINUTE($R121)/60)</f>
        <v/>
      </c>
      <c r="AG121" s="22" t="str">
        <f aca="false">IF($A121="","",HOUR($S121)+MINUTE($S121)/60)</f>
        <v/>
      </c>
      <c r="AH121" s="22" t="str">
        <f aca="false">IF($A121="","",HOUR($T121)+MINUTE($T121)/60)</f>
        <v/>
      </c>
      <c r="AI121" s="22" t="str">
        <f aca="false">IF($A121="","",HOUR($V121)+MINUTE($V121)/60)</f>
        <v/>
      </c>
      <c r="AJ121" s="22" t="str">
        <f aca="false">IF($A121="","",HOUR($W121)+MINUTE($W121)/60)</f>
        <v/>
      </c>
      <c r="AK121" s="22" t="str">
        <f aca="false">IF($A121="","",VLOOKUP($F121,Dim_Team!$A:$F,6,0))</f>
        <v/>
      </c>
      <c r="AL121" s="28" t="str">
        <f aca="false">IF($A121="","",VLOOKUP($X121,Dim_Signoff!$A:$C,3,0))</f>
        <v/>
      </c>
      <c r="AM121" s="28" t="str">
        <f aca="false">IF($A121="","",IF($N121="No","n/a",ROUND((AH121-AE121)*60,0)))</f>
        <v/>
      </c>
      <c r="AN121" s="28" t="str">
        <f aca="false">IF($A121="","",IF($O121="No","n/a",ROUND((AH121-AF121)*60,0)))</f>
        <v/>
      </c>
      <c r="AO121" s="28" t="str">
        <f aca="false">IF($A121="","",IF($P121="No","n/a",ROUND((AH121-AG121)*60,0)))</f>
        <v/>
      </c>
      <c r="AP121" s="28" t="str">
        <f aca="false">IF($A121="","",ROUND((AH121-AK121)*60,0))</f>
        <v/>
      </c>
      <c r="AQ121" s="28" t="str">
        <f aca="false">IF($A121="","",ROUND((AI121-AH121)*60,0))</f>
        <v/>
      </c>
      <c r="AR121" s="4" t="str">
        <f aca="false">IF($A121="","",IF(AP121&gt;=AC121,"Yes","No"))</f>
        <v/>
      </c>
      <c r="AS121" s="4" t="str">
        <f aca="false">IF($A121="","",IF(AQ121&gt;=AD121+AL121,"Yes","No"))</f>
        <v/>
      </c>
      <c r="AT121" s="4" t="str">
        <f aca="false">IF($A121="","",IF(AND(AR121="Yes",AS121="Yes"),"OK","REVIEW"))</f>
        <v/>
      </c>
      <c r="AU121" s="4" t="str">
        <f aca="false">IF($A121="","",IF($P121="No","Not applicable",IF(AO121&lt;Constants!$B$14,"CAPTURE","Not needed")))</f>
        <v/>
      </c>
      <c r="AV121" s="4" t="str">
        <f aca="false">IF($A121="","",IF($P121="No","n/a",RANK(AO121,AO:AO,1)))</f>
        <v/>
      </c>
      <c r="AW121" s="4" t="str">
        <f aca="false">IF($A121="","",IF(UPPER($E121)="YES","Strategic","Non-strategic"))</f>
        <v/>
      </c>
      <c r="AX121" s="4" t="str">
        <f aca="false">IF($A121="","",COUNTIFS(Fact_Work!$C:$C,$A121))</f>
        <v/>
      </c>
      <c r="AY121" s="4" t="str">
        <f aca="false">IF($A121="","",IF(AX121=0,"Not seen",IF(AX121&gt;=Constants!$B$13*0.6,"Daily",IF(AX121&gt;=Constants!$B$13*0.12,"Weekly","Monthly or ad hoc"))))</f>
        <v/>
      </c>
      <c r="AZ121" s="22" t="str">
        <f aca="false">IF($A121="","",IFERROR(VLOOKUP($U121,Dim_TOP!$A:$H,8,0),""))</f>
        <v/>
      </c>
      <c r="BA121" s="28" t="str">
        <f aca="false">IF($A121="","",IFERROR(ROUND((AH121-AZ121)*60,0),""))</f>
        <v/>
      </c>
      <c r="BB121" s="4" t="str">
        <f aca="false">IF($A121="","",IF(BA121="","",IF(BA121&lt;=0,"Sets the deadline","Later than peers by "&amp;BA121&amp;" min")))</f>
        <v/>
      </c>
      <c r="BC121" s="29" t="str">
        <f aca="false">IF($A121="","",IF($U121="",0,IF(COUNTIFS($U$2:$U121,$U121,$C$2:$C121,$C121)=1,1,0)))</f>
        <v/>
      </c>
      <c r="BD121" s="10" t="str">
        <f aca="false">IF($A121="","",IF(UPPER($P121)="YES","Yes","No"))</f>
        <v/>
      </c>
      <c r="BE121" s="10" t="str">
        <f aca="false">IF($A121="","",IF($N121="No","n/a",IF(AM121&lt;=Constants!$B$17,"Yes","No")))</f>
        <v/>
      </c>
      <c r="BF121" s="10" t="str">
        <f aca="false">IF($A121="","",IF($O121="No","n/a",IF(AN121&lt;=Constants!$B$17,"Yes","No")))</f>
        <v/>
      </c>
      <c r="BG121" s="10" t="str">
        <f aca="false">IF($A121="","",IF($P121="No","n/a",IF(AO121&lt;=Constants!$B$17,"Yes","No")))</f>
        <v/>
      </c>
      <c r="BH121" s="10" t="str">
        <f aca="false">IF($A121="","",IF($N121="No","No custody process",IF(BE121="Yes","Thin custody slack","Ample custody slack")))</f>
        <v/>
      </c>
      <c r="BI121" s="30" t="str">
        <f aca="false">IF($A121="","",IF($N121="No","",AM121))</f>
        <v/>
      </c>
      <c r="BJ121" s="30" t="str">
        <f aca="false">IF($A121="","",IF($O121="No","",AN121))</f>
        <v/>
      </c>
      <c r="BK121" s="30" t="str">
        <f aca="false">IF($A121="","",IF($P121="No","",AO121))</f>
        <v/>
      </c>
    </row>
    <row r="122" customFormat="false" ht="15" hidden="false" customHeight="true" outlineLevel="0" collapsed="false">
      <c r="Z122" s="28" t="str">
        <f aca="false">IF($A122="","",Constants!$B$6+$I122*Constants!$B$7+$J122*Constants!$B$8+$K122*Constants!$B$9+$L122*Constants!$B$10+$M122*Constants!$B$11)</f>
        <v/>
      </c>
      <c r="AA122" s="28" t="str">
        <f aca="false">IF($A122="","",100-Z122)</f>
        <v/>
      </c>
      <c r="AB122" s="28" t="str">
        <f aca="false">IF($A122="","",ROUND($H122*Constants!$B$4,1))</f>
        <v/>
      </c>
      <c r="AC122" s="28" t="str">
        <f aca="false">IF($A122="","",ROUND(AB122*Z122/100,1))</f>
        <v/>
      </c>
      <c r="AD122" s="28" t="str">
        <f aca="false">IF($A122="","",ROUND(AB122*AA122/100,1))</f>
        <v/>
      </c>
      <c r="AE122" s="22" t="str">
        <f aca="false">IF($A122="","",HOUR($Q122)+MINUTE($Q122)/60)</f>
        <v/>
      </c>
      <c r="AF122" s="22" t="str">
        <f aca="false">IF($A122="","",HOUR($R122)+MINUTE($R122)/60)</f>
        <v/>
      </c>
      <c r="AG122" s="22" t="str">
        <f aca="false">IF($A122="","",HOUR($S122)+MINUTE($S122)/60)</f>
        <v/>
      </c>
      <c r="AH122" s="22" t="str">
        <f aca="false">IF($A122="","",HOUR($T122)+MINUTE($T122)/60)</f>
        <v/>
      </c>
      <c r="AI122" s="22" t="str">
        <f aca="false">IF($A122="","",HOUR($V122)+MINUTE($V122)/60)</f>
        <v/>
      </c>
      <c r="AJ122" s="22" t="str">
        <f aca="false">IF($A122="","",HOUR($W122)+MINUTE($W122)/60)</f>
        <v/>
      </c>
      <c r="AK122" s="22" t="str">
        <f aca="false">IF($A122="","",VLOOKUP($F122,Dim_Team!$A:$F,6,0))</f>
        <v/>
      </c>
      <c r="AL122" s="28" t="str">
        <f aca="false">IF($A122="","",VLOOKUP($X122,Dim_Signoff!$A:$C,3,0))</f>
        <v/>
      </c>
      <c r="AM122" s="28" t="str">
        <f aca="false">IF($A122="","",IF($N122="No","n/a",ROUND((AH122-AE122)*60,0)))</f>
        <v/>
      </c>
      <c r="AN122" s="28" t="str">
        <f aca="false">IF($A122="","",IF($O122="No","n/a",ROUND((AH122-AF122)*60,0)))</f>
        <v/>
      </c>
      <c r="AO122" s="28" t="str">
        <f aca="false">IF($A122="","",IF($P122="No","n/a",ROUND((AH122-AG122)*60,0)))</f>
        <v/>
      </c>
      <c r="AP122" s="28" t="str">
        <f aca="false">IF($A122="","",ROUND((AH122-AK122)*60,0))</f>
        <v/>
      </c>
      <c r="AQ122" s="28" t="str">
        <f aca="false">IF($A122="","",ROUND((AI122-AH122)*60,0))</f>
        <v/>
      </c>
      <c r="AR122" s="4" t="str">
        <f aca="false">IF($A122="","",IF(AP122&gt;=AC122,"Yes","No"))</f>
        <v/>
      </c>
      <c r="AS122" s="4" t="str">
        <f aca="false">IF($A122="","",IF(AQ122&gt;=AD122+AL122,"Yes","No"))</f>
        <v/>
      </c>
      <c r="AT122" s="4" t="str">
        <f aca="false">IF($A122="","",IF(AND(AR122="Yes",AS122="Yes"),"OK","REVIEW"))</f>
        <v/>
      </c>
      <c r="AU122" s="4" t="str">
        <f aca="false">IF($A122="","",IF($P122="No","Not applicable",IF(AO122&lt;Constants!$B$14,"CAPTURE","Not needed")))</f>
        <v/>
      </c>
      <c r="AV122" s="4" t="str">
        <f aca="false">IF($A122="","",IF($P122="No","n/a",RANK(AO122,AO:AO,1)))</f>
        <v/>
      </c>
      <c r="AW122" s="4" t="str">
        <f aca="false">IF($A122="","",IF(UPPER($E122)="YES","Strategic","Non-strategic"))</f>
        <v/>
      </c>
      <c r="AX122" s="4" t="str">
        <f aca="false">IF($A122="","",COUNTIFS(Fact_Work!$C:$C,$A122))</f>
        <v/>
      </c>
      <c r="AY122" s="4" t="str">
        <f aca="false">IF($A122="","",IF(AX122=0,"Not seen",IF(AX122&gt;=Constants!$B$13*0.6,"Daily",IF(AX122&gt;=Constants!$B$13*0.12,"Weekly","Monthly or ad hoc"))))</f>
        <v/>
      </c>
      <c r="AZ122" s="22" t="str">
        <f aca="false">IF($A122="","",IFERROR(VLOOKUP($U122,Dim_TOP!$A:$H,8,0),""))</f>
        <v/>
      </c>
      <c r="BA122" s="28" t="str">
        <f aca="false">IF($A122="","",IFERROR(ROUND((AH122-AZ122)*60,0),""))</f>
        <v/>
      </c>
      <c r="BB122" s="4" t="str">
        <f aca="false">IF($A122="","",IF(BA122="","",IF(BA122&lt;=0,"Sets the deadline","Later than peers by "&amp;BA122&amp;" min")))</f>
        <v/>
      </c>
      <c r="BC122" s="29" t="str">
        <f aca="false">IF($A122="","",IF($U122="",0,IF(COUNTIFS($U$2:$U122,$U122,$C$2:$C122,$C122)=1,1,0)))</f>
        <v/>
      </c>
      <c r="BD122" s="10" t="str">
        <f aca="false">IF($A122="","",IF(UPPER($P122)="YES","Yes","No"))</f>
        <v/>
      </c>
      <c r="BE122" s="10" t="str">
        <f aca="false">IF($A122="","",IF($N122="No","n/a",IF(AM122&lt;=Constants!$B$17,"Yes","No")))</f>
        <v/>
      </c>
      <c r="BF122" s="10" t="str">
        <f aca="false">IF($A122="","",IF($O122="No","n/a",IF(AN122&lt;=Constants!$B$17,"Yes","No")))</f>
        <v/>
      </c>
      <c r="BG122" s="10" t="str">
        <f aca="false">IF($A122="","",IF($P122="No","n/a",IF(AO122&lt;=Constants!$B$17,"Yes","No")))</f>
        <v/>
      </c>
      <c r="BH122" s="10" t="str">
        <f aca="false">IF($A122="","",IF($N122="No","No custody process",IF(BE122="Yes","Thin custody slack","Ample custody slack")))</f>
        <v/>
      </c>
      <c r="BI122" s="30" t="str">
        <f aca="false">IF($A122="","",IF($N122="No","",AM122))</f>
        <v/>
      </c>
      <c r="BJ122" s="30" t="str">
        <f aca="false">IF($A122="","",IF($O122="No","",AN122))</f>
        <v/>
      </c>
      <c r="BK122" s="30" t="str">
        <f aca="false">IF($A122="","",IF($P122="No","",AO122))</f>
        <v/>
      </c>
    </row>
    <row r="123" customFormat="false" ht="15" hidden="false" customHeight="true" outlineLevel="0" collapsed="false">
      <c r="Z123" s="28" t="str">
        <f aca="false">IF($A123="","",Constants!$B$6+$I123*Constants!$B$7+$J123*Constants!$B$8+$K123*Constants!$B$9+$L123*Constants!$B$10+$M123*Constants!$B$11)</f>
        <v/>
      </c>
      <c r="AA123" s="28" t="str">
        <f aca="false">IF($A123="","",100-Z123)</f>
        <v/>
      </c>
      <c r="AB123" s="28" t="str">
        <f aca="false">IF($A123="","",ROUND($H123*Constants!$B$4,1))</f>
        <v/>
      </c>
      <c r="AC123" s="28" t="str">
        <f aca="false">IF($A123="","",ROUND(AB123*Z123/100,1))</f>
        <v/>
      </c>
      <c r="AD123" s="28" t="str">
        <f aca="false">IF($A123="","",ROUND(AB123*AA123/100,1))</f>
        <v/>
      </c>
      <c r="AE123" s="22" t="str">
        <f aca="false">IF($A123="","",HOUR($Q123)+MINUTE($Q123)/60)</f>
        <v/>
      </c>
      <c r="AF123" s="22" t="str">
        <f aca="false">IF($A123="","",HOUR($R123)+MINUTE($R123)/60)</f>
        <v/>
      </c>
      <c r="AG123" s="22" t="str">
        <f aca="false">IF($A123="","",HOUR($S123)+MINUTE($S123)/60)</f>
        <v/>
      </c>
      <c r="AH123" s="22" t="str">
        <f aca="false">IF($A123="","",HOUR($T123)+MINUTE($T123)/60)</f>
        <v/>
      </c>
      <c r="AI123" s="22" t="str">
        <f aca="false">IF($A123="","",HOUR($V123)+MINUTE($V123)/60)</f>
        <v/>
      </c>
      <c r="AJ123" s="22" t="str">
        <f aca="false">IF($A123="","",HOUR($W123)+MINUTE($W123)/60)</f>
        <v/>
      </c>
      <c r="AK123" s="22" t="str">
        <f aca="false">IF($A123="","",VLOOKUP($F123,Dim_Team!$A:$F,6,0))</f>
        <v/>
      </c>
      <c r="AL123" s="28" t="str">
        <f aca="false">IF($A123="","",VLOOKUP($X123,Dim_Signoff!$A:$C,3,0))</f>
        <v/>
      </c>
      <c r="AM123" s="28" t="str">
        <f aca="false">IF($A123="","",IF($N123="No","n/a",ROUND((AH123-AE123)*60,0)))</f>
        <v/>
      </c>
      <c r="AN123" s="28" t="str">
        <f aca="false">IF($A123="","",IF($O123="No","n/a",ROUND((AH123-AF123)*60,0)))</f>
        <v/>
      </c>
      <c r="AO123" s="28" t="str">
        <f aca="false">IF($A123="","",IF($P123="No","n/a",ROUND((AH123-AG123)*60,0)))</f>
        <v/>
      </c>
      <c r="AP123" s="28" t="str">
        <f aca="false">IF($A123="","",ROUND((AH123-AK123)*60,0))</f>
        <v/>
      </c>
      <c r="AQ123" s="28" t="str">
        <f aca="false">IF($A123="","",ROUND((AI123-AH123)*60,0))</f>
        <v/>
      </c>
      <c r="AR123" s="4" t="str">
        <f aca="false">IF($A123="","",IF(AP123&gt;=AC123,"Yes","No"))</f>
        <v/>
      </c>
      <c r="AS123" s="4" t="str">
        <f aca="false">IF($A123="","",IF(AQ123&gt;=AD123+AL123,"Yes","No"))</f>
        <v/>
      </c>
      <c r="AT123" s="4" t="str">
        <f aca="false">IF($A123="","",IF(AND(AR123="Yes",AS123="Yes"),"OK","REVIEW"))</f>
        <v/>
      </c>
      <c r="AU123" s="4" t="str">
        <f aca="false">IF($A123="","",IF($P123="No","Not applicable",IF(AO123&lt;Constants!$B$14,"CAPTURE","Not needed")))</f>
        <v/>
      </c>
      <c r="AV123" s="4" t="str">
        <f aca="false">IF($A123="","",IF($P123="No","n/a",RANK(AO123,AO:AO,1)))</f>
        <v/>
      </c>
      <c r="AW123" s="4" t="str">
        <f aca="false">IF($A123="","",IF(UPPER($E123)="YES","Strategic","Non-strategic"))</f>
        <v/>
      </c>
      <c r="AX123" s="4" t="str">
        <f aca="false">IF($A123="","",COUNTIFS(Fact_Work!$C:$C,$A123))</f>
        <v/>
      </c>
      <c r="AY123" s="4" t="str">
        <f aca="false">IF($A123="","",IF(AX123=0,"Not seen",IF(AX123&gt;=Constants!$B$13*0.6,"Daily",IF(AX123&gt;=Constants!$B$13*0.12,"Weekly","Monthly or ad hoc"))))</f>
        <v/>
      </c>
      <c r="AZ123" s="22" t="str">
        <f aca="false">IF($A123="","",IFERROR(VLOOKUP($U123,Dim_TOP!$A:$H,8,0),""))</f>
        <v/>
      </c>
      <c r="BA123" s="28" t="str">
        <f aca="false">IF($A123="","",IFERROR(ROUND((AH123-AZ123)*60,0),""))</f>
        <v/>
      </c>
      <c r="BB123" s="4" t="str">
        <f aca="false">IF($A123="","",IF(BA123="","",IF(BA123&lt;=0,"Sets the deadline","Later than peers by "&amp;BA123&amp;" min")))</f>
        <v/>
      </c>
      <c r="BC123" s="29" t="str">
        <f aca="false">IF($A123="","",IF($U123="",0,IF(COUNTIFS($U$2:$U123,$U123,$C$2:$C123,$C123)=1,1,0)))</f>
        <v/>
      </c>
      <c r="BD123" s="10" t="str">
        <f aca="false">IF($A123="","",IF(UPPER($P123)="YES","Yes","No"))</f>
        <v/>
      </c>
      <c r="BE123" s="10" t="str">
        <f aca="false">IF($A123="","",IF($N123="No","n/a",IF(AM123&lt;=Constants!$B$17,"Yes","No")))</f>
        <v/>
      </c>
      <c r="BF123" s="10" t="str">
        <f aca="false">IF($A123="","",IF($O123="No","n/a",IF(AN123&lt;=Constants!$B$17,"Yes","No")))</f>
        <v/>
      </c>
      <c r="BG123" s="10" t="str">
        <f aca="false">IF($A123="","",IF($P123="No","n/a",IF(AO123&lt;=Constants!$B$17,"Yes","No")))</f>
        <v/>
      </c>
      <c r="BH123" s="10" t="str">
        <f aca="false">IF($A123="","",IF($N123="No","No custody process",IF(BE123="Yes","Thin custody slack","Ample custody slack")))</f>
        <v/>
      </c>
      <c r="BI123" s="30" t="str">
        <f aca="false">IF($A123="","",IF($N123="No","",AM123))</f>
        <v/>
      </c>
      <c r="BJ123" s="30" t="str">
        <f aca="false">IF($A123="","",IF($O123="No","",AN123))</f>
        <v/>
      </c>
      <c r="BK123" s="30" t="str">
        <f aca="false">IF($A123="","",IF($P123="No","",AO123))</f>
        <v/>
      </c>
    </row>
    <row r="124" customFormat="false" ht="15" hidden="false" customHeight="true" outlineLevel="0" collapsed="false">
      <c r="Z124" s="28" t="str">
        <f aca="false">IF($A124="","",Constants!$B$6+$I124*Constants!$B$7+$J124*Constants!$B$8+$K124*Constants!$B$9+$L124*Constants!$B$10+$M124*Constants!$B$11)</f>
        <v/>
      </c>
      <c r="AA124" s="28" t="str">
        <f aca="false">IF($A124="","",100-Z124)</f>
        <v/>
      </c>
      <c r="AB124" s="28" t="str">
        <f aca="false">IF($A124="","",ROUND($H124*Constants!$B$4,1))</f>
        <v/>
      </c>
      <c r="AC124" s="28" t="str">
        <f aca="false">IF($A124="","",ROUND(AB124*Z124/100,1))</f>
        <v/>
      </c>
      <c r="AD124" s="28" t="str">
        <f aca="false">IF($A124="","",ROUND(AB124*AA124/100,1))</f>
        <v/>
      </c>
      <c r="AE124" s="22" t="str">
        <f aca="false">IF($A124="","",HOUR($Q124)+MINUTE($Q124)/60)</f>
        <v/>
      </c>
      <c r="AF124" s="22" t="str">
        <f aca="false">IF($A124="","",HOUR($R124)+MINUTE($R124)/60)</f>
        <v/>
      </c>
      <c r="AG124" s="22" t="str">
        <f aca="false">IF($A124="","",HOUR($S124)+MINUTE($S124)/60)</f>
        <v/>
      </c>
      <c r="AH124" s="22" t="str">
        <f aca="false">IF($A124="","",HOUR($T124)+MINUTE($T124)/60)</f>
        <v/>
      </c>
      <c r="AI124" s="22" t="str">
        <f aca="false">IF($A124="","",HOUR($V124)+MINUTE($V124)/60)</f>
        <v/>
      </c>
      <c r="AJ124" s="22" t="str">
        <f aca="false">IF($A124="","",HOUR($W124)+MINUTE($W124)/60)</f>
        <v/>
      </c>
      <c r="AK124" s="22" t="str">
        <f aca="false">IF($A124="","",VLOOKUP($F124,Dim_Team!$A:$F,6,0))</f>
        <v/>
      </c>
      <c r="AL124" s="28" t="str">
        <f aca="false">IF($A124="","",VLOOKUP($X124,Dim_Signoff!$A:$C,3,0))</f>
        <v/>
      </c>
      <c r="AM124" s="28" t="str">
        <f aca="false">IF($A124="","",IF($N124="No","n/a",ROUND((AH124-AE124)*60,0)))</f>
        <v/>
      </c>
      <c r="AN124" s="28" t="str">
        <f aca="false">IF($A124="","",IF($O124="No","n/a",ROUND((AH124-AF124)*60,0)))</f>
        <v/>
      </c>
      <c r="AO124" s="28" t="str">
        <f aca="false">IF($A124="","",IF($P124="No","n/a",ROUND((AH124-AG124)*60,0)))</f>
        <v/>
      </c>
      <c r="AP124" s="28" t="str">
        <f aca="false">IF($A124="","",ROUND((AH124-AK124)*60,0))</f>
        <v/>
      </c>
      <c r="AQ124" s="28" t="str">
        <f aca="false">IF($A124="","",ROUND((AI124-AH124)*60,0))</f>
        <v/>
      </c>
      <c r="AR124" s="4" t="str">
        <f aca="false">IF($A124="","",IF(AP124&gt;=AC124,"Yes","No"))</f>
        <v/>
      </c>
      <c r="AS124" s="4" t="str">
        <f aca="false">IF($A124="","",IF(AQ124&gt;=AD124+AL124,"Yes","No"))</f>
        <v/>
      </c>
      <c r="AT124" s="4" t="str">
        <f aca="false">IF($A124="","",IF(AND(AR124="Yes",AS124="Yes"),"OK","REVIEW"))</f>
        <v/>
      </c>
      <c r="AU124" s="4" t="str">
        <f aca="false">IF($A124="","",IF($P124="No","Not applicable",IF(AO124&lt;Constants!$B$14,"CAPTURE","Not needed")))</f>
        <v/>
      </c>
      <c r="AV124" s="4" t="str">
        <f aca="false">IF($A124="","",IF($P124="No","n/a",RANK(AO124,AO:AO,1)))</f>
        <v/>
      </c>
      <c r="AW124" s="4" t="str">
        <f aca="false">IF($A124="","",IF(UPPER($E124)="YES","Strategic","Non-strategic"))</f>
        <v/>
      </c>
      <c r="AX124" s="4" t="str">
        <f aca="false">IF($A124="","",COUNTIFS(Fact_Work!$C:$C,$A124))</f>
        <v/>
      </c>
      <c r="AY124" s="4" t="str">
        <f aca="false">IF($A124="","",IF(AX124=0,"Not seen",IF(AX124&gt;=Constants!$B$13*0.6,"Daily",IF(AX124&gt;=Constants!$B$13*0.12,"Weekly","Monthly or ad hoc"))))</f>
        <v/>
      </c>
      <c r="AZ124" s="22" t="str">
        <f aca="false">IF($A124="","",IFERROR(VLOOKUP($U124,Dim_TOP!$A:$H,8,0),""))</f>
        <v/>
      </c>
      <c r="BA124" s="28" t="str">
        <f aca="false">IF($A124="","",IFERROR(ROUND((AH124-AZ124)*60,0),""))</f>
        <v/>
      </c>
      <c r="BB124" s="4" t="str">
        <f aca="false">IF($A124="","",IF(BA124="","",IF(BA124&lt;=0,"Sets the deadline","Later than peers by "&amp;BA124&amp;" min")))</f>
        <v/>
      </c>
      <c r="BC124" s="29" t="str">
        <f aca="false">IF($A124="","",IF($U124="",0,IF(COUNTIFS($U$2:$U124,$U124,$C$2:$C124,$C124)=1,1,0)))</f>
        <v/>
      </c>
      <c r="BD124" s="10" t="str">
        <f aca="false">IF($A124="","",IF(UPPER($P124)="YES","Yes","No"))</f>
        <v/>
      </c>
      <c r="BE124" s="10" t="str">
        <f aca="false">IF($A124="","",IF($N124="No","n/a",IF(AM124&lt;=Constants!$B$17,"Yes","No")))</f>
        <v/>
      </c>
      <c r="BF124" s="10" t="str">
        <f aca="false">IF($A124="","",IF($O124="No","n/a",IF(AN124&lt;=Constants!$B$17,"Yes","No")))</f>
        <v/>
      </c>
      <c r="BG124" s="10" t="str">
        <f aca="false">IF($A124="","",IF($P124="No","n/a",IF(AO124&lt;=Constants!$B$17,"Yes","No")))</f>
        <v/>
      </c>
      <c r="BH124" s="10" t="str">
        <f aca="false">IF($A124="","",IF($N124="No","No custody process",IF(BE124="Yes","Thin custody slack","Ample custody slack")))</f>
        <v/>
      </c>
      <c r="BI124" s="30" t="str">
        <f aca="false">IF($A124="","",IF($N124="No","",AM124))</f>
        <v/>
      </c>
      <c r="BJ124" s="30" t="str">
        <f aca="false">IF($A124="","",IF($O124="No","",AN124))</f>
        <v/>
      </c>
      <c r="BK124" s="30" t="str">
        <f aca="false">IF($A124="","",IF($P124="No","",AO124))</f>
        <v/>
      </c>
    </row>
    <row r="125" customFormat="false" ht="15" hidden="false" customHeight="true" outlineLevel="0" collapsed="false">
      <c r="Z125" s="28" t="str">
        <f aca="false">IF($A125="","",Constants!$B$6+$I125*Constants!$B$7+$J125*Constants!$B$8+$K125*Constants!$B$9+$L125*Constants!$B$10+$M125*Constants!$B$11)</f>
        <v/>
      </c>
      <c r="AA125" s="28" t="str">
        <f aca="false">IF($A125="","",100-Z125)</f>
        <v/>
      </c>
      <c r="AB125" s="28" t="str">
        <f aca="false">IF($A125="","",ROUND($H125*Constants!$B$4,1))</f>
        <v/>
      </c>
      <c r="AC125" s="28" t="str">
        <f aca="false">IF($A125="","",ROUND(AB125*Z125/100,1))</f>
        <v/>
      </c>
      <c r="AD125" s="28" t="str">
        <f aca="false">IF($A125="","",ROUND(AB125*AA125/100,1))</f>
        <v/>
      </c>
      <c r="AE125" s="22" t="str">
        <f aca="false">IF($A125="","",HOUR($Q125)+MINUTE($Q125)/60)</f>
        <v/>
      </c>
      <c r="AF125" s="22" t="str">
        <f aca="false">IF($A125="","",HOUR($R125)+MINUTE($R125)/60)</f>
        <v/>
      </c>
      <c r="AG125" s="22" t="str">
        <f aca="false">IF($A125="","",HOUR($S125)+MINUTE($S125)/60)</f>
        <v/>
      </c>
      <c r="AH125" s="22" t="str">
        <f aca="false">IF($A125="","",HOUR($T125)+MINUTE($T125)/60)</f>
        <v/>
      </c>
      <c r="AI125" s="22" t="str">
        <f aca="false">IF($A125="","",HOUR($V125)+MINUTE($V125)/60)</f>
        <v/>
      </c>
      <c r="AJ125" s="22" t="str">
        <f aca="false">IF($A125="","",HOUR($W125)+MINUTE($W125)/60)</f>
        <v/>
      </c>
      <c r="AK125" s="22" t="str">
        <f aca="false">IF($A125="","",VLOOKUP($F125,Dim_Team!$A:$F,6,0))</f>
        <v/>
      </c>
      <c r="AL125" s="28" t="str">
        <f aca="false">IF($A125="","",VLOOKUP($X125,Dim_Signoff!$A:$C,3,0))</f>
        <v/>
      </c>
      <c r="AM125" s="28" t="str">
        <f aca="false">IF($A125="","",IF($N125="No","n/a",ROUND((AH125-AE125)*60,0)))</f>
        <v/>
      </c>
      <c r="AN125" s="28" t="str">
        <f aca="false">IF($A125="","",IF($O125="No","n/a",ROUND((AH125-AF125)*60,0)))</f>
        <v/>
      </c>
      <c r="AO125" s="28" t="str">
        <f aca="false">IF($A125="","",IF($P125="No","n/a",ROUND((AH125-AG125)*60,0)))</f>
        <v/>
      </c>
      <c r="AP125" s="28" t="str">
        <f aca="false">IF($A125="","",ROUND((AH125-AK125)*60,0))</f>
        <v/>
      </c>
      <c r="AQ125" s="28" t="str">
        <f aca="false">IF($A125="","",ROUND((AI125-AH125)*60,0))</f>
        <v/>
      </c>
      <c r="AR125" s="4" t="str">
        <f aca="false">IF($A125="","",IF(AP125&gt;=AC125,"Yes","No"))</f>
        <v/>
      </c>
      <c r="AS125" s="4" t="str">
        <f aca="false">IF($A125="","",IF(AQ125&gt;=AD125+AL125,"Yes","No"))</f>
        <v/>
      </c>
      <c r="AT125" s="4" t="str">
        <f aca="false">IF($A125="","",IF(AND(AR125="Yes",AS125="Yes"),"OK","REVIEW"))</f>
        <v/>
      </c>
      <c r="AU125" s="4" t="str">
        <f aca="false">IF($A125="","",IF($P125="No","Not applicable",IF(AO125&lt;Constants!$B$14,"CAPTURE","Not needed")))</f>
        <v/>
      </c>
      <c r="AV125" s="4" t="str">
        <f aca="false">IF($A125="","",IF($P125="No","n/a",RANK(AO125,AO:AO,1)))</f>
        <v/>
      </c>
      <c r="AW125" s="4" t="str">
        <f aca="false">IF($A125="","",IF(UPPER($E125)="YES","Strategic","Non-strategic"))</f>
        <v/>
      </c>
      <c r="AX125" s="4" t="str">
        <f aca="false">IF($A125="","",COUNTIFS(Fact_Work!$C:$C,$A125))</f>
        <v/>
      </c>
      <c r="AY125" s="4" t="str">
        <f aca="false">IF($A125="","",IF(AX125=0,"Not seen",IF(AX125&gt;=Constants!$B$13*0.6,"Daily",IF(AX125&gt;=Constants!$B$13*0.12,"Weekly","Monthly or ad hoc"))))</f>
        <v/>
      </c>
      <c r="AZ125" s="22" t="str">
        <f aca="false">IF($A125="","",IFERROR(VLOOKUP($U125,Dim_TOP!$A:$H,8,0),""))</f>
        <v/>
      </c>
      <c r="BA125" s="28" t="str">
        <f aca="false">IF($A125="","",IFERROR(ROUND((AH125-AZ125)*60,0),""))</f>
        <v/>
      </c>
      <c r="BB125" s="4" t="str">
        <f aca="false">IF($A125="","",IF(BA125="","",IF(BA125&lt;=0,"Sets the deadline","Later than peers by "&amp;BA125&amp;" min")))</f>
        <v/>
      </c>
      <c r="BC125" s="29" t="str">
        <f aca="false">IF($A125="","",IF($U125="",0,IF(COUNTIFS($U$2:$U125,$U125,$C$2:$C125,$C125)=1,1,0)))</f>
        <v/>
      </c>
      <c r="BD125" s="10" t="str">
        <f aca="false">IF($A125="","",IF(UPPER($P125)="YES","Yes","No"))</f>
        <v/>
      </c>
      <c r="BE125" s="10" t="str">
        <f aca="false">IF($A125="","",IF($N125="No","n/a",IF(AM125&lt;=Constants!$B$17,"Yes","No")))</f>
        <v/>
      </c>
      <c r="BF125" s="10" t="str">
        <f aca="false">IF($A125="","",IF($O125="No","n/a",IF(AN125&lt;=Constants!$B$17,"Yes","No")))</f>
        <v/>
      </c>
      <c r="BG125" s="10" t="str">
        <f aca="false">IF($A125="","",IF($P125="No","n/a",IF(AO125&lt;=Constants!$B$17,"Yes","No")))</f>
        <v/>
      </c>
      <c r="BH125" s="10" t="str">
        <f aca="false">IF($A125="","",IF($N125="No","No custody process",IF(BE125="Yes","Thin custody slack","Ample custody slack")))</f>
        <v/>
      </c>
      <c r="BI125" s="30" t="str">
        <f aca="false">IF($A125="","",IF($N125="No","",AM125))</f>
        <v/>
      </c>
      <c r="BJ125" s="30" t="str">
        <f aca="false">IF($A125="","",IF($O125="No","",AN125))</f>
        <v/>
      </c>
      <c r="BK125" s="30" t="str">
        <f aca="false">IF($A125="","",IF($P125="No","",AO125))</f>
        <v/>
      </c>
    </row>
    <row r="126" customFormat="false" ht="15" hidden="false" customHeight="true" outlineLevel="0" collapsed="false">
      <c r="Z126" s="28" t="str">
        <f aca="false">IF($A126="","",Constants!$B$6+$I126*Constants!$B$7+$J126*Constants!$B$8+$K126*Constants!$B$9+$L126*Constants!$B$10+$M126*Constants!$B$11)</f>
        <v/>
      </c>
      <c r="AA126" s="28" t="str">
        <f aca="false">IF($A126="","",100-Z126)</f>
        <v/>
      </c>
      <c r="AB126" s="28" t="str">
        <f aca="false">IF($A126="","",ROUND($H126*Constants!$B$4,1))</f>
        <v/>
      </c>
      <c r="AC126" s="28" t="str">
        <f aca="false">IF($A126="","",ROUND(AB126*Z126/100,1))</f>
        <v/>
      </c>
      <c r="AD126" s="28" t="str">
        <f aca="false">IF($A126="","",ROUND(AB126*AA126/100,1))</f>
        <v/>
      </c>
      <c r="AE126" s="22" t="str">
        <f aca="false">IF($A126="","",HOUR($Q126)+MINUTE($Q126)/60)</f>
        <v/>
      </c>
      <c r="AF126" s="22" t="str">
        <f aca="false">IF($A126="","",HOUR($R126)+MINUTE($R126)/60)</f>
        <v/>
      </c>
      <c r="AG126" s="22" t="str">
        <f aca="false">IF($A126="","",HOUR($S126)+MINUTE($S126)/60)</f>
        <v/>
      </c>
      <c r="AH126" s="22" t="str">
        <f aca="false">IF($A126="","",HOUR($T126)+MINUTE($T126)/60)</f>
        <v/>
      </c>
      <c r="AI126" s="22" t="str">
        <f aca="false">IF($A126="","",HOUR($V126)+MINUTE($V126)/60)</f>
        <v/>
      </c>
      <c r="AJ126" s="22" t="str">
        <f aca="false">IF($A126="","",HOUR($W126)+MINUTE($W126)/60)</f>
        <v/>
      </c>
      <c r="AK126" s="22" t="str">
        <f aca="false">IF($A126="","",VLOOKUP($F126,Dim_Team!$A:$F,6,0))</f>
        <v/>
      </c>
      <c r="AL126" s="28" t="str">
        <f aca="false">IF($A126="","",VLOOKUP($X126,Dim_Signoff!$A:$C,3,0))</f>
        <v/>
      </c>
      <c r="AM126" s="28" t="str">
        <f aca="false">IF($A126="","",IF($N126="No","n/a",ROUND((AH126-AE126)*60,0)))</f>
        <v/>
      </c>
      <c r="AN126" s="28" t="str">
        <f aca="false">IF($A126="","",IF($O126="No","n/a",ROUND((AH126-AF126)*60,0)))</f>
        <v/>
      </c>
      <c r="AO126" s="28" t="str">
        <f aca="false">IF($A126="","",IF($P126="No","n/a",ROUND((AH126-AG126)*60,0)))</f>
        <v/>
      </c>
      <c r="AP126" s="28" t="str">
        <f aca="false">IF($A126="","",ROUND((AH126-AK126)*60,0))</f>
        <v/>
      </c>
      <c r="AQ126" s="28" t="str">
        <f aca="false">IF($A126="","",ROUND((AI126-AH126)*60,0))</f>
        <v/>
      </c>
      <c r="AR126" s="4" t="str">
        <f aca="false">IF($A126="","",IF(AP126&gt;=AC126,"Yes","No"))</f>
        <v/>
      </c>
      <c r="AS126" s="4" t="str">
        <f aca="false">IF($A126="","",IF(AQ126&gt;=AD126+AL126,"Yes","No"))</f>
        <v/>
      </c>
      <c r="AT126" s="4" t="str">
        <f aca="false">IF($A126="","",IF(AND(AR126="Yes",AS126="Yes"),"OK","REVIEW"))</f>
        <v/>
      </c>
      <c r="AU126" s="4" t="str">
        <f aca="false">IF($A126="","",IF($P126="No","Not applicable",IF(AO126&lt;Constants!$B$14,"CAPTURE","Not needed")))</f>
        <v/>
      </c>
      <c r="AV126" s="4" t="str">
        <f aca="false">IF($A126="","",IF($P126="No","n/a",RANK(AO126,AO:AO,1)))</f>
        <v/>
      </c>
      <c r="AW126" s="4" t="str">
        <f aca="false">IF($A126="","",IF(UPPER($E126)="YES","Strategic","Non-strategic"))</f>
        <v/>
      </c>
      <c r="AX126" s="4" t="str">
        <f aca="false">IF($A126="","",COUNTIFS(Fact_Work!$C:$C,$A126))</f>
        <v/>
      </c>
      <c r="AY126" s="4" t="str">
        <f aca="false">IF($A126="","",IF(AX126=0,"Not seen",IF(AX126&gt;=Constants!$B$13*0.6,"Daily",IF(AX126&gt;=Constants!$B$13*0.12,"Weekly","Monthly or ad hoc"))))</f>
        <v/>
      </c>
      <c r="AZ126" s="22" t="str">
        <f aca="false">IF($A126="","",IFERROR(VLOOKUP($U126,Dim_TOP!$A:$H,8,0),""))</f>
        <v/>
      </c>
      <c r="BA126" s="28" t="str">
        <f aca="false">IF($A126="","",IFERROR(ROUND((AH126-AZ126)*60,0),""))</f>
        <v/>
      </c>
      <c r="BB126" s="4" t="str">
        <f aca="false">IF($A126="","",IF(BA126="","",IF(BA126&lt;=0,"Sets the deadline","Later than peers by "&amp;BA126&amp;" min")))</f>
        <v/>
      </c>
      <c r="BC126" s="29" t="str">
        <f aca="false">IF($A126="","",IF($U126="",0,IF(COUNTIFS($U$2:$U126,$U126,$C$2:$C126,$C126)=1,1,0)))</f>
        <v/>
      </c>
      <c r="BD126" s="10" t="str">
        <f aca="false">IF($A126="","",IF(UPPER($P126)="YES","Yes","No"))</f>
        <v/>
      </c>
      <c r="BE126" s="10" t="str">
        <f aca="false">IF($A126="","",IF($N126="No","n/a",IF(AM126&lt;=Constants!$B$17,"Yes","No")))</f>
        <v/>
      </c>
      <c r="BF126" s="10" t="str">
        <f aca="false">IF($A126="","",IF($O126="No","n/a",IF(AN126&lt;=Constants!$B$17,"Yes","No")))</f>
        <v/>
      </c>
      <c r="BG126" s="10" t="str">
        <f aca="false">IF($A126="","",IF($P126="No","n/a",IF(AO126&lt;=Constants!$B$17,"Yes","No")))</f>
        <v/>
      </c>
      <c r="BH126" s="10" t="str">
        <f aca="false">IF($A126="","",IF($N126="No","No custody process",IF(BE126="Yes","Thin custody slack","Ample custody slack")))</f>
        <v/>
      </c>
      <c r="BI126" s="30" t="str">
        <f aca="false">IF($A126="","",IF($N126="No","",AM126))</f>
        <v/>
      </c>
      <c r="BJ126" s="30" t="str">
        <f aca="false">IF($A126="","",IF($O126="No","",AN126))</f>
        <v/>
      </c>
      <c r="BK126" s="30" t="str">
        <f aca="false">IF($A126="","",IF($P126="No","",AO126))</f>
        <v/>
      </c>
    </row>
    <row r="127" customFormat="false" ht="15" hidden="false" customHeight="true" outlineLevel="0" collapsed="false">
      <c r="Z127" s="28" t="str">
        <f aca="false">IF($A127="","",Constants!$B$6+$I127*Constants!$B$7+$J127*Constants!$B$8+$K127*Constants!$B$9+$L127*Constants!$B$10+$M127*Constants!$B$11)</f>
        <v/>
      </c>
      <c r="AA127" s="28" t="str">
        <f aca="false">IF($A127="","",100-Z127)</f>
        <v/>
      </c>
      <c r="AB127" s="28" t="str">
        <f aca="false">IF($A127="","",ROUND($H127*Constants!$B$4,1))</f>
        <v/>
      </c>
      <c r="AC127" s="28" t="str">
        <f aca="false">IF($A127="","",ROUND(AB127*Z127/100,1))</f>
        <v/>
      </c>
      <c r="AD127" s="28" t="str">
        <f aca="false">IF($A127="","",ROUND(AB127*AA127/100,1))</f>
        <v/>
      </c>
      <c r="AE127" s="22" t="str">
        <f aca="false">IF($A127="","",HOUR($Q127)+MINUTE($Q127)/60)</f>
        <v/>
      </c>
      <c r="AF127" s="22" t="str">
        <f aca="false">IF($A127="","",HOUR($R127)+MINUTE($R127)/60)</f>
        <v/>
      </c>
      <c r="AG127" s="22" t="str">
        <f aca="false">IF($A127="","",HOUR($S127)+MINUTE($S127)/60)</f>
        <v/>
      </c>
      <c r="AH127" s="22" t="str">
        <f aca="false">IF($A127="","",HOUR($T127)+MINUTE($T127)/60)</f>
        <v/>
      </c>
      <c r="AI127" s="22" t="str">
        <f aca="false">IF($A127="","",HOUR($V127)+MINUTE($V127)/60)</f>
        <v/>
      </c>
      <c r="AJ127" s="22" t="str">
        <f aca="false">IF($A127="","",HOUR($W127)+MINUTE($W127)/60)</f>
        <v/>
      </c>
      <c r="AK127" s="22" t="str">
        <f aca="false">IF($A127="","",VLOOKUP($F127,Dim_Team!$A:$F,6,0))</f>
        <v/>
      </c>
      <c r="AL127" s="28" t="str">
        <f aca="false">IF($A127="","",VLOOKUP($X127,Dim_Signoff!$A:$C,3,0))</f>
        <v/>
      </c>
      <c r="AM127" s="28" t="str">
        <f aca="false">IF($A127="","",IF($N127="No","n/a",ROUND((AH127-AE127)*60,0)))</f>
        <v/>
      </c>
      <c r="AN127" s="28" t="str">
        <f aca="false">IF($A127="","",IF($O127="No","n/a",ROUND((AH127-AF127)*60,0)))</f>
        <v/>
      </c>
      <c r="AO127" s="28" t="str">
        <f aca="false">IF($A127="","",IF($P127="No","n/a",ROUND((AH127-AG127)*60,0)))</f>
        <v/>
      </c>
      <c r="AP127" s="28" t="str">
        <f aca="false">IF($A127="","",ROUND((AH127-AK127)*60,0))</f>
        <v/>
      </c>
      <c r="AQ127" s="28" t="str">
        <f aca="false">IF($A127="","",ROUND((AI127-AH127)*60,0))</f>
        <v/>
      </c>
      <c r="AR127" s="4" t="str">
        <f aca="false">IF($A127="","",IF(AP127&gt;=AC127,"Yes","No"))</f>
        <v/>
      </c>
      <c r="AS127" s="4" t="str">
        <f aca="false">IF($A127="","",IF(AQ127&gt;=AD127+AL127,"Yes","No"))</f>
        <v/>
      </c>
      <c r="AT127" s="4" t="str">
        <f aca="false">IF($A127="","",IF(AND(AR127="Yes",AS127="Yes"),"OK","REVIEW"))</f>
        <v/>
      </c>
      <c r="AU127" s="4" t="str">
        <f aca="false">IF($A127="","",IF($P127="No","Not applicable",IF(AO127&lt;Constants!$B$14,"CAPTURE","Not needed")))</f>
        <v/>
      </c>
      <c r="AV127" s="4" t="str">
        <f aca="false">IF($A127="","",IF($P127="No","n/a",RANK(AO127,AO:AO,1)))</f>
        <v/>
      </c>
      <c r="AW127" s="4" t="str">
        <f aca="false">IF($A127="","",IF(UPPER($E127)="YES","Strategic","Non-strategic"))</f>
        <v/>
      </c>
      <c r="AX127" s="4" t="str">
        <f aca="false">IF($A127="","",COUNTIFS(Fact_Work!$C:$C,$A127))</f>
        <v/>
      </c>
      <c r="AY127" s="4" t="str">
        <f aca="false">IF($A127="","",IF(AX127=0,"Not seen",IF(AX127&gt;=Constants!$B$13*0.6,"Daily",IF(AX127&gt;=Constants!$B$13*0.12,"Weekly","Monthly or ad hoc"))))</f>
        <v/>
      </c>
      <c r="AZ127" s="22" t="str">
        <f aca="false">IF($A127="","",IFERROR(VLOOKUP($U127,Dim_TOP!$A:$H,8,0),""))</f>
        <v/>
      </c>
      <c r="BA127" s="28" t="str">
        <f aca="false">IF($A127="","",IFERROR(ROUND((AH127-AZ127)*60,0),""))</f>
        <v/>
      </c>
      <c r="BB127" s="4" t="str">
        <f aca="false">IF($A127="","",IF(BA127="","",IF(BA127&lt;=0,"Sets the deadline","Later than peers by "&amp;BA127&amp;" min")))</f>
        <v/>
      </c>
      <c r="BC127" s="29" t="str">
        <f aca="false">IF($A127="","",IF($U127="",0,IF(COUNTIFS($U$2:$U127,$U127,$C$2:$C127,$C127)=1,1,0)))</f>
        <v/>
      </c>
      <c r="BD127" s="10" t="str">
        <f aca="false">IF($A127="","",IF(UPPER($P127)="YES","Yes","No"))</f>
        <v/>
      </c>
      <c r="BE127" s="10" t="str">
        <f aca="false">IF($A127="","",IF($N127="No","n/a",IF(AM127&lt;=Constants!$B$17,"Yes","No")))</f>
        <v/>
      </c>
      <c r="BF127" s="10" t="str">
        <f aca="false">IF($A127="","",IF($O127="No","n/a",IF(AN127&lt;=Constants!$B$17,"Yes","No")))</f>
        <v/>
      </c>
      <c r="BG127" s="10" t="str">
        <f aca="false">IF($A127="","",IF($P127="No","n/a",IF(AO127&lt;=Constants!$B$17,"Yes","No")))</f>
        <v/>
      </c>
      <c r="BH127" s="10" t="str">
        <f aca="false">IF($A127="","",IF($N127="No","No custody process",IF(BE127="Yes","Thin custody slack","Ample custody slack")))</f>
        <v/>
      </c>
      <c r="BI127" s="30" t="str">
        <f aca="false">IF($A127="","",IF($N127="No","",AM127))</f>
        <v/>
      </c>
      <c r="BJ127" s="30" t="str">
        <f aca="false">IF($A127="","",IF($O127="No","",AN127))</f>
        <v/>
      </c>
      <c r="BK127" s="30" t="str">
        <f aca="false">IF($A127="","",IF($P127="No","",AO127))</f>
        <v/>
      </c>
    </row>
    <row r="128" customFormat="false" ht="15" hidden="false" customHeight="true" outlineLevel="0" collapsed="false">
      <c r="Z128" s="28" t="str">
        <f aca="false">IF($A128="","",Constants!$B$6+$I128*Constants!$B$7+$J128*Constants!$B$8+$K128*Constants!$B$9+$L128*Constants!$B$10+$M128*Constants!$B$11)</f>
        <v/>
      </c>
      <c r="AA128" s="28" t="str">
        <f aca="false">IF($A128="","",100-Z128)</f>
        <v/>
      </c>
      <c r="AB128" s="28" t="str">
        <f aca="false">IF($A128="","",ROUND($H128*Constants!$B$4,1))</f>
        <v/>
      </c>
      <c r="AC128" s="28" t="str">
        <f aca="false">IF($A128="","",ROUND(AB128*Z128/100,1))</f>
        <v/>
      </c>
      <c r="AD128" s="28" t="str">
        <f aca="false">IF($A128="","",ROUND(AB128*AA128/100,1))</f>
        <v/>
      </c>
      <c r="AE128" s="22" t="str">
        <f aca="false">IF($A128="","",HOUR($Q128)+MINUTE($Q128)/60)</f>
        <v/>
      </c>
      <c r="AF128" s="22" t="str">
        <f aca="false">IF($A128="","",HOUR($R128)+MINUTE($R128)/60)</f>
        <v/>
      </c>
      <c r="AG128" s="22" t="str">
        <f aca="false">IF($A128="","",HOUR($S128)+MINUTE($S128)/60)</f>
        <v/>
      </c>
      <c r="AH128" s="22" t="str">
        <f aca="false">IF($A128="","",HOUR($T128)+MINUTE($T128)/60)</f>
        <v/>
      </c>
      <c r="AI128" s="22" t="str">
        <f aca="false">IF($A128="","",HOUR($V128)+MINUTE($V128)/60)</f>
        <v/>
      </c>
      <c r="AJ128" s="22" t="str">
        <f aca="false">IF($A128="","",HOUR($W128)+MINUTE($W128)/60)</f>
        <v/>
      </c>
      <c r="AK128" s="22" t="str">
        <f aca="false">IF($A128="","",VLOOKUP($F128,Dim_Team!$A:$F,6,0))</f>
        <v/>
      </c>
      <c r="AL128" s="28" t="str">
        <f aca="false">IF($A128="","",VLOOKUP($X128,Dim_Signoff!$A:$C,3,0))</f>
        <v/>
      </c>
      <c r="AM128" s="28" t="str">
        <f aca="false">IF($A128="","",IF($N128="No","n/a",ROUND((AH128-AE128)*60,0)))</f>
        <v/>
      </c>
      <c r="AN128" s="28" t="str">
        <f aca="false">IF($A128="","",IF($O128="No","n/a",ROUND((AH128-AF128)*60,0)))</f>
        <v/>
      </c>
      <c r="AO128" s="28" t="str">
        <f aca="false">IF($A128="","",IF($P128="No","n/a",ROUND((AH128-AG128)*60,0)))</f>
        <v/>
      </c>
      <c r="AP128" s="28" t="str">
        <f aca="false">IF($A128="","",ROUND((AH128-AK128)*60,0))</f>
        <v/>
      </c>
      <c r="AQ128" s="28" t="str">
        <f aca="false">IF($A128="","",ROUND((AI128-AH128)*60,0))</f>
        <v/>
      </c>
      <c r="AR128" s="4" t="str">
        <f aca="false">IF($A128="","",IF(AP128&gt;=AC128,"Yes","No"))</f>
        <v/>
      </c>
      <c r="AS128" s="4" t="str">
        <f aca="false">IF($A128="","",IF(AQ128&gt;=AD128+AL128,"Yes","No"))</f>
        <v/>
      </c>
      <c r="AT128" s="4" t="str">
        <f aca="false">IF($A128="","",IF(AND(AR128="Yes",AS128="Yes"),"OK","REVIEW"))</f>
        <v/>
      </c>
      <c r="AU128" s="4" t="str">
        <f aca="false">IF($A128="","",IF($P128="No","Not applicable",IF(AO128&lt;Constants!$B$14,"CAPTURE","Not needed")))</f>
        <v/>
      </c>
      <c r="AV128" s="4" t="str">
        <f aca="false">IF($A128="","",IF($P128="No","n/a",RANK(AO128,AO:AO,1)))</f>
        <v/>
      </c>
      <c r="AW128" s="4" t="str">
        <f aca="false">IF($A128="","",IF(UPPER($E128)="YES","Strategic","Non-strategic"))</f>
        <v/>
      </c>
      <c r="AX128" s="4" t="str">
        <f aca="false">IF($A128="","",COUNTIFS(Fact_Work!$C:$C,$A128))</f>
        <v/>
      </c>
      <c r="AY128" s="4" t="str">
        <f aca="false">IF($A128="","",IF(AX128=0,"Not seen",IF(AX128&gt;=Constants!$B$13*0.6,"Daily",IF(AX128&gt;=Constants!$B$13*0.12,"Weekly","Monthly or ad hoc"))))</f>
        <v/>
      </c>
      <c r="AZ128" s="22" t="str">
        <f aca="false">IF($A128="","",IFERROR(VLOOKUP($U128,Dim_TOP!$A:$H,8,0),""))</f>
        <v/>
      </c>
      <c r="BA128" s="28" t="str">
        <f aca="false">IF($A128="","",IFERROR(ROUND((AH128-AZ128)*60,0),""))</f>
        <v/>
      </c>
      <c r="BB128" s="4" t="str">
        <f aca="false">IF($A128="","",IF(BA128="","",IF(BA128&lt;=0,"Sets the deadline","Later than peers by "&amp;BA128&amp;" min")))</f>
        <v/>
      </c>
      <c r="BC128" s="29" t="str">
        <f aca="false">IF($A128="","",IF($U128="",0,IF(COUNTIFS($U$2:$U128,$U128,$C$2:$C128,$C128)=1,1,0)))</f>
        <v/>
      </c>
      <c r="BD128" s="10" t="str">
        <f aca="false">IF($A128="","",IF(UPPER($P128)="YES","Yes","No"))</f>
        <v/>
      </c>
      <c r="BE128" s="10" t="str">
        <f aca="false">IF($A128="","",IF($N128="No","n/a",IF(AM128&lt;=Constants!$B$17,"Yes","No")))</f>
        <v/>
      </c>
      <c r="BF128" s="10" t="str">
        <f aca="false">IF($A128="","",IF($O128="No","n/a",IF(AN128&lt;=Constants!$B$17,"Yes","No")))</f>
        <v/>
      </c>
      <c r="BG128" s="10" t="str">
        <f aca="false">IF($A128="","",IF($P128="No","n/a",IF(AO128&lt;=Constants!$B$17,"Yes","No")))</f>
        <v/>
      </c>
      <c r="BH128" s="10" t="str">
        <f aca="false">IF($A128="","",IF($N128="No","No custody process",IF(BE128="Yes","Thin custody slack","Ample custody slack")))</f>
        <v/>
      </c>
      <c r="BI128" s="30" t="str">
        <f aca="false">IF($A128="","",IF($N128="No","",AM128))</f>
        <v/>
      </c>
      <c r="BJ128" s="30" t="str">
        <f aca="false">IF($A128="","",IF($O128="No","",AN128))</f>
        <v/>
      </c>
      <c r="BK128" s="30" t="str">
        <f aca="false">IF($A128="","",IF($P128="No","",AO128))</f>
        <v/>
      </c>
    </row>
    <row r="129" customFormat="false" ht="15" hidden="false" customHeight="true" outlineLevel="0" collapsed="false">
      <c r="Z129" s="28" t="str">
        <f aca="false">IF($A129="","",Constants!$B$6+$I129*Constants!$B$7+$J129*Constants!$B$8+$K129*Constants!$B$9+$L129*Constants!$B$10+$M129*Constants!$B$11)</f>
        <v/>
      </c>
      <c r="AA129" s="28" t="str">
        <f aca="false">IF($A129="","",100-Z129)</f>
        <v/>
      </c>
      <c r="AB129" s="28" t="str">
        <f aca="false">IF($A129="","",ROUND($H129*Constants!$B$4,1))</f>
        <v/>
      </c>
      <c r="AC129" s="28" t="str">
        <f aca="false">IF($A129="","",ROUND(AB129*Z129/100,1))</f>
        <v/>
      </c>
      <c r="AD129" s="28" t="str">
        <f aca="false">IF($A129="","",ROUND(AB129*AA129/100,1))</f>
        <v/>
      </c>
      <c r="AE129" s="22" t="str">
        <f aca="false">IF($A129="","",HOUR($Q129)+MINUTE($Q129)/60)</f>
        <v/>
      </c>
      <c r="AF129" s="22" t="str">
        <f aca="false">IF($A129="","",HOUR($R129)+MINUTE($R129)/60)</f>
        <v/>
      </c>
      <c r="AG129" s="22" t="str">
        <f aca="false">IF($A129="","",HOUR($S129)+MINUTE($S129)/60)</f>
        <v/>
      </c>
      <c r="AH129" s="22" t="str">
        <f aca="false">IF($A129="","",HOUR($T129)+MINUTE($T129)/60)</f>
        <v/>
      </c>
      <c r="AI129" s="22" t="str">
        <f aca="false">IF($A129="","",HOUR($V129)+MINUTE($V129)/60)</f>
        <v/>
      </c>
      <c r="AJ129" s="22" t="str">
        <f aca="false">IF($A129="","",HOUR($W129)+MINUTE($W129)/60)</f>
        <v/>
      </c>
      <c r="AK129" s="22" t="str">
        <f aca="false">IF($A129="","",VLOOKUP($F129,Dim_Team!$A:$F,6,0))</f>
        <v/>
      </c>
      <c r="AL129" s="28" t="str">
        <f aca="false">IF($A129="","",VLOOKUP($X129,Dim_Signoff!$A:$C,3,0))</f>
        <v/>
      </c>
      <c r="AM129" s="28" t="str">
        <f aca="false">IF($A129="","",IF($N129="No","n/a",ROUND((AH129-AE129)*60,0)))</f>
        <v/>
      </c>
      <c r="AN129" s="28" t="str">
        <f aca="false">IF($A129="","",IF($O129="No","n/a",ROUND((AH129-AF129)*60,0)))</f>
        <v/>
      </c>
      <c r="AO129" s="28" t="str">
        <f aca="false">IF($A129="","",IF($P129="No","n/a",ROUND((AH129-AG129)*60,0)))</f>
        <v/>
      </c>
      <c r="AP129" s="28" t="str">
        <f aca="false">IF($A129="","",ROUND((AH129-AK129)*60,0))</f>
        <v/>
      </c>
      <c r="AQ129" s="28" t="str">
        <f aca="false">IF($A129="","",ROUND((AI129-AH129)*60,0))</f>
        <v/>
      </c>
      <c r="AR129" s="4" t="str">
        <f aca="false">IF($A129="","",IF(AP129&gt;=AC129,"Yes","No"))</f>
        <v/>
      </c>
      <c r="AS129" s="4" t="str">
        <f aca="false">IF($A129="","",IF(AQ129&gt;=AD129+AL129,"Yes","No"))</f>
        <v/>
      </c>
      <c r="AT129" s="4" t="str">
        <f aca="false">IF($A129="","",IF(AND(AR129="Yes",AS129="Yes"),"OK","REVIEW"))</f>
        <v/>
      </c>
      <c r="AU129" s="4" t="str">
        <f aca="false">IF($A129="","",IF($P129="No","Not applicable",IF(AO129&lt;Constants!$B$14,"CAPTURE","Not needed")))</f>
        <v/>
      </c>
      <c r="AV129" s="4" t="str">
        <f aca="false">IF($A129="","",IF($P129="No","n/a",RANK(AO129,AO:AO,1)))</f>
        <v/>
      </c>
      <c r="AW129" s="4" t="str">
        <f aca="false">IF($A129="","",IF(UPPER($E129)="YES","Strategic","Non-strategic"))</f>
        <v/>
      </c>
      <c r="AX129" s="4" t="str">
        <f aca="false">IF($A129="","",COUNTIFS(Fact_Work!$C:$C,$A129))</f>
        <v/>
      </c>
      <c r="AY129" s="4" t="str">
        <f aca="false">IF($A129="","",IF(AX129=0,"Not seen",IF(AX129&gt;=Constants!$B$13*0.6,"Daily",IF(AX129&gt;=Constants!$B$13*0.12,"Weekly","Monthly or ad hoc"))))</f>
        <v/>
      </c>
      <c r="AZ129" s="22" t="str">
        <f aca="false">IF($A129="","",IFERROR(VLOOKUP($U129,Dim_TOP!$A:$H,8,0),""))</f>
        <v/>
      </c>
      <c r="BA129" s="28" t="str">
        <f aca="false">IF($A129="","",IFERROR(ROUND((AH129-AZ129)*60,0),""))</f>
        <v/>
      </c>
      <c r="BB129" s="4" t="str">
        <f aca="false">IF($A129="","",IF(BA129="","",IF(BA129&lt;=0,"Sets the deadline","Later than peers by "&amp;BA129&amp;" min")))</f>
        <v/>
      </c>
      <c r="BC129" s="29" t="str">
        <f aca="false">IF($A129="","",IF($U129="",0,IF(COUNTIFS($U$2:$U129,$U129,$C$2:$C129,$C129)=1,1,0)))</f>
        <v/>
      </c>
      <c r="BD129" s="10" t="str">
        <f aca="false">IF($A129="","",IF(UPPER($P129)="YES","Yes","No"))</f>
        <v/>
      </c>
      <c r="BE129" s="10" t="str">
        <f aca="false">IF($A129="","",IF($N129="No","n/a",IF(AM129&lt;=Constants!$B$17,"Yes","No")))</f>
        <v/>
      </c>
      <c r="BF129" s="10" t="str">
        <f aca="false">IF($A129="","",IF($O129="No","n/a",IF(AN129&lt;=Constants!$B$17,"Yes","No")))</f>
        <v/>
      </c>
      <c r="BG129" s="10" t="str">
        <f aca="false">IF($A129="","",IF($P129="No","n/a",IF(AO129&lt;=Constants!$B$17,"Yes","No")))</f>
        <v/>
      </c>
      <c r="BH129" s="10" t="str">
        <f aca="false">IF($A129="","",IF($N129="No","No custody process",IF(BE129="Yes","Thin custody slack","Ample custody slack")))</f>
        <v/>
      </c>
      <c r="BI129" s="30" t="str">
        <f aca="false">IF($A129="","",IF($N129="No","",AM129))</f>
        <v/>
      </c>
      <c r="BJ129" s="30" t="str">
        <f aca="false">IF($A129="","",IF($O129="No","",AN129))</f>
        <v/>
      </c>
      <c r="BK129" s="30" t="str">
        <f aca="false">IF($A129="","",IF($P129="No","",AO129))</f>
        <v/>
      </c>
    </row>
    <row r="130" customFormat="false" ht="15" hidden="false" customHeight="true" outlineLevel="0" collapsed="false">
      <c r="Z130" s="28" t="str">
        <f aca="false">IF($A130="","",Constants!$B$6+$I130*Constants!$B$7+$J130*Constants!$B$8+$K130*Constants!$B$9+$L130*Constants!$B$10+$M130*Constants!$B$11)</f>
        <v/>
      </c>
      <c r="AA130" s="28" t="str">
        <f aca="false">IF($A130="","",100-Z130)</f>
        <v/>
      </c>
      <c r="AB130" s="28" t="str">
        <f aca="false">IF($A130="","",ROUND($H130*Constants!$B$4,1))</f>
        <v/>
      </c>
      <c r="AC130" s="28" t="str">
        <f aca="false">IF($A130="","",ROUND(AB130*Z130/100,1))</f>
        <v/>
      </c>
      <c r="AD130" s="28" t="str">
        <f aca="false">IF($A130="","",ROUND(AB130*AA130/100,1))</f>
        <v/>
      </c>
      <c r="AE130" s="22" t="str">
        <f aca="false">IF($A130="","",HOUR($Q130)+MINUTE($Q130)/60)</f>
        <v/>
      </c>
      <c r="AF130" s="22" t="str">
        <f aca="false">IF($A130="","",HOUR($R130)+MINUTE($R130)/60)</f>
        <v/>
      </c>
      <c r="AG130" s="22" t="str">
        <f aca="false">IF($A130="","",HOUR($S130)+MINUTE($S130)/60)</f>
        <v/>
      </c>
      <c r="AH130" s="22" t="str">
        <f aca="false">IF($A130="","",HOUR($T130)+MINUTE($T130)/60)</f>
        <v/>
      </c>
      <c r="AI130" s="22" t="str">
        <f aca="false">IF($A130="","",HOUR($V130)+MINUTE($V130)/60)</f>
        <v/>
      </c>
      <c r="AJ130" s="22" t="str">
        <f aca="false">IF($A130="","",HOUR($W130)+MINUTE($W130)/60)</f>
        <v/>
      </c>
      <c r="AK130" s="22" t="str">
        <f aca="false">IF($A130="","",VLOOKUP($F130,Dim_Team!$A:$F,6,0))</f>
        <v/>
      </c>
      <c r="AL130" s="28" t="str">
        <f aca="false">IF($A130="","",VLOOKUP($X130,Dim_Signoff!$A:$C,3,0))</f>
        <v/>
      </c>
      <c r="AM130" s="28" t="str">
        <f aca="false">IF($A130="","",IF($N130="No","n/a",ROUND((AH130-AE130)*60,0)))</f>
        <v/>
      </c>
      <c r="AN130" s="28" t="str">
        <f aca="false">IF($A130="","",IF($O130="No","n/a",ROUND((AH130-AF130)*60,0)))</f>
        <v/>
      </c>
      <c r="AO130" s="28" t="str">
        <f aca="false">IF($A130="","",IF($P130="No","n/a",ROUND((AH130-AG130)*60,0)))</f>
        <v/>
      </c>
      <c r="AP130" s="28" t="str">
        <f aca="false">IF($A130="","",ROUND((AH130-AK130)*60,0))</f>
        <v/>
      </c>
      <c r="AQ130" s="28" t="str">
        <f aca="false">IF($A130="","",ROUND((AI130-AH130)*60,0))</f>
        <v/>
      </c>
      <c r="AR130" s="4" t="str">
        <f aca="false">IF($A130="","",IF(AP130&gt;=AC130,"Yes","No"))</f>
        <v/>
      </c>
      <c r="AS130" s="4" t="str">
        <f aca="false">IF($A130="","",IF(AQ130&gt;=AD130+AL130,"Yes","No"))</f>
        <v/>
      </c>
      <c r="AT130" s="4" t="str">
        <f aca="false">IF($A130="","",IF(AND(AR130="Yes",AS130="Yes"),"OK","REVIEW"))</f>
        <v/>
      </c>
      <c r="AU130" s="4" t="str">
        <f aca="false">IF($A130="","",IF($P130="No","Not applicable",IF(AO130&lt;Constants!$B$14,"CAPTURE","Not needed")))</f>
        <v/>
      </c>
      <c r="AV130" s="4" t="str">
        <f aca="false">IF($A130="","",IF($P130="No","n/a",RANK(AO130,AO:AO,1)))</f>
        <v/>
      </c>
      <c r="AW130" s="4" t="str">
        <f aca="false">IF($A130="","",IF(UPPER($E130)="YES","Strategic","Non-strategic"))</f>
        <v/>
      </c>
      <c r="AX130" s="4" t="str">
        <f aca="false">IF($A130="","",COUNTIFS(Fact_Work!$C:$C,$A130))</f>
        <v/>
      </c>
      <c r="AY130" s="4" t="str">
        <f aca="false">IF($A130="","",IF(AX130=0,"Not seen",IF(AX130&gt;=Constants!$B$13*0.6,"Daily",IF(AX130&gt;=Constants!$B$13*0.12,"Weekly","Monthly or ad hoc"))))</f>
        <v/>
      </c>
      <c r="AZ130" s="22" t="str">
        <f aca="false">IF($A130="","",IFERROR(VLOOKUP($U130,Dim_TOP!$A:$H,8,0),""))</f>
        <v/>
      </c>
      <c r="BA130" s="28" t="str">
        <f aca="false">IF($A130="","",IFERROR(ROUND((AH130-AZ130)*60,0),""))</f>
        <v/>
      </c>
      <c r="BB130" s="4" t="str">
        <f aca="false">IF($A130="","",IF(BA130="","",IF(BA130&lt;=0,"Sets the deadline","Later than peers by "&amp;BA130&amp;" min")))</f>
        <v/>
      </c>
      <c r="BC130" s="29" t="str">
        <f aca="false">IF($A130="","",IF($U130="",0,IF(COUNTIFS($U$2:$U130,$U130,$C$2:$C130,$C130)=1,1,0)))</f>
        <v/>
      </c>
      <c r="BD130" s="10" t="str">
        <f aca="false">IF($A130="","",IF(UPPER($P130)="YES","Yes","No"))</f>
        <v/>
      </c>
      <c r="BE130" s="10" t="str">
        <f aca="false">IF($A130="","",IF($N130="No","n/a",IF(AM130&lt;=Constants!$B$17,"Yes","No")))</f>
        <v/>
      </c>
      <c r="BF130" s="10" t="str">
        <f aca="false">IF($A130="","",IF($O130="No","n/a",IF(AN130&lt;=Constants!$B$17,"Yes","No")))</f>
        <v/>
      </c>
      <c r="BG130" s="10" t="str">
        <f aca="false">IF($A130="","",IF($P130="No","n/a",IF(AO130&lt;=Constants!$B$17,"Yes","No")))</f>
        <v/>
      </c>
      <c r="BH130" s="10" t="str">
        <f aca="false">IF($A130="","",IF($N130="No","No custody process",IF(BE130="Yes","Thin custody slack","Ample custody slack")))</f>
        <v/>
      </c>
      <c r="BI130" s="30" t="str">
        <f aca="false">IF($A130="","",IF($N130="No","",AM130))</f>
        <v/>
      </c>
      <c r="BJ130" s="30" t="str">
        <f aca="false">IF($A130="","",IF($O130="No","",AN130))</f>
        <v/>
      </c>
      <c r="BK130" s="30" t="str">
        <f aca="false">IF($A130="","",IF($P130="No","",AO130))</f>
        <v/>
      </c>
    </row>
    <row r="131" customFormat="false" ht="15" hidden="false" customHeight="true" outlineLevel="0" collapsed="false">
      <c r="Z131" s="28" t="str">
        <f aca="false">IF($A131="","",Constants!$B$6+$I131*Constants!$B$7+$J131*Constants!$B$8+$K131*Constants!$B$9+$L131*Constants!$B$10+$M131*Constants!$B$11)</f>
        <v/>
      </c>
      <c r="AA131" s="28" t="str">
        <f aca="false">IF($A131="","",100-Z131)</f>
        <v/>
      </c>
      <c r="AB131" s="28" t="str">
        <f aca="false">IF($A131="","",ROUND($H131*Constants!$B$4,1))</f>
        <v/>
      </c>
      <c r="AC131" s="28" t="str">
        <f aca="false">IF($A131="","",ROUND(AB131*Z131/100,1))</f>
        <v/>
      </c>
      <c r="AD131" s="28" t="str">
        <f aca="false">IF($A131="","",ROUND(AB131*AA131/100,1))</f>
        <v/>
      </c>
      <c r="AE131" s="22" t="str">
        <f aca="false">IF($A131="","",HOUR($Q131)+MINUTE($Q131)/60)</f>
        <v/>
      </c>
      <c r="AF131" s="22" t="str">
        <f aca="false">IF($A131="","",HOUR($R131)+MINUTE($R131)/60)</f>
        <v/>
      </c>
      <c r="AG131" s="22" t="str">
        <f aca="false">IF($A131="","",HOUR($S131)+MINUTE($S131)/60)</f>
        <v/>
      </c>
      <c r="AH131" s="22" t="str">
        <f aca="false">IF($A131="","",HOUR($T131)+MINUTE($T131)/60)</f>
        <v/>
      </c>
      <c r="AI131" s="22" t="str">
        <f aca="false">IF($A131="","",HOUR($V131)+MINUTE($V131)/60)</f>
        <v/>
      </c>
      <c r="AJ131" s="22" t="str">
        <f aca="false">IF($A131="","",HOUR($W131)+MINUTE($W131)/60)</f>
        <v/>
      </c>
      <c r="AK131" s="22" t="str">
        <f aca="false">IF($A131="","",VLOOKUP($F131,Dim_Team!$A:$F,6,0))</f>
        <v/>
      </c>
      <c r="AL131" s="28" t="str">
        <f aca="false">IF($A131="","",VLOOKUP($X131,Dim_Signoff!$A:$C,3,0))</f>
        <v/>
      </c>
      <c r="AM131" s="28" t="str">
        <f aca="false">IF($A131="","",IF($N131="No","n/a",ROUND((AH131-AE131)*60,0)))</f>
        <v/>
      </c>
      <c r="AN131" s="28" t="str">
        <f aca="false">IF($A131="","",IF($O131="No","n/a",ROUND((AH131-AF131)*60,0)))</f>
        <v/>
      </c>
      <c r="AO131" s="28" t="str">
        <f aca="false">IF($A131="","",IF($P131="No","n/a",ROUND((AH131-AG131)*60,0)))</f>
        <v/>
      </c>
      <c r="AP131" s="28" t="str">
        <f aca="false">IF($A131="","",ROUND((AH131-AK131)*60,0))</f>
        <v/>
      </c>
      <c r="AQ131" s="28" t="str">
        <f aca="false">IF($A131="","",ROUND((AI131-AH131)*60,0))</f>
        <v/>
      </c>
      <c r="AR131" s="4" t="str">
        <f aca="false">IF($A131="","",IF(AP131&gt;=AC131,"Yes","No"))</f>
        <v/>
      </c>
      <c r="AS131" s="4" t="str">
        <f aca="false">IF($A131="","",IF(AQ131&gt;=AD131+AL131,"Yes","No"))</f>
        <v/>
      </c>
      <c r="AT131" s="4" t="str">
        <f aca="false">IF($A131="","",IF(AND(AR131="Yes",AS131="Yes"),"OK","REVIEW"))</f>
        <v/>
      </c>
      <c r="AU131" s="4" t="str">
        <f aca="false">IF($A131="","",IF($P131="No","Not applicable",IF(AO131&lt;Constants!$B$14,"CAPTURE","Not needed")))</f>
        <v/>
      </c>
      <c r="AV131" s="4" t="str">
        <f aca="false">IF($A131="","",IF($P131="No","n/a",RANK(AO131,AO:AO,1)))</f>
        <v/>
      </c>
      <c r="AW131" s="4" t="str">
        <f aca="false">IF($A131="","",IF(UPPER($E131)="YES","Strategic","Non-strategic"))</f>
        <v/>
      </c>
      <c r="AX131" s="4" t="str">
        <f aca="false">IF($A131="","",COUNTIFS(Fact_Work!$C:$C,$A131))</f>
        <v/>
      </c>
      <c r="AY131" s="4" t="str">
        <f aca="false">IF($A131="","",IF(AX131=0,"Not seen",IF(AX131&gt;=Constants!$B$13*0.6,"Daily",IF(AX131&gt;=Constants!$B$13*0.12,"Weekly","Monthly or ad hoc"))))</f>
        <v/>
      </c>
      <c r="AZ131" s="22" t="str">
        <f aca="false">IF($A131="","",IFERROR(VLOOKUP($U131,Dim_TOP!$A:$H,8,0),""))</f>
        <v/>
      </c>
      <c r="BA131" s="28" t="str">
        <f aca="false">IF($A131="","",IFERROR(ROUND((AH131-AZ131)*60,0),""))</f>
        <v/>
      </c>
      <c r="BB131" s="4" t="str">
        <f aca="false">IF($A131="","",IF(BA131="","",IF(BA131&lt;=0,"Sets the deadline","Later than peers by "&amp;BA131&amp;" min")))</f>
        <v/>
      </c>
      <c r="BC131" s="29" t="str">
        <f aca="false">IF($A131="","",IF($U131="",0,IF(COUNTIFS($U$2:$U131,$U131,$C$2:$C131,$C131)=1,1,0)))</f>
        <v/>
      </c>
      <c r="BD131" s="10" t="str">
        <f aca="false">IF($A131="","",IF(UPPER($P131)="YES","Yes","No"))</f>
        <v/>
      </c>
      <c r="BE131" s="10" t="str">
        <f aca="false">IF($A131="","",IF($N131="No","n/a",IF(AM131&lt;=Constants!$B$17,"Yes","No")))</f>
        <v/>
      </c>
      <c r="BF131" s="10" t="str">
        <f aca="false">IF($A131="","",IF($O131="No","n/a",IF(AN131&lt;=Constants!$B$17,"Yes","No")))</f>
        <v/>
      </c>
      <c r="BG131" s="10" t="str">
        <f aca="false">IF($A131="","",IF($P131="No","n/a",IF(AO131&lt;=Constants!$B$17,"Yes","No")))</f>
        <v/>
      </c>
      <c r="BH131" s="10" t="str">
        <f aca="false">IF($A131="","",IF($N131="No","No custody process",IF(BE131="Yes","Thin custody slack","Ample custody slack")))</f>
        <v/>
      </c>
      <c r="BI131" s="30" t="str">
        <f aca="false">IF($A131="","",IF($N131="No","",AM131))</f>
        <v/>
      </c>
      <c r="BJ131" s="30" t="str">
        <f aca="false">IF($A131="","",IF($O131="No","",AN131))</f>
        <v/>
      </c>
      <c r="BK131" s="30" t="str">
        <f aca="false">IF($A131="","",IF($P131="No","",AO131))</f>
        <v/>
      </c>
    </row>
    <row r="132" customFormat="false" ht="15" hidden="false" customHeight="true" outlineLevel="0" collapsed="false">
      <c r="Z132" s="28" t="str">
        <f aca="false">IF($A132="","",Constants!$B$6+$I132*Constants!$B$7+$J132*Constants!$B$8+$K132*Constants!$B$9+$L132*Constants!$B$10+$M132*Constants!$B$11)</f>
        <v/>
      </c>
      <c r="AA132" s="28" t="str">
        <f aca="false">IF($A132="","",100-Z132)</f>
        <v/>
      </c>
      <c r="AB132" s="28" t="str">
        <f aca="false">IF($A132="","",ROUND($H132*Constants!$B$4,1))</f>
        <v/>
      </c>
      <c r="AC132" s="28" t="str">
        <f aca="false">IF($A132="","",ROUND(AB132*Z132/100,1))</f>
        <v/>
      </c>
      <c r="AD132" s="28" t="str">
        <f aca="false">IF($A132="","",ROUND(AB132*AA132/100,1))</f>
        <v/>
      </c>
      <c r="AE132" s="22" t="str">
        <f aca="false">IF($A132="","",HOUR($Q132)+MINUTE($Q132)/60)</f>
        <v/>
      </c>
      <c r="AF132" s="22" t="str">
        <f aca="false">IF($A132="","",HOUR($R132)+MINUTE($R132)/60)</f>
        <v/>
      </c>
      <c r="AG132" s="22" t="str">
        <f aca="false">IF($A132="","",HOUR($S132)+MINUTE($S132)/60)</f>
        <v/>
      </c>
      <c r="AH132" s="22" t="str">
        <f aca="false">IF($A132="","",HOUR($T132)+MINUTE($T132)/60)</f>
        <v/>
      </c>
      <c r="AI132" s="22" t="str">
        <f aca="false">IF($A132="","",HOUR($V132)+MINUTE($V132)/60)</f>
        <v/>
      </c>
      <c r="AJ132" s="22" t="str">
        <f aca="false">IF($A132="","",HOUR($W132)+MINUTE($W132)/60)</f>
        <v/>
      </c>
      <c r="AK132" s="22" t="str">
        <f aca="false">IF($A132="","",VLOOKUP($F132,Dim_Team!$A:$F,6,0))</f>
        <v/>
      </c>
      <c r="AL132" s="28" t="str">
        <f aca="false">IF($A132="","",VLOOKUP($X132,Dim_Signoff!$A:$C,3,0))</f>
        <v/>
      </c>
      <c r="AM132" s="28" t="str">
        <f aca="false">IF($A132="","",IF($N132="No","n/a",ROUND((AH132-AE132)*60,0)))</f>
        <v/>
      </c>
      <c r="AN132" s="28" t="str">
        <f aca="false">IF($A132="","",IF($O132="No","n/a",ROUND((AH132-AF132)*60,0)))</f>
        <v/>
      </c>
      <c r="AO132" s="28" t="str">
        <f aca="false">IF($A132="","",IF($P132="No","n/a",ROUND((AH132-AG132)*60,0)))</f>
        <v/>
      </c>
      <c r="AP132" s="28" t="str">
        <f aca="false">IF($A132="","",ROUND((AH132-AK132)*60,0))</f>
        <v/>
      </c>
      <c r="AQ132" s="28" t="str">
        <f aca="false">IF($A132="","",ROUND((AI132-AH132)*60,0))</f>
        <v/>
      </c>
      <c r="AR132" s="4" t="str">
        <f aca="false">IF($A132="","",IF(AP132&gt;=AC132,"Yes","No"))</f>
        <v/>
      </c>
      <c r="AS132" s="4" t="str">
        <f aca="false">IF($A132="","",IF(AQ132&gt;=AD132+AL132,"Yes","No"))</f>
        <v/>
      </c>
      <c r="AT132" s="4" t="str">
        <f aca="false">IF($A132="","",IF(AND(AR132="Yes",AS132="Yes"),"OK","REVIEW"))</f>
        <v/>
      </c>
      <c r="AU132" s="4" t="str">
        <f aca="false">IF($A132="","",IF($P132="No","Not applicable",IF(AO132&lt;Constants!$B$14,"CAPTURE","Not needed")))</f>
        <v/>
      </c>
      <c r="AV132" s="4" t="str">
        <f aca="false">IF($A132="","",IF($P132="No","n/a",RANK(AO132,AO:AO,1)))</f>
        <v/>
      </c>
      <c r="AW132" s="4" t="str">
        <f aca="false">IF($A132="","",IF(UPPER($E132)="YES","Strategic","Non-strategic"))</f>
        <v/>
      </c>
      <c r="AX132" s="4" t="str">
        <f aca="false">IF($A132="","",COUNTIFS(Fact_Work!$C:$C,$A132))</f>
        <v/>
      </c>
      <c r="AY132" s="4" t="str">
        <f aca="false">IF($A132="","",IF(AX132=0,"Not seen",IF(AX132&gt;=Constants!$B$13*0.6,"Daily",IF(AX132&gt;=Constants!$B$13*0.12,"Weekly","Monthly or ad hoc"))))</f>
        <v/>
      </c>
      <c r="AZ132" s="22" t="str">
        <f aca="false">IF($A132="","",IFERROR(VLOOKUP($U132,Dim_TOP!$A:$H,8,0),""))</f>
        <v/>
      </c>
      <c r="BA132" s="28" t="str">
        <f aca="false">IF($A132="","",IFERROR(ROUND((AH132-AZ132)*60,0),""))</f>
        <v/>
      </c>
      <c r="BB132" s="4" t="str">
        <f aca="false">IF($A132="","",IF(BA132="","",IF(BA132&lt;=0,"Sets the deadline","Later than peers by "&amp;BA132&amp;" min")))</f>
        <v/>
      </c>
      <c r="BC132" s="29" t="str">
        <f aca="false">IF($A132="","",IF($U132="",0,IF(COUNTIFS($U$2:$U132,$U132,$C$2:$C132,$C132)=1,1,0)))</f>
        <v/>
      </c>
      <c r="BD132" s="10" t="str">
        <f aca="false">IF($A132="","",IF(UPPER($P132)="YES","Yes","No"))</f>
        <v/>
      </c>
      <c r="BE132" s="10" t="str">
        <f aca="false">IF($A132="","",IF($N132="No","n/a",IF(AM132&lt;=Constants!$B$17,"Yes","No")))</f>
        <v/>
      </c>
      <c r="BF132" s="10" t="str">
        <f aca="false">IF($A132="","",IF($O132="No","n/a",IF(AN132&lt;=Constants!$B$17,"Yes","No")))</f>
        <v/>
      </c>
      <c r="BG132" s="10" t="str">
        <f aca="false">IF($A132="","",IF($P132="No","n/a",IF(AO132&lt;=Constants!$B$17,"Yes","No")))</f>
        <v/>
      </c>
      <c r="BH132" s="10" t="str">
        <f aca="false">IF($A132="","",IF($N132="No","No custody process",IF(BE132="Yes","Thin custody slack","Ample custody slack")))</f>
        <v/>
      </c>
      <c r="BI132" s="30" t="str">
        <f aca="false">IF($A132="","",IF($N132="No","",AM132))</f>
        <v/>
      </c>
      <c r="BJ132" s="30" t="str">
        <f aca="false">IF($A132="","",IF($O132="No","",AN132))</f>
        <v/>
      </c>
      <c r="BK132" s="30" t="str">
        <f aca="false">IF($A132="","",IF($P132="No","",AO132))</f>
        <v/>
      </c>
    </row>
    <row r="133" customFormat="false" ht="15" hidden="false" customHeight="true" outlineLevel="0" collapsed="false">
      <c r="Z133" s="28" t="str">
        <f aca="false">IF($A133="","",Constants!$B$6+$I133*Constants!$B$7+$J133*Constants!$B$8+$K133*Constants!$B$9+$L133*Constants!$B$10+$M133*Constants!$B$11)</f>
        <v/>
      </c>
      <c r="AA133" s="28" t="str">
        <f aca="false">IF($A133="","",100-Z133)</f>
        <v/>
      </c>
      <c r="AB133" s="28" t="str">
        <f aca="false">IF($A133="","",ROUND($H133*Constants!$B$4,1))</f>
        <v/>
      </c>
      <c r="AC133" s="28" t="str">
        <f aca="false">IF($A133="","",ROUND(AB133*Z133/100,1))</f>
        <v/>
      </c>
      <c r="AD133" s="28" t="str">
        <f aca="false">IF($A133="","",ROUND(AB133*AA133/100,1))</f>
        <v/>
      </c>
      <c r="AE133" s="22" t="str">
        <f aca="false">IF($A133="","",HOUR($Q133)+MINUTE($Q133)/60)</f>
        <v/>
      </c>
      <c r="AF133" s="22" t="str">
        <f aca="false">IF($A133="","",HOUR($R133)+MINUTE($R133)/60)</f>
        <v/>
      </c>
      <c r="AG133" s="22" t="str">
        <f aca="false">IF($A133="","",HOUR($S133)+MINUTE($S133)/60)</f>
        <v/>
      </c>
      <c r="AH133" s="22" t="str">
        <f aca="false">IF($A133="","",HOUR($T133)+MINUTE($T133)/60)</f>
        <v/>
      </c>
      <c r="AI133" s="22" t="str">
        <f aca="false">IF($A133="","",HOUR($V133)+MINUTE($V133)/60)</f>
        <v/>
      </c>
      <c r="AJ133" s="22" t="str">
        <f aca="false">IF($A133="","",HOUR($W133)+MINUTE($W133)/60)</f>
        <v/>
      </c>
      <c r="AK133" s="22" t="str">
        <f aca="false">IF($A133="","",VLOOKUP($F133,Dim_Team!$A:$F,6,0))</f>
        <v/>
      </c>
      <c r="AL133" s="28" t="str">
        <f aca="false">IF($A133="","",VLOOKUP($X133,Dim_Signoff!$A:$C,3,0))</f>
        <v/>
      </c>
      <c r="AM133" s="28" t="str">
        <f aca="false">IF($A133="","",IF($N133="No","n/a",ROUND((AH133-AE133)*60,0)))</f>
        <v/>
      </c>
      <c r="AN133" s="28" t="str">
        <f aca="false">IF($A133="","",IF($O133="No","n/a",ROUND((AH133-AF133)*60,0)))</f>
        <v/>
      </c>
      <c r="AO133" s="28" t="str">
        <f aca="false">IF($A133="","",IF($P133="No","n/a",ROUND((AH133-AG133)*60,0)))</f>
        <v/>
      </c>
      <c r="AP133" s="28" t="str">
        <f aca="false">IF($A133="","",ROUND((AH133-AK133)*60,0))</f>
        <v/>
      </c>
      <c r="AQ133" s="28" t="str">
        <f aca="false">IF($A133="","",ROUND((AI133-AH133)*60,0))</f>
        <v/>
      </c>
      <c r="AR133" s="4" t="str">
        <f aca="false">IF($A133="","",IF(AP133&gt;=AC133,"Yes","No"))</f>
        <v/>
      </c>
      <c r="AS133" s="4" t="str">
        <f aca="false">IF($A133="","",IF(AQ133&gt;=AD133+AL133,"Yes","No"))</f>
        <v/>
      </c>
      <c r="AT133" s="4" t="str">
        <f aca="false">IF($A133="","",IF(AND(AR133="Yes",AS133="Yes"),"OK","REVIEW"))</f>
        <v/>
      </c>
      <c r="AU133" s="4" t="str">
        <f aca="false">IF($A133="","",IF($P133="No","Not applicable",IF(AO133&lt;Constants!$B$14,"CAPTURE","Not needed")))</f>
        <v/>
      </c>
      <c r="AV133" s="4" t="str">
        <f aca="false">IF($A133="","",IF($P133="No","n/a",RANK(AO133,AO:AO,1)))</f>
        <v/>
      </c>
      <c r="AW133" s="4" t="str">
        <f aca="false">IF($A133="","",IF(UPPER($E133)="YES","Strategic","Non-strategic"))</f>
        <v/>
      </c>
      <c r="AX133" s="4" t="str">
        <f aca="false">IF($A133="","",COUNTIFS(Fact_Work!$C:$C,$A133))</f>
        <v/>
      </c>
      <c r="AY133" s="4" t="str">
        <f aca="false">IF($A133="","",IF(AX133=0,"Not seen",IF(AX133&gt;=Constants!$B$13*0.6,"Daily",IF(AX133&gt;=Constants!$B$13*0.12,"Weekly","Monthly or ad hoc"))))</f>
        <v/>
      </c>
      <c r="AZ133" s="22" t="str">
        <f aca="false">IF($A133="","",IFERROR(VLOOKUP($U133,Dim_TOP!$A:$H,8,0),""))</f>
        <v/>
      </c>
      <c r="BA133" s="28" t="str">
        <f aca="false">IF($A133="","",IFERROR(ROUND((AH133-AZ133)*60,0),""))</f>
        <v/>
      </c>
      <c r="BB133" s="4" t="str">
        <f aca="false">IF($A133="","",IF(BA133="","",IF(BA133&lt;=0,"Sets the deadline","Later than peers by "&amp;BA133&amp;" min")))</f>
        <v/>
      </c>
      <c r="BC133" s="29" t="str">
        <f aca="false">IF($A133="","",IF($U133="",0,IF(COUNTIFS($U$2:$U133,$U133,$C$2:$C133,$C133)=1,1,0)))</f>
        <v/>
      </c>
      <c r="BD133" s="10" t="str">
        <f aca="false">IF($A133="","",IF(UPPER($P133)="YES","Yes","No"))</f>
        <v/>
      </c>
      <c r="BE133" s="10" t="str">
        <f aca="false">IF($A133="","",IF($N133="No","n/a",IF(AM133&lt;=Constants!$B$17,"Yes","No")))</f>
        <v/>
      </c>
      <c r="BF133" s="10" t="str">
        <f aca="false">IF($A133="","",IF($O133="No","n/a",IF(AN133&lt;=Constants!$B$17,"Yes","No")))</f>
        <v/>
      </c>
      <c r="BG133" s="10" t="str">
        <f aca="false">IF($A133="","",IF($P133="No","n/a",IF(AO133&lt;=Constants!$B$17,"Yes","No")))</f>
        <v/>
      </c>
      <c r="BH133" s="10" t="str">
        <f aca="false">IF($A133="","",IF($N133="No","No custody process",IF(BE133="Yes","Thin custody slack","Ample custody slack")))</f>
        <v/>
      </c>
      <c r="BI133" s="30" t="str">
        <f aca="false">IF($A133="","",IF($N133="No","",AM133))</f>
        <v/>
      </c>
      <c r="BJ133" s="30" t="str">
        <f aca="false">IF($A133="","",IF($O133="No","",AN133))</f>
        <v/>
      </c>
      <c r="BK133" s="30" t="str">
        <f aca="false">IF($A133="","",IF($P133="No","",AO133))</f>
        <v/>
      </c>
    </row>
    <row r="134" customFormat="false" ht="15" hidden="false" customHeight="true" outlineLevel="0" collapsed="false">
      <c r="Z134" s="28" t="str">
        <f aca="false">IF($A134="","",Constants!$B$6+$I134*Constants!$B$7+$J134*Constants!$B$8+$K134*Constants!$B$9+$L134*Constants!$B$10+$M134*Constants!$B$11)</f>
        <v/>
      </c>
      <c r="AA134" s="28" t="str">
        <f aca="false">IF($A134="","",100-Z134)</f>
        <v/>
      </c>
      <c r="AB134" s="28" t="str">
        <f aca="false">IF($A134="","",ROUND($H134*Constants!$B$4,1))</f>
        <v/>
      </c>
      <c r="AC134" s="28" t="str">
        <f aca="false">IF($A134="","",ROUND(AB134*Z134/100,1))</f>
        <v/>
      </c>
      <c r="AD134" s="28" t="str">
        <f aca="false">IF($A134="","",ROUND(AB134*AA134/100,1))</f>
        <v/>
      </c>
      <c r="AE134" s="22" t="str">
        <f aca="false">IF($A134="","",HOUR($Q134)+MINUTE($Q134)/60)</f>
        <v/>
      </c>
      <c r="AF134" s="22" t="str">
        <f aca="false">IF($A134="","",HOUR($R134)+MINUTE($R134)/60)</f>
        <v/>
      </c>
      <c r="AG134" s="22" t="str">
        <f aca="false">IF($A134="","",HOUR($S134)+MINUTE($S134)/60)</f>
        <v/>
      </c>
      <c r="AH134" s="22" t="str">
        <f aca="false">IF($A134="","",HOUR($T134)+MINUTE($T134)/60)</f>
        <v/>
      </c>
      <c r="AI134" s="22" t="str">
        <f aca="false">IF($A134="","",HOUR($V134)+MINUTE($V134)/60)</f>
        <v/>
      </c>
      <c r="AJ134" s="22" t="str">
        <f aca="false">IF($A134="","",HOUR($W134)+MINUTE($W134)/60)</f>
        <v/>
      </c>
      <c r="AK134" s="22" t="str">
        <f aca="false">IF($A134="","",VLOOKUP($F134,Dim_Team!$A:$F,6,0))</f>
        <v/>
      </c>
      <c r="AL134" s="28" t="str">
        <f aca="false">IF($A134="","",VLOOKUP($X134,Dim_Signoff!$A:$C,3,0))</f>
        <v/>
      </c>
      <c r="AM134" s="28" t="str">
        <f aca="false">IF($A134="","",IF($N134="No","n/a",ROUND((AH134-AE134)*60,0)))</f>
        <v/>
      </c>
      <c r="AN134" s="28" t="str">
        <f aca="false">IF($A134="","",IF($O134="No","n/a",ROUND((AH134-AF134)*60,0)))</f>
        <v/>
      </c>
      <c r="AO134" s="28" t="str">
        <f aca="false">IF($A134="","",IF($P134="No","n/a",ROUND((AH134-AG134)*60,0)))</f>
        <v/>
      </c>
      <c r="AP134" s="28" t="str">
        <f aca="false">IF($A134="","",ROUND((AH134-AK134)*60,0))</f>
        <v/>
      </c>
      <c r="AQ134" s="28" t="str">
        <f aca="false">IF($A134="","",ROUND((AI134-AH134)*60,0))</f>
        <v/>
      </c>
      <c r="AR134" s="4" t="str">
        <f aca="false">IF($A134="","",IF(AP134&gt;=AC134,"Yes","No"))</f>
        <v/>
      </c>
      <c r="AS134" s="4" t="str">
        <f aca="false">IF($A134="","",IF(AQ134&gt;=AD134+AL134,"Yes","No"))</f>
        <v/>
      </c>
      <c r="AT134" s="4" t="str">
        <f aca="false">IF($A134="","",IF(AND(AR134="Yes",AS134="Yes"),"OK","REVIEW"))</f>
        <v/>
      </c>
      <c r="AU134" s="4" t="str">
        <f aca="false">IF($A134="","",IF($P134="No","Not applicable",IF(AO134&lt;Constants!$B$14,"CAPTURE","Not needed")))</f>
        <v/>
      </c>
      <c r="AV134" s="4" t="str">
        <f aca="false">IF($A134="","",IF($P134="No","n/a",RANK(AO134,AO:AO,1)))</f>
        <v/>
      </c>
      <c r="AW134" s="4" t="str">
        <f aca="false">IF($A134="","",IF(UPPER($E134)="YES","Strategic","Non-strategic"))</f>
        <v/>
      </c>
      <c r="AX134" s="4" t="str">
        <f aca="false">IF($A134="","",COUNTIFS(Fact_Work!$C:$C,$A134))</f>
        <v/>
      </c>
      <c r="AY134" s="4" t="str">
        <f aca="false">IF($A134="","",IF(AX134=0,"Not seen",IF(AX134&gt;=Constants!$B$13*0.6,"Daily",IF(AX134&gt;=Constants!$B$13*0.12,"Weekly","Monthly or ad hoc"))))</f>
        <v/>
      </c>
      <c r="AZ134" s="22" t="str">
        <f aca="false">IF($A134="","",IFERROR(VLOOKUP($U134,Dim_TOP!$A:$H,8,0),""))</f>
        <v/>
      </c>
      <c r="BA134" s="28" t="str">
        <f aca="false">IF($A134="","",IFERROR(ROUND((AH134-AZ134)*60,0),""))</f>
        <v/>
      </c>
      <c r="BB134" s="4" t="str">
        <f aca="false">IF($A134="","",IF(BA134="","",IF(BA134&lt;=0,"Sets the deadline","Later than peers by "&amp;BA134&amp;" min")))</f>
        <v/>
      </c>
      <c r="BC134" s="29" t="str">
        <f aca="false">IF($A134="","",IF($U134="",0,IF(COUNTIFS($U$2:$U134,$U134,$C$2:$C134,$C134)=1,1,0)))</f>
        <v/>
      </c>
      <c r="BD134" s="10" t="str">
        <f aca="false">IF($A134="","",IF(UPPER($P134)="YES","Yes","No"))</f>
        <v/>
      </c>
      <c r="BE134" s="10" t="str">
        <f aca="false">IF($A134="","",IF($N134="No","n/a",IF(AM134&lt;=Constants!$B$17,"Yes","No")))</f>
        <v/>
      </c>
      <c r="BF134" s="10" t="str">
        <f aca="false">IF($A134="","",IF($O134="No","n/a",IF(AN134&lt;=Constants!$B$17,"Yes","No")))</f>
        <v/>
      </c>
      <c r="BG134" s="10" t="str">
        <f aca="false">IF($A134="","",IF($P134="No","n/a",IF(AO134&lt;=Constants!$B$17,"Yes","No")))</f>
        <v/>
      </c>
      <c r="BH134" s="10" t="str">
        <f aca="false">IF($A134="","",IF($N134="No","No custody process",IF(BE134="Yes","Thin custody slack","Ample custody slack")))</f>
        <v/>
      </c>
      <c r="BI134" s="30" t="str">
        <f aca="false">IF($A134="","",IF($N134="No","",AM134))</f>
        <v/>
      </c>
      <c r="BJ134" s="30" t="str">
        <f aca="false">IF($A134="","",IF($O134="No","",AN134))</f>
        <v/>
      </c>
      <c r="BK134" s="30" t="str">
        <f aca="false">IF($A134="","",IF($P134="No","",AO134))</f>
        <v/>
      </c>
    </row>
    <row r="135" customFormat="false" ht="15" hidden="false" customHeight="true" outlineLevel="0" collapsed="false">
      <c r="Z135" s="28" t="str">
        <f aca="false">IF($A135="","",Constants!$B$6+$I135*Constants!$B$7+$J135*Constants!$B$8+$K135*Constants!$B$9+$L135*Constants!$B$10+$M135*Constants!$B$11)</f>
        <v/>
      </c>
      <c r="AA135" s="28" t="str">
        <f aca="false">IF($A135="","",100-Z135)</f>
        <v/>
      </c>
      <c r="AB135" s="28" t="str">
        <f aca="false">IF($A135="","",ROUND($H135*Constants!$B$4,1))</f>
        <v/>
      </c>
      <c r="AC135" s="28" t="str">
        <f aca="false">IF($A135="","",ROUND(AB135*Z135/100,1))</f>
        <v/>
      </c>
      <c r="AD135" s="28" t="str">
        <f aca="false">IF($A135="","",ROUND(AB135*AA135/100,1))</f>
        <v/>
      </c>
      <c r="AE135" s="22" t="str">
        <f aca="false">IF($A135="","",HOUR($Q135)+MINUTE($Q135)/60)</f>
        <v/>
      </c>
      <c r="AF135" s="22" t="str">
        <f aca="false">IF($A135="","",HOUR($R135)+MINUTE($R135)/60)</f>
        <v/>
      </c>
      <c r="AG135" s="22" t="str">
        <f aca="false">IF($A135="","",HOUR($S135)+MINUTE($S135)/60)</f>
        <v/>
      </c>
      <c r="AH135" s="22" t="str">
        <f aca="false">IF($A135="","",HOUR($T135)+MINUTE($T135)/60)</f>
        <v/>
      </c>
      <c r="AI135" s="22" t="str">
        <f aca="false">IF($A135="","",HOUR($V135)+MINUTE($V135)/60)</f>
        <v/>
      </c>
      <c r="AJ135" s="22" t="str">
        <f aca="false">IF($A135="","",HOUR($W135)+MINUTE($W135)/60)</f>
        <v/>
      </c>
      <c r="AK135" s="22" t="str">
        <f aca="false">IF($A135="","",VLOOKUP($F135,Dim_Team!$A:$F,6,0))</f>
        <v/>
      </c>
      <c r="AL135" s="28" t="str">
        <f aca="false">IF($A135="","",VLOOKUP($X135,Dim_Signoff!$A:$C,3,0))</f>
        <v/>
      </c>
      <c r="AM135" s="28" t="str">
        <f aca="false">IF($A135="","",IF($N135="No","n/a",ROUND((AH135-AE135)*60,0)))</f>
        <v/>
      </c>
      <c r="AN135" s="28" t="str">
        <f aca="false">IF($A135="","",IF($O135="No","n/a",ROUND((AH135-AF135)*60,0)))</f>
        <v/>
      </c>
      <c r="AO135" s="28" t="str">
        <f aca="false">IF($A135="","",IF($P135="No","n/a",ROUND((AH135-AG135)*60,0)))</f>
        <v/>
      </c>
      <c r="AP135" s="28" t="str">
        <f aca="false">IF($A135="","",ROUND((AH135-AK135)*60,0))</f>
        <v/>
      </c>
      <c r="AQ135" s="28" t="str">
        <f aca="false">IF($A135="","",ROUND((AI135-AH135)*60,0))</f>
        <v/>
      </c>
      <c r="AR135" s="4" t="str">
        <f aca="false">IF($A135="","",IF(AP135&gt;=AC135,"Yes","No"))</f>
        <v/>
      </c>
      <c r="AS135" s="4" t="str">
        <f aca="false">IF($A135="","",IF(AQ135&gt;=AD135+AL135,"Yes","No"))</f>
        <v/>
      </c>
      <c r="AT135" s="4" t="str">
        <f aca="false">IF($A135="","",IF(AND(AR135="Yes",AS135="Yes"),"OK","REVIEW"))</f>
        <v/>
      </c>
      <c r="AU135" s="4" t="str">
        <f aca="false">IF($A135="","",IF($P135="No","Not applicable",IF(AO135&lt;Constants!$B$14,"CAPTURE","Not needed")))</f>
        <v/>
      </c>
      <c r="AV135" s="4" t="str">
        <f aca="false">IF($A135="","",IF($P135="No","n/a",RANK(AO135,AO:AO,1)))</f>
        <v/>
      </c>
      <c r="AW135" s="4" t="str">
        <f aca="false">IF($A135="","",IF(UPPER($E135)="YES","Strategic","Non-strategic"))</f>
        <v/>
      </c>
      <c r="AX135" s="4" t="str">
        <f aca="false">IF($A135="","",COUNTIFS(Fact_Work!$C:$C,$A135))</f>
        <v/>
      </c>
      <c r="AY135" s="4" t="str">
        <f aca="false">IF($A135="","",IF(AX135=0,"Not seen",IF(AX135&gt;=Constants!$B$13*0.6,"Daily",IF(AX135&gt;=Constants!$B$13*0.12,"Weekly","Monthly or ad hoc"))))</f>
        <v/>
      </c>
      <c r="AZ135" s="22" t="str">
        <f aca="false">IF($A135="","",IFERROR(VLOOKUP($U135,Dim_TOP!$A:$H,8,0),""))</f>
        <v/>
      </c>
      <c r="BA135" s="28" t="str">
        <f aca="false">IF($A135="","",IFERROR(ROUND((AH135-AZ135)*60,0),""))</f>
        <v/>
      </c>
      <c r="BB135" s="4" t="str">
        <f aca="false">IF($A135="","",IF(BA135="","",IF(BA135&lt;=0,"Sets the deadline","Later than peers by "&amp;BA135&amp;" min")))</f>
        <v/>
      </c>
      <c r="BC135" s="29" t="str">
        <f aca="false">IF($A135="","",IF($U135="",0,IF(COUNTIFS($U$2:$U135,$U135,$C$2:$C135,$C135)=1,1,0)))</f>
        <v/>
      </c>
      <c r="BD135" s="10" t="str">
        <f aca="false">IF($A135="","",IF(UPPER($P135)="YES","Yes","No"))</f>
        <v/>
      </c>
      <c r="BE135" s="10" t="str">
        <f aca="false">IF($A135="","",IF($N135="No","n/a",IF(AM135&lt;=Constants!$B$17,"Yes","No")))</f>
        <v/>
      </c>
      <c r="BF135" s="10" t="str">
        <f aca="false">IF($A135="","",IF($O135="No","n/a",IF(AN135&lt;=Constants!$B$17,"Yes","No")))</f>
        <v/>
      </c>
      <c r="BG135" s="10" t="str">
        <f aca="false">IF($A135="","",IF($P135="No","n/a",IF(AO135&lt;=Constants!$B$17,"Yes","No")))</f>
        <v/>
      </c>
      <c r="BH135" s="10" t="str">
        <f aca="false">IF($A135="","",IF($N135="No","No custody process",IF(BE135="Yes","Thin custody slack","Ample custody slack")))</f>
        <v/>
      </c>
      <c r="BI135" s="30" t="str">
        <f aca="false">IF($A135="","",IF($N135="No","",AM135))</f>
        <v/>
      </c>
      <c r="BJ135" s="30" t="str">
        <f aca="false">IF($A135="","",IF($O135="No","",AN135))</f>
        <v/>
      </c>
      <c r="BK135" s="30" t="str">
        <f aca="false">IF($A135="","",IF($P135="No","",AO135))</f>
        <v/>
      </c>
    </row>
    <row r="136" customFormat="false" ht="15" hidden="false" customHeight="true" outlineLevel="0" collapsed="false">
      <c r="Z136" s="28" t="str">
        <f aca="false">IF($A136="","",Constants!$B$6+$I136*Constants!$B$7+$J136*Constants!$B$8+$K136*Constants!$B$9+$L136*Constants!$B$10+$M136*Constants!$B$11)</f>
        <v/>
      </c>
      <c r="AA136" s="28" t="str">
        <f aca="false">IF($A136="","",100-Z136)</f>
        <v/>
      </c>
      <c r="AB136" s="28" t="str">
        <f aca="false">IF($A136="","",ROUND($H136*Constants!$B$4,1))</f>
        <v/>
      </c>
      <c r="AC136" s="28" t="str">
        <f aca="false">IF($A136="","",ROUND(AB136*Z136/100,1))</f>
        <v/>
      </c>
      <c r="AD136" s="28" t="str">
        <f aca="false">IF($A136="","",ROUND(AB136*AA136/100,1))</f>
        <v/>
      </c>
      <c r="AE136" s="22" t="str">
        <f aca="false">IF($A136="","",HOUR($Q136)+MINUTE($Q136)/60)</f>
        <v/>
      </c>
      <c r="AF136" s="22" t="str">
        <f aca="false">IF($A136="","",HOUR($R136)+MINUTE($R136)/60)</f>
        <v/>
      </c>
      <c r="AG136" s="22" t="str">
        <f aca="false">IF($A136="","",HOUR($S136)+MINUTE($S136)/60)</f>
        <v/>
      </c>
      <c r="AH136" s="22" t="str">
        <f aca="false">IF($A136="","",HOUR($T136)+MINUTE($T136)/60)</f>
        <v/>
      </c>
      <c r="AI136" s="22" t="str">
        <f aca="false">IF($A136="","",HOUR($V136)+MINUTE($V136)/60)</f>
        <v/>
      </c>
      <c r="AJ136" s="22" t="str">
        <f aca="false">IF($A136="","",HOUR($W136)+MINUTE($W136)/60)</f>
        <v/>
      </c>
      <c r="AK136" s="22" t="str">
        <f aca="false">IF($A136="","",VLOOKUP($F136,Dim_Team!$A:$F,6,0))</f>
        <v/>
      </c>
      <c r="AL136" s="28" t="str">
        <f aca="false">IF($A136="","",VLOOKUP($X136,Dim_Signoff!$A:$C,3,0))</f>
        <v/>
      </c>
      <c r="AM136" s="28" t="str">
        <f aca="false">IF($A136="","",IF($N136="No","n/a",ROUND((AH136-AE136)*60,0)))</f>
        <v/>
      </c>
      <c r="AN136" s="28" t="str">
        <f aca="false">IF($A136="","",IF($O136="No","n/a",ROUND((AH136-AF136)*60,0)))</f>
        <v/>
      </c>
      <c r="AO136" s="28" t="str">
        <f aca="false">IF($A136="","",IF($P136="No","n/a",ROUND((AH136-AG136)*60,0)))</f>
        <v/>
      </c>
      <c r="AP136" s="28" t="str">
        <f aca="false">IF($A136="","",ROUND((AH136-AK136)*60,0))</f>
        <v/>
      </c>
      <c r="AQ136" s="28" t="str">
        <f aca="false">IF($A136="","",ROUND((AI136-AH136)*60,0))</f>
        <v/>
      </c>
      <c r="AR136" s="4" t="str">
        <f aca="false">IF($A136="","",IF(AP136&gt;=AC136,"Yes","No"))</f>
        <v/>
      </c>
      <c r="AS136" s="4" t="str">
        <f aca="false">IF($A136="","",IF(AQ136&gt;=AD136+AL136,"Yes","No"))</f>
        <v/>
      </c>
      <c r="AT136" s="4" t="str">
        <f aca="false">IF($A136="","",IF(AND(AR136="Yes",AS136="Yes"),"OK","REVIEW"))</f>
        <v/>
      </c>
      <c r="AU136" s="4" t="str">
        <f aca="false">IF($A136="","",IF($P136="No","Not applicable",IF(AO136&lt;Constants!$B$14,"CAPTURE","Not needed")))</f>
        <v/>
      </c>
      <c r="AV136" s="4" t="str">
        <f aca="false">IF($A136="","",IF($P136="No","n/a",RANK(AO136,AO:AO,1)))</f>
        <v/>
      </c>
      <c r="AW136" s="4" t="str">
        <f aca="false">IF($A136="","",IF(UPPER($E136)="YES","Strategic","Non-strategic"))</f>
        <v/>
      </c>
      <c r="AX136" s="4" t="str">
        <f aca="false">IF($A136="","",COUNTIFS(Fact_Work!$C:$C,$A136))</f>
        <v/>
      </c>
      <c r="AY136" s="4" t="str">
        <f aca="false">IF($A136="","",IF(AX136=0,"Not seen",IF(AX136&gt;=Constants!$B$13*0.6,"Daily",IF(AX136&gt;=Constants!$B$13*0.12,"Weekly","Monthly or ad hoc"))))</f>
        <v/>
      </c>
      <c r="AZ136" s="22" t="str">
        <f aca="false">IF($A136="","",IFERROR(VLOOKUP($U136,Dim_TOP!$A:$H,8,0),""))</f>
        <v/>
      </c>
      <c r="BA136" s="28" t="str">
        <f aca="false">IF($A136="","",IFERROR(ROUND((AH136-AZ136)*60,0),""))</f>
        <v/>
      </c>
      <c r="BB136" s="4" t="str">
        <f aca="false">IF($A136="","",IF(BA136="","",IF(BA136&lt;=0,"Sets the deadline","Later than peers by "&amp;BA136&amp;" min")))</f>
        <v/>
      </c>
      <c r="BC136" s="29" t="str">
        <f aca="false">IF($A136="","",IF($U136="",0,IF(COUNTIFS($U$2:$U136,$U136,$C$2:$C136,$C136)=1,1,0)))</f>
        <v/>
      </c>
      <c r="BD136" s="10" t="str">
        <f aca="false">IF($A136="","",IF(UPPER($P136)="YES","Yes","No"))</f>
        <v/>
      </c>
      <c r="BE136" s="10" t="str">
        <f aca="false">IF($A136="","",IF($N136="No","n/a",IF(AM136&lt;=Constants!$B$17,"Yes","No")))</f>
        <v/>
      </c>
      <c r="BF136" s="10" t="str">
        <f aca="false">IF($A136="","",IF($O136="No","n/a",IF(AN136&lt;=Constants!$B$17,"Yes","No")))</f>
        <v/>
      </c>
      <c r="BG136" s="10" t="str">
        <f aca="false">IF($A136="","",IF($P136="No","n/a",IF(AO136&lt;=Constants!$B$17,"Yes","No")))</f>
        <v/>
      </c>
      <c r="BH136" s="10" t="str">
        <f aca="false">IF($A136="","",IF($N136="No","No custody process",IF(BE136="Yes","Thin custody slack","Ample custody slack")))</f>
        <v/>
      </c>
      <c r="BI136" s="30" t="str">
        <f aca="false">IF($A136="","",IF($N136="No","",AM136))</f>
        <v/>
      </c>
      <c r="BJ136" s="30" t="str">
        <f aca="false">IF($A136="","",IF($O136="No","",AN136))</f>
        <v/>
      </c>
      <c r="BK136" s="30" t="str">
        <f aca="false">IF($A136="","",IF($P136="No","",AO136))</f>
        <v/>
      </c>
    </row>
    <row r="137" customFormat="false" ht="15" hidden="false" customHeight="true" outlineLevel="0" collapsed="false">
      <c r="Z137" s="28" t="str">
        <f aca="false">IF($A137="","",Constants!$B$6+$I137*Constants!$B$7+$J137*Constants!$B$8+$K137*Constants!$B$9+$L137*Constants!$B$10+$M137*Constants!$B$11)</f>
        <v/>
      </c>
      <c r="AA137" s="28" t="str">
        <f aca="false">IF($A137="","",100-Z137)</f>
        <v/>
      </c>
      <c r="AB137" s="28" t="str">
        <f aca="false">IF($A137="","",ROUND($H137*Constants!$B$4,1))</f>
        <v/>
      </c>
      <c r="AC137" s="28" t="str">
        <f aca="false">IF($A137="","",ROUND(AB137*Z137/100,1))</f>
        <v/>
      </c>
      <c r="AD137" s="28" t="str">
        <f aca="false">IF($A137="","",ROUND(AB137*AA137/100,1))</f>
        <v/>
      </c>
      <c r="AE137" s="22" t="str">
        <f aca="false">IF($A137="","",HOUR($Q137)+MINUTE($Q137)/60)</f>
        <v/>
      </c>
      <c r="AF137" s="22" t="str">
        <f aca="false">IF($A137="","",HOUR($R137)+MINUTE($R137)/60)</f>
        <v/>
      </c>
      <c r="AG137" s="22" t="str">
        <f aca="false">IF($A137="","",HOUR($S137)+MINUTE($S137)/60)</f>
        <v/>
      </c>
      <c r="AH137" s="22" t="str">
        <f aca="false">IF($A137="","",HOUR($T137)+MINUTE($T137)/60)</f>
        <v/>
      </c>
      <c r="AI137" s="22" t="str">
        <f aca="false">IF($A137="","",HOUR($V137)+MINUTE($V137)/60)</f>
        <v/>
      </c>
      <c r="AJ137" s="22" t="str">
        <f aca="false">IF($A137="","",HOUR($W137)+MINUTE($W137)/60)</f>
        <v/>
      </c>
      <c r="AK137" s="22" t="str">
        <f aca="false">IF($A137="","",VLOOKUP($F137,Dim_Team!$A:$F,6,0))</f>
        <v/>
      </c>
      <c r="AL137" s="28" t="str">
        <f aca="false">IF($A137="","",VLOOKUP($X137,Dim_Signoff!$A:$C,3,0))</f>
        <v/>
      </c>
      <c r="AM137" s="28" t="str">
        <f aca="false">IF($A137="","",IF($N137="No","n/a",ROUND((AH137-AE137)*60,0)))</f>
        <v/>
      </c>
      <c r="AN137" s="28" t="str">
        <f aca="false">IF($A137="","",IF($O137="No","n/a",ROUND((AH137-AF137)*60,0)))</f>
        <v/>
      </c>
      <c r="AO137" s="28" t="str">
        <f aca="false">IF($A137="","",IF($P137="No","n/a",ROUND((AH137-AG137)*60,0)))</f>
        <v/>
      </c>
      <c r="AP137" s="28" t="str">
        <f aca="false">IF($A137="","",ROUND((AH137-AK137)*60,0))</f>
        <v/>
      </c>
      <c r="AQ137" s="28" t="str">
        <f aca="false">IF($A137="","",ROUND((AI137-AH137)*60,0))</f>
        <v/>
      </c>
      <c r="AR137" s="4" t="str">
        <f aca="false">IF($A137="","",IF(AP137&gt;=AC137,"Yes","No"))</f>
        <v/>
      </c>
      <c r="AS137" s="4" t="str">
        <f aca="false">IF($A137="","",IF(AQ137&gt;=AD137+AL137,"Yes","No"))</f>
        <v/>
      </c>
      <c r="AT137" s="4" t="str">
        <f aca="false">IF($A137="","",IF(AND(AR137="Yes",AS137="Yes"),"OK","REVIEW"))</f>
        <v/>
      </c>
      <c r="AU137" s="4" t="str">
        <f aca="false">IF($A137="","",IF($P137="No","Not applicable",IF(AO137&lt;Constants!$B$14,"CAPTURE","Not needed")))</f>
        <v/>
      </c>
      <c r="AV137" s="4" t="str">
        <f aca="false">IF($A137="","",IF($P137="No","n/a",RANK(AO137,AO:AO,1)))</f>
        <v/>
      </c>
      <c r="AW137" s="4" t="str">
        <f aca="false">IF($A137="","",IF(UPPER($E137)="YES","Strategic","Non-strategic"))</f>
        <v/>
      </c>
      <c r="AX137" s="4" t="str">
        <f aca="false">IF($A137="","",COUNTIFS(Fact_Work!$C:$C,$A137))</f>
        <v/>
      </c>
      <c r="AY137" s="4" t="str">
        <f aca="false">IF($A137="","",IF(AX137=0,"Not seen",IF(AX137&gt;=Constants!$B$13*0.6,"Daily",IF(AX137&gt;=Constants!$B$13*0.12,"Weekly","Monthly or ad hoc"))))</f>
        <v/>
      </c>
      <c r="AZ137" s="22" t="str">
        <f aca="false">IF($A137="","",IFERROR(VLOOKUP($U137,Dim_TOP!$A:$H,8,0),""))</f>
        <v/>
      </c>
      <c r="BA137" s="28" t="str">
        <f aca="false">IF($A137="","",IFERROR(ROUND((AH137-AZ137)*60,0),""))</f>
        <v/>
      </c>
      <c r="BB137" s="4" t="str">
        <f aca="false">IF($A137="","",IF(BA137="","",IF(BA137&lt;=0,"Sets the deadline","Later than peers by "&amp;BA137&amp;" min")))</f>
        <v/>
      </c>
      <c r="BC137" s="29" t="str">
        <f aca="false">IF($A137="","",IF($U137="",0,IF(COUNTIFS($U$2:$U137,$U137,$C$2:$C137,$C137)=1,1,0)))</f>
        <v/>
      </c>
      <c r="BD137" s="10" t="str">
        <f aca="false">IF($A137="","",IF(UPPER($P137)="YES","Yes","No"))</f>
        <v/>
      </c>
      <c r="BE137" s="10" t="str">
        <f aca="false">IF($A137="","",IF($N137="No","n/a",IF(AM137&lt;=Constants!$B$17,"Yes","No")))</f>
        <v/>
      </c>
      <c r="BF137" s="10" t="str">
        <f aca="false">IF($A137="","",IF($O137="No","n/a",IF(AN137&lt;=Constants!$B$17,"Yes","No")))</f>
        <v/>
      </c>
      <c r="BG137" s="10" t="str">
        <f aca="false">IF($A137="","",IF($P137="No","n/a",IF(AO137&lt;=Constants!$B$17,"Yes","No")))</f>
        <v/>
      </c>
      <c r="BH137" s="10" t="str">
        <f aca="false">IF($A137="","",IF($N137="No","No custody process",IF(BE137="Yes","Thin custody slack","Ample custody slack")))</f>
        <v/>
      </c>
      <c r="BI137" s="30" t="str">
        <f aca="false">IF($A137="","",IF($N137="No","",AM137))</f>
        <v/>
      </c>
      <c r="BJ137" s="30" t="str">
        <f aca="false">IF($A137="","",IF($O137="No","",AN137))</f>
        <v/>
      </c>
      <c r="BK137" s="30" t="str">
        <f aca="false">IF($A137="","",IF($P137="No","",AO137))</f>
        <v/>
      </c>
    </row>
    <row r="138" customFormat="false" ht="15" hidden="false" customHeight="true" outlineLevel="0" collapsed="false">
      <c r="Z138" s="28" t="str">
        <f aca="false">IF($A138="","",Constants!$B$6+$I138*Constants!$B$7+$J138*Constants!$B$8+$K138*Constants!$B$9+$L138*Constants!$B$10+$M138*Constants!$B$11)</f>
        <v/>
      </c>
      <c r="AA138" s="28" t="str">
        <f aca="false">IF($A138="","",100-Z138)</f>
        <v/>
      </c>
      <c r="AB138" s="28" t="str">
        <f aca="false">IF($A138="","",ROUND($H138*Constants!$B$4,1))</f>
        <v/>
      </c>
      <c r="AC138" s="28" t="str">
        <f aca="false">IF($A138="","",ROUND(AB138*Z138/100,1))</f>
        <v/>
      </c>
      <c r="AD138" s="28" t="str">
        <f aca="false">IF($A138="","",ROUND(AB138*AA138/100,1))</f>
        <v/>
      </c>
      <c r="AE138" s="22" t="str">
        <f aca="false">IF($A138="","",HOUR($Q138)+MINUTE($Q138)/60)</f>
        <v/>
      </c>
      <c r="AF138" s="22" t="str">
        <f aca="false">IF($A138="","",HOUR($R138)+MINUTE($R138)/60)</f>
        <v/>
      </c>
      <c r="AG138" s="22" t="str">
        <f aca="false">IF($A138="","",HOUR($S138)+MINUTE($S138)/60)</f>
        <v/>
      </c>
      <c r="AH138" s="22" t="str">
        <f aca="false">IF($A138="","",HOUR($T138)+MINUTE($T138)/60)</f>
        <v/>
      </c>
      <c r="AI138" s="22" t="str">
        <f aca="false">IF($A138="","",HOUR($V138)+MINUTE($V138)/60)</f>
        <v/>
      </c>
      <c r="AJ138" s="22" t="str">
        <f aca="false">IF($A138="","",HOUR($W138)+MINUTE($W138)/60)</f>
        <v/>
      </c>
      <c r="AK138" s="22" t="str">
        <f aca="false">IF($A138="","",VLOOKUP($F138,Dim_Team!$A:$F,6,0))</f>
        <v/>
      </c>
      <c r="AL138" s="28" t="str">
        <f aca="false">IF($A138="","",VLOOKUP($X138,Dim_Signoff!$A:$C,3,0))</f>
        <v/>
      </c>
      <c r="AM138" s="28" t="str">
        <f aca="false">IF($A138="","",IF($N138="No","n/a",ROUND((AH138-AE138)*60,0)))</f>
        <v/>
      </c>
      <c r="AN138" s="28" t="str">
        <f aca="false">IF($A138="","",IF($O138="No","n/a",ROUND((AH138-AF138)*60,0)))</f>
        <v/>
      </c>
      <c r="AO138" s="28" t="str">
        <f aca="false">IF($A138="","",IF($P138="No","n/a",ROUND((AH138-AG138)*60,0)))</f>
        <v/>
      </c>
      <c r="AP138" s="28" t="str">
        <f aca="false">IF($A138="","",ROUND((AH138-AK138)*60,0))</f>
        <v/>
      </c>
      <c r="AQ138" s="28" t="str">
        <f aca="false">IF($A138="","",ROUND((AI138-AH138)*60,0))</f>
        <v/>
      </c>
      <c r="AR138" s="4" t="str">
        <f aca="false">IF($A138="","",IF(AP138&gt;=AC138,"Yes","No"))</f>
        <v/>
      </c>
      <c r="AS138" s="4" t="str">
        <f aca="false">IF($A138="","",IF(AQ138&gt;=AD138+AL138,"Yes","No"))</f>
        <v/>
      </c>
      <c r="AT138" s="4" t="str">
        <f aca="false">IF($A138="","",IF(AND(AR138="Yes",AS138="Yes"),"OK","REVIEW"))</f>
        <v/>
      </c>
      <c r="AU138" s="4" t="str">
        <f aca="false">IF($A138="","",IF($P138="No","Not applicable",IF(AO138&lt;Constants!$B$14,"CAPTURE","Not needed")))</f>
        <v/>
      </c>
      <c r="AV138" s="4" t="str">
        <f aca="false">IF($A138="","",IF($P138="No","n/a",RANK(AO138,AO:AO,1)))</f>
        <v/>
      </c>
      <c r="AW138" s="4" t="str">
        <f aca="false">IF($A138="","",IF(UPPER($E138)="YES","Strategic","Non-strategic"))</f>
        <v/>
      </c>
      <c r="AX138" s="4" t="str">
        <f aca="false">IF($A138="","",COUNTIFS(Fact_Work!$C:$C,$A138))</f>
        <v/>
      </c>
      <c r="AY138" s="4" t="str">
        <f aca="false">IF($A138="","",IF(AX138=0,"Not seen",IF(AX138&gt;=Constants!$B$13*0.6,"Daily",IF(AX138&gt;=Constants!$B$13*0.12,"Weekly","Monthly or ad hoc"))))</f>
        <v/>
      </c>
      <c r="AZ138" s="22" t="str">
        <f aca="false">IF($A138="","",IFERROR(VLOOKUP($U138,Dim_TOP!$A:$H,8,0),""))</f>
        <v/>
      </c>
      <c r="BA138" s="28" t="str">
        <f aca="false">IF($A138="","",IFERROR(ROUND((AH138-AZ138)*60,0),""))</f>
        <v/>
      </c>
      <c r="BB138" s="4" t="str">
        <f aca="false">IF($A138="","",IF(BA138="","",IF(BA138&lt;=0,"Sets the deadline","Later than peers by "&amp;BA138&amp;" min")))</f>
        <v/>
      </c>
      <c r="BC138" s="29" t="str">
        <f aca="false">IF($A138="","",IF($U138="",0,IF(COUNTIFS($U$2:$U138,$U138,$C$2:$C138,$C138)=1,1,0)))</f>
        <v/>
      </c>
      <c r="BD138" s="10" t="str">
        <f aca="false">IF($A138="","",IF(UPPER($P138)="YES","Yes","No"))</f>
        <v/>
      </c>
      <c r="BE138" s="10" t="str">
        <f aca="false">IF($A138="","",IF($N138="No","n/a",IF(AM138&lt;=Constants!$B$17,"Yes","No")))</f>
        <v/>
      </c>
      <c r="BF138" s="10" t="str">
        <f aca="false">IF($A138="","",IF($O138="No","n/a",IF(AN138&lt;=Constants!$B$17,"Yes","No")))</f>
        <v/>
      </c>
      <c r="BG138" s="10" t="str">
        <f aca="false">IF($A138="","",IF($P138="No","n/a",IF(AO138&lt;=Constants!$B$17,"Yes","No")))</f>
        <v/>
      </c>
      <c r="BH138" s="10" t="str">
        <f aca="false">IF($A138="","",IF($N138="No","No custody process",IF(BE138="Yes","Thin custody slack","Ample custody slack")))</f>
        <v/>
      </c>
      <c r="BI138" s="30" t="str">
        <f aca="false">IF($A138="","",IF($N138="No","",AM138))</f>
        <v/>
      </c>
      <c r="BJ138" s="30" t="str">
        <f aca="false">IF($A138="","",IF($O138="No","",AN138))</f>
        <v/>
      </c>
      <c r="BK138" s="30" t="str">
        <f aca="false">IF($A138="","",IF($P138="No","",AO138))</f>
        <v/>
      </c>
    </row>
    <row r="139" customFormat="false" ht="15" hidden="false" customHeight="true" outlineLevel="0" collapsed="false">
      <c r="Z139" s="28" t="str">
        <f aca="false">IF($A139="","",Constants!$B$6+$I139*Constants!$B$7+$J139*Constants!$B$8+$K139*Constants!$B$9+$L139*Constants!$B$10+$M139*Constants!$B$11)</f>
        <v/>
      </c>
      <c r="AA139" s="28" t="str">
        <f aca="false">IF($A139="","",100-Z139)</f>
        <v/>
      </c>
      <c r="AB139" s="28" t="str">
        <f aca="false">IF($A139="","",ROUND($H139*Constants!$B$4,1))</f>
        <v/>
      </c>
      <c r="AC139" s="28" t="str">
        <f aca="false">IF($A139="","",ROUND(AB139*Z139/100,1))</f>
        <v/>
      </c>
      <c r="AD139" s="28" t="str">
        <f aca="false">IF($A139="","",ROUND(AB139*AA139/100,1))</f>
        <v/>
      </c>
      <c r="AE139" s="22" t="str">
        <f aca="false">IF($A139="","",HOUR($Q139)+MINUTE($Q139)/60)</f>
        <v/>
      </c>
      <c r="AF139" s="22" t="str">
        <f aca="false">IF($A139="","",HOUR($R139)+MINUTE($R139)/60)</f>
        <v/>
      </c>
      <c r="AG139" s="22" t="str">
        <f aca="false">IF($A139="","",HOUR($S139)+MINUTE($S139)/60)</f>
        <v/>
      </c>
      <c r="AH139" s="22" t="str">
        <f aca="false">IF($A139="","",HOUR($T139)+MINUTE($T139)/60)</f>
        <v/>
      </c>
      <c r="AI139" s="22" t="str">
        <f aca="false">IF($A139="","",HOUR($V139)+MINUTE($V139)/60)</f>
        <v/>
      </c>
      <c r="AJ139" s="22" t="str">
        <f aca="false">IF($A139="","",HOUR($W139)+MINUTE($W139)/60)</f>
        <v/>
      </c>
      <c r="AK139" s="22" t="str">
        <f aca="false">IF($A139="","",VLOOKUP($F139,Dim_Team!$A:$F,6,0))</f>
        <v/>
      </c>
      <c r="AL139" s="28" t="str">
        <f aca="false">IF($A139="","",VLOOKUP($X139,Dim_Signoff!$A:$C,3,0))</f>
        <v/>
      </c>
      <c r="AM139" s="28" t="str">
        <f aca="false">IF($A139="","",IF($N139="No","n/a",ROUND((AH139-AE139)*60,0)))</f>
        <v/>
      </c>
      <c r="AN139" s="28" t="str">
        <f aca="false">IF($A139="","",IF($O139="No","n/a",ROUND((AH139-AF139)*60,0)))</f>
        <v/>
      </c>
      <c r="AO139" s="28" t="str">
        <f aca="false">IF($A139="","",IF($P139="No","n/a",ROUND((AH139-AG139)*60,0)))</f>
        <v/>
      </c>
      <c r="AP139" s="28" t="str">
        <f aca="false">IF($A139="","",ROUND((AH139-AK139)*60,0))</f>
        <v/>
      </c>
      <c r="AQ139" s="28" t="str">
        <f aca="false">IF($A139="","",ROUND((AI139-AH139)*60,0))</f>
        <v/>
      </c>
      <c r="AR139" s="4" t="str">
        <f aca="false">IF($A139="","",IF(AP139&gt;=AC139,"Yes","No"))</f>
        <v/>
      </c>
      <c r="AS139" s="4" t="str">
        <f aca="false">IF($A139="","",IF(AQ139&gt;=AD139+AL139,"Yes","No"))</f>
        <v/>
      </c>
      <c r="AT139" s="4" t="str">
        <f aca="false">IF($A139="","",IF(AND(AR139="Yes",AS139="Yes"),"OK","REVIEW"))</f>
        <v/>
      </c>
      <c r="AU139" s="4" t="str">
        <f aca="false">IF($A139="","",IF($P139="No","Not applicable",IF(AO139&lt;Constants!$B$14,"CAPTURE","Not needed")))</f>
        <v/>
      </c>
      <c r="AV139" s="4" t="str">
        <f aca="false">IF($A139="","",IF($P139="No","n/a",RANK(AO139,AO:AO,1)))</f>
        <v/>
      </c>
      <c r="AW139" s="4" t="str">
        <f aca="false">IF($A139="","",IF(UPPER($E139)="YES","Strategic","Non-strategic"))</f>
        <v/>
      </c>
      <c r="AX139" s="4" t="str">
        <f aca="false">IF($A139="","",COUNTIFS(Fact_Work!$C:$C,$A139))</f>
        <v/>
      </c>
      <c r="AY139" s="4" t="str">
        <f aca="false">IF($A139="","",IF(AX139=0,"Not seen",IF(AX139&gt;=Constants!$B$13*0.6,"Daily",IF(AX139&gt;=Constants!$B$13*0.12,"Weekly","Monthly or ad hoc"))))</f>
        <v/>
      </c>
      <c r="AZ139" s="22" t="str">
        <f aca="false">IF($A139="","",IFERROR(VLOOKUP($U139,Dim_TOP!$A:$H,8,0),""))</f>
        <v/>
      </c>
      <c r="BA139" s="28" t="str">
        <f aca="false">IF($A139="","",IFERROR(ROUND((AH139-AZ139)*60,0),""))</f>
        <v/>
      </c>
      <c r="BB139" s="4" t="str">
        <f aca="false">IF($A139="","",IF(BA139="","",IF(BA139&lt;=0,"Sets the deadline","Later than peers by "&amp;BA139&amp;" min")))</f>
        <v/>
      </c>
      <c r="BC139" s="29" t="str">
        <f aca="false">IF($A139="","",IF($U139="",0,IF(COUNTIFS($U$2:$U139,$U139,$C$2:$C139,$C139)=1,1,0)))</f>
        <v/>
      </c>
      <c r="BD139" s="10" t="str">
        <f aca="false">IF($A139="","",IF(UPPER($P139)="YES","Yes","No"))</f>
        <v/>
      </c>
      <c r="BE139" s="10" t="str">
        <f aca="false">IF($A139="","",IF($N139="No","n/a",IF(AM139&lt;=Constants!$B$17,"Yes","No")))</f>
        <v/>
      </c>
      <c r="BF139" s="10" t="str">
        <f aca="false">IF($A139="","",IF($O139="No","n/a",IF(AN139&lt;=Constants!$B$17,"Yes","No")))</f>
        <v/>
      </c>
      <c r="BG139" s="10" t="str">
        <f aca="false">IF($A139="","",IF($P139="No","n/a",IF(AO139&lt;=Constants!$B$17,"Yes","No")))</f>
        <v/>
      </c>
      <c r="BH139" s="10" t="str">
        <f aca="false">IF($A139="","",IF($N139="No","No custody process",IF(BE139="Yes","Thin custody slack","Ample custody slack")))</f>
        <v/>
      </c>
      <c r="BI139" s="30" t="str">
        <f aca="false">IF($A139="","",IF($N139="No","",AM139))</f>
        <v/>
      </c>
      <c r="BJ139" s="30" t="str">
        <f aca="false">IF($A139="","",IF($O139="No","",AN139))</f>
        <v/>
      </c>
      <c r="BK139" s="30" t="str">
        <f aca="false">IF($A139="","",IF($P139="No","",AO139))</f>
        <v/>
      </c>
    </row>
    <row r="140" customFormat="false" ht="15" hidden="false" customHeight="true" outlineLevel="0" collapsed="false">
      <c r="Z140" s="28" t="str">
        <f aca="false">IF($A140="","",Constants!$B$6+$I140*Constants!$B$7+$J140*Constants!$B$8+$K140*Constants!$B$9+$L140*Constants!$B$10+$M140*Constants!$B$11)</f>
        <v/>
      </c>
      <c r="AA140" s="28" t="str">
        <f aca="false">IF($A140="","",100-Z140)</f>
        <v/>
      </c>
      <c r="AB140" s="28" t="str">
        <f aca="false">IF($A140="","",ROUND($H140*Constants!$B$4,1))</f>
        <v/>
      </c>
      <c r="AC140" s="28" t="str">
        <f aca="false">IF($A140="","",ROUND(AB140*Z140/100,1))</f>
        <v/>
      </c>
      <c r="AD140" s="28" t="str">
        <f aca="false">IF($A140="","",ROUND(AB140*AA140/100,1))</f>
        <v/>
      </c>
      <c r="AE140" s="22" t="str">
        <f aca="false">IF($A140="","",HOUR($Q140)+MINUTE($Q140)/60)</f>
        <v/>
      </c>
      <c r="AF140" s="22" t="str">
        <f aca="false">IF($A140="","",HOUR($R140)+MINUTE($R140)/60)</f>
        <v/>
      </c>
      <c r="AG140" s="22" t="str">
        <f aca="false">IF($A140="","",HOUR($S140)+MINUTE($S140)/60)</f>
        <v/>
      </c>
      <c r="AH140" s="22" t="str">
        <f aca="false">IF($A140="","",HOUR($T140)+MINUTE($T140)/60)</f>
        <v/>
      </c>
      <c r="AI140" s="22" t="str">
        <f aca="false">IF($A140="","",HOUR($V140)+MINUTE($V140)/60)</f>
        <v/>
      </c>
      <c r="AJ140" s="22" t="str">
        <f aca="false">IF($A140="","",HOUR($W140)+MINUTE($W140)/60)</f>
        <v/>
      </c>
      <c r="AK140" s="22" t="str">
        <f aca="false">IF($A140="","",VLOOKUP($F140,Dim_Team!$A:$F,6,0))</f>
        <v/>
      </c>
      <c r="AL140" s="28" t="str">
        <f aca="false">IF($A140="","",VLOOKUP($X140,Dim_Signoff!$A:$C,3,0))</f>
        <v/>
      </c>
      <c r="AM140" s="28" t="str">
        <f aca="false">IF($A140="","",IF($N140="No","n/a",ROUND((AH140-AE140)*60,0)))</f>
        <v/>
      </c>
      <c r="AN140" s="28" t="str">
        <f aca="false">IF($A140="","",IF($O140="No","n/a",ROUND((AH140-AF140)*60,0)))</f>
        <v/>
      </c>
      <c r="AO140" s="28" t="str">
        <f aca="false">IF($A140="","",IF($P140="No","n/a",ROUND((AH140-AG140)*60,0)))</f>
        <v/>
      </c>
      <c r="AP140" s="28" t="str">
        <f aca="false">IF($A140="","",ROUND((AH140-AK140)*60,0))</f>
        <v/>
      </c>
      <c r="AQ140" s="28" t="str">
        <f aca="false">IF($A140="","",ROUND((AI140-AH140)*60,0))</f>
        <v/>
      </c>
      <c r="AR140" s="4" t="str">
        <f aca="false">IF($A140="","",IF(AP140&gt;=AC140,"Yes","No"))</f>
        <v/>
      </c>
      <c r="AS140" s="4" t="str">
        <f aca="false">IF($A140="","",IF(AQ140&gt;=AD140+AL140,"Yes","No"))</f>
        <v/>
      </c>
      <c r="AT140" s="4" t="str">
        <f aca="false">IF($A140="","",IF(AND(AR140="Yes",AS140="Yes"),"OK","REVIEW"))</f>
        <v/>
      </c>
      <c r="AU140" s="4" t="str">
        <f aca="false">IF($A140="","",IF($P140="No","Not applicable",IF(AO140&lt;Constants!$B$14,"CAPTURE","Not needed")))</f>
        <v/>
      </c>
      <c r="AV140" s="4" t="str">
        <f aca="false">IF($A140="","",IF($P140="No","n/a",RANK(AO140,AO:AO,1)))</f>
        <v/>
      </c>
      <c r="AW140" s="4" t="str">
        <f aca="false">IF($A140="","",IF(UPPER($E140)="YES","Strategic","Non-strategic"))</f>
        <v/>
      </c>
      <c r="AX140" s="4" t="str">
        <f aca="false">IF($A140="","",COUNTIFS(Fact_Work!$C:$C,$A140))</f>
        <v/>
      </c>
      <c r="AY140" s="4" t="str">
        <f aca="false">IF($A140="","",IF(AX140=0,"Not seen",IF(AX140&gt;=Constants!$B$13*0.6,"Daily",IF(AX140&gt;=Constants!$B$13*0.12,"Weekly","Monthly or ad hoc"))))</f>
        <v/>
      </c>
      <c r="AZ140" s="22" t="str">
        <f aca="false">IF($A140="","",IFERROR(VLOOKUP($U140,Dim_TOP!$A:$H,8,0),""))</f>
        <v/>
      </c>
      <c r="BA140" s="28" t="str">
        <f aca="false">IF($A140="","",IFERROR(ROUND((AH140-AZ140)*60,0),""))</f>
        <v/>
      </c>
      <c r="BB140" s="4" t="str">
        <f aca="false">IF($A140="","",IF(BA140="","",IF(BA140&lt;=0,"Sets the deadline","Later than peers by "&amp;BA140&amp;" min")))</f>
        <v/>
      </c>
      <c r="BC140" s="29" t="str">
        <f aca="false">IF($A140="","",IF($U140="",0,IF(COUNTIFS($U$2:$U140,$U140,$C$2:$C140,$C140)=1,1,0)))</f>
        <v/>
      </c>
      <c r="BD140" s="10" t="str">
        <f aca="false">IF($A140="","",IF(UPPER($P140)="YES","Yes","No"))</f>
        <v/>
      </c>
      <c r="BE140" s="10" t="str">
        <f aca="false">IF($A140="","",IF($N140="No","n/a",IF(AM140&lt;=Constants!$B$17,"Yes","No")))</f>
        <v/>
      </c>
      <c r="BF140" s="10" t="str">
        <f aca="false">IF($A140="","",IF($O140="No","n/a",IF(AN140&lt;=Constants!$B$17,"Yes","No")))</f>
        <v/>
      </c>
      <c r="BG140" s="10" t="str">
        <f aca="false">IF($A140="","",IF($P140="No","n/a",IF(AO140&lt;=Constants!$B$17,"Yes","No")))</f>
        <v/>
      </c>
      <c r="BH140" s="10" t="str">
        <f aca="false">IF($A140="","",IF($N140="No","No custody process",IF(BE140="Yes","Thin custody slack","Ample custody slack")))</f>
        <v/>
      </c>
      <c r="BI140" s="30" t="str">
        <f aca="false">IF($A140="","",IF($N140="No","",AM140))</f>
        <v/>
      </c>
      <c r="BJ140" s="30" t="str">
        <f aca="false">IF($A140="","",IF($O140="No","",AN140))</f>
        <v/>
      </c>
      <c r="BK140" s="30" t="str">
        <f aca="false">IF($A140="","",IF($P140="No","",AO140))</f>
        <v/>
      </c>
    </row>
    <row r="141" customFormat="false" ht="15" hidden="false" customHeight="true" outlineLevel="0" collapsed="false">
      <c r="Z141" s="28" t="str">
        <f aca="false">IF($A141="","",Constants!$B$6+$I141*Constants!$B$7+$J141*Constants!$B$8+$K141*Constants!$B$9+$L141*Constants!$B$10+$M141*Constants!$B$11)</f>
        <v/>
      </c>
      <c r="AA141" s="28" t="str">
        <f aca="false">IF($A141="","",100-Z141)</f>
        <v/>
      </c>
      <c r="AB141" s="28" t="str">
        <f aca="false">IF($A141="","",ROUND($H141*Constants!$B$4,1))</f>
        <v/>
      </c>
      <c r="AC141" s="28" t="str">
        <f aca="false">IF($A141="","",ROUND(AB141*Z141/100,1))</f>
        <v/>
      </c>
      <c r="AD141" s="28" t="str">
        <f aca="false">IF($A141="","",ROUND(AB141*AA141/100,1))</f>
        <v/>
      </c>
      <c r="AE141" s="22" t="str">
        <f aca="false">IF($A141="","",HOUR($Q141)+MINUTE($Q141)/60)</f>
        <v/>
      </c>
      <c r="AF141" s="22" t="str">
        <f aca="false">IF($A141="","",HOUR($R141)+MINUTE($R141)/60)</f>
        <v/>
      </c>
      <c r="AG141" s="22" t="str">
        <f aca="false">IF($A141="","",HOUR($S141)+MINUTE($S141)/60)</f>
        <v/>
      </c>
      <c r="AH141" s="22" t="str">
        <f aca="false">IF($A141="","",HOUR($T141)+MINUTE($T141)/60)</f>
        <v/>
      </c>
      <c r="AI141" s="22" t="str">
        <f aca="false">IF($A141="","",HOUR($V141)+MINUTE($V141)/60)</f>
        <v/>
      </c>
      <c r="AJ141" s="22" t="str">
        <f aca="false">IF($A141="","",HOUR($W141)+MINUTE($W141)/60)</f>
        <v/>
      </c>
      <c r="AK141" s="22" t="str">
        <f aca="false">IF($A141="","",VLOOKUP($F141,Dim_Team!$A:$F,6,0))</f>
        <v/>
      </c>
      <c r="AL141" s="28" t="str">
        <f aca="false">IF($A141="","",VLOOKUP($X141,Dim_Signoff!$A:$C,3,0))</f>
        <v/>
      </c>
      <c r="AM141" s="28" t="str">
        <f aca="false">IF($A141="","",IF($N141="No","n/a",ROUND((AH141-AE141)*60,0)))</f>
        <v/>
      </c>
      <c r="AN141" s="28" t="str">
        <f aca="false">IF($A141="","",IF($O141="No","n/a",ROUND((AH141-AF141)*60,0)))</f>
        <v/>
      </c>
      <c r="AO141" s="28" t="str">
        <f aca="false">IF($A141="","",IF($P141="No","n/a",ROUND((AH141-AG141)*60,0)))</f>
        <v/>
      </c>
      <c r="AP141" s="28" t="str">
        <f aca="false">IF($A141="","",ROUND((AH141-AK141)*60,0))</f>
        <v/>
      </c>
      <c r="AQ141" s="28" t="str">
        <f aca="false">IF($A141="","",ROUND((AI141-AH141)*60,0))</f>
        <v/>
      </c>
      <c r="AR141" s="4" t="str">
        <f aca="false">IF($A141="","",IF(AP141&gt;=AC141,"Yes","No"))</f>
        <v/>
      </c>
      <c r="AS141" s="4" t="str">
        <f aca="false">IF($A141="","",IF(AQ141&gt;=AD141+AL141,"Yes","No"))</f>
        <v/>
      </c>
      <c r="AT141" s="4" t="str">
        <f aca="false">IF($A141="","",IF(AND(AR141="Yes",AS141="Yes"),"OK","REVIEW"))</f>
        <v/>
      </c>
      <c r="AU141" s="4" t="str">
        <f aca="false">IF($A141="","",IF($P141="No","Not applicable",IF(AO141&lt;Constants!$B$14,"CAPTURE","Not needed")))</f>
        <v/>
      </c>
      <c r="AV141" s="4" t="str">
        <f aca="false">IF($A141="","",IF($P141="No","n/a",RANK(AO141,AO:AO,1)))</f>
        <v/>
      </c>
      <c r="AW141" s="4" t="str">
        <f aca="false">IF($A141="","",IF(UPPER($E141)="YES","Strategic","Non-strategic"))</f>
        <v/>
      </c>
      <c r="AX141" s="4" t="str">
        <f aca="false">IF($A141="","",COUNTIFS(Fact_Work!$C:$C,$A141))</f>
        <v/>
      </c>
      <c r="AY141" s="4" t="str">
        <f aca="false">IF($A141="","",IF(AX141=0,"Not seen",IF(AX141&gt;=Constants!$B$13*0.6,"Daily",IF(AX141&gt;=Constants!$B$13*0.12,"Weekly","Monthly or ad hoc"))))</f>
        <v/>
      </c>
      <c r="AZ141" s="22" t="str">
        <f aca="false">IF($A141="","",IFERROR(VLOOKUP($U141,Dim_TOP!$A:$H,8,0),""))</f>
        <v/>
      </c>
      <c r="BA141" s="28" t="str">
        <f aca="false">IF($A141="","",IFERROR(ROUND((AH141-AZ141)*60,0),""))</f>
        <v/>
      </c>
      <c r="BB141" s="4" t="str">
        <f aca="false">IF($A141="","",IF(BA141="","",IF(BA141&lt;=0,"Sets the deadline","Later than peers by "&amp;BA141&amp;" min")))</f>
        <v/>
      </c>
      <c r="BC141" s="29" t="str">
        <f aca="false">IF($A141="","",IF($U141="",0,IF(COUNTIFS($U$2:$U141,$U141,$C$2:$C141,$C141)=1,1,0)))</f>
        <v/>
      </c>
      <c r="BD141" s="10" t="str">
        <f aca="false">IF($A141="","",IF(UPPER($P141)="YES","Yes","No"))</f>
        <v/>
      </c>
      <c r="BE141" s="10" t="str">
        <f aca="false">IF($A141="","",IF($N141="No","n/a",IF(AM141&lt;=Constants!$B$17,"Yes","No")))</f>
        <v/>
      </c>
      <c r="BF141" s="10" t="str">
        <f aca="false">IF($A141="","",IF($O141="No","n/a",IF(AN141&lt;=Constants!$B$17,"Yes","No")))</f>
        <v/>
      </c>
      <c r="BG141" s="10" t="str">
        <f aca="false">IF($A141="","",IF($P141="No","n/a",IF(AO141&lt;=Constants!$B$17,"Yes","No")))</f>
        <v/>
      </c>
      <c r="BH141" s="10" t="str">
        <f aca="false">IF($A141="","",IF($N141="No","No custody process",IF(BE141="Yes","Thin custody slack","Ample custody slack")))</f>
        <v/>
      </c>
      <c r="BI141" s="30" t="str">
        <f aca="false">IF($A141="","",IF($N141="No","",AM141))</f>
        <v/>
      </c>
      <c r="BJ141" s="30" t="str">
        <f aca="false">IF($A141="","",IF($O141="No","",AN141))</f>
        <v/>
      </c>
      <c r="BK141" s="30" t="str">
        <f aca="false">IF($A141="","",IF($P141="No","",AO141))</f>
        <v/>
      </c>
    </row>
    <row r="142" customFormat="false" ht="15" hidden="false" customHeight="true" outlineLevel="0" collapsed="false">
      <c r="Z142" s="28" t="str">
        <f aca="false">IF($A142="","",Constants!$B$6+$I142*Constants!$B$7+$J142*Constants!$B$8+$K142*Constants!$B$9+$L142*Constants!$B$10+$M142*Constants!$B$11)</f>
        <v/>
      </c>
      <c r="AA142" s="28" t="str">
        <f aca="false">IF($A142="","",100-Z142)</f>
        <v/>
      </c>
      <c r="AB142" s="28" t="str">
        <f aca="false">IF($A142="","",ROUND($H142*Constants!$B$4,1))</f>
        <v/>
      </c>
      <c r="AC142" s="28" t="str">
        <f aca="false">IF($A142="","",ROUND(AB142*Z142/100,1))</f>
        <v/>
      </c>
      <c r="AD142" s="28" t="str">
        <f aca="false">IF($A142="","",ROUND(AB142*AA142/100,1))</f>
        <v/>
      </c>
      <c r="AE142" s="22" t="str">
        <f aca="false">IF($A142="","",HOUR($Q142)+MINUTE($Q142)/60)</f>
        <v/>
      </c>
      <c r="AF142" s="22" t="str">
        <f aca="false">IF($A142="","",HOUR($R142)+MINUTE($R142)/60)</f>
        <v/>
      </c>
      <c r="AG142" s="22" t="str">
        <f aca="false">IF($A142="","",HOUR($S142)+MINUTE($S142)/60)</f>
        <v/>
      </c>
      <c r="AH142" s="22" t="str">
        <f aca="false">IF($A142="","",HOUR($T142)+MINUTE($T142)/60)</f>
        <v/>
      </c>
      <c r="AI142" s="22" t="str">
        <f aca="false">IF($A142="","",HOUR($V142)+MINUTE($V142)/60)</f>
        <v/>
      </c>
      <c r="AJ142" s="22" t="str">
        <f aca="false">IF($A142="","",HOUR($W142)+MINUTE($W142)/60)</f>
        <v/>
      </c>
      <c r="AK142" s="22" t="str">
        <f aca="false">IF($A142="","",VLOOKUP($F142,Dim_Team!$A:$F,6,0))</f>
        <v/>
      </c>
      <c r="AL142" s="28" t="str">
        <f aca="false">IF($A142="","",VLOOKUP($X142,Dim_Signoff!$A:$C,3,0))</f>
        <v/>
      </c>
      <c r="AM142" s="28" t="str">
        <f aca="false">IF($A142="","",IF($N142="No","n/a",ROUND((AH142-AE142)*60,0)))</f>
        <v/>
      </c>
      <c r="AN142" s="28" t="str">
        <f aca="false">IF($A142="","",IF($O142="No","n/a",ROUND((AH142-AF142)*60,0)))</f>
        <v/>
      </c>
      <c r="AO142" s="28" t="str">
        <f aca="false">IF($A142="","",IF($P142="No","n/a",ROUND((AH142-AG142)*60,0)))</f>
        <v/>
      </c>
      <c r="AP142" s="28" t="str">
        <f aca="false">IF($A142="","",ROUND((AH142-AK142)*60,0))</f>
        <v/>
      </c>
      <c r="AQ142" s="28" t="str">
        <f aca="false">IF($A142="","",ROUND((AI142-AH142)*60,0))</f>
        <v/>
      </c>
      <c r="AR142" s="4" t="str">
        <f aca="false">IF($A142="","",IF(AP142&gt;=AC142,"Yes","No"))</f>
        <v/>
      </c>
      <c r="AS142" s="4" t="str">
        <f aca="false">IF($A142="","",IF(AQ142&gt;=AD142+AL142,"Yes","No"))</f>
        <v/>
      </c>
      <c r="AT142" s="4" t="str">
        <f aca="false">IF($A142="","",IF(AND(AR142="Yes",AS142="Yes"),"OK","REVIEW"))</f>
        <v/>
      </c>
      <c r="AU142" s="4" t="str">
        <f aca="false">IF($A142="","",IF($P142="No","Not applicable",IF(AO142&lt;Constants!$B$14,"CAPTURE","Not needed")))</f>
        <v/>
      </c>
      <c r="AV142" s="4" t="str">
        <f aca="false">IF($A142="","",IF($P142="No","n/a",RANK(AO142,AO:AO,1)))</f>
        <v/>
      </c>
      <c r="AW142" s="4" t="str">
        <f aca="false">IF($A142="","",IF(UPPER($E142)="YES","Strategic","Non-strategic"))</f>
        <v/>
      </c>
      <c r="AX142" s="4" t="str">
        <f aca="false">IF($A142="","",COUNTIFS(Fact_Work!$C:$C,$A142))</f>
        <v/>
      </c>
      <c r="AY142" s="4" t="str">
        <f aca="false">IF($A142="","",IF(AX142=0,"Not seen",IF(AX142&gt;=Constants!$B$13*0.6,"Daily",IF(AX142&gt;=Constants!$B$13*0.12,"Weekly","Monthly or ad hoc"))))</f>
        <v/>
      </c>
      <c r="AZ142" s="22" t="str">
        <f aca="false">IF($A142="","",IFERROR(VLOOKUP($U142,Dim_TOP!$A:$H,8,0),""))</f>
        <v/>
      </c>
      <c r="BA142" s="28" t="str">
        <f aca="false">IF($A142="","",IFERROR(ROUND((AH142-AZ142)*60,0),""))</f>
        <v/>
      </c>
      <c r="BB142" s="4" t="str">
        <f aca="false">IF($A142="","",IF(BA142="","",IF(BA142&lt;=0,"Sets the deadline","Later than peers by "&amp;BA142&amp;" min")))</f>
        <v/>
      </c>
      <c r="BC142" s="29" t="str">
        <f aca="false">IF($A142="","",IF($U142="",0,IF(COUNTIFS($U$2:$U142,$U142,$C$2:$C142,$C142)=1,1,0)))</f>
        <v/>
      </c>
      <c r="BD142" s="10" t="str">
        <f aca="false">IF($A142="","",IF(UPPER($P142)="YES","Yes","No"))</f>
        <v/>
      </c>
      <c r="BE142" s="10" t="str">
        <f aca="false">IF($A142="","",IF($N142="No","n/a",IF(AM142&lt;=Constants!$B$17,"Yes","No")))</f>
        <v/>
      </c>
      <c r="BF142" s="10" t="str">
        <f aca="false">IF($A142="","",IF($O142="No","n/a",IF(AN142&lt;=Constants!$B$17,"Yes","No")))</f>
        <v/>
      </c>
      <c r="BG142" s="10" t="str">
        <f aca="false">IF($A142="","",IF($P142="No","n/a",IF(AO142&lt;=Constants!$B$17,"Yes","No")))</f>
        <v/>
      </c>
      <c r="BH142" s="10" t="str">
        <f aca="false">IF($A142="","",IF($N142="No","No custody process",IF(BE142="Yes","Thin custody slack","Ample custody slack")))</f>
        <v/>
      </c>
      <c r="BI142" s="30" t="str">
        <f aca="false">IF($A142="","",IF($N142="No","",AM142))</f>
        <v/>
      </c>
      <c r="BJ142" s="30" t="str">
        <f aca="false">IF($A142="","",IF($O142="No","",AN142))</f>
        <v/>
      </c>
      <c r="BK142" s="30" t="str">
        <f aca="false">IF($A142="","",IF($P142="No","",AO142))</f>
        <v/>
      </c>
    </row>
    <row r="143" customFormat="false" ht="15" hidden="false" customHeight="true" outlineLevel="0" collapsed="false">
      <c r="Z143" s="28" t="str">
        <f aca="false">IF($A143="","",Constants!$B$6+$I143*Constants!$B$7+$J143*Constants!$B$8+$K143*Constants!$B$9+$L143*Constants!$B$10+$M143*Constants!$B$11)</f>
        <v/>
      </c>
      <c r="AA143" s="28" t="str">
        <f aca="false">IF($A143="","",100-Z143)</f>
        <v/>
      </c>
      <c r="AB143" s="28" t="str">
        <f aca="false">IF($A143="","",ROUND($H143*Constants!$B$4,1))</f>
        <v/>
      </c>
      <c r="AC143" s="28" t="str">
        <f aca="false">IF($A143="","",ROUND(AB143*Z143/100,1))</f>
        <v/>
      </c>
      <c r="AD143" s="28" t="str">
        <f aca="false">IF($A143="","",ROUND(AB143*AA143/100,1))</f>
        <v/>
      </c>
      <c r="AE143" s="22" t="str">
        <f aca="false">IF($A143="","",HOUR($Q143)+MINUTE($Q143)/60)</f>
        <v/>
      </c>
      <c r="AF143" s="22" t="str">
        <f aca="false">IF($A143="","",HOUR($R143)+MINUTE($R143)/60)</f>
        <v/>
      </c>
      <c r="AG143" s="22" t="str">
        <f aca="false">IF($A143="","",HOUR($S143)+MINUTE($S143)/60)</f>
        <v/>
      </c>
      <c r="AH143" s="22" t="str">
        <f aca="false">IF($A143="","",HOUR($T143)+MINUTE($T143)/60)</f>
        <v/>
      </c>
      <c r="AI143" s="22" t="str">
        <f aca="false">IF($A143="","",HOUR($V143)+MINUTE($V143)/60)</f>
        <v/>
      </c>
      <c r="AJ143" s="22" t="str">
        <f aca="false">IF($A143="","",HOUR($W143)+MINUTE($W143)/60)</f>
        <v/>
      </c>
      <c r="AK143" s="22" t="str">
        <f aca="false">IF($A143="","",VLOOKUP($F143,Dim_Team!$A:$F,6,0))</f>
        <v/>
      </c>
      <c r="AL143" s="28" t="str">
        <f aca="false">IF($A143="","",VLOOKUP($X143,Dim_Signoff!$A:$C,3,0))</f>
        <v/>
      </c>
      <c r="AM143" s="28" t="str">
        <f aca="false">IF($A143="","",IF($N143="No","n/a",ROUND((AH143-AE143)*60,0)))</f>
        <v/>
      </c>
      <c r="AN143" s="28" t="str">
        <f aca="false">IF($A143="","",IF($O143="No","n/a",ROUND((AH143-AF143)*60,0)))</f>
        <v/>
      </c>
      <c r="AO143" s="28" t="str">
        <f aca="false">IF($A143="","",IF($P143="No","n/a",ROUND((AH143-AG143)*60,0)))</f>
        <v/>
      </c>
      <c r="AP143" s="28" t="str">
        <f aca="false">IF($A143="","",ROUND((AH143-AK143)*60,0))</f>
        <v/>
      </c>
      <c r="AQ143" s="28" t="str">
        <f aca="false">IF($A143="","",ROUND((AI143-AH143)*60,0))</f>
        <v/>
      </c>
      <c r="AR143" s="4" t="str">
        <f aca="false">IF($A143="","",IF(AP143&gt;=AC143,"Yes","No"))</f>
        <v/>
      </c>
      <c r="AS143" s="4" t="str">
        <f aca="false">IF($A143="","",IF(AQ143&gt;=AD143+AL143,"Yes","No"))</f>
        <v/>
      </c>
      <c r="AT143" s="4" t="str">
        <f aca="false">IF($A143="","",IF(AND(AR143="Yes",AS143="Yes"),"OK","REVIEW"))</f>
        <v/>
      </c>
      <c r="AU143" s="4" t="str">
        <f aca="false">IF($A143="","",IF($P143="No","Not applicable",IF(AO143&lt;Constants!$B$14,"CAPTURE","Not needed")))</f>
        <v/>
      </c>
      <c r="AV143" s="4" t="str">
        <f aca="false">IF($A143="","",IF($P143="No","n/a",RANK(AO143,AO:AO,1)))</f>
        <v/>
      </c>
      <c r="AW143" s="4" t="str">
        <f aca="false">IF($A143="","",IF(UPPER($E143)="YES","Strategic","Non-strategic"))</f>
        <v/>
      </c>
      <c r="AX143" s="4" t="str">
        <f aca="false">IF($A143="","",COUNTIFS(Fact_Work!$C:$C,$A143))</f>
        <v/>
      </c>
      <c r="AY143" s="4" t="str">
        <f aca="false">IF($A143="","",IF(AX143=0,"Not seen",IF(AX143&gt;=Constants!$B$13*0.6,"Daily",IF(AX143&gt;=Constants!$B$13*0.12,"Weekly","Monthly or ad hoc"))))</f>
        <v/>
      </c>
      <c r="AZ143" s="22" t="str">
        <f aca="false">IF($A143="","",IFERROR(VLOOKUP($U143,Dim_TOP!$A:$H,8,0),""))</f>
        <v/>
      </c>
      <c r="BA143" s="28" t="str">
        <f aca="false">IF($A143="","",IFERROR(ROUND((AH143-AZ143)*60,0),""))</f>
        <v/>
      </c>
      <c r="BB143" s="4" t="str">
        <f aca="false">IF($A143="","",IF(BA143="","",IF(BA143&lt;=0,"Sets the deadline","Later than peers by "&amp;BA143&amp;" min")))</f>
        <v/>
      </c>
      <c r="BC143" s="29" t="str">
        <f aca="false">IF($A143="","",IF($U143="",0,IF(COUNTIFS($U$2:$U143,$U143,$C$2:$C143,$C143)=1,1,0)))</f>
        <v/>
      </c>
      <c r="BD143" s="10" t="str">
        <f aca="false">IF($A143="","",IF(UPPER($P143)="YES","Yes","No"))</f>
        <v/>
      </c>
      <c r="BE143" s="10" t="str">
        <f aca="false">IF($A143="","",IF($N143="No","n/a",IF(AM143&lt;=Constants!$B$17,"Yes","No")))</f>
        <v/>
      </c>
      <c r="BF143" s="10" t="str">
        <f aca="false">IF($A143="","",IF($O143="No","n/a",IF(AN143&lt;=Constants!$B$17,"Yes","No")))</f>
        <v/>
      </c>
      <c r="BG143" s="10" t="str">
        <f aca="false">IF($A143="","",IF($P143="No","n/a",IF(AO143&lt;=Constants!$B$17,"Yes","No")))</f>
        <v/>
      </c>
      <c r="BH143" s="10" t="str">
        <f aca="false">IF($A143="","",IF($N143="No","No custody process",IF(BE143="Yes","Thin custody slack","Ample custody slack")))</f>
        <v/>
      </c>
      <c r="BI143" s="30" t="str">
        <f aca="false">IF($A143="","",IF($N143="No","",AM143))</f>
        <v/>
      </c>
      <c r="BJ143" s="30" t="str">
        <f aca="false">IF($A143="","",IF($O143="No","",AN143))</f>
        <v/>
      </c>
      <c r="BK143" s="30" t="str">
        <f aca="false">IF($A143="","",IF($P143="No","",AO143))</f>
        <v/>
      </c>
    </row>
    <row r="144" customFormat="false" ht="15" hidden="false" customHeight="true" outlineLevel="0" collapsed="false">
      <c r="Z144" s="28" t="str">
        <f aca="false">IF($A144="","",Constants!$B$6+$I144*Constants!$B$7+$J144*Constants!$B$8+$K144*Constants!$B$9+$L144*Constants!$B$10+$M144*Constants!$B$11)</f>
        <v/>
      </c>
      <c r="AA144" s="28" t="str">
        <f aca="false">IF($A144="","",100-Z144)</f>
        <v/>
      </c>
      <c r="AB144" s="28" t="str">
        <f aca="false">IF($A144="","",ROUND($H144*Constants!$B$4,1))</f>
        <v/>
      </c>
      <c r="AC144" s="28" t="str">
        <f aca="false">IF($A144="","",ROUND(AB144*Z144/100,1))</f>
        <v/>
      </c>
      <c r="AD144" s="28" t="str">
        <f aca="false">IF($A144="","",ROUND(AB144*AA144/100,1))</f>
        <v/>
      </c>
      <c r="AE144" s="22" t="str">
        <f aca="false">IF($A144="","",HOUR($Q144)+MINUTE($Q144)/60)</f>
        <v/>
      </c>
      <c r="AF144" s="22" t="str">
        <f aca="false">IF($A144="","",HOUR($R144)+MINUTE($R144)/60)</f>
        <v/>
      </c>
      <c r="AG144" s="22" t="str">
        <f aca="false">IF($A144="","",HOUR($S144)+MINUTE($S144)/60)</f>
        <v/>
      </c>
      <c r="AH144" s="22" t="str">
        <f aca="false">IF($A144="","",HOUR($T144)+MINUTE($T144)/60)</f>
        <v/>
      </c>
      <c r="AI144" s="22" t="str">
        <f aca="false">IF($A144="","",HOUR($V144)+MINUTE($V144)/60)</f>
        <v/>
      </c>
      <c r="AJ144" s="22" t="str">
        <f aca="false">IF($A144="","",HOUR($W144)+MINUTE($W144)/60)</f>
        <v/>
      </c>
      <c r="AK144" s="22" t="str">
        <f aca="false">IF($A144="","",VLOOKUP($F144,Dim_Team!$A:$F,6,0))</f>
        <v/>
      </c>
      <c r="AL144" s="28" t="str">
        <f aca="false">IF($A144="","",VLOOKUP($X144,Dim_Signoff!$A:$C,3,0))</f>
        <v/>
      </c>
      <c r="AM144" s="28" t="str">
        <f aca="false">IF($A144="","",IF($N144="No","n/a",ROUND((AH144-AE144)*60,0)))</f>
        <v/>
      </c>
      <c r="AN144" s="28" t="str">
        <f aca="false">IF($A144="","",IF($O144="No","n/a",ROUND((AH144-AF144)*60,0)))</f>
        <v/>
      </c>
      <c r="AO144" s="28" t="str">
        <f aca="false">IF($A144="","",IF($P144="No","n/a",ROUND((AH144-AG144)*60,0)))</f>
        <v/>
      </c>
      <c r="AP144" s="28" t="str">
        <f aca="false">IF($A144="","",ROUND((AH144-AK144)*60,0))</f>
        <v/>
      </c>
      <c r="AQ144" s="28" t="str">
        <f aca="false">IF($A144="","",ROUND((AI144-AH144)*60,0))</f>
        <v/>
      </c>
      <c r="AR144" s="4" t="str">
        <f aca="false">IF($A144="","",IF(AP144&gt;=AC144,"Yes","No"))</f>
        <v/>
      </c>
      <c r="AS144" s="4" t="str">
        <f aca="false">IF($A144="","",IF(AQ144&gt;=AD144+AL144,"Yes","No"))</f>
        <v/>
      </c>
      <c r="AT144" s="4" t="str">
        <f aca="false">IF($A144="","",IF(AND(AR144="Yes",AS144="Yes"),"OK","REVIEW"))</f>
        <v/>
      </c>
      <c r="AU144" s="4" t="str">
        <f aca="false">IF($A144="","",IF($P144="No","Not applicable",IF(AO144&lt;Constants!$B$14,"CAPTURE","Not needed")))</f>
        <v/>
      </c>
      <c r="AV144" s="4" t="str">
        <f aca="false">IF($A144="","",IF($P144="No","n/a",RANK(AO144,AO:AO,1)))</f>
        <v/>
      </c>
      <c r="AW144" s="4" t="str">
        <f aca="false">IF($A144="","",IF(UPPER($E144)="YES","Strategic","Non-strategic"))</f>
        <v/>
      </c>
      <c r="AX144" s="4" t="str">
        <f aca="false">IF($A144="","",COUNTIFS(Fact_Work!$C:$C,$A144))</f>
        <v/>
      </c>
      <c r="AY144" s="4" t="str">
        <f aca="false">IF($A144="","",IF(AX144=0,"Not seen",IF(AX144&gt;=Constants!$B$13*0.6,"Daily",IF(AX144&gt;=Constants!$B$13*0.12,"Weekly","Monthly or ad hoc"))))</f>
        <v/>
      </c>
      <c r="AZ144" s="22" t="str">
        <f aca="false">IF($A144="","",IFERROR(VLOOKUP($U144,Dim_TOP!$A:$H,8,0),""))</f>
        <v/>
      </c>
      <c r="BA144" s="28" t="str">
        <f aca="false">IF($A144="","",IFERROR(ROUND((AH144-AZ144)*60,0),""))</f>
        <v/>
      </c>
      <c r="BB144" s="4" t="str">
        <f aca="false">IF($A144="","",IF(BA144="","",IF(BA144&lt;=0,"Sets the deadline","Later than peers by "&amp;BA144&amp;" min")))</f>
        <v/>
      </c>
      <c r="BC144" s="29" t="str">
        <f aca="false">IF($A144="","",IF($U144="",0,IF(COUNTIFS($U$2:$U144,$U144,$C$2:$C144,$C144)=1,1,0)))</f>
        <v/>
      </c>
      <c r="BD144" s="10" t="str">
        <f aca="false">IF($A144="","",IF(UPPER($P144)="YES","Yes","No"))</f>
        <v/>
      </c>
      <c r="BE144" s="10" t="str">
        <f aca="false">IF($A144="","",IF($N144="No","n/a",IF(AM144&lt;=Constants!$B$17,"Yes","No")))</f>
        <v/>
      </c>
      <c r="BF144" s="10" t="str">
        <f aca="false">IF($A144="","",IF($O144="No","n/a",IF(AN144&lt;=Constants!$B$17,"Yes","No")))</f>
        <v/>
      </c>
      <c r="BG144" s="10" t="str">
        <f aca="false">IF($A144="","",IF($P144="No","n/a",IF(AO144&lt;=Constants!$B$17,"Yes","No")))</f>
        <v/>
      </c>
      <c r="BH144" s="10" t="str">
        <f aca="false">IF($A144="","",IF($N144="No","No custody process",IF(BE144="Yes","Thin custody slack","Ample custody slack")))</f>
        <v/>
      </c>
      <c r="BI144" s="30" t="str">
        <f aca="false">IF($A144="","",IF($N144="No","",AM144))</f>
        <v/>
      </c>
      <c r="BJ144" s="30" t="str">
        <f aca="false">IF($A144="","",IF($O144="No","",AN144))</f>
        <v/>
      </c>
      <c r="BK144" s="30" t="str">
        <f aca="false">IF($A144="","",IF($P144="No","",AO144))</f>
        <v/>
      </c>
    </row>
    <row r="145" customFormat="false" ht="15" hidden="false" customHeight="true" outlineLevel="0" collapsed="false">
      <c r="Z145" s="28" t="str">
        <f aca="false">IF($A145="","",Constants!$B$6+$I145*Constants!$B$7+$J145*Constants!$B$8+$K145*Constants!$B$9+$L145*Constants!$B$10+$M145*Constants!$B$11)</f>
        <v/>
      </c>
      <c r="AA145" s="28" t="str">
        <f aca="false">IF($A145="","",100-Z145)</f>
        <v/>
      </c>
      <c r="AB145" s="28" t="str">
        <f aca="false">IF($A145="","",ROUND($H145*Constants!$B$4,1))</f>
        <v/>
      </c>
      <c r="AC145" s="28" t="str">
        <f aca="false">IF($A145="","",ROUND(AB145*Z145/100,1))</f>
        <v/>
      </c>
      <c r="AD145" s="28" t="str">
        <f aca="false">IF($A145="","",ROUND(AB145*AA145/100,1))</f>
        <v/>
      </c>
      <c r="AE145" s="22" t="str">
        <f aca="false">IF($A145="","",HOUR($Q145)+MINUTE($Q145)/60)</f>
        <v/>
      </c>
      <c r="AF145" s="22" t="str">
        <f aca="false">IF($A145="","",HOUR($R145)+MINUTE($R145)/60)</f>
        <v/>
      </c>
      <c r="AG145" s="22" t="str">
        <f aca="false">IF($A145="","",HOUR($S145)+MINUTE($S145)/60)</f>
        <v/>
      </c>
      <c r="AH145" s="22" t="str">
        <f aca="false">IF($A145="","",HOUR($T145)+MINUTE($T145)/60)</f>
        <v/>
      </c>
      <c r="AI145" s="22" t="str">
        <f aca="false">IF($A145="","",HOUR($V145)+MINUTE($V145)/60)</f>
        <v/>
      </c>
      <c r="AJ145" s="22" t="str">
        <f aca="false">IF($A145="","",HOUR($W145)+MINUTE($W145)/60)</f>
        <v/>
      </c>
      <c r="AK145" s="22" t="str">
        <f aca="false">IF($A145="","",VLOOKUP($F145,Dim_Team!$A:$F,6,0))</f>
        <v/>
      </c>
      <c r="AL145" s="28" t="str">
        <f aca="false">IF($A145="","",VLOOKUP($X145,Dim_Signoff!$A:$C,3,0))</f>
        <v/>
      </c>
      <c r="AM145" s="28" t="str">
        <f aca="false">IF($A145="","",IF($N145="No","n/a",ROUND((AH145-AE145)*60,0)))</f>
        <v/>
      </c>
      <c r="AN145" s="28" t="str">
        <f aca="false">IF($A145="","",IF($O145="No","n/a",ROUND((AH145-AF145)*60,0)))</f>
        <v/>
      </c>
      <c r="AO145" s="28" t="str">
        <f aca="false">IF($A145="","",IF($P145="No","n/a",ROUND((AH145-AG145)*60,0)))</f>
        <v/>
      </c>
      <c r="AP145" s="28" t="str">
        <f aca="false">IF($A145="","",ROUND((AH145-AK145)*60,0))</f>
        <v/>
      </c>
      <c r="AQ145" s="28" t="str">
        <f aca="false">IF($A145="","",ROUND((AI145-AH145)*60,0))</f>
        <v/>
      </c>
      <c r="AR145" s="4" t="str">
        <f aca="false">IF($A145="","",IF(AP145&gt;=AC145,"Yes","No"))</f>
        <v/>
      </c>
      <c r="AS145" s="4" t="str">
        <f aca="false">IF($A145="","",IF(AQ145&gt;=AD145+AL145,"Yes","No"))</f>
        <v/>
      </c>
      <c r="AT145" s="4" t="str">
        <f aca="false">IF($A145="","",IF(AND(AR145="Yes",AS145="Yes"),"OK","REVIEW"))</f>
        <v/>
      </c>
      <c r="AU145" s="4" t="str">
        <f aca="false">IF($A145="","",IF($P145="No","Not applicable",IF(AO145&lt;Constants!$B$14,"CAPTURE","Not needed")))</f>
        <v/>
      </c>
      <c r="AV145" s="4" t="str">
        <f aca="false">IF($A145="","",IF($P145="No","n/a",RANK(AO145,AO:AO,1)))</f>
        <v/>
      </c>
      <c r="AW145" s="4" t="str">
        <f aca="false">IF($A145="","",IF(UPPER($E145)="YES","Strategic","Non-strategic"))</f>
        <v/>
      </c>
      <c r="AX145" s="4" t="str">
        <f aca="false">IF($A145="","",COUNTIFS(Fact_Work!$C:$C,$A145))</f>
        <v/>
      </c>
      <c r="AY145" s="4" t="str">
        <f aca="false">IF($A145="","",IF(AX145=0,"Not seen",IF(AX145&gt;=Constants!$B$13*0.6,"Daily",IF(AX145&gt;=Constants!$B$13*0.12,"Weekly","Monthly or ad hoc"))))</f>
        <v/>
      </c>
      <c r="AZ145" s="22" t="str">
        <f aca="false">IF($A145="","",IFERROR(VLOOKUP($U145,Dim_TOP!$A:$H,8,0),""))</f>
        <v/>
      </c>
      <c r="BA145" s="28" t="str">
        <f aca="false">IF($A145="","",IFERROR(ROUND((AH145-AZ145)*60,0),""))</f>
        <v/>
      </c>
      <c r="BB145" s="4" t="str">
        <f aca="false">IF($A145="","",IF(BA145="","",IF(BA145&lt;=0,"Sets the deadline","Later than peers by "&amp;BA145&amp;" min")))</f>
        <v/>
      </c>
      <c r="BC145" s="29" t="str">
        <f aca="false">IF($A145="","",IF($U145="",0,IF(COUNTIFS($U$2:$U145,$U145,$C$2:$C145,$C145)=1,1,0)))</f>
        <v/>
      </c>
      <c r="BD145" s="10" t="str">
        <f aca="false">IF($A145="","",IF(UPPER($P145)="YES","Yes","No"))</f>
        <v/>
      </c>
      <c r="BE145" s="10" t="str">
        <f aca="false">IF($A145="","",IF($N145="No","n/a",IF(AM145&lt;=Constants!$B$17,"Yes","No")))</f>
        <v/>
      </c>
      <c r="BF145" s="10" t="str">
        <f aca="false">IF($A145="","",IF($O145="No","n/a",IF(AN145&lt;=Constants!$B$17,"Yes","No")))</f>
        <v/>
      </c>
      <c r="BG145" s="10" t="str">
        <f aca="false">IF($A145="","",IF($P145="No","n/a",IF(AO145&lt;=Constants!$B$17,"Yes","No")))</f>
        <v/>
      </c>
      <c r="BH145" s="10" t="str">
        <f aca="false">IF($A145="","",IF($N145="No","No custody process",IF(BE145="Yes","Thin custody slack","Ample custody slack")))</f>
        <v/>
      </c>
      <c r="BI145" s="30" t="str">
        <f aca="false">IF($A145="","",IF($N145="No","",AM145))</f>
        <v/>
      </c>
      <c r="BJ145" s="30" t="str">
        <f aca="false">IF($A145="","",IF($O145="No","",AN145))</f>
        <v/>
      </c>
      <c r="BK145" s="30" t="str">
        <f aca="false">IF($A145="","",IF($P145="No","",AO145))</f>
        <v/>
      </c>
    </row>
    <row r="146" customFormat="false" ht="15" hidden="false" customHeight="true" outlineLevel="0" collapsed="false">
      <c r="Z146" s="28" t="str">
        <f aca="false">IF($A146="","",Constants!$B$6+$I146*Constants!$B$7+$J146*Constants!$B$8+$K146*Constants!$B$9+$L146*Constants!$B$10+$M146*Constants!$B$11)</f>
        <v/>
      </c>
      <c r="AA146" s="28" t="str">
        <f aca="false">IF($A146="","",100-Z146)</f>
        <v/>
      </c>
      <c r="AB146" s="28" t="str">
        <f aca="false">IF($A146="","",ROUND($H146*Constants!$B$4,1))</f>
        <v/>
      </c>
      <c r="AC146" s="28" t="str">
        <f aca="false">IF($A146="","",ROUND(AB146*Z146/100,1))</f>
        <v/>
      </c>
      <c r="AD146" s="28" t="str">
        <f aca="false">IF($A146="","",ROUND(AB146*AA146/100,1))</f>
        <v/>
      </c>
      <c r="AE146" s="22" t="str">
        <f aca="false">IF($A146="","",HOUR($Q146)+MINUTE($Q146)/60)</f>
        <v/>
      </c>
      <c r="AF146" s="22" t="str">
        <f aca="false">IF($A146="","",HOUR($R146)+MINUTE($R146)/60)</f>
        <v/>
      </c>
      <c r="AG146" s="22" t="str">
        <f aca="false">IF($A146="","",HOUR($S146)+MINUTE($S146)/60)</f>
        <v/>
      </c>
      <c r="AH146" s="22" t="str">
        <f aca="false">IF($A146="","",HOUR($T146)+MINUTE($T146)/60)</f>
        <v/>
      </c>
      <c r="AI146" s="22" t="str">
        <f aca="false">IF($A146="","",HOUR($V146)+MINUTE($V146)/60)</f>
        <v/>
      </c>
      <c r="AJ146" s="22" t="str">
        <f aca="false">IF($A146="","",HOUR($W146)+MINUTE($W146)/60)</f>
        <v/>
      </c>
      <c r="AK146" s="22" t="str">
        <f aca="false">IF($A146="","",VLOOKUP($F146,Dim_Team!$A:$F,6,0))</f>
        <v/>
      </c>
      <c r="AL146" s="28" t="str">
        <f aca="false">IF($A146="","",VLOOKUP($X146,Dim_Signoff!$A:$C,3,0))</f>
        <v/>
      </c>
      <c r="AM146" s="28" t="str">
        <f aca="false">IF($A146="","",IF($N146="No","n/a",ROUND((AH146-AE146)*60,0)))</f>
        <v/>
      </c>
      <c r="AN146" s="28" t="str">
        <f aca="false">IF($A146="","",IF($O146="No","n/a",ROUND((AH146-AF146)*60,0)))</f>
        <v/>
      </c>
      <c r="AO146" s="28" t="str">
        <f aca="false">IF($A146="","",IF($P146="No","n/a",ROUND((AH146-AG146)*60,0)))</f>
        <v/>
      </c>
      <c r="AP146" s="28" t="str">
        <f aca="false">IF($A146="","",ROUND((AH146-AK146)*60,0))</f>
        <v/>
      </c>
      <c r="AQ146" s="28" t="str">
        <f aca="false">IF($A146="","",ROUND((AI146-AH146)*60,0))</f>
        <v/>
      </c>
      <c r="AR146" s="4" t="str">
        <f aca="false">IF($A146="","",IF(AP146&gt;=AC146,"Yes","No"))</f>
        <v/>
      </c>
      <c r="AS146" s="4" t="str">
        <f aca="false">IF($A146="","",IF(AQ146&gt;=AD146+AL146,"Yes","No"))</f>
        <v/>
      </c>
      <c r="AT146" s="4" t="str">
        <f aca="false">IF($A146="","",IF(AND(AR146="Yes",AS146="Yes"),"OK","REVIEW"))</f>
        <v/>
      </c>
      <c r="AU146" s="4" t="str">
        <f aca="false">IF($A146="","",IF($P146="No","Not applicable",IF(AO146&lt;Constants!$B$14,"CAPTURE","Not needed")))</f>
        <v/>
      </c>
      <c r="AV146" s="4" t="str">
        <f aca="false">IF($A146="","",IF($P146="No","n/a",RANK(AO146,AO:AO,1)))</f>
        <v/>
      </c>
      <c r="AW146" s="4" t="str">
        <f aca="false">IF($A146="","",IF(UPPER($E146)="YES","Strategic","Non-strategic"))</f>
        <v/>
      </c>
      <c r="AX146" s="4" t="str">
        <f aca="false">IF($A146="","",COUNTIFS(Fact_Work!$C:$C,$A146))</f>
        <v/>
      </c>
      <c r="AY146" s="4" t="str">
        <f aca="false">IF($A146="","",IF(AX146=0,"Not seen",IF(AX146&gt;=Constants!$B$13*0.6,"Daily",IF(AX146&gt;=Constants!$B$13*0.12,"Weekly","Monthly or ad hoc"))))</f>
        <v/>
      </c>
      <c r="AZ146" s="22" t="str">
        <f aca="false">IF($A146="","",IFERROR(VLOOKUP($U146,Dim_TOP!$A:$H,8,0),""))</f>
        <v/>
      </c>
      <c r="BA146" s="28" t="str">
        <f aca="false">IF($A146="","",IFERROR(ROUND((AH146-AZ146)*60,0),""))</f>
        <v/>
      </c>
      <c r="BB146" s="4" t="str">
        <f aca="false">IF($A146="","",IF(BA146="","",IF(BA146&lt;=0,"Sets the deadline","Later than peers by "&amp;BA146&amp;" min")))</f>
        <v/>
      </c>
      <c r="BC146" s="29" t="str">
        <f aca="false">IF($A146="","",IF($U146="",0,IF(COUNTIFS($U$2:$U146,$U146,$C$2:$C146,$C146)=1,1,0)))</f>
        <v/>
      </c>
      <c r="BD146" s="10" t="str">
        <f aca="false">IF($A146="","",IF(UPPER($P146)="YES","Yes","No"))</f>
        <v/>
      </c>
      <c r="BE146" s="10" t="str">
        <f aca="false">IF($A146="","",IF($N146="No","n/a",IF(AM146&lt;=Constants!$B$17,"Yes","No")))</f>
        <v/>
      </c>
      <c r="BF146" s="10" t="str">
        <f aca="false">IF($A146="","",IF($O146="No","n/a",IF(AN146&lt;=Constants!$B$17,"Yes","No")))</f>
        <v/>
      </c>
      <c r="BG146" s="10" t="str">
        <f aca="false">IF($A146="","",IF($P146="No","n/a",IF(AO146&lt;=Constants!$B$17,"Yes","No")))</f>
        <v/>
      </c>
      <c r="BH146" s="10" t="str">
        <f aca="false">IF($A146="","",IF($N146="No","No custody process",IF(BE146="Yes","Thin custody slack","Ample custody slack")))</f>
        <v/>
      </c>
      <c r="BI146" s="30" t="str">
        <f aca="false">IF($A146="","",IF($N146="No","",AM146))</f>
        <v/>
      </c>
      <c r="BJ146" s="30" t="str">
        <f aca="false">IF($A146="","",IF($O146="No","",AN146))</f>
        <v/>
      </c>
      <c r="BK146" s="30" t="str">
        <f aca="false">IF($A146="","",IF($P146="No","",AO146))</f>
        <v/>
      </c>
    </row>
    <row r="147" customFormat="false" ht="15" hidden="false" customHeight="true" outlineLevel="0" collapsed="false">
      <c r="Z147" s="28" t="str">
        <f aca="false">IF($A147="","",Constants!$B$6+$I147*Constants!$B$7+$J147*Constants!$B$8+$K147*Constants!$B$9+$L147*Constants!$B$10+$M147*Constants!$B$11)</f>
        <v/>
      </c>
      <c r="AA147" s="28" t="str">
        <f aca="false">IF($A147="","",100-Z147)</f>
        <v/>
      </c>
      <c r="AB147" s="28" t="str">
        <f aca="false">IF($A147="","",ROUND($H147*Constants!$B$4,1))</f>
        <v/>
      </c>
      <c r="AC147" s="28" t="str">
        <f aca="false">IF($A147="","",ROUND(AB147*Z147/100,1))</f>
        <v/>
      </c>
      <c r="AD147" s="28" t="str">
        <f aca="false">IF($A147="","",ROUND(AB147*AA147/100,1))</f>
        <v/>
      </c>
      <c r="AE147" s="22" t="str">
        <f aca="false">IF($A147="","",HOUR($Q147)+MINUTE($Q147)/60)</f>
        <v/>
      </c>
      <c r="AF147" s="22" t="str">
        <f aca="false">IF($A147="","",HOUR($R147)+MINUTE($R147)/60)</f>
        <v/>
      </c>
      <c r="AG147" s="22" t="str">
        <f aca="false">IF($A147="","",HOUR($S147)+MINUTE($S147)/60)</f>
        <v/>
      </c>
      <c r="AH147" s="22" t="str">
        <f aca="false">IF($A147="","",HOUR($T147)+MINUTE($T147)/60)</f>
        <v/>
      </c>
      <c r="AI147" s="22" t="str">
        <f aca="false">IF($A147="","",HOUR($V147)+MINUTE($V147)/60)</f>
        <v/>
      </c>
      <c r="AJ147" s="22" t="str">
        <f aca="false">IF($A147="","",HOUR($W147)+MINUTE($W147)/60)</f>
        <v/>
      </c>
      <c r="AK147" s="22" t="str">
        <f aca="false">IF($A147="","",VLOOKUP($F147,Dim_Team!$A:$F,6,0))</f>
        <v/>
      </c>
      <c r="AL147" s="28" t="str">
        <f aca="false">IF($A147="","",VLOOKUP($X147,Dim_Signoff!$A:$C,3,0))</f>
        <v/>
      </c>
      <c r="AM147" s="28" t="str">
        <f aca="false">IF($A147="","",IF($N147="No","n/a",ROUND((AH147-AE147)*60,0)))</f>
        <v/>
      </c>
      <c r="AN147" s="28" t="str">
        <f aca="false">IF($A147="","",IF($O147="No","n/a",ROUND((AH147-AF147)*60,0)))</f>
        <v/>
      </c>
      <c r="AO147" s="28" t="str">
        <f aca="false">IF($A147="","",IF($P147="No","n/a",ROUND((AH147-AG147)*60,0)))</f>
        <v/>
      </c>
      <c r="AP147" s="28" t="str">
        <f aca="false">IF($A147="","",ROUND((AH147-AK147)*60,0))</f>
        <v/>
      </c>
      <c r="AQ147" s="28" t="str">
        <f aca="false">IF($A147="","",ROUND((AI147-AH147)*60,0))</f>
        <v/>
      </c>
      <c r="AR147" s="4" t="str">
        <f aca="false">IF($A147="","",IF(AP147&gt;=AC147,"Yes","No"))</f>
        <v/>
      </c>
      <c r="AS147" s="4" t="str">
        <f aca="false">IF($A147="","",IF(AQ147&gt;=AD147+AL147,"Yes","No"))</f>
        <v/>
      </c>
      <c r="AT147" s="4" t="str">
        <f aca="false">IF($A147="","",IF(AND(AR147="Yes",AS147="Yes"),"OK","REVIEW"))</f>
        <v/>
      </c>
      <c r="AU147" s="4" t="str">
        <f aca="false">IF($A147="","",IF($P147="No","Not applicable",IF(AO147&lt;Constants!$B$14,"CAPTURE","Not needed")))</f>
        <v/>
      </c>
      <c r="AV147" s="4" t="str">
        <f aca="false">IF($A147="","",IF($P147="No","n/a",RANK(AO147,AO:AO,1)))</f>
        <v/>
      </c>
      <c r="AW147" s="4" t="str">
        <f aca="false">IF($A147="","",IF(UPPER($E147)="YES","Strategic","Non-strategic"))</f>
        <v/>
      </c>
      <c r="AX147" s="4" t="str">
        <f aca="false">IF($A147="","",COUNTIFS(Fact_Work!$C:$C,$A147))</f>
        <v/>
      </c>
      <c r="AY147" s="4" t="str">
        <f aca="false">IF($A147="","",IF(AX147=0,"Not seen",IF(AX147&gt;=Constants!$B$13*0.6,"Daily",IF(AX147&gt;=Constants!$B$13*0.12,"Weekly","Monthly or ad hoc"))))</f>
        <v/>
      </c>
      <c r="AZ147" s="22" t="str">
        <f aca="false">IF($A147="","",IFERROR(VLOOKUP($U147,Dim_TOP!$A:$H,8,0),""))</f>
        <v/>
      </c>
      <c r="BA147" s="28" t="str">
        <f aca="false">IF($A147="","",IFERROR(ROUND((AH147-AZ147)*60,0),""))</f>
        <v/>
      </c>
      <c r="BB147" s="4" t="str">
        <f aca="false">IF($A147="","",IF(BA147="","",IF(BA147&lt;=0,"Sets the deadline","Later than peers by "&amp;BA147&amp;" min")))</f>
        <v/>
      </c>
      <c r="BC147" s="29" t="str">
        <f aca="false">IF($A147="","",IF($U147="",0,IF(COUNTIFS($U$2:$U147,$U147,$C$2:$C147,$C147)=1,1,0)))</f>
        <v/>
      </c>
      <c r="BD147" s="10" t="str">
        <f aca="false">IF($A147="","",IF(UPPER($P147)="YES","Yes","No"))</f>
        <v/>
      </c>
      <c r="BE147" s="10" t="str">
        <f aca="false">IF($A147="","",IF($N147="No","n/a",IF(AM147&lt;=Constants!$B$17,"Yes","No")))</f>
        <v/>
      </c>
      <c r="BF147" s="10" t="str">
        <f aca="false">IF($A147="","",IF($O147="No","n/a",IF(AN147&lt;=Constants!$B$17,"Yes","No")))</f>
        <v/>
      </c>
      <c r="BG147" s="10" t="str">
        <f aca="false">IF($A147="","",IF($P147="No","n/a",IF(AO147&lt;=Constants!$B$17,"Yes","No")))</f>
        <v/>
      </c>
      <c r="BH147" s="10" t="str">
        <f aca="false">IF($A147="","",IF($N147="No","No custody process",IF(BE147="Yes","Thin custody slack","Ample custody slack")))</f>
        <v/>
      </c>
      <c r="BI147" s="30" t="str">
        <f aca="false">IF($A147="","",IF($N147="No","",AM147))</f>
        <v/>
      </c>
      <c r="BJ147" s="30" t="str">
        <f aca="false">IF($A147="","",IF($O147="No","",AN147))</f>
        <v/>
      </c>
      <c r="BK147" s="30" t="str">
        <f aca="false">IF($A147="","",IF($P147="No","",AO147))</f>
        <v/>
      </c>
    </row>
    <row r="148" customFormat="false" ht="15" hidden="false" customHeight="true" outlineLevel="0" collapsed="false">
      <c r="Z148" s="28" t="str">
        <f aca="false">IF($A148="","",Constants!$B$6+$I148*Constants!$B$7+$J148*Constants!$B$8+$K148*Constants!$B$9+$L148*Constants!$B$10+$M148*Constants!$B$11)</f>
        <v/>
      </c>
      <c r="AA148" s="28" t="str">
        <f aca="false">IF($A148="","",100-Z148)</f>
        <v/>
      </c>
      <c r="AB148" s="28" t="str">
        <f aca="false">IF($A148="","",ROUND($H148*Constants!$B$4,1))</f>
        <v/>
      </c>
      <c r="AC148" s="28" t="str">
        <f aca="false">IF($A148="","",ROUND(AB148*Z148/100,1))</f>
        <v/>
      </c>
      <c r="AD148" s="28" t="str">
        <f aca="false">IF($A148="","",ROUND(AB148*AA148/100,1))</f>
        <v/>
      </c>
      <c r="AE148" s="22" t="str">
        <f aca="false">IF($A148="","",HOUR($Q148)+MINUTE($Q148)/60)</f>
        <v/>
      </c>
      <c r="AF148" s="22" t="str">
        <f aca="false">IF($A148="","",HOUR($R148)+MINUTE($R148)/60)</f>
        <v/>
      </c>
      <c r="AG148" s="22" t="str">
        <f aca="false">IF($A148="","",HOUR($S148)+MINUTE($S148)/60)</f>
        <v/>
      </c>
      <c r="AH148" s="22" t="str">
        <f aca="false">IF($A148="","",HOUR($T148)+MINUTE($T148)/60)</f>
        <v/>
      </c>
      <c r="AI148" s="22" t="str">
        <f aca="false">IF($A148="","",HOUR($V148)+MINUTE($V148)/60)</f>
        <v/>
      </c>
      <c r="AJ148" s="22" t="str">
        <f aca="false">IF($A148="","",HOUR($W148)+MINUTE($W148)/60)</f>
        <v/>
      </c>
      <c r="AK148" s="22" t="str">
        <f aca="false">IF($A148="","",VLOOKUP($F148,Dim_Team!$A:$F,6,0))</f>
        <v/>
      </c>
      <c r="AL148" s="28" t="str">
        <f aca="false">IF($A148="","",VLOOKUP($X148,Dim_Signoff!$A:$C,3,0))</f>
        <v/>
      </c>
      <c r="AM148" s="28" t="str">
        <f aca="false">IF($A148="","",IF($N148="No","n/a",ROUND((AH148-AE148)*60,0)))</f>
        <v/>
      </c>
      <c r="AN148" s="28" t="str">
        <f aca="false">IF($A148="","",IF($O148="No","n/a",ROUND((AH148-AF148)*60,0)))</f>
        <v/>
      </c>
      <c r="AO148" s="28" t="str">
        <f aca="false">IF($A148="","",IF($P148="No","n/a",ROUND((AH148-AG148)*60,0)))</f>
        <v/>
      </c>
      <c r="AP148" s="28" t="str">
        <f aca="false">IF($A148="","",ROUND((AH148-AK148)*60,0))</f>
        <v/>
      </c>
      <c r="AQ148" s="28" t="str">
        <f aca="false">IF($A148="","",ROUND((AI148-AH148)*60,0))</f>
        <v/>
      </c>
      <c r="AR148" s="4" t="str">
        <f aca="false">IF($A148="","",IF(AP148&gt;=AC148,"Yes","No"))</f>
        <v/>
      </c>
      <c r="AS148" s="4" t="str">
        <f aca="false">IF($A148="","",IF(AQ148&gt;=AD148+AL148,"Yes","No"))</f>
        <v/>
      </c>
      <c r="AT148" s="4" t="str">
        <f aca="false">IF($A148="","",IF(AND(AR148="Yes",AS148="Yes"),"OK","REVIEW"))</f>
        <v/>
      </c>
      <c r="AU148" s="4" t="str">
        <f aca="false">IF($A148="","",IF($P148="No","Not applicable",IF(AO148&lt;Constants!$B$14,"CAPTURE","Not needed")))</f>
        <v/>
      </c>
      <c r="AV148" s="4" t="str">
        <f aca="false">IF($A148="","",IF($P148="No","n/a",RANK(AO148,AO:AO,1)))</f>
        <v/>
      </c>
      <c r="AW148" s="4" t="str">
        <f aca="false">IF($A148="","",IF(UPPER($E148)="YES","Strategic","Non-strategic"))</f>
        <v/>
      </c>
      <c r="AX148" s="4" t="str">
        <f aca="false">IF($A148="","",COUNTIFS(Fact_Work!$C:$C,$A148))</f>
        <v/>
      </c>
      <c r="AY148" s="4" t="str">
        <f aca="false">IF($A148="","",IF(AX148=0,"Not seen",IF(AX148&gt;=Constants!$B$13*0.6,"Daily",IF(AX148&gt;=Constants!$B$13*0.12,"Weekly","Monthly or ad hoc"))))</f>
        <v/>
      </c>
      <c r="AZ148" s="22" t="str">
        <f aca="false">IF($A148="","",IFERROR(VLOOKUP($U148,Dim_TOP!$A:$H,8,0),""))</f>
        <v/>
      </c>
      <c r="BA148" s="28" t="str">
        <f aca="false">IF($A148="","",IFERROR(ROUND((AH148-AZ148)*60,0),""))</f>
        <v/>
      </c>
      <c r="BB148" s="4" t="str">
        <f aca="false">IF($A148="","",IF(BA148="","",IF(BA148&lt;=0,"Sets the deadline","Later than peers by "&amp;BA148&amp;" min")))</f>
        <v/>
      </c>
      <c r="BC148" s="29" t="str">
        <f aca="false">IF($A148="","",IF($U148="",0,IF(COUNTIFS($U$2:$U148,$U148,$C$2:$C148,$C148)=1,1,0)))</f>
        <v/>
      </c>
      <c r="BD148" s="10" t="str">
        <f aca="false">IF($A148="","",IF(UPPER($P148)="YES","Yes","No"))</f>
        <v/>
      </c>
      <c r="BE148" s="10" t="str">
        <f aca="false">IF($A148="","",IF($N148="No","n/a",IF(AM148&lt;=Constants!$B$17,"Yes","No")))</f>
        <v/>
      </c>
      <c r="BF148" s="10" t="str">
        <f aca="false">IF($A148="","",IF($O148="No","n/a",IF(AN148&lt;=Constants!$B$17,"Yes","No")))</f>
        <v/>
      </c>
      <c r="BG148" s="10" t="str">
        <f aca="false">IF($A148="","",IF($P148="No","n/a",IF(AO148&lt;=Constants!$B$17,"Yes","No")))</f>
        <v/>
      </c>
      <c r="BH148" s="10" t="str">
        <f aca="false">IF($A148="","",IF($N148="No","No custody process",IF(BE148="Yes","Thin custody slack","Ample custody slack")))</f>
        <v/>
      </c>
      <c r="BI148" s="30" t="str">
        <f aca="false">IF($A148="","",IF($N148="No","",AM148))</f>
        <v/>
      </c>
      <c r="BJ148" s="30" t="str">
        <f aca="false">IF($A148="","",IF($O148="No","",AN148))</f>
        <v/>
      </c>
      <c r="BK148" s="30" t="str">
        <f aca="false">IF($A148="","",IF($P148="No","",AO148))</f>
        <v/>
      </c>
    </row>
    <row r="149" customFormat="false" ht="15" hidden="false" customHeight="true" outlineLevel="0" collapsed="false">
      <c r="Z149" s="28" t="str">
        <f aca="false">IF($A149="","",Constants!$B$6+$I149*Constants!$B$7+$J149*Constants!$B$8+$K149*Constants!$B$9+$L149*Constants!$B$10+$M149*Constants!$B$11)</f>
        <v/>
      </c>
      <c r="AA149" s="28" t="str">
        <f aca="false">IF($A149="","",100-Z149)</f>
        <v/>
      </c>
      <c r="AB149" s="28" t="str">
        <f aca="false">IF($A149="","",ROUND($H149*Constants!$B$4,1))</f>
        <v/>
      </c>
      <c r="AC149" s="28" t="str">
        <f aca="false">IF($A149="","",ROUND(AB149*Z149/100,1))</f>
        <v/>
      </c>
      <c r="AD149" s="28" t="str">
        <f aca="false">IF($A149="","",ROUND(AB149*AA149/100,1))</f>
        <v/>
      </c>
      <c r="AE149" s="22" t="str">
        <f aca="false">IF($A149="","",HOUR($Q149)+MINUTE($Q149)/60)</f>
        <v/>
      </c>
      <c r="AF149" s="22" t="str">
        <f aca="false">IF($A149="","",HOUR($R149)+MINUTE($R149)/60)</f>
        <v/>
      </c>
      <c r="AG149" s="22" t="str">
        <f aca="false">IF($A149="","",HOUR($S149)+MINUTE($S149)/60)</f>
        <v/>
      </c>
      <c r="AH149" s="22" t="str">
        <f aca="false">IF($A149="","",HOUR($T149)+MINUTE($T149)/60)</f>
        <v/>
      </c>
      <c r="AI149" s="22" t="str">
        <f aca="false">IF($A149="","",HOUR($V149)+MINUTE($V149)/60)</f>
        <v/>
      </c>
      <c r="AJ149" s="22" t="str">
        <f aca="false">IF($A149="","",HOUR($W149)+MINUTE($W149)/60)</f>
        <v/>
      </c>
      <c r="AK149" s="22" t="str">
        <f aca="false">IF($A149="","",VLOOKUP($F149,Dim_Team!$A:$F,6,0))</f>
        <v/>
      </c>
      <c r="AL149" s="28" t="str">
        <f aca="false">IF($A149="","",VLOOKUP($X149,Dim_Signoff!$A:$C,3,0))</f>
        <v/>
      </c>
      <c r="AM149" s="28" t="str">
        <f aca="false">IF($A149="","",IF($N149="No","n/a",ROUND((AH149-AE149)*60,0)))</f>
        <v/>
      </c>
      <c r="AN149" s="28" t="str">
        <f aca="false">IF($A149="","",IF($O149="No","n/a",ROUND((AH149-AF149)*60,0)))</f>
        <v/>
      </c>
      <c r="AO149" s="28" t="str">
        <f aca="false">IF($A149="","",IF($P149="No","n/a",ROUND((AH149-AG149)*60,0)))</f>
        <v/>
      </c>
      <c r="AP149" s="28" t="str">
        <f aca="false">IF($A149="","",ROUND((AH149-AK149)*60,0))</f>
        <v/>
      </c>
      <c r="AQ149" s="28" t="str">
        <f aca="false">IF($A149="","",ROUND((AI149-AH149)*60,0))</f>
        <v/>
      </c>
      <c r="AR149" s="4" t="str">
        <f aca="false">IF($A149="","",IF(AP149&gt;=AC149,"Yes","No"))</f>
        <v/>
      </c>
      <c r="AS149" s="4" t="str">
        <f aca="false">IF($A149="","",IF(AQ149&gt;=AD149+AL149,"Yes","No"))</f>
        <v/>
      </c>
      <c r="AT149" s="4" t="str">
        <f aca="false">IF($A149="","",IF(AND(AR149="Yes",AS149="Yes"),"OK","REVIEW"))</f>
        <v/>
      </c>
      <c r="AU149" s="4" t="str">
        <f aca="false">IF($A149="","",IF($P149="No","Not applicable",IF(AO149&lt;Constants!$B$14,"CAPTURE","Not needed")))</f>
        <v/>
      </c>
      <c r="AV149" s="4" t="str">
        <f aca="false">IF($A149="","",IF($P149="No","n/a",RANK(AO149,AO:AO,1)))</f>
        <v/>
      </c>
      <c r="AW149" s="4" t="str">
        <f aca="false">IF($A149="","",IF(UPPER($E149)="YES","Strategic","Non-strategic"))</f>
        <v/>
      </c>
      <c r="AX149" s="4" t="str">
        <f aca="false">IF($A149="","",COUNTIFS(Fact_Work!$C:$C,$A149))</f>
        <v/>
      </c>
      <c r="AY149" s="4" t="str">
        <f aca="false">IF($A149="","",IF(AX149=0,"Not seen",IF(AX149&gt;=Constants!$B$13*0.6,"Daily",IF(AX149&gt;=Constants!$B$13*0.12,"Weekly","Monthly or ad hoc"))))</f>
        <v/>
      </c>
      <c r="AZ149" s="22" t="str">
        <f aca="false">IF($A149="","",IFERROR(VLOOKUP($U149,Dim_TOP!$A:$H,8,0),""))</f>
        <v/>
      </c>
      <c r="BA149" s="28" t="str">
        <f aca="false">IF($A149="","",IFERROR(ROUND((AH149-AZ149)*60,0),""))</f>
        <v/>
      </c>
      <c r="BB149" s="4" t="str">
        <f aca="false">IF($A149="","",IF(BA149="","",IF(BA149&lt;=0,"Sets the deadline","Later than peers by "&amp;BA149&amp;" min")))</f>
        <v/>
      </c>
      <c r="BC149" s="29" t="str">
        <f aca="false">IF($A149="","",IF($U149="",0,IF(COUNTIFS($U$2:$U149,$U149,$C$2:$C149,$C149)=1,1,0)))</f>
        <v/>
      </c>
      <c r="BD149" s="10" t="str">
        <f aca="false">IF($A149="","",IF(UPPER($P149)="YES","Yes","No"))</f>
        <v/>
      </c>
      <c r="BE149" s="10" t="str">
        <f aca="false">IF($A149="","",IF($N149="No","n/a",IF(AM149&lt;=Constants!$B$17,"Yes","No")))</f>
        <v/>
      </c>
      <c r="BF149" s="10" t="str">
        <f aca="false">IF($A149="","",IF($O149="No","n/a",IF(AN149&lt;=Constants!$B$17,"Yes","No")))</f>
        <v/>
      </c>
      <c r="BG149" s="10" t="str">
        <f aca="false">IF($A149="","",IF($P149="No","n/a",IF(AO149&lt;=Constants!$B$17,"Yes","No")))</f>
        <v/>
      </c>
      <c r="BH149" s="10" t="str">
        <f aca="false">IF($A149="","",IF($N149="No","No custody process",IF(BE149="Yes","Thin custody slack","Ample custody slack")))</f>
        <v/>
      </c>
      <c r="BI149" s="30" t="str">
        <f aca="false">IF($A149="","",IF($N149="No","",AM149))</f>
        <v/>
      </c>
      <c r="BJ149" s="30" t="str">
        <f aca="false">IF($A149="","",IF($O149="No","",AN149))</f>
        <v/>
      </c>
      <c r="BK149" s="30" t="str">
        <f aca="false">IF($A149="","",IF($P149="No","",AO149))</f>
        <v/>
      </c>
    </row>
    <row r="150" customFormat="false" ht="15" hidden="false" customHeight="true" outlineLevel="0" collapsed="false">
      <c r="Z150" s="28" t="str">
        <f aca="false">IF($A150="","",Constants!$B$6+$I150*Constants!$B$7+$J150*Constants!$B$8+$K150*Constants!$B$9+$L150*Constants!$B$10+$M150*Constants!$B$11)</f>
        <v/>
      </c>
      <c r="AA150" s="28" t="str">
        <f aca="false">IF($A150="","",100-Z150)</f>
        <v/>
      </c>
      <c r="AB150" s="28" t="str">
        <f aca="false">IF($A150="","",ROUND($H150*Constants!$B$4,1))</f>
        <v/>
      </c>
      <c r="AC150" s="28" t="str">
        <f aca="false">IF($A150="","",ROUND(AB150*Z150/100,1))</f>
        <v/>
      </c>
      <c r="AD150" s="28" t="str">
        <f aca="false">IF($A150="","",ROUND(AB150*AA150/100,1))</f>
        <v/>
      </c>
      <c r="AE150" s="22" t="str">
        <f aca="false">IF($A150="","",HOUR($Q150)+MINUTE($Q150)/60)</f>
        <v/>
      </c>
      <c r="AF150" s="22" t="str">
        <f aca="false">IF($A150="","",HOUR($R150)+MINUTE($R150)/60)</f>
        <v/>
      </c>
      <c r="AG150" s="22" t="str">
        <f aca="false">IF($A150="","",HOUR($S150)+MINUTE($S150)/60)</f>
        <v/>
      </c>
      <c r="AH150" s="22" t="str">
        <f aca="false">IF($A150="","",HOUR($T150)+MINUTE($T150)/60)</f>
        <v/>
      </c>
      <c r="AI150" s="22" t="str">
        <f aca="false">IF($A150="","",HOUR($V150)+MINUTE($V150)/60)</f>
        <v/>
      </c>
      <c r="AJ150" s="22" t="str">
        <f aca="false">IF($A150="","",HOUR($W150)+MINUTE($W150)/60)</f>
        <v/>
      </c>
      <c r="AK150" s="22" t="str">
        <f aca="false">IF($A150="","",VLOOKUP($F150,Dim_Team!$A:$F,6,0))</f>
        <v/>
      </c>
      <c r="AL150" s="28" t="str">
        <f aca="false">IF($A150="","",VLOOKUP($X150,Dim_Signoff!$A:$C,3,0))</f>
        <v/>
      </c>
      <c r="AM150" s="28" t="str">
        <f aca="false">IF($A150="","",IF($N150="No","n/a",ROUND((AH150-AE150)*60,0)))</f>
        <v/>
      </c>
      <c r="AN150" s="28" t="str">
        <f aca="false">IF($A150="","",IF($O150="No","n/a",ROUND((AH150-AF150)*60,0)))</f>
        <v/>
      </c>
      <c r="AO150" s="28" t="str">
        <f aca="false">IF($A150="","",IF($P150="No","n/a",ROUND((AH150-AG150)*60,0)))</f>
        <v/>
      </c>
      <c r="AP150" s="28" t="str">
        <f aca="false">IF($A150="","",ROUND((AH150-AK150)*60,0))</f>
        <v/>
      </c>
      <c r="AQ150" s="28" t="str">
        <f aca="false">IF($A150="","",ROUND((AI150-AH150)*60,0))</f>
        <v/>
      </c>
      <c r="AR150" s="4" t="str">
        <f aca="false">IF($A150="","",IF(AP150&gt;=AC150,"Yes","No"))</f>
        <v/>
      </c>
      <c r="AS150" s="4" t="str">
        <f aca="false">IF($A150="","",IF(AQ150&gt;=AD150+AL150,"Yes","No"))</f>
        <v/>
      </c>
      <c r="AT150" s="4" t="str">
        <f aca="false">IF($A150="","",IF(AND(AR150="Yes",AS150="Yes"),"OK","REVIEW"))</f>
        <v/>
      </c>
      <c r="AU150" s="4" t="str">
        <f aca="false">IF($A150="","",IF($P150="No","Not applicable",IF(AO150&lt;Constants!$B$14,"CAPTURE","Not needed")))</f>
        <v/>
      </c>
      <c r="AV150" s="4" t="str">
        <f aca="false">IF($A150="","",IF($P150="No","n/a",RANK(AO150,AO:AO,1)))</f>
        <v/>
      </c>
      <c r="AW150" s="4" t="str">
        <f aca="false">IF($A150="","",IF(UPPER($E150)="YES","Strategic","Non-strategic"))</f>
        <v/>
      </c>
      <c r="AX150" s="4" t="str">
        <f aca="false">IF($A150="","",COUNTIFS(Fact_Work!$C:$C,$A150))</f>
        <v/>
      </c>
      <c r="AY150" s="4" t="str">
        <f aca="false">IF($A150="","",IF(AX150=0,"Not seen",IF(AX150&gt;=Constants!$B$13*0.6,"Daily",IF(AX150&gt;=Constants!$B$13*0.12,"Weekly","Monthly or ad hoc"))))</f>
        <v/>
      </c>
      <c r="AZ150" s="22" t="str">
        <f aca="false">IF($A150="","",IFERROR(VLOOKUP($U150,Dim_TOP!$A:$H,8,0),""))</f>
        <v/>
      </c>
      <c r="BA150" s="28" t="str">
        <f aca="false">IF($A150="","",IFERROR(ROUND((AH150-AZ150)*60,0),""))</f>
        <v/>
      </c>
      <c r="BB150" s="4" t="str">
        <f aca="false">IF($A150="","",IF(BA150="","",IF(BA150&lt;=0,"Sets the deadline","Later than peers by "&amp;BA150&amp;" min")))</f>
        <v/>
      </c>
      <c r="BC150" s="29" t="str">
        <f aca="false">IF($A150="","",IF($U150="",0,IF(COUNTIFS($U$2:$U150,$U150,$C$2:$C150,$C150)=1,1,0)))</f>
        <v/>
      </c>
      <c r="BD150" s="10" t="str">
        <f aca="false">IF($A150="","",IF(UPPER($P150)="YES","Yes","No"))</f>
        <v/>
      </c>
      <c r="BE150" s="10" t="str">
        <f aca="false">IF($A150="","",IF($N150="No","n/a",IF(AM150&lt;=Constants!$B$17,"Yes","No")))</f>
        <v/>
      </c>
      <c r="BF150" s="10" t="str">
        <f aca="false">IF($A150="","",IF($O150="No","n/a",IF(AN150&lt;=Constants!$B$17,"Yes","No")))</f>
        <v/>
      </c>
      <c r="BG150" s="10" t="str">
        <f aca="false">IF($A150="","",IF($P150="No","n/a",IF(AO150&lt;=Constants!$B$17,"Yes","No")))</f>
        <v/>
      </c>
      <c r="BH150" s="10" t="str">
        <f aca="false">IF($A150="","",IF($N150="No","No custody process",IF(BE150="Yes","Thin custody slack","Ample custody slack")))</f>
        <v/>
      </c>
      <c r="BI150" s="30" t="str">
        <f aca="false">IF($A150="","",IF($N150="No","",AM150))</f>
        <v/>
      </c>
      <c r="BJ150" s="30" t="str">
        <f aca="false">IF($A150="","",IF($O150="No","",AN150))</f>
        <v/>
      </c>
      <c r="BK150" s="30" t="str">
        <f aca="false">IF($A150="","",IF($P150="No","",AO150))</f>
        <v/>
      </c>
    </row>
    <row r="151" customFormat="false" ht="15" hidden="false" customHeight="true" outlineLevel="0" collapsed="false">
      <c r="Z151" s="28" t="str">
        <f aca="false">IF($A151="","",Constants!$B$6+$I151*Constants!$B$7+$J151*Constants!$B$8+$K151*Constants!$B$9+$L151*Constants!$B$10+$M151*Constants!$B$11)</f>
        <v/>
      </c>
      <c r="AA151" s="28" t="str">
        <f aca="false">IF($A151="","",100-Z151)</f>
        <v/>
      </c>
      <c r="AB151" s="28" t="str">
        <f aca="false">IF($A151="","",ROUND($H151*Constants!$B$4,1))</f>
        <v/>
      </c>
      <c r="AC151" s="28" t="str">
        <f aca="false">IF($A151="","",ROUND(AB151*Z151/100,1))</f>
        <v/>
      </c>
      <c r="AD151" s="28" t="str">
        <f aca="false">IF($A151="","",ROUND(AB151*AA151/100,1))</f>
        <v/>
      </c>
      <c r="AE151" s="22" t="str">
        <f aca="false">IF($A151="","",HOUR($Q151)+MINUTE($Q151)/60)</f>
        <v/>
      </c>
      <c r="AF151" s="22" t="str">
        <f aca="false">IF($A151="","",HOUR($R151)+MINUTE($R151)/60)</f>
        <v/>
      </c>
      <c r="AG151" s="22" t="str">
        <f aca="false">IF($A151="","",HOUR($S151)+MINUTE($S151)/60)</f>
        <v/>
      </c>
      <c r="AH151" s="22" t="str">
        <f aca="false">IF($A151="","",HOUR($T151)+MINUTE($T151)/60)</f>
        <v/>
      </c>
      <c r="AI151" s="22" t="str">
        <f aca="false">IF($A151="","",HOUR($V151)+MINUTE($V151)/60)</f>
        <v/>
      </c>
      <c r="AJ151" s="22" t="str">
        <f aca="false">IF($A151="","",HOUR($W151)+MINUTE($W151)/60)</f>
        <v/>
      </c>
      <c r="AK151" s="22" t="str">
        <f aca="false">IF($A151="","",VLOOKUP($F151,Dim_Team!$A:$F,6,0))</f>
        <v/>
      </c>
      <c r="AL151" s="28" t="str">
        <f aca="false">IF($A151="","",VLOOKUP($X151,Dim_Signoff!$A:$C,3,0))</f>
        <v/>
      </c>
      <c r="AM151" s="28" t="str">
        <f aca="false">IF($A151="","",IF($N151="No","n/a",ROUND((AH151-AE151)*60,0)))</f>
        <v/>
      </c>
      <c r="AN151" s="28" t="str">
        <f aca="false">IF($A151="","",IF($O151="No","n/a",ROUND((AH151-AF151)*60,0)))</f>
        <v/>
      </c>
      <c r="AO151" s="28" t="str">
        <f aca="false">IF($A151="","",IF($P151="No","n/a",ROUND((AH151-AG151)*60,0)))</f>
        <v/>
      </c>
      <c r="AP151" s="28" t="str">
        <f aca="false">IF($A151="","",ROUND((AH151-AK151)*60,0))</f>
        <v/>
      </c>
      <c r="AQ151" s="28" t="str">
        <f aca="false">IF($A151="","",ROUND((AI151-AH151)*60,0))</f>
        <v/>
      </c>
      <c r="AR151" s="4" t="str">
        <f aca="false">IF($A151="","",IF(AP151&gt;=AC151,"Yes","No"))</f>
        <v/>
      </c>
      <c r="AS151" s="4" t="str">
        <f aca="false">IF($A151="","",IF(AQ151&gt;=AD151+AL151,"Yes","No"))</f>
        <v/>
      </c>
      <c r="AT151" s="4" t="str">
        <f aca="false">IF($A151="","",IF(AND(AR151="Yes",AS151="Yes"),"OK","REVIEW"))</f>
        <v/>
      </c>
      <c r="AU151" s="4" t="str">
        <f aca="false">IF($A151="","",IF($P151="No","Not applicable",IF(AO151&lt;Constants!$B$14,"CAPTURE","Not needed")))</f>
        <v/>
      </c>
      <c r="AV151" s="4" t="str">
        <f aca="false">IF($A151="","",IF($P151="No","n/a",RANK(AO151,AO:AO,1)))</f>
        <v/>
      </c>
      <c r="AW151" s="4" t="str">
        <f aca="false">IF($A151="","",IF(UPPER($E151)="YES","Strategic","Non-strategic"))</f>
        <v/>
      </c>
      <c r="AX151" s="4" t="str">
        <f aca="false">IF($A151="","",COUNTIFS(Fact_Work!$C:$C,$A151))</f>
        <v/>
      </c>
      <c r="AY151" s="4" t="str">
        <f aca="false">IF($A151="","",IF(AX151=0,"Not seen",IF(AX151&gt;=Constants!$B$13*0.6,"Daily",IF(AX151&gt;=Constants!$B$13*0.12,"Weekly","Monthly or ad hoc"))))</f>
        <v/>
      </c>
      <c r="AZ151" s="22" t="str">
        <f aca="false">IF($A151="","",IFERROR(VLOOKUP($U151,Dim_TOP!$A:$H,8,0),""))</f>
        <v/>
      </c>
      <c r="BA151" s="28" t="str">
        <f aca="false">IF($A151="","",IFERROR(ROUND((AH151-AZ151)*60,0),""))</f>
        <v/>
      </c>
      <c r="BB151" s="4" t="str">
        <f aca="false">IF($A151="","",IF(BA151="","",IF(BA151&lt;=0,"Sets the deadline","Later than peers by "&amp;BA151&amp;" min")))</f>
        <v/>
      </c>
      <c r="BC151" s="29" t="str">
        <f aca="false">IF($A151="","",IF($U151="",0,IF(COUNTIFS($U$2:$U151,$U151,$C$2:$C151,$C151)=1,1,0)))</f>
        <v/>
      </c>
      <c r="BD151" s="10" t="str">
        <f aca="false">IF($A151="","",IF(UPPER($P151)="YES","Yes","No"))</f>
        <v/>
      </c>
      <c r="BE151" s="10" t="str">
        <f aca="false">IF($A151="","",IF($N151="No","n/a",IF(AM151&lt;=Constants!$B$17,"Yes","No")))</f>
        <v/>
      </c>
      <c r="BF151" s="10" t="str">
        <f aca="false">IF($A151="","",IF($O151="No","n/a",IF(AN151&lt;=Constants!$B$17,"Yes","No")))</f>
        <v/>
      </c>
      <c r="BG151" s="10" t="str">
        <f aca="false">IF($A151="","",IF($P151="No","n/a",IF(AO151&lt;=Constants!$B$17,"Yes","No")))</f>
        <v/>
      </c>
      <c r="BH151" s="10" t="str">
        <f aca="false">IF($A151="","",IF($N151="No","No custody process",IF(BE151="Yes","Thin custody slack","Ample custody slack")))</f>
        <v/>
      </c>
      <c r="BI151" s="30" t="str">
        <f aca="false">IF($A151="","",IF($N151="No","",AM151))</f>
        <v/>
      </c>
      <c r="BJ151" s="30" t="str">
        <f aca="false">IF($A151="","",IF($O151="No","",AN151))</f>
        <v/>
      </c>
      <c r="BK151" s="30" t="str">
        <f aca="false">IF($A151="","",IF($P151="No","",AO151))</f>
        <v/>
      </c>
    </row>
    <row r="152" customFormat="false" ht="15" hidden="false" customHeight="true" outlineLevel="0" collapsed="false">
      <c r="Z152" s="28" t="str">
        <f aca="false">IF($A152="","",Constants!$B$6+$I152*Constants!$B$7+$J152*Constants!$B$8+$K152*Constants!$B$9+$L152*Constants!$B$10+$M152*Constants!$B$11)</f>
        <v/>
      </c>
      <c r="AA152" s="28" t="str">
        <f aca="false">IF($A152="","",100-Z152)</f>
        <v/>
      </c>
      <c r="AB152" s="28" t="str">
        <f aca="false">IF($A152="","",ROUND($H152*Constants!$B$4,1))</f>
        <v/>
      </c>
      <c r="AC152" s="28" t="str">
        <f aca="false">IF($A152="","",ROUND(AB152*Z152/100,1))</f>
        <v/>
      </c>
      <c r="AD152" s="28" t="str">
        <f aca="false">IF($A152="","",ROUND(AB152*AA152/100,1))</f>
        <v/>
      </c>
      <c r="AE152" s="22" t="str">
        <f aca="false">IF($A152="","",HOUR($Q152)+MINUTE($Q152)/60)</f>
        <v/>
      </c>
      <c r="AF152" s="22" t="str">
        <f aca="false">IF($A152="","",HOUR($R152)+MINUTE($R152)/60)</f>
        <v/>
      </c>
      <c r="AG152" s="22" t="str">
        <f aca="false">IF($A152="","",HOUR($S152)+MINUTE($S152)/60)</f>
        <v/>
      </c>
      <c r="AH152" s="22" t="str">
        <f aca="false">IF($A152="","",HOUR($T152)+MINUTE($T152)/60)</f>
        <v/>
      </c>
      <c r="AI152" s="22" t="str">
        <f aca="false">IF($A152="","",HOUR($V152)+MINUTE($V152)/60)</f>
        <v/>
      </c>
      <c r="AJ152" s="22" t="str">
        <f aca="false">IF($A152="","",HOUR($W152)+MINUTE($W152)/60)</f>
        <v/>
      </c>
      <c r="AK152" s="22" t="str">
        <f aca="false">IF($A152="","",VLOOKUP($F152,Dim_Team!$A:$F,6,0))</f>
        <v/>
      </c>
      <c r="AL152" s="28" t="str">
        <f aca="false">IF($A152="","",VLOOKUP($X152,Dim_Signoff!$A:$C,3,0))</f>
        <v/>
      </c>
      <c r="AM152" s="28" t="str">
        <f aca="false">IF($A152="","",IF($N152="No","n/a",ROUND((AH152-AE152)*60,0)))</f>
        <v/>
      </c>
      <c r="AN152" s="28" t="str">
        <f aca="false">IF($A152="","",IF($O152="No","n/a",ROUND((AH152-AF152)*60,0)))</f>
        <v/>
      </c>
      <c r="AO152" s="28" t="str">
        <f aca="false">IF($A152="","",IF($P152="No","n/a",ROUND((AH152-AG152)*60,0)))</f>
        <v/>
      </c>
      <c r="AP152" s="28" t="str">
        <f aca="false">IF($A152="","",ROUND((AH152-AK152)*60,0))</f>
        <v/>
      </c>
      <c r="AQ152" s="28" t="str">
        <f aca="false">IF($A152="","",ROUND((AI152-AH152)*60,0))</f>
        <v/>
      </c>
      <c r="AR152" s="4" t="str">
        <f aca="false">IF($A152="","",IF(AP152&gt;=AC152,"Yes","No"))</f>
        <v/>
      </c>
      <c r="AS152" s="4" t="str">
        <f aca="false">IF($A152="","",IF(AQ152&gt;=AD152+AL152,"Yes","No"))</f>
        <v/>
      </c>
      <c r="AT152" s="4" t="str">
        <f aca="false">IF($A152="","",IF(AND(AR152="Yes",AS152="Yes"),"OK","REVIEW"))</f>
        <v/>
      </c>
      <c r="AU152" s="4" t="str">
        <f aca="false">IF($A152="","",IF($P152="No","Not applicable",IF(AO152&lt;Constants!$B$14,"CAPTURE","Not needed")))</f>
        <v/>
      </c>
      <c r="AV152" s="4" t="str">
        <f aca="false">IF($A152="","",IF($P152="No","n/a",RANK(AO152,AO:AO,1)))</f>
        <v/>
      </c>
      <c r="AW152" s="4" t="str">
        <f aca="false">IF($A152="","",IF(UPPER($E152)="YES","Strategic","Non-strategic"))</f>
        <v/>
      </c>
      <c r="AX152" s="4" t="str">
        <f aca="false">IF($A152="","",COUNTIFS(Fact_Work!$C:$C,$A152))</f>
        <v/>
      </c>
      <c r="AY152" s="4" t="str">
        <f aca="false">IF($A152="","",IF(AX152=0,"Not seen",IF(AX152&gt;=Constants!$B$13*0.6,"Daily",IF(AX152&gt;=Constants!$B$13*0.12,"Weekly","Monthly or ad hoc"))))</f>
        <v/>
      </c>
      <c r="AZ152" s="22" t="str">
        <f aca="false">IF($A152="","",IFERROR(VLOOKUP($U152,Dim_TOP!$A:$H,8,0),""))</f>
        <v/>
      </c>
      <c r="BA152" s="28" t="str">
        <f aca="false">IF($A152="","",IFERROR(ROUND((AH152-AZ152)*60,0),""))</f>
        <v/>
      </c>
      <c r="BB152" s="4" t="str">
        <f aca="false">IF($A152="","",IF(BA152="","",IF(BA152&lt;=0,"Sets the deadline","Later than peers by "&amp;BA152&amp;" min")))</f>
        <v/>
      </c>
      <c r="BC152" s="29" t="str">
        <f aca="false">IF($A152="","",IF($U152="",0,IF(COUNTIFS($U$2:$U152,$U152,$C$2:$C152,$C152)=1,1,0)))</f>
        <v/>
      </c>
      <c r="BD152" s="10" t="str">
        <f aca="false">IF($A152="","",IF(UPPER($P152)="YES","Yes","No"))</f>
        <v/>
      </c>
      <c r="BE152" s="10" t="str">
        <f aca="false">IF($A152="","",IF($N152="No","n/a",IF(AM152&lt;=Constants!$B$17,"Yes","No")))</f>
        <v/>
      </c>
      <c r="BF152" s="10" t="str">
        <f aca="false">IF($A152="","",IF($O152="No","n/a",IF(AN152&lt;=Constants!$B$17,"Yes","No")))</f>
        <v/>
      </c>
      <c r="BG152" s="10" t="str">
        <f aca="false">IF($A152="","",IF($P152="No","n/a",IF(AO152&lt;=Constants!$B$17,"Yes","No")))</f>
        <v/>
      </c>
      <c r="BH152" s="10" t="str">
        <f aca="false">IF($A152="","",IF($N152="No","No custody process",IF(BE152="Yes","Thin custody slack","Ample custody slack")))</f>
        <v/>
      </c>
      <c r="BI152" s="30" t="str">
        <f aca="false">IF($A152="","",IF($N152="No","",AM152))</f>
        <v/>
      </c>
      <c r="BJ152" s="30" t="str">
        <f aca="false">IF($A152="","",IF($O152="No","",AN152))</f>
        <v/>
      </c>
      <c r="BK152" s="30" t="str">
        <f aca="false">IF($A152="","",IF($P152="No","",AO152))</f>
        <v/>
      </c>
    </row>
    <row r="153" customFormat="false" ht="15" hidden="false" customHeight="true" outlineLevel="0" collapsed="false">
      <c r="Z153" s="28" t="str">
        <f aca="false">IF($A153="","",Constants!$B$6+$I153*Constants!$B$7+$J153*Constants!$B$8+$K153*Constants!$B$9+$L153*Constants!$B$10+$M153*Constants!$B$11)</f>
        <v/>
      </c>
      <c r="AA153" s="28" t="str">
        <f aca="false">IF($A153="","",100-Z153)</f>
        <v/>
      </c>
      <c r="AB153" s="28" t="str">
        <f aca="false">IF($A153="","",ROUND($H153*Constants!$B$4,1))</f>
        <v/>
      </c>
      <c r="AC153" s="28" t="str">
        <f aca="false">IF($A153="","",ROUND(AB153*Z153/100,1))</f>
        <v/>
      </c>
      <c r="AD153" s="28" t="str">
        <f aca="false">IF($A153="","",ROUND(AB153*AA153/100,1))</f>
        <v/>
      </c>
      <c r="AE153" s="22" t="str">
        <f aca="false">IF($A153="","",HOUR($Q153)+MINUTE($Q153)/60)</f>
        <v/>
      </c>
      <c r="AF153" s="22" t="str">
        <f aca="false">IF($A153="","",HOUR($R153)+MINUTE($R153)/60)</f>
        <v/>
      </c>
      <c r="AG153" s="22" t="str">
        <f aca="false">IF($A153="","",HOUR($S153)+MINUTE($S153)/60)</f>
        <v/>
      </c>
      <c r="AH153" s="22" t="str">
        <f aca="false">IF($A153="","",HOUR($T153)+MINUTE($T153)/60)</f>
        <v/>
      </c>
      <c r="AI153" s="22" t="str">
        <f aca="false">IF($A153="","",HOUR($V153)+MINUTE($V153)/60)</f>
        <v/>
      </c>
      <c r="AJ153" s="22" t="str">
        <f aca="false">IF($A153="","",HOUR($W153)+MINUTE($W153)/60)</f>
        <v/>
      </c>
      <c r="AK153" s="22" t="str">
        <f aca="false">IF($A153="","",VLOOKUP($F153,Dim_Team!$A:$F,6,0))</f>
        <v/>
      </c>
      <c r="AL153" s="28" t="str">
        <f aca="false">IF($A153="","",VLOOKUP($X153,Dim_Signoff!$A:$C,3,0))</f>
        <v/>
      </c>
      <c r="AM153" s="28" t="str">
        <f aca="false">IF($A153="","",IF($N153="No","n/a",ROUND((AH153-AE153)*60,0)))</f>
        <v/>
      </c>
      <c r="AN153" s="28" t="str">
        <f aca="false">IF($A153="","",IF($O153="No","n/a",ROUND((AH153-AF153)*60,0)))</f>
        <v/>
      </c>
      <c r="AO153" s="28" t="str">
        <f aca="false">IF($A153="","",IF($P153="No","n/a",ROUND((AH153-AG153)*60,0)))</f>
        <v/>
      </c>
      <c r="AP153" s="28" t="str">
        <f aca="false">IF($A153="","",ROUND((AH153-AK153)*60,0))</f>
        <v/>
      </c>
      <c r="AQ153" s="28" t="str">
        <f aca="false">IF($A153="","",ROUND((AI153-AH153)*60,0))</f>
        <v/>
      </c>
      <c r="AR153" s="4" t="str">
        <f aca="false">IF($A153="","",IF(AP153&gt;=AC153,"Yes","No"))</f>
        <v/>
      </c>
      <c r="AS153" s="4" t="str">
        <f aca="false">IF($A153="","",IF(AQ153&gt;=AD153+AL153,"Yes","No"))</f>
        <v/>
      </c>
      <c r="AT153" s="4" t="str">
        <f aca="false">IF($A153="","",IF(AND(AR153="Yes",AS153="Yes"),"OK","REVIEW"))</f>
        <v/>
      </c>
      <c r="AU153" s="4" t="str">
        <f aca="false">IF($A153="","",IF($P153="No","Not applicable",IF(AO153&lt;Constants!$B$14,"CAPTURE","Not needed")))</f>
        <v/>
      </c>
      <c r="AV153" s="4" t="str">
        <f aca="false">IF($A153="","",IF($P153="No","n/a",RANK(AO153,AO:AO,1)))</f>
        <v/>
      </c>
      <c r="AW153" s="4" t="str">
        <f aca="false">IF($A153="","",IF(UPPER($E153)="YES","Strategic","Non-strategic"))</f>
        <v/>
      </c>
      <c r="AX153" s="4" t="str">
        <f aca="false">IF($A153="","",COUNTIFS(Fact_Work!$C:$C,$A153))</f>
        <v/>
      </c>
      <c r="AY153" s="4" t="str">
        <f aca="false">IF($A153="","",IF(AX153=0,"Not seen",IF(AX153&gt;=Constants!$B$13*0.6,"Daily",IF(AX153&gt;=Constants!$B$13*0.12,"Weekly","Monthly or ad hoc"))))</f>
        <v/>
      </c>
      <c r="AZ153" s="22" t="str">
        <f aca="false">IF($A153="","",IFERROR(VLOOKUP($U153,Dim_TOP!$A:$H,8,0),""))</f>
        <v/>
      </c>
      <c r="BA153" s="28" t="str">
        <f aca="false">IF($A153="","",IFERROR(ROUND((AH153-AZ153)*60,0),""))</f>
        <v/>
      </c>
      <c r="BB153" s="4" t="str">
        <f aca="false">IF($A153="","",IF(BA153="","",IF(BA153&lt;=0,"Sets the deadline","Later than peers by "&amp;BA153&amp;" min")))</f>
        <v/>
      </c>
      <c r="BC153" s="29" t="str">
        <f aca="false">IF($A153="","",IF($U153="",0,IF(COUNTIFS($U$2:$U153,$U153,$C$2:$C153,$C153)=1,1,0)))</f>
        <v/>
      </c>
      <c r="BD153" s="10" t="str">
        <f aca="false">IF($A153="","",IF(UPPER($P153)="YES","Yes","No"))</f>
        <v/>
      </c>
      <c r="BE153" s="10" t="str">
        <f aca="false">IF($A153="","",IF($N153="No","n/a",IF(AM153&lt;=Constants!$B$17,"Yes","No")))</f>
        <v/>
      </c>
      <c r="BF153" s="10" t="str">
        <f aca="false">IF($A153="","",IF($O153="No","n/a",IF(AN153&lt;=Constants!$B$17,"Yes","No")))</f>
        <v/>
      </c>
      <c r="BG153" s="10" t="str">
        <f aca="false">IF($A153="","",IF($P153="No","n/a",IF(AO153&lt;=Constants!$B$17,"Yes","No")))</f>
        <v/>
      </c>
      <c r="BH153" s="10" t="str">
        <f aca="false">IF($A153="","",IF($N153="No","No custody process",IF(BE153="Yes","Thin custody slack","Ample custody slack")))</f>
        <v/>
      </c>
      <c r="BI153" s="30" t="str">
        <f aca="false">IF($A153="","",IF($N153="No","",AM153))</f>
        <v/>
      </c>
      <c r="BJ153" s="30" t="str">
        <f aca="false">IF($A153="","",IF($O153="No","",AN153))</f>
        <v/>
      </c>
      <c r="BK153" s="30" t="str">
        <f aca="false">IF($A153="","",IF($P153="No","",AO153))</f>
        <v/>
      </c>
    </row>
    <row r="154" customFormat="false" ht="15" hidden="false" customHeight="true" outlineLevel="0" collapsed="false">
      <c r="Z154" s="28" t="str">
        <f aca="false">IF($A154="","",Constants!$B$6+$I154*Constants!$B$7+$J154*Constants!$B$8+$K154*Constants!$B$9+$L154*Constants!$B$10+$M154*Constants!$B$11)</f>
        <v/>
      </c>
      <c r="AA154" s="28" t="str">
        <f aca="false">IF($A154="","",100-Z154)</f>
        <v/>
      </c>
      <c r="AB154" s="28" t="str">
        <f aca="false">IF($A154="","",ROUND($H154*Constants!$B$4,1))</f>
        <v/>
      </c>
      <c r="AC154" s="28" t="str">
        <f aca="false">IF($A154="","",ROUND(AB154*Z154/100,1))</f>
        <v/>
      </c>
      <c r="AD154" s="28" t="str">
        <f aca="false">IF($A154="","",ROUND(AB154*AA154/100,1))</f>
        <v/>
      </c>
      <c r="AE154" s="22" t="str">
        <f aca="false">IF($A154="","",HOUR($Q154)+MINUTE($Q154)/60)</f>
        <v/>
      </c>
      <c r="AF154" s="22" t="str">
        <f aca="false">IF($A154="","",HOUR($R154)+MINUTE($R154)/60)</f>
        <v/>
      </c>
      <c r="AG154" s="22" t="str">
        <f aca="false">IF($A154="","",HOUR($S154)+MINUTE($S154)/60)</f>
        <v/>
      </c>
      <c r="AH154" s="22" t="str">
        <f aca="false">IF($A154="","",HOUR($T154)+MINUTE($T154)/60)</f>
        <v/>
      </c>
      <c r="AI154" s="22" t="str">
        <f aca="false">IF($A154="","",HOUR($V154)+MINUTE($V154)/60)</f>
        <v/>
      </c>
      <c r="AJ154" s="22" t="str">
        <f aca="false">IF($A154="","",HOUR($W154)+MINUTE($W154)/60)</f>
        <v/>
      </c>
      <c r="AK154" s="22" t="str">
        <f aca="false">IF($A154="","",VLOOKUP($F154,Dim_Team!$A:$F,6,0))</f>
        <v/>
      </c>
      <c r="AL154" s="28" t="str">
        <f aca="false">IF($A154="","",VLOOKUP($X154,Dim_Signoff!$A:$C,3,0))</f>
        <v/>
      </c>
      <c r="AM154" s="28" t="str">
        <f aca="false">IF($A154="","",IF($N154="No","n/a",ROUND((AH154-AE154)*60,0)))</f>
        <v/>
      </c>
      <c r="AN154" s="28" t="str">
        <f aca="false">IF($A154="","",IF($O154="No","n/a",ROUND((AH154-AF154)*60,0)))</f>
        <v/>
      </c>
      <c r="AO154" s="28" t="str">
        <f aca="false">IF($A154="","",IF($P154="No","n/a",ROUND((AH154-AG154)*60,0)))</f>
        <v/>
      </c>
      <c r="AP154" s="28" t="str">
        <f aca="false">IF($A154="","",ROUND((AH154-AK154)*60,0))</f>
        <v/>
      </c>
      <c r="AQ154" s="28" t="str">
        <f aca="false">IF($A154="","",ROUND((AI154-AH154)*60,0))</f>
        <v/>
      </c>
      <c r="AR154" s="4" t="str">
        <f aca="false">IF($A154="","",IF(AP154&gt;=AC154,"Yes","No"))</f>
        <v/>
      </c>
      <c r="AS154" s="4" t="str">
        <f aca="false">IF($A154="","",IF(AQ154&gt;=AD154+AL154,"Yes","No"))</f>
        <v/>
      </c>
      <c r="AT154" s="4" t="str">
        <f aca="false">IF($A154="","",IF(AND(AR154="Yes",AS154="Yes"),"OK","REVIEW"))</f>
        <v/>
      </c>
      <c r="AU154" s="4" t="str">
        <f aca="false">IF($A154="","",IF($P154="No","Not applicable",IF(AO154&lt;Constants!$B$14,"CAPTURE","Not needed")))</f>
        <v/>
      </c>
      <c r="AV154" s="4" t="str">
        <f aca="false">IF($A154="","",IF($P154="No","n/a",RANK(AO154,AO:AO,1)))</f>
        <v/>
      </c>
      <c r="AW154" s="4" t="str">
        <f aca="false">IF($A154="","",IF(UPPER($E154)="YES","Strategic","Non-strategic"))</f>
        <v/>
      </c>
      <c r="AX154" s="4" t="str">
        <f aca="false">IF($A154="","",COUNTIFS(Fact_Work!$C:$C,$A154))</f>
        <v/>
      </c>
      <c r="AY154" s="4" t="str">
        <f aca="false">IF($A154="","",IF(AX154=0,"Not seen",IF(AX154&gt;=Constants!$B$13*0.6,"Daily",IF(AX154&gt;=Constants!$B$13*0.12,"Weekly","Monthly or ad hoc"))))</f>
        <v/>
      </c>
      <c r="AZ154" s="22" t="str">
        <f aca="false">IF($A154="","",IFERROR(VLOOKUP($U154,Dim_TOP!$A:$H,8,0),""))</f>
        <v/>
      </c>
      <c r="BA154" s="28" t="str">
        <f aca="false">IF($A154="","",IFERROR(ROUND((AH154-AZ154)*60,0),""))</f>
        <v/>
      </c>
      <c r="BB154" s="4" t="str">
        <f aca="false">IF($A154="","",IF(BA154="","",IF(BA154&lt;=0,"Sets the deadline","Later than peers by "&amp;BA154&amp;" min")))</f>
        <v/>
      </c>
      <c r="BC154" s="29" t="str">
        <f aca="false">IF($A154="","",IF($U154="",0,IF(COUNTIFS($U$2:$U154,$U154,$C$2:$C154,$C154)=1,1,0)))</f>
        <v/>
      </c>
      <c r="BD154" s="10" t="str">
        <f aca="false">IF($A154="","",IF(UPPER($P154)="YES","Yes","No"))</f>
        <v/>
      </c>
      <c r="BE154" s="10" t="str">
        <f aca="false">IF($A154="","",IF($N154="No","n/a",IF(AM154&lt;=Constants!$B$17,"Yes","No")))</f>
        <v/>
      </c>
      <c r="BF154" s="10" t="str">
        <f aca="false">IF($A154="","",IF($O154="No","n/a",IF(AN154&lt;=Constants!$B$17,"Yes","No")))</f>
        <v/>
      </c>
      <c r="BG154" s="10" t="str">
        <f aca="false">IF($A154="","",IF($P154="No","n/a",IF(AO154&lt;=Constants!$B$17,"Yes","No")))</f>
        <v/>
      </c>
      <c r="BH154" s="10" t="str">
        <f aca="false">IF($A154="","",IF($N154="No","No custody process",IF(BE154="Yes","Thin custody slack","Ample custody slack")))</f>
        <v/>
      </c>
      <c r="BI154" s="30" t="str">
        <f aca="false">IF($A154="","",IF($N154="No","",AM154))</f>
        <v/>
      </c>
      <c r="BJ154" s="30" t="str">
        <f aca="false">IF($A154="","",IF($O154="No","",AN154))</f>
        <v/>
      </c>
      <c r="BK154" s="30" t="str">
        <f aca="false">IF($A154="","",IF($P154="No","",AO154))</f>
        <v/>
      </c>
    </row>
    <row r="155" customFormat="false" ht="15" hidden="false" customHeight="true" outlineLevel="0" collapsed="false">
      <c r="Z155" s="28" t="str">
        <f aca="false">IF($A155="","",Constants!$B$6+$I155*Constants!$B$7+$J155*Constants!$B$8+$K155*Constants!$B$9+$L155*Constants!$B$10+$M155*Constants!$B$11)</f>
        <v/>
      </c>
      <c r="AA155" s="28" t="str">
        <f aca="false">IF($A155="","",100-Z155)</f>
        <v/>
      </c>
      <c r="AB155" s="28" t="str">
        <f aca="false">IF($A155="","",ROUND($H155*Constants!$B$4,1))</f>
        <v/>
      </c>
      <c r="AC155" s="28" t="str">
        <f aca="false">IF($A155="","",ROUND(AB155*Z155/100,1))</f>
        <v/>
      </c>
      <c r="AD155" s="28" t="str">
        <f aca="false">IF($A155="","",ROUND(AB155*AA155/100,1))</f>
        <v/>
      </c>
      <c r="AE155" s="22" t="str">
        <f aca="false">IF($A155="","",HOUR($Q155)+MINUTE($Q155)/60)</f>
        <v/>
      </c>
      <c r="AF155" s="22" t="str">
        <f aca="false">IF($A155="","",HOUR($R155)+MINUTE($R155)/60)</f>
        <v/>
      </c>
      <c r="AG155" s="22" t="str">
        <f aca="false">IF($A155="","",HOUR($S155)+MINUTE($S155)/60)</f>
        <v/>
      </c>
      <c r="AH155" s="22" t="str">
        <f aca="false">IF($A155="","",HOUR($T155)+MINUTE($T155)/60)</f>
        <v/>
      </c>
      <c r="AI155" s="22" t="str">
        <f aca="false">IF($A155="","",HOUR($V155)+MINUTE($V155)/60)</f>
        <v/>
      </c>
      <c r="AJ155" s="22" t="str">
        <f aca="false">IF($A155="","",HOUR($W155)+MINUTE($W155)/60)</f>
        <v/>
      </c>
      <c r="AK155" s="22" t="str">
        <f aca="false">IF($A155="","",VLOOKUP($F155,Dim_Team!$A:$F,6,0))</f>
        <v/>
      </c>
      <c r="AL155" s="28" t="str">
        <f aca="false">IF($A155="","",VLOOKUP($X155,Dim_Signoff!$A:$C,3,0))</f>
        <v/>
      </c>
      <c r="AM155" s="28" t="str">
        <f aca="false">IF($A155="","",IF($N155="No","n/a",ROUND((AH155-AE155)*60,0)))</f>
        <v/>
      </c>
      <c r="AN155" s="28" t="str">
        <f aca="false">IF($A155="","",IF($O155="No","n/a",ROUND((AH155-AF155)*60,0)))</f>
        <v/>
      </c>
      <c r="AO155" s="28" t="str">
        <f aca="false">IF($A155="","",IF($P155="No","n/a",ROUND((AH155-AG155)*60,0)))</f>
        <v/>
      </c>
      <c r="AP155" s="28" t="str">
        <f aca="false">IF($A155="","",ROUND((AH155-AK155)*60,0))</f>
        <v/>
      </c>
      <c r="AQ155" s="28" t="str">
        <f aca="false">IF($A155="","",ROUND((AI155-AH155)*60,0))</f>
        <v/>
      </c>
      <c r="AR155" s="4" t="str">
        <f aca="false">IF($A155="","",IF(AP155&gt;=AC155,"Yes","No"))</f>
        <v/>
      </c>
      <c r="AS155" s="4" t="str">
        <f aca="false">IF($A155="","",IF(AQ155&gt;=AD155+AL155,"Yes","No"))</f>
        <v/>
      </c>
      <c r="AT155" s="4" t="str">
        <f aca="false">IF($A155="","",IF(AND(AR155="Yes",AS155="Yes"),"OK","REVIEW"))</f>
        <v/>
      </c>
      <c r="AU155" s="4" t="str">
        <f aca="false">IF($A155="","",IF($P155="No","Not applicable",IF(AO155&lt;Constants!$B$14,"CAPTURE","Not needed")))</f>
        <v/>
      </c>
      <c r="AV155" s="4" t="str">
        <f aca="false">IF($A155="","",IF($P155="No","n/a",RANK(AO155,AO:AO,1)))</f>
        <v/>
      </c>
      <c r="AW155" s="4" t="str">
        <f aca="false">IF($A155="","",IF(UPPER($E155)="YES","Strategic","Non-strategic"))</f>
        <v/>
      </c>
      <c r="AX155" s="4" t="str">
        <f aca="false">IF($A155="","",COUNTIFS(Fact_Work!$C:$C,$A155))</f>
        <v/>
      </c>
      <c r="AY155" s="4" t="str">
        <f aca="false">IF($A155="","",IF(AX155=0,"Not seen",IF(AX155&gt;=Constants!$B$13*0.6,"Daily",IF(AX155&gt;=Constants!$B$13*0.12,"Weekly","Monthly or ad hoc"))))</f>
        <v/>
      </c>
      <c r="AZ155" s="22" t="str">
        <f aca="false">IF($A155="","",IFERROR(VLOOKUP($U155,Dim_TOP!$A:$H,8,0),""))</f>
        <v/>
      </c>
      <c r="BA155" s="28" t="str">
        <f aca="false">IF($A155="","",IFERROR(ROUND((AH155-AZ155)*60,0),""))</f>
        <v/>
      </c>
      <c r="BB155" s="4" t="str">
        <f aca="false">IF($A155="","",IF(BA155="","",IF(BA155&lt;=0,"Sets the deadline","Later than peers by "&amp;BA155&amp;" min")))</f>
        <v/>
      </c>
      <c r="BC155" s="29" t="str">
        <f aca="false">IF($A155="","",IF($U155="",0,IF(COUNTIFS($U$2:$U155,$U155,$C$2:$C155,$C155)=1,1,0)))</f>
        <v/>
      </c>
      <c r="BD155" s="10" t="str">
        <f aca="false">IF($A155="","",IF(UPPER($P155)="YES","Yes","No"))</f>
        <v/>
      </c>
      <c r="BE155" s="10" t="str">
        <f aca="false">IF($A155="","",IF($N155="No","n/a",IF(AM155&lt;=Constants!$B$17,"Yes","No")))</f>
        <v/>
      </c>
      <c r="BF155" s="10" t="str">
        <f aca="false">IF($A155="","",IF($O155="No","n/a",IF(AN155&lt;=Constants!$B$17,"Yes","No")))</f>
        <v/>
      </c>
      <c r="BG155" s="10" t="str">
        <f aca="false">IF($A155="","",IF($P155="No","n/a",IF(AO155&lt;=Constants!$B$17,"Yes","No")))</f>
        <v/>
      </c>
      <c r="BH155" s="10" t="str">
        <f aca="false">IF($A155="","",IF($N155="No","No custody process",IF(BE155="Yes","Thin custody slack","Ample custody slack")))</f>
        <v/>
      </c>
      <c r="BI155" s="30" t="str">
        <f aca="false">IF($A155="","",IF($N155="No","",AM155))</f>
        <v/>
      </c>
      <c r="BJ155" s="30" t="str">
        <f aca="false">IF($A155="","",IF($O155="No","",AN155))</f>
        <v/>
      </c>
      <c r="BK155" s="30" t="str">
        <f aca="false">IF($A155="","",IF($P155="No","",AO155))</f>
        <v/>
      </c>
    </row>
    <row r="156" customFormat="false" ht="15" hidden="false" customHeight="true" outlineLevel="0" collapsed="false">
      <c r="Z156" s="28" t="str">
        <f aca="false">IF($A156="","",Constants!$B$6+$I156*Constants!$B$7+$J156*Constants!$B$8+$K156*Constants!$B$9+$L156*Constants!$B$10+$M156*Constants!$B$11)</f>
        <v/>
      </c>
      <c r="AA156" s="28" t="str">
        <f aca="false">IF($A156="","",100-Z156)</f>
        <v/>
      </c>
      <c r="AB156" s="28" t="str">
        <f aca="false">IF($A156="","",ROUND($H156*Constants!$B$4,1))</f>
        <v/>
      </c>
      <c r="AC156" s="28" t="str">
        <f aca="false">IF($A156="","",ROUND(AB156*Z156/100,1))</f>
        <v/>
      </c>
      <c r="AD156" s="28" t="str">
        <f aca="false">IF($A156="","",ROUND(AB156*AA156/100,1))</f>
        <v/>
      </c>
      <c r="AE156" s="22" t="str">
        <f aca="false">IF($A156="","",HOUR($Q156)+MINUTE($Q156)/60)</f>
        <v/>
      </c>
      <c r="AF156" s="22" t="str">
        <f aca="false">IF($A156="","",HOUR($R156)+MINUTE($R156)/60)</f>
        <v/>
      </c>
      <c r="AG156" s="22" t="str">
        <f aca="false">IF($A156="","",HOUR($S156)+MINUTE($S156)/60)</f>
        <v/>
      </c>
      <c r="AH156" s="22" t="str">
        <f aca="false">IF($A156="","",HOUR($T156)+MINUTE($T156)/60)</f>
        <v/>
      </c>
      <c r="AI156" s="22" t="str">
        <f aca="false">IF($A156="","",HOUR($V156)+MINUTE($V156)/60)</f>
        <v/>
      </c>
      <c r="AJ156" s="22" t="str">
        <f aca="false">IF($A156="","",HOUR($W156)+MINUTE($W156)/60)</f>
        <v/>
      </c>
      <c r="AK156" s="22" t="str">
        <f aca="false">IF($A156="","",VLOOKUP($F156,Dim_Team!$A:$F,6,0))</f>
        <v/>
      </c>
      <c r="AL156" s="28" t="str">
        <f aca="false">IF($A156="","",VLOOKUP($X156,Dim_Signoff!$A:$C,3,0))</f>
        <v/>
      </c>
      <c r="AM156" s="28" t="str">
        <f aca="false">IF($A156="","",IF($N156="No","n/a",ROUND((AH156-AE156)*60,0)))</f>
        <v/>
      </c>
      <c r="AN156" s="28" t="str">
        <f aca="false">IF($A156="","",IF($O156="No","n/a",ROUND((AH156-AF156)*60,0)))</f>
        <v/>
      </c>
      <c r="AO156" s="28" t="str">
        <f aca="false">IF($A156="","",IF($P156="No","n/a",ROUND((AH156-AG156)*60,0)))</f>
        <v/>
      </c>
      <c r="AP156" s="28" t="str">
        <f aca="false">IF($A156="","",ROUND((AH156-AK156)*60,0))</f>
        <v/>
      </c>
      <c r="AQ156" s="28" t="str">
        <f aca="false">IF($A156="","",ROUND((AI156-AH156)*60,0))</f>
        <v/>
      </c>
      <c r="AR156" s="4" t="str">
        <f aca="false">IF($A156="","",IF(AP156&gt;=AC156,"Yes","No"))</f>
        <v/>
      </c>
      <c r="AS156" s="4" t="str">
        <f aca="false">IF($A156="","",IF(AQ156&gt;=AD156+AL156,"Yes","No"))</f>
        <v/>
      </c>
      <c r="AT156" s="4" t="str">
        <f aca="false">IF($A156="","",IF(AND(AR156="Yes",AS156="Yes"),"OK","REVIEW"))</f>
        <v/>
      </c>
      <c r="AU156" s="4" t="str">
        <f aca="false">IF($A156="","",IF($P156="No","Not applicable",IF(AO156&lt;Constants!$B$14,"CAPTURE","Not needed")))</f>
        <v/>
      </c>
      <c r="AV156" s="4" t="str">
        <f aca="false">IF($A156="","",IF($P156="No","n/a",RANK(AO156,AO:AO,1)))</f>
        <v/>
      </c>
      <c r="AW156" s="4" t="str">
        <f aca="false">IF($A156="","",IF(UPPER($E156)="YES","Strategic","Non-strategic"))</f>
        <v/>
      </c>
      <c r="AX156" s="4" t="str">
        <f aca="false">IF($A156="","",COUNTIFS(Fact_Work!$C:$C,$A156))</f>
        <v/>
      </c>
      <c r="AY156" s="4" t="str">
        <f aca="false">IF($A156="","",IF(AX156=0,"Not seen",IF(AX156&gt;=Constants!$B$13*0.6,"Daily",IF(AX156&gt;=Constants!$B$13*0.12,"Weekly","Monthly or ad hoc"))))</f>
        <v/>
      </c>
      <c r="AZ156" s="22" t="str">
        <f aca="false">IF($A156="","",IFERROR(VLOOKUP($U156,Dim_TOP!$A:$H,8,0),""))</f>
        <v/>
      </c>
      <c r="BA156" s="28" t="str">
        <f aca="false">IF($A156="","",IFERROR(ROUND((AH156-AZ156)*60,0),""))</f>
        <v/>
      </c>
      <c r="BB156" s="4" t="str">
        <f aca="false">IF($A156="","",IF(BA156="","",IF(BA156&lt;=0,"Sets the deadline","Later than peers by "&amp;BA156&amp;" min")))</f>
        <v/>
      </c>
      <c r="BC156" s="29" t="str">
        <f aca="false">IF($A156="","",IF($U156="",0,IF(COUNTIFS($U$2:$U156,$U156,$C$2:$C156,$C156)=1,1,0)))</f>
        <v/>
      </c>
      <c r="BD156" s="10" t="str">
        <f aca="false">IF($A156="","",IF(UPPER($P156)="YES","Yes","No"))</f>
        <v/>
      </c>
      <c r="BE156" s="10" t="str">
        <f aca="false">IF($A156="","",IF($N156="No","n/a",IF(AM156&lt;=Constants!$B$17,"Yes","No")))</f>
        <v/>
      </c>
      <c r="BF156" s="10" t="str">
        <f aca="false">IF($A156="","",IF($O156="No","n/a",IF(AN156&lt;=Constants!$B$17,"Yes","No")))</f>
        <v/>
      </c>
      <c r="BG156" s="10" t="str">
        <f aca="false">IF($A156="","",IF($P156="No","n/a",IF(AO156&lt;=Constants!$B$17,"Yes","No")))</f>
        <v/>
      </c>
      <c r="BH156" s="10" t="str">
        <f aca="false">IF($A156="","",IF($N156="No","No custody process",IF(BE156="Yes","Thin custody slack","Ample custody slack")))</f>
        <v/>
      </c>
      <c r="BI156" s="30" t="str">
        <f aca="false">IF($A156="","",IF($N156="No","",AM156))</f>
        <v/>
      </c>
      <c r="BJ156" s="30" t="str">
        <f aca="false">IF($A156="","",IF($O156="No","",AN156))</f>
        <v/>
      </c>
      <c r="BK156" s="30" t="str">
        <f aca="false">IF($A156="","",IF($P156="No","",AO156))</f>
        <v/>
      </c>
    </row>
    <row r="157" customFormat="false" ht="15" hidden="false" customHeight="true" outlineLevel="0" collapsed="false">
      <c r="Z157" s="28" t="str">
        <f aca="false">IF($A157="","",Constants!$B$6+$I157*Constants!$B$7+$J157*Constants!$B$8+$K157*Constants!$B$9+$L157*Constants!$B$10+$M157*Constants!$B$11)</f>
        <v/>
      </c>
      <c r="AA157" s="28" t="str">
        <f aca="false">IF($A157="","",100-Z157)</f>
        <v/>
      </c>
      <c r="AB157" s="28" t="str">
        <f aca="false">IF($A157="","",ROUND($H157*Constants!$B$4,1))</f>
        <v/>
      </c>
      <c r="AC157" s="28" t="str">
        <f aca="false">IF($A157="","",ROUND(AB157*Z157/100,1))</f>
        <v/>
      </c>
      <c r="AD157" s="28" t="str">
        <f aca="false">IF($A157="","",ROUND(AB157*AA157/100,1))</f>
        <v/>
      </c>
      <c r="AE157" s="22" t="str">
        <f aca="false">IF($A157="","",HOUR($Q157)+MINUTE($Q157)/60)</f>
        <v/>
      </c>
      <c r="AF157" s="22" t="str">
        <f aca="false">IF($A157="","",HOUR($R157)+MINUTE($R157)/60)</f>
        <v/>
      </c>
      <c r="AG157" s="22" t="str">
        <f aca="false">IF($A157="","",HOUR($S157)+MINUTE($S157)/60)</f>
        <v/>
      </c>
      <c r="AH157" s="22" t="str">
        <f aca="false">IF($A157="","",HOUR($T157)+MINUTE($T157)/60)</f>
        <v/>
      </c>
      <c r="AI157" s="22" t="str">
        <f aca="false">IF($A157="","",HOUR($V157)+MINUTE($V157)/60)</f>
        <v/>
      </c>
      <c r="AJ157" s="22" t="str">
        <f aca="false">IF($A157="","",HOUR($W157)+MINUTE($W157)/60)</f>
        <v/>
      </c>
      <c r="AK157" s="22" t="str">
        <f aca="false">IF($A157="","",VLOOKUP($F157,Dim_Team!$A:$F,6,0))</f>
        <v/>
      </c>
      <c r="AL157" s="28" t="str">
        <f aca="false">IF($A157="","",VLOOKUP($X157,Dim_Signoff!$A:$C,3,0))</f>
        <v/>
      </c>
      <c r="AM157" s="28" t="str">
        <f aca="false">IF($A157="","",IF($N157="No","n/a",ROUND((AH157-AE157)*60,0)))</f>
        <v/>
      </c>
      <c r="AN157" s="28" t="str">
        <f aca="false">IF($A157="","",IF($O157="No","n/a",ROUND((AH157-AF157)*60,0)))</f>
        <v/>
      </c>
      <c r="AO157" s="28" t="str">
        <f aca="false">IF($A157="","",IF($P157="No","n/a",ROUND((AH157-AG157)*60,0)))</f>
        <v/>
      </c>
      <c r="AP157" s="28" t="str">
        <f aca="false">IF($A157="","",ROUND((AH157-AK157)*60,0))</f>
        <v/>
      </c>
      <c r="AQ157" s="28" t="str">
        <f aca="false">IF($A157="","",ROUND((AI157-AH157)*60,0))</f>
        <v/>
      </c>
      <c r="AR157" s="4" t="str">
        <f aca="false">IF($A157="","",IF(AP157&gt;=AC157,"Yes","No"))</f>
        <v/>
      </c>
      <c r="AS157" s="4" t="str">
        <f aca="false">IF($A157="","",IF(AQ157&gt;=AD157+AL157,"Yes","No"))</f>
        <v/>
      </c>
      <c r="AT157" s="4" t="str">
        <f aca="false">IF($A157="","",IF(AND(AR157="Yes",AS157="Yes"),"OK","REVIEW"))</f>
        <v/>
      </c>
      <c r="AU157" s="4" t="str">
        <f aca="false">IF($A157="","",IF($P157="No","Not applicable",IF(AO157&lt;Constants!$B$14,"CAPTURE","Not needed")))</f>
        <v/>
      </c>
      <c r="AV157" s="4" t="str">
        <f aca="false">IF($A157="","",IF($P157="No","n/a",RANK(AO157,AO:AO,1)))</f>
        <v/>
      </c>
      <c r="AW157" s="4" t="str">
        <f aca="false">IF($A157="","",IF(UPPER($E157)="YES","Strategic","Non-strategic"))</f>
        <v/>
      </c>
      <c r="AX157" s="4" t="str">
        <f aca="false">IF($A157="","",COUNTIFS(Fact_Work!$C:$C,$A157))</f>
        <v/>
      </c>
      <c r="AY157" s="4" t="str">
        <f aca="false">IF($A157="","",IF(AX157=0,"Not seen",IF(AX157&gt;=Constants!$B$13*0.6,"Daily",IF(AX157&gt;=Constants!$B$13*0.12,"Weekly","Monthly or ad hoc"))))</f>
        <v/>
      </c>
      <c r="AZ157" s="22" t="str">
        <f aca="false">IF($A157="","",IFERROR(VLOOKUP($U157,Dim_TOP!$A:$H,8,0),""))</f>
        <v/>
      </c>
      <c r="BA157" s="28" t="str">
        <f aca="false">IF($A157="","",IFERROR(ROUND((AH157-AZ157)*60,0),""))</f>
        <v/>
      </c>
      <c r="BB157" s="4" t="str">
        <f aca="false">IF($A157="","",IF(BA157="","",IF(BA157&lt;=0,"Sets the deadline","Later than peers by "&amp;BA157&amp;" min")))</f>
        <v/>
      </c>
      <c r="BC157" s="29" t="str">
        <f aca="false">IF($A157="","",IF($U157="",0,IF(COUNTIFS($U$2:$U157,$U157,$C$2:$C157,$C157)=1,1,0)))</f>
        <v/>
      </c>
      <c r="BD157" s="10" t="str">
        <f aca="false">IF($A157="","",IF(UPPER($P157)="YES","Yes","No"))</f>
        <v/>
      </c>
      <c r="BE157" s="10" t="str">
        <f aca="false">IF($A157="","",IF($N157="No","n/a",IF(AM157&lt;=Constants!$B$17,"Yes","No")))</f>
        <v/>
      </c>
      <c r="BF157" s="10" t="str">
        <f aca="false">IF($A157="","",IF($O157="No","n/a",IF(AN157&lt;=Constants!$B$17,"Yes","No")))</f>
        <v/>
      </c>
      <c r="BG157" s="10" t="str">
        <f aca="false">IF($A157="","",IF($P157="No","n/a",IF(AO157&lt;=Constants!$B$17,"Yes","No")))</f>
        <v/>
      </c>
      <c r="BH157" s="10" t="str">
        <f aca="false">IF($A157="","",IF($N157="No","No custody process",IF(BE157="Yes","Thin custody slack","Ample custody slack")))</f>
        <v/>
      </c>
      <c r="BI157" s="30" t="str">
        <f aca="false">IF($A157="","",IF($N157="No","",AM157))</f>
        <v/>
      </c>
      <c r="BJ157" s="30" t="str">
        <f aca="false">IF($A157="","",IF($O157="No","",AN157))</f>
        <v/>
      </c>
      <c r="BK157" s="30" t="str">
        <f aca="false">IF($A157="","",IF($P157="No","",AO157))</f>
        <v/>
      </c>
    </row>
    <row r="158" customFormat="false" ht="15" hidden="false" customHeight="true" outlineLevel="0" collapsed="false">
      <c r="Z158" s="28" t="str">
        <f aca="false">IF($A158="","",Constants!$B$6+$I158*Constants!$B$7+$J158*Constants!$B$8+$K158*Constants!$B$9+$L158*Constants!$B$10+$M158*Constants!$B$11)</f>
        <v/>
      </c>
      <c r="AA158" s="28" t="str">
        <f aca="false">IF($A158="","",100-Z158)</f>
        <v/>
      </c>
      <c r="AB158" s="28" t="str">
        <f aca="false">IF($A158="","",ROUND($H158*Constants!$B$4,1))</f>
        <v/>
      </c>
      <c r="AC158" s="28" t="str">
        <f aca="false">IF($A158="","",ROUND(AB158*Z158/100,1))</f>
        <v/>
      </c>
      <c r="AD158" s="28" t="str">
        <f aca="false">IF($A158="","",ROUND(AB158*AA158/100,1))</f>
        <v/>
      </c>
      <c r="AE158" s="22" t="str">
        <f aca="false">IF($A158="","",HOUR($Q158)+MINUTE($Q158)/60)</f>
        <v/>
      </c>
      <c r="AF158" s="22" t="str">
        <f aca="false">IF($A158="","",HOUR($R158)+MINUTE($R158)/60)</f>
        <v/>
      </c>
      <c r="AG158" s="22" t="str">
        <f aca="false">IF($A158="","",HOUR($S158)+MINUTE($S158)/60)</f>
        <v/>
      </c>
      <c r="AH158" s="22" t="str">
        <f aca="false">IF($A158="","",HOUR($T158)+MINUTE($T158)/60)</f>
        <v/>
      </c>
      <c r="AI158" s="22" t="str">
        <f aca="false">IF($A158="","",HOUR($V158)+MINUTE($V158)/60)</f>
        <v/>
      </c>
      <c r="AJ158" s="22" t="str">
        <f aca="false">IF($A158="","",HOUR($W158)+MINUTE($W158)/60)</f>
        <v/>
      </c>
      <c r="AK158" s="22" t="str">
        <f aca="false">IF($A158="","",VLOOKUP($F158,Dim_Team!$A:$F,6,0))</f>
        <v/>
      </c>
      <c r="AL158" s="28" t="str">
        <f aca="false">IF($A158="","",VLOOKUP($X158,Dim_Signoff!$A:$C,3,0))</f>
        <v/>
      </c>
      <c r="AM158" s="28" t="str">
        <f aca="false">IF($A158="","",IF($N158="No","n/a",ROUND((AH158-AE158)*60,0)))</f>
        <v/>
      </c>
      <c r="AN158" s="28" t="str">
        <f aca="false">IF($A158="","",IF($O158="No","n/a",ROUND((AH158-AF158)*60,0)))</f>
        <v/>
      </c>
      <c r="AO158" s="28" t="str">
        <f aca="false">IF($A158="","",IF($P158="No","n/a",ROUND((AH158-AG158)*60,0)))</f>
        <v/>
      </c>
      <c r="AP158" s="28" t="str">
        <f aca="false">IF($A158="","",ROUND((AH158-AK158)*60,0))</f>
        <v/>
      </c>
      <c r="AQ158" s="28" t="str">
        <f aca="false">IF($A158="","",ROUND((AI158-AH158)*60,0))</f>
        <v/>
      </c>
      <c r="AR158" s="4" t="str">
        <f aca="false">IF($A158="","",IF(AP158&gt;=AC158,"Yes","No"))</f>
        <v/>
      </c>
      <c r="AS158" s="4" t="str">
        <f aca="false">IF($A158="","",IF(AQ158&gt;=AD158+AL158,"Yes","No"))</f>
        <v/>
      </c>
      <c r="AT158" s="4" t="str">
        <f aca="false">IF($A158="","",IF(AND(AR158="Yes",AS158="Yes"),"OK","REVIEW"))</f>
        <v/>
      </c>
      <c r="AU158" s="4" t="str">
        <f aca="false">IF($A158="","",IF($P158="No","Not applicable",IF(AO158&lt;Constants!$B$14,"CAPTURE","Not needed")))</f>
        <v/>
      </c>
      <c r="AV158" s="4" t="str">
        <f aca="false">IF($A158="","",IF($P158="No","n/a",RANK(AO158,AO:AO,1)))</f>
        <v/>
      </c>
      <c r="AW158" s="4" t="str">
        <f aca="false">IF($A158="","",IF(UPPER($E158)="YES","Strategic","Non-strategic"))</f>
        <v/>
      </c>
      <c r="AX158" s="4" t="str">
        <f aca="false">IF($A158="","",COUNTIFS(Fact_Work!$C:$C,$A158))</f>
        <v/>
      </c>
      <c r="AY158" s="4" t="str">
        <f aca="false">IF($A158="","",IF(AX158=0,"Not seen",IF(AX158&gt;=Constants!$B$13*0.6,"Daily",IF(AX158&gt;=Constants!$B$13*0.12,"Weekly","Monthly or ad hoc"))))</f>
        <v/>
      </c>
      <c r="AZ158" s="22" t="str">
        <f aca="false">IF($A158="","",IFERROR(VLOOKUP($U158,Dim_TOP!$A:$H,8,0),""))</f>
        <v/>
      </c>
      <c r="BA158" s="28" t="str">
        <f aca="false">IF($A158="","",IFERROR(ROUND((AH158-AZ158)*60,0),""))</f>
        <v/>
      </c>
      <c r="BB158" s="4" t="str">
        <f aca="false">IF($A158="","",IF(BA158="","",IF(BA158&lt;=0,"Sets the deadline","Later than peers by "&amp;BA158&amp;" min")))</f>
        <v/>
      </c>
      <c r="BC158" s="29" t="str">
        <f aca="false">IF($A158="","",IF($U158="",0,IF(COUNTIFS($U$2:$U158,$U158,$C$2:$C158,$C158)=1,1,0)))</f>
        <v/>
      </c>
      <c r="BD158" s="10" t="str">
        <f aca="false">IF($A158="","",IF(UPPER($P158)="YES","Yes","No"))</f>
        <v/>
      </c>
      <c r="BE158" s="10" t="str">
        <f aca="false">IF($A158="","",IF($N158="No","n/a",IF(AM158&lt;=Constants!$B$17,"Yes","No")))</f>
        <v/>
      </c>
      <c r="BF158" s="10" t="str">
        <f aca="false">IF($A158="","",IF($O158="No","n/a",IF(AN158&lt;=Constants!$B$17,"Yes","No")))</f>
        <v/>
      </c>
      <c r="BG158" s="10" t="str">
        <f aca="false">IF($A158="","",IF($P158="No","n/a",IF(AO158&lt;=Constants!$B$17,"Yes","No")))</f>
        <v/>
      </c>
      <c r="BH158" s="10" t="str">
        <f aca="false">IF($A158="","",IF($N158="No","No custody process",IF(BE158="Yes","Thin custody slack","Ample custody slack")))</f>
        <v/>
      </c>
      <c r="BI158" s="30" t="str">
        <f aca="false">IF($A158="","",IF($N158="No","",AM158))</f>
        <v/>
      </c>
      <c r="BJ158" s="30" t="str">
        <f aca="false">IF($A158="","",IF($O158="No","",AN158))</f>
        <v/>
      </c>
      <c r="BK158" s="30" t="str">
        <f aca="false">IF($A158="","",IF($P158="No","",AO158))</f>
        <v/>
      </c>
    </row>
    <row r="159" customFormat="false" ht="15" hidden="false" customHeight="true" outlineLevel="0" collapsed="false">
      <c r="Z159" s="28" t="str">
        <f aca="false">IF($A159="","",Constants!$B$6+$I159*Constants!$B$7+$J159*Constants!$B$8+$K159*Constants!$B$9+$L159*Constants!$B$10+$M159*Constants!$B$11)</f>
        <v/>
      </c>
      <c r="AA159" s="28" t="str">
        <f aca="false">IF($A159="","",100-Z159)</f>
        <v/>
      </c>
      <c r="AB159" s="28" t="str">
        <f aca="false">IF($A159="","",ROUND($H159*Constants!$B$4,1))</f>
        <v/>
      </c>
      <c r="AC159" s="28" t="str">
        <f aca="false">IF($A159="","",ROUND(AB159*Z159/100,1))</f>
        <v/>
      </c>
      <c r="AD159" s="28" t="str">
        <f aca="false">IF($A159="","",ROUND(AB159*AA159/100,1))</f>
        <v/>
      </c>
      <c r="AE159" s="22" t="str">
        <f aca="false">IF($A159="","",HOUR($Q159)+MINUTE($Q159)/60)</f>
        <v/>
      </c>
      <c r="AF159" s="22" t="str">
        <f aca="false">IF($A159="","",HOUR($R159)+MINUTE($R159)/60)</f>
        <v/>
      </c>
      <c r="AG159" s="22" t="str">
        <f aca="false">IF($A159="","",HOUR($S159)+MINUTE($S159)/60)</f>
        <v/>
      </c>
      <c r="AH159" s="22" t="str">
        <f aca="false">IF($A159="","",HOUR($T159)+MINUTE($T159)/60)</f>
        <v/>
      </c>
      <c r="AI159" s="22" t="str">
        <f aca="false">IF($A159="","",HOUR($V159)+MINUTE($V159)/60)</f>
        <v/>
      </c>
      <c r="AJ159" s="22" t="str">
        <f aca="false">IF($A159="","",HOUR($W159)+MINUTE($W159)/60)</f>
        <v/>
      </c>
      <c r="AK159" s="22" t="str">
        <f aca="false">IF($A159="","",VLOOKUP($F159,Dim_Team!$A:$F,6,0))</f>
        <v/>
      </c>
      <c r="AL159" s="28" t="str">
        <f aca="false">IF($A159="","",VLOOKUP($X159,Dim_Signoff!$A:$C,3,0))</f>
        <v/>
      </c>
      <c r="AM159" s="28" t="str">
        <f aca="false">IF($A159="","",IF($N159="No","n/a",ROUND((AH159-AE159)*60,0)))</f>
        <v/>
      </c>
      <c r="AN159" s="28" t="str">
        <f aca="false">IF($A159="","",IF($O159="No","n/a",ROUND((AH159-AF159)*60,0)))</f>
        <v/>
      </c>
      <c r="AO159" s="28" t="str">
        <f aca="false">IF($A159="","",IF($P159="No","n/a",ROUND((AH159-AG159)*60,0)))</f>
        <v/>
      </c>
      <c r="AP159" s="28" t="str">
        <f aca="false">IF($A159="","",ROUND((AH159-AK159)*60,0))</f>
        <v/>
      </c>
      <c r="AQ159" s="28" t="str">
        <f aca="false">IF($A159="","",ROUND((AI159-AH159)*60,0))</f>
        <v/>
      </c>
      <c r="AR159" s="4" t="str">
        <f aca="false">IF($A159="","",IF(AP159&gt;=AC159,"Yes","No"))</f>
        <v/>
      </c>
      <c r="AS159" s="4" t="str">
        <f aca="false">IF($A159="","",IF(AQ159&gt;=AD159+AL159,"Yes","No"))</f>
        <v/>
      </c>
      <c r="AT159" s="4" t="str">
        <f aca="false">IF($A159="","",IF(AND(AR159="Yes",AS159="Yes"),"OK","REVIEW"))</f>
        <v/>
      </c>
      <c r="AU159" s="4" t="str">
        <f aca="false">IF($A159="","",IF($P159="No","Not applicable",IF(AO159&lt;Constants!$B$14,"CAPTURE","Not needed")))</f>
        <v/>
      </c>
      <c r="AV159" s="4" t="str">
        <f aca="false">IF($A159="","",IF($P159="No","n/a",RANK(AO159,AO:AO,1)))</f>
        <v/>
      </c>
      <c r="AW159" s="4" t="str">
        <f aca="false">IF($A159="","",IF(UPPER($E159)="YES","Strategic","Non-strategic"))</f>
        <v/>
      </c>
      <c r="AX159" s="4" t="str">
        <f aca="false">IF($A159="","",COUNTIFS(Fact_Work!$C:$C,$A159))</f>
        <v/>
      </c>
      <c r="AY159" s="4" t="str">
        <f aca="false">IF($A159="","",IF(AX159=0,"Not seen",IF(AX159&gt;=Constants!$B$13*0.6,"Daily",IF(AX159&gt;=Constants!$B$13*0.12,"Weekly","Monthly or ad hoc"))))</f>
        <v/>
      </c>
      <c r="AZ159" s="22" t="str">
        <f aca="false">IF($A159="","",IFERROR(VLOOKUP($U159,Dim_TOP!$A:$H,8,0),""))</f>
        <v/>
      </c>
      <c r="BA159" s="28" t="str">
        <f aca="false">IF($A159="","",IFERROR(ROUND((AH159-AZ159)*60,0),""))</f>
        <v/>
      </c>
      <c r="BB159" s="4" t="str">
        <f aca="false">IF($A159="","",IF(BA159="","",IF(BA159&lt;=0,"Sets the deadline","Later than peers by "&amp;BA159&amp;" min")))</f>
        <v/>
      </c>
      <c r="BC159" s="29" t="str">
        <f aca="false">IF($A159="","",IF($U159="",0,IF(COUNTIFS($U$2:$U159,$U159,$C$2:$C159,$C159)=1,1,0)))</f>
        <v/>
      </c>
      <c r="BD159" s="10" t="str">
        <f aca="false">IF($A159="","",IF(UPPER($P159)="YES","Yes","No"))</f>
        <v/>
      </c>
      <c r="BE159" s="10" t="str">
        <f aca="false">IF($A159="","",IF($N159="No","n/a",IF(AM159&lt;=Constants!$B$17,"Yes","No")))</f>
        <v/>
      </c>
      <c r="BF159" s="10" t="str">
        <f aca="false">IF($A159="","",IF($O159="No","n/a",IF(AN159&lt;=Constants!$B$17,"Yes","No")))</f>
        <v/>
      </c>
      <c r="BG159" s="10" t="str">
        <f aca="false">IF($A159="","",IF($P159="No","n/a",IF(AO159&lt;=Constants!$B$17,"Yes","No")))</f>
        <v/>
      </c>
      <c r="BH159" s="10" t="str">
        <f aca="false">IF($A159="","",IF($N159="No","No custody process",IF(BE159="Yes","Thin custody slack","Ample custody slack")))</f>
        <v/>
      </c>
      <c r="BI159" s="30" t="str">
        <f aca="false">IF($A159="","",IF($N159="No","",AM159))</f>
        <v/>
      </c>
      <c r="BJ159" s="30" t="str">
        <f aca="false">IF($A159="","",IF($O159="No","",AN159))</f>
        <v/>
      </c>
      <c r="BK159" s="30" t="str">
        <f aca="false">IF($A159="","",IF($P159="No","",AO159))</f>
        <v/>
      </c>
    </row>
    <row r="160" customFormat="false" ht="15" hidden="false" customHeight="true" outlineLevel="0" collapsed="false">
      <c r="Z160" s="28" t="str">
        <f aca="false">IF($A160="","",Constants!$B$6+$I160*Constants!$B$7+$J160*Constants!$B$8+$K160*Constants!$B$9+$L160*Constants!$B$10+$M160*Constants!$B$11)</f>
        <v/>
      </c>
      <c r="AA160" s="28" t="str">
        <f aca="false">IF($A160="","",100-Z160)</f>
        <v/>
      </c>
      <c r="AB160" s="28" t="str">
        <f aca="false">IF($A160="","",ROUND($H160*Constants!$B$4,1))</f>
        <v/>
      </c>
      <c r="AC160" s="28" t="str">
        <f aca="false">IF($A160="","",ROUND(AB160*Z160/100,1))</f>
        <v/>
      </c>
      <c r="AD160" s="28" t="str">
        <f aca="false">IF($A160="","",ROUND(AB160*AA160/100,1))</f>
        <v/>
      </c>
      <c r="AE160" s="22" t="str">
        <f aca="false">IF($A160="","",HOUR($Q160)+MINUTE($Q160)/60)</f>
        <v/>
      </c>
      <c r="AF160" s="22" t="str">
        <f aca="false">IF($A160="","",HOUR($R160)+MINUTE($R160)/60)</f>
        <v/>
      </c>
      <c r="AG160" s="22" t="str">
        <f aca="false">IF($A160="","",HOUR($S160)+MINUTE($S160)/60)</f>
        <v/>
      </c>
      <c r="AH160" s="22" t="str">
        <f aca="false">IF($A160="","",HOUR($T160)+MINUTE($T160)/60)</f>
        <v/>
      </c>
      <c r="AI160" s="22" t="str">
        <f aca="false">IF($A160="","",HOUR($V160)+MINUTE($V160)/60)</f>
        <v/>
      </c>
      <c r="AJ160" s="22" t="str">
        <f aca="false">IF($A160="","",HOUR($W160)+MINUTE($W160)/60)</f>
        <v/>
      </c>
      <c r="AK160" s="22" t="str">
        <f aca="false">IF($A160="","",VLOOKUP($F160,Dim_Team!$A:$F,6,0))</f>
        <v/>
      </c>
      <c r="AL160" s="28" t="str">
        <f aca="false">IF($A160="","",VLOOKUP($X160,Dim_Signoff!$A:$C,3,0))</f>
        <v/>
      </c>
      <c r="AM160" s="28" t="str">
        <f aca="false">IF($A160="","",IF($N160="No","n/a",ROUND((AH160-AE160)*60,0)))</f>
        <v/>
      </c>
      <c r="AN160" s="28" t="str">
        <f aca="false">IF($A160="","",IF($O160="No","n/a",ROUND((AH160-AF160)*60,0)))</f>
        <v/>
      </c>
      <c r="AO160" s="28" t="str">
        <f aca="false">IF($A160="","",IF($P160="No","n/a",ROUND((AH160-AG160)*60,0)))</f>
        <v/>
      </c>
      <c r="AP160" s="28" t="str">
        <f aca="false">IF($A160="","",ROUND((AH160-AK160)*60,0))</f>
        <v/>
      </c>
      <c r="AQ160" s="28" t="str">
        <f aca="false">IF($A160="","",ROUND((AI160-AH160)*60,0))</f>
        <v/>
      </c>
      <c r="AR160" s="4" t="str">
        <f aca="false">IF($A160="","",IF(AP160&gt;=AC160,"Yes","No"))</f>
        <v/>
      </c>
      <c r="AS160" s="4" t="str">
        <f aca="false">IF($A160="","",IF(AQ160&gt;=AD160+AL160,"Yes","No"))</f>
        <v/>
      </c>
      <c r="AT160" s="4" t="str">
        <f aca="false">IF($A160="","",IF(AND(AR160="Yes",AS160="Yes"),"OK","REVIEW"))</f>
        <v/>
      </c>
      <c r="AU160" s="4" t="str">
        <f aca="false">IF($A160="","",IF($P160="No","Not applicable",IF(AO160&lt;Constants!$B$14,"CAPTURE","Not needed")))</f>
        <v/>
      </c>
      <c r="AV160" s="4" t="str">
        <f aca="false">IF($A160="","",IF($P160="No","n/a",RANK(AO160,AO:AO,1)))</f>
        <v/>
      </c>
      <c r="AW160" s="4" t="str">
        <f aca="false">IF($A160="","",IF(UPPER($E160)="YES","Strategic","Non-strategic"))</f>
        <v/>
      </c>
      <c r="AX160" s="4" t="str">
        <f aca="false">IF($A160="","",COUNTIFS(Fact_Work!$C:$C,$A160))</f>
        <v/>
      </c>
      <c r="AY160" s="4" t="str">
        <f aca="false">IF($A160="","",IF(AX160=0,"Not seen",IF(AX160&gt;=Constants!$B$13*0.6,"Daily",IF(AX160&gt;=Constants!$B$13*0.12,"Weekly","Monthly or ad hoc"))))</f>
        <v/>
      </c>
      <c r="AZ160" s="22" t="str">
        <f aca="false">IF($A160="","",IFERROR(VLOOKUP($U160,Dim_TOP!$A:$H,8,0),""))</f>
        <v/>
      </c>
      <c r="BA160" s="28" t="str">
        <f aca="false">IF($A160="","",IFERROR(ROUND((AH160-AZ160)*60,0),""))</f>
        <v/>
      </c>
      <c r="BB160" s="4" t="str">
        <f aca="false">IF($A160="","",IF(BA160="","",IF(BA160&lt;=0,"Sets the deadline","Later than peers by "&amp;BA160&amp;" min")))</f>
        <v/>
      </c>
      <c r="BC160" s="29" t="str">
        <f aca="false">IF($A160="","",IF($U160="",0,IF(COUNTIFS($U$2:$U160,$U160,$C$2:$C160,$C160)=1,1,0)))</f>
        <v/>
      </c>
      <c r="BD160" s="10" t="str">
        <f aca="false">IF($A160="","",IF(UPPER($P160)="YES","Yes","No"))</f>
        <v/>
      </c>
      <c r="BE160" s="10" t="str">
        <f aca="false">IF($A160="","",IF($N160="No","n/a",IF(AM160&lt;=Constants!$B$17,"Yes","No")))</f>
        <v/>
      </c>
      <c r="BF160" s="10" t="str">
        <f aca="false">IF($A160="","",IF($O160="No","n/a",IF(AN160&lt;=Constants!$B$17,"Yes","No")))</f>
        <v/>
      </c>
      <c r="BG160" s="10" t="str">
        <f aca="false">IF($A160="","",IF($P160="No","n/a",IF(AO160&lt;=Constants!$B$17,"Yes","No")))</f>
        <v/>
      </c>
      <c r="BH160" s="10" t="str">
        <f aca="false">IF($A160="","",IF($N160="No","No custody process",IF(BE160="Yes","Thin custody slack","Ample custody slack")))</f>
        <v/>
      </c>
      <c r="BI160" s="30" t="str">
        <f aca="false">IF($A160="","",IF($N160="No","",AM160))</f>
        <v/>
      </c>
      <c r="BJ160" s="30" t="str">
        <f aca="false">IF($A160="","",IF($O160="No","",AN160))</f>
        <v/>
      </c>
      <c r="BK160" s="30" t="str">
        <f aca="false">IF($A160="","",IF($P160="No","",AO160))</f>
        <v/>
      </c>
    </row>
    <row r="161" customFormat="false" ht="15" hidden="false" customHeight="true" outlineLevel="0" collapsed="false">
      <c r="Z161" s="28" t="str">
        <f aca="false">IF($A161="","",Constants!$B$6+$I161*Constants!$B$7+$J161*Constants!$B$8+$K161*Constants!$B$9+$L161*Constants!$B$10+$M161*Constants!$B$11)</f>
        <v/>
      </c>
      <c r="AA161" s="28" t="str">
        <f aca="false">IF($A161="","",100-Z161)</f>
        <v/>
      </c>
      <c r="AB161" s="28" t="str">
        <f aca="false">IF($A161="","",ROUND($H161*Constants!$B$4,1))</f>
        <v/>
      </c>
      <c r="AC161" s="28" t="str">
        <f aca="false">IF($A161="","",ROUND(AB161*Z161/100,1))</f>
        <v/>
      </c>
      <c r="AD161" s="28" t="str">
        <f aca="false">IF($A161="","",ROUND(AB161*AA161/100,1))</f>
        <v/>
      </c>
      <c r="AE161" s="22" t="str">
        <f aca="false">IF($A161="","",HOUR($Q161)+MINUTE($Q161)/60)</f>
        <v/>
      </c>
      <c r="AF161" s="22" t="str">
        <f aca="false">IF($A161="","",HOUR($R161)+MINUTE($R161)/60)</f>
        <v/>
      </c>
      <c r="AG161" s="22" t="str">
        <f aca="false">IF($A161="","",HOUR($S161)+MINUTE($S161)/60)</f>
        <v/>
      </c>
      <c r="AH161" s="22" t="str">
        <f aca="false">IF($A161="","",HOUR($T161)+MINUTE($T161)/60)</f>
        <v/>
      </c>
      <c r="AI161" s="22" t="str">
        <f aca="false">IF($A161="","",HOUR($V161)+MINUTE($V161)/60)</f>
        <v/>
      </c>
      <c r="AJ161" s="22" t="str">
        <f aca="false">IF($A161="","",HOUR($W161)+MINUTE($W161)/60)</f>
        <v/>
      </c>
      <c r="AK161" s="22" t="str">
        <f aca="false">IF($A161="","",VLOOKUP($F161,Dim_Team!$A:$F,6,0))</f>
        <v/>
      </c>
      <c r="AL161" s="28" t="str">
        <f aca="false">IF($A161="","",VLOOKUP($X161,Dim_Signoff!$A:$C,3,0))</f>
        <v/>
      </c>
      <c r="AM161" s="28" t="str">
        <f aca="false">IF($A161="","",IF($N161="No","n/a",ROUND((AH161-AE161)*60,0)))</f>
        <v/>
      </c>
      <c r="AN161" s="28" t="str">
        <f aca="false">IF($A161="","",IF($O161="No","n/a",ROUND((AH161-AF161)*60,0)))</f>
        <v/>
      </c>
      <c r="AO161" s="28" t="str">
        <f aca="false">IF($A161="","",IF($P161="No","n/a",ROUND((AH161-AG161)*60,0)))</f>
        <v/>
      </c>
      <c r="AP161" s="28" t="str">
        <f aca="false">IF($A161="","",ROUND((AH161-AK161)*60,0))</f>
        <v/>
      </c>
      <c r="AQ161" s="28" t="str">
        <f aca="false">IF($A161="","",ROUND((AI161-AH161)*60,0))</f>
        <v/>
      </c>
      <c r="AR161" s="4" t="str">
        <f aca="false">IF($A161="","",IF(AP161&gt;=AC161,"Yes","No"))</f>
        <v/>
      </c>
      <c r="AS161" s="4" t="str">
        <f aca="false">IF($A161="","",IF(AQ161&gt;=AD161+AL161,"Yes","No"))</f>
        <v/>
      </c>
      <c r="AT161" s="4" t="str">
        <f aca="false">IF($A161="","",IF(AND(AR161="Yes",AS161="Yes"),"OK","REVIEW"))</f>
        <v/>
      </c>
      <c r="AU161" s="4" t="str">
        <f aca="false">IF($A161="","",IF($P161="No","Not applicable",IF(AO161&lt;Constants!$B$14,"CAPTURE","Not needed")))</f>
        <v/>
      </c>
      <c r="AV161" s="4" t="str">
        <f aca="false">IF($A161="","",IF($P161="No","n/a",RANK(AO161,AO:AO,1)))</f>
        <v/>
      </c>
      <c r="AW161" s="4" t="str">
        <f aca="false">IF($A161="","",IF(UPPER($E161)="YES","Strategic","Non-strategic"))</f>
        <v/>
      </c>
      <c r="AX161" s="4" t="str">
        <f aca="false">IF($A161="","",COUNTIFS(Fact_Work!$C:$C,$A161))</f>
        <v/>
      </c>
      <c r="AY161" s="4" t="str">
        <f aca="false">IF($A161="","",IF(AX161=0,"Not seen",IF(AX161&gt;=Constants!$B$13*0.6,"Daily",IF(AX161&gt;=Constants!$B$13*0.12,"Weekly","Monthly or ad hoc"))))</f>
        <v/>
      </c>
      <c r="AZ161" s="22" t="str">
        <f aca="false">IF($A161="","",IFERROR(VLOOKUP($U161,Dim_TOP!$A:$H,8,0),""))</f>
        <v/>
      </c>
      <c r="BA161" s="28" t="str">
        <f aca="false">IF($A161="","",IFERROR(ROUND((AH161-AZ161)*60,0),""))</f>
        <v/>
      </c>
      <c r="BB161" s="4" t="str">
        <f aca="false">IF($A161="","",IF(BA161="","",IF(BA161&lt;=0,"Sets the deadline","Later than peers by "&amp;BA161&amp;" min")))</f>
        <v/>
      </c>
      <c r="BC161" s="29" t="str">
        <f aca="false">IF($A161="","",IF($U161="",0,IF(COUNTIFS($U$2:$U161,$U161,$C$2:$C161,$C161)=1,1,0)))</f>
        <v/>
      </c>
      <c r="BD161" s="10" t="str">
        <f aca="false">IF($A161="","",IF(UPPER($P161)="YES","Yes","No"))</f>
        <v/>
      </c>
      <c r="BE161" s="10" t="str">
        <f aca="false">IF($A161="","",IF($N161="No","n/a",IF(AM161&lt;=Constants!$B$17,"Yes","No")))</f>
        <v/>
      </c>
      <c r="BF161" s="10" t="str">
        <f aca="false">IF($A161="","",IF($O161="No","n/a",IF(AN161&lt;=Constants!$B$17,"Yes","No")))</f>
        <v/>
      </c>
      <c r="BG161" s="10" t="str">
        <f aca="false">IF($A161="","",IF($P161="No","n/a",IF(AO161&lt;=Constants!$B$17,"Yes","No")))</f>
        <v/>
      </c>
      <c r="BH161" s="10" t="str">
        <f aca="false">IF($A161="","",IF($N161="No","No custody process",IF(BE161="Yes","Thin custody slack","Ample custody slack")))</f>
        <v/>
      </c>
      <c r="BI161" s="30" t="str">
        <f aca="false">IF($A161="","",IF($N161="No","",AM161))</f>
        <v/>
      </c>
      <c r="BJ161" s="30" t="str">
        <f aca="false">IF($A161="","",IF($O161="No","",AN161))</f>
        <v/>
      </c>
      <c r="BK161" s="30" t="str">
        <f aca="false">IF($A161="","",IF($P161="No","",AO161))</f>
        <v/>
      </c>
    </row>
    <row r="162" customFormat="false" ht="15" hidden="false" customHeight="true" outlineLevel="0" collapsed="false">
      <c r="Z162" s="28" t="str">
        <f aca="false">IF($A162="","",Constants!$B$6+$I162*Constants!$B$7+$J162*Constants!$B$8+$K162*Constants!$B$9+$L162*Constants!$B$10+$M162*Constants!$B$11)</f>
        <v/>
      </c>
      <c r="AA162" s="28" t="str">
        <f aca="false">IF($A162="","",100-Z162)</f>
        <v/>
      </c>
      <c r="AB162" s="28" t="str">
        <f aca="false">IF($A162="","",ROUND($H162*Constants!$B$4,1))</f>
        <v/>
      </c>
      <c r="AC162" s="28" t="str">
        <f aca="false">IF($A162="","",ROUND(AB162*Z162/100,1))</f>
        <v/>
      </c>
      <c r="AD162" s="28" t="str">
        <f aca="false">IF($A162="","",ROUND(AB162*AA162/100,1))</f>
        <v/>
      </c>
      <c r="AE162" s="22" t="str">
        <f aca="false">IF($A162="","",HOUR($Q162)+MINUTE($Q162)/60)</f>
        <v/>
      </c>
      <c r="AF162" s="22" t="str">
        <f aca="false">IF($A162="","",HOUR($R162)+MINUTE($R162)/60)</f>
        <v/>
      </c>
      <c r="AG162" s="22" t="str">
        <f aca="false">IF($A162="","",HOUR($S162)+MINUTE($S162)/60)</f>
        <v/>
      </c>
      <c r="AH162" s="22" t="str">
        <f aca="false">IF($A162="","",HOUR($T162)+MINUTE($T162)/60)</f>
        <v/>
      </c>
      <c r="AI162" s="22" t="str">
        <f aca="false">IF($A162="","",HOUR($V162)+MINUTE($V162)/60)</f>
        <v/>
      </c>
      <c r="AJ162" s="22" t="str">
        <f aca="false">IF($A162="","",HOUR($W162)+MINUTE($W162)/60)</f>
        <v/>
      </c>
      <c r="AK162" s="22" t="str">
        <f aca="false">IF($A162="","",VLOOKUP($F162,Dim_Team!$A:$F,6,0))</f>
        <v/>
      </c>
      <c r="AL162" s="28" t="str">
        <f aca="false">IF($A162="","",VLOOKUP($X162,Dim_Signoff!$A:$C,3,0))</f>
        <v/>
      </c>
      <c r="AM162" s="28" t="str">
        <f aca="false">IF($A162="","",IF($N162="No","n/a",ROUND((AH162-AE162)*60,0)))</f>
        <v/>
      </c>
      <c r="AN162" s="28" t="str">
        <f aca="false">IF($A162="","",IF($O162="No","n/a",ROUND((AH162-AF162)*60,0)))</f>
        <v/>
      </c>
      <c r="AO162" s="28" t="str">
        <f aca="false">IF($A162="","",IF($P162="No","n/a",ROUND((AH162-AG162)*60,0)))</f>
        <v/>
      </c>
      <c r="AP162" s="28" t="str">
        <f aca="false">IF($A162="","",ROUND((AH162-AK162)*60,0))</f>
        <v/>
      </c>
      <c r="AQ162" s="28" t="str">
        <f aca="false">IF($A162="","",ROUND((AI162-AH162)*60,0))</f>
        <v/>
      </c>
      <c r="AR162" s="4" t="str">
        <f aca="false">IF($A162="","",IF(AP162&gt;=AC162,"Yes","No"))</f>
        <v/>
      </c>
      <c r="AS162" s="4" t="str">
        <f aca="false">IF($A162="","",IF(AQ162&gt;=AD162+AL162,"Yes","No"))</f>
        <v/>
      </c>
      <c r="AT162" s="4" t="str">
        <f aca="false">IF($A162="","",IF(AND(AR162="Yes",AS162="Yes"),"OK","REVIEW"))</f>
        <v/>
      </c>
      <c r="AU162" s="4" t="str">
        <f aca="false">IF($A162="","",IF($P162="No","Not applicable",IF(AO162&lt;Constants!$B$14,"CAPTURE","Not needed")))</f>
        <v/>
      </c>
      <c r="AV162" s="4" t="str">
        <f aca="false">IF($A162="","",IF($P162="No","n/a",RANK(AO162,AO:AO,1)))</f>
        <v/>
      </c>
      <c r="AW162" s="4" t="str">
        <f aca="false">IF($A162="","",IF(UPPER($E162)="YES","Strategic","Non-strategic"))</f>
        <v/>
      </c>
      <c r="AX162" s="4" t="str">
        <f aca="false">IF($A162="","",COUNTIFS(Fact_Work!$C:$C,$A162))</f>
        <v/>
      </c>
      <c r="AY162" s="4" t="str">
        <f aca="false">IF($A162="","",IF(AX162=0,"Not seen",IF(AX162&gt;=Constants!$B$13*0.6,"Daily",IF(AX162&gt;=Constants!$B$13*0.12,"Weekly","Monthly or ad hoc"))))</f>
        <v/>
      </c>
      <c r="AZ162" s="22" t="str">
        <f aca="false">IF($A162="","",IFERROR(VLOOKUP($U162,Dim_TOP!$A:$H,8,0),""))</f>
        <v/>
      </c>
      <c r="BA162" s="28" t="str">
        <f aca="false">IF($A162="","",IFERROR(ROUND((AH162-AZ162)*60,0),""))</f>
        <v/>
      </c>
      <c r="BB162" s="4" t="str">
        <f aca="false">IF($A162="","",IF(BA162="","",IF(BA162&lt;=0,"Sets the deadline","Later than peers by "&amp;BA162&amp;" min")))</f>
        <v/>
      </c>
      <c r="BC162" s="29" t="str">
        <f aca="false">IF($A162="","",IF($U162="",0,IF(COUNTIFS($U$2:$U162,$U162,$C$2:$C162,$C162)=1,1,0)))</f>
        <v/>
      </c>
      <c r="BD162" s="10" t="str">
        <f aca="false">IF($A162="","",IF(UPPER($P162)="YES","Yes","No"))</f>
        <v/>
      </c>
      <c r="BE162" s="10" t="str">
        <f aca="false">IF($A162="","",IF($N162="No","n/a",IF(AM162&lt;=Constants!$B$17,"Yes","No")))</f>
        <v/>
      </c>
      <c r="BF162" s="10" t="str">
        <f aca="false">IF($A162="","",IF($O162="No","n/a",IF(AN162&lt;=Constants!$B$17,"Yes","No")))</f>
        <v/>
      </c>
      <c r="BG162" s="10" t="str">
        <f aca="false">IF($A162="","",IF($P162="No","n/a",IF(AO162&lt;=Constants!$B$17,"Yes","No")))</f>
        <v/>
      </c>
      <c r="BH162" s="10" t="str">
        <f aca="false">IF($A162="","",IF($N162="No","No custody process",IF(BE162="Yes","Thin custody slack","Ample custody slack")))</f>
        <v/>
      </c>
      <c r="BI162" s="30" t="str">
        <f aca="false">IF($A162="","",IF($N162="No","",AM162))</f>
        <v/>
      </c>
      <c r="BJ162" s="30" t="str">
        <f aca="false">IF($A162="","",IF($O162="No","",AN162))</f>
        <v/>
      </c>
      <c r="BK162" s="30" t="str">
        <f aca="false">IF($A162="","",IF($P162="No","",AO162))</f>
        <v/>
      </c>
    </row>
    <row r="163" customFormat="false" ht="15" hidden="false" customHeight="true" outlineLevel="0" collapsed="false">
      <c r="Z163" s="28" t="str">
        <f aca="false">IF($A163="","",Constants!$B$6+$I163*Constants!$B$7+$J163*Constants!$B$8+$K163*Constants!$B$9+$L163*Constants!$B$10+$M163*Constants!$B$11)</f>
        <v/>
      </c>
      <c r="AA163" s="28" t="str">
        <f aca="false">IF($A163="","",100-Z163)</f>
        <v/>
      </c>
      <c r="AB163" s="28" t="str">
        <f aca="false">IF($A163="","",ROUND($H163*Constants!$B$4,1))</f>
        <v/>
      </c>
      <c r="AC163" s="28" t="str">
        <f aca="false">IF($A163="","",ROUND(AB163*Z163/100,1))</f>
        <v/>
      </c>
      <c r="AD163" s="28" t="str">
        <f aca="false">IF($A163="","",ROUND(AB163*AA163/100,1))</f>
        <v/>
      </c>
      <c r="AE163" s="22" t="str">
        <f aca="false">IF($A163="","",HOUR($Q163)+MINUTE($Q163)/60)</f>
        <v/>
      </c>
      <c r="AF163" s="22" t="str">
        <f aca="false">IF($A163="","",HOUR($R163)+MINUTE($R163)/60)</f>
        <v/>
      </c>
      <c r="AG163" s="22" t="str">
        <f aca="false">IF($A163="","",HOUR($S163)+MINUTE($S163)/60)</f>
        <v/>
      </c>
      <c r="AH163" s="22" t="str">
        <f aca="false">IF($A163="","",HOUR($T163)+MINUTE($T163)/60)</f>
        <v/>
      </c>
      <c r="AI163" s="22" t="str">
        <f aca="false">IF($A163="","",HOUR($V163)+MINUTE($V163)/60)</f>
        <v/>
      </c>
      <c r="AJ163" s="22" t="str">
        <f aca="false">IF($A163="","",HOUR($W163)+MINUTE($W163)/60)</f>
        <v/>
      </c>
      <c r="AK163" s="22" t="str">
        <f aca="false">IF($A163="","",VLOOKUP($F163,Dim_Team!$A:$F,6,0))</f>
        <v/>
      </c>
      <c r="AL163" s="28" t="str">
        <f aca="false">IF($A163="","",VLOOKUP($X163,Dim_Signoff!$A:$C,3,0))</f>
        <v/>
      </c>
      <c r="AM163" s="28" t="str">
        <f aca="false">IF($A163="","",IF($N163="No","n/a",ROUND((AH163-AE163)*60,0)))</f>
        <v/>
      </c>
      <c r="AN163" s="28" t="str">
        <f aca="false">IF($A163="","",IF($O163="No","n/a",ROUND((AH163-AF163)*60,0)))</f>
        <v/>
      </c>
      <c r="AO163" s="28" t="str">
        <f aca="false">IF($A163="","",IF($P163="No","n/a",ROUND((AH163-AG163)*60,0)))</f>
        <v/>
      </c>
      <c r="AP163" s="28" t="str">
        <f aca="false">IF($A163="","",ROUND((AH163-AK163)*60,0))</f>
        <v/>
      </c>
      <c r="AQ163" s="28" t="str">
        <f aca="false">IF($A163="","",ROUND((AI163-AH163)*60,0))</f>
        <v/>
      </c>
      <c r="AR163" s="4" t="str">
        <f aca="false">IF($A163="","",IF(AP163&gt;=AC163,"Yes","No"))</f>
        <v/>
      </c>
      <c r="AS163" s="4" t="str">
        <f aca="false">IF($A163="","",IF(AQ163&gt;=AD163+AL163,"Yes","No"))</f>
        <v/>
      </c>
      <c r="AT163" s="4" t="str">
        <f aca="false">IF($A163="","",IF(AND(AR163="Yes",AS163="Yes"),"OK","REVIEW"))</f>
        <v/>
      </c>
      <c r="AU163" s="4" t="str">
        <f aca="false">IF($A163="","",IF($P163="No","Not applicable",IF(AO163&lt;Constants!$B$14,"CAPTURE","Not needed")))</f>
        <v/>
      </c>
      <c r="AV163" s="4" t="str">
        <f aca="false">IF($A163="","",IF($P163="No","n/a",RANK(AO163,AO:AO,1)))</f>
        <v/>
      </c>
      <c r="AW163" s="4" t="str">
        <f aca="false">IF($A163="","",IF(UPPER($E163)="YES","Strategic","Non-strategic"))</f>
        <v/>
      </c>
      <c r="AX163" s="4" t="str">
        <f aca="false">IF($A163="","",COUNTIFS(Fact_Work!$C:$C,$A163))</f>
        <v/>
      </c>
      <c r="AY163" s="4" t="str">
        <f aca="false">IF($A163="","",IF(AX163=0,"Not seen",IF(AX163&gt;=Constants!$B$13*0.6,"Daily",IF(AX163&gt;=Constants!$B$13*0.12,"Weekly","Monthly or ad hoc"))))</f>
        <v/>
      </c>
      <c r="AZ163" s="22" t="str">
        <f aca="false">IF($A163="","",IFERROR(VLOOKUP($U163,Dim_TOP!$A:$H,8,0),""))</f>
        <v/>
      </c>
      <c r="BA163" s="28" t="str">
        <f aca="false">IF($A163="","",IFERROR(ROUND((AH163-AZ163)*60,0),""))</f>
        <v/>
      </c>
      <c r="BB163" s="4" t="str">
        <f aca="false">IF($A163="","",IF(BA163="","",IF(BA163&lt;=0,"Sets the deadline","Later than peers by "&amp;BA163&amp;" min")))</f>
        <v/>
      </c>
      <c r="BC163" s="29" t="str">
        <f aca="false">IF($A163="","",IF($U163="",0,IF(COUNTIFS($U$2:$U163,$U163,$C$2:$C163,$C163)=1,1,0)))</f>
        <v/>
      </c>
      <c r="BD163" s="10" t="str">
        <f aca="false">IF($A163="","",IF(UPPER($P163)="YES","Yes","No"))</f>
        <v/>
      </c>
      <c r="BE163" s="10" t="str">
        <f aca="false">IF($A163="","",IF($N163="No","n/a",IF(AM163&lt;=Constants!$B$17,"Yes","No")))</f>
        <v/>
      </c>
      <c r="BF163" s="10" t="str">
        <f aca="false">IF($A163="","",IF($O163="No","n/a",IF(AN163&lt;=Constants!$B$17,"Yes","No")))</f>
        <v/>
      </c>
      <c r="BG163" s="10" t="str">
        <f aca="false">IF($A163="","",IF($P163="No","n/a",IF(AO163&lt;=Constants!$B$17,"Yes","No")))</f>
        <v/>
      </c>
      <c r="BH163" s="10" t="str">
        <f aca="false">IF($A163="","",IF($N163="No","No custody process",IF(BE163="Yes","Thin custody slack","Ample custody slack")))</f>
        <v/>
      </c>
      <c r="BI163" s="30" t="str">
        <f aca="false">IF($A163="","",IF($N163="No","",AM163))</f>
        <v/>
      </c>
      <c r="BJ163" s="30" t="str">
        <f aca="false">IF($A163="","",IF($O163="No","",AN163))</f>
        <v/>
      </c>
      <c r="BK163" s="30" t="str">
        <f aca="false">IF($A163="","",IF($P163="No","",AO163))</f>
        <v/>
      </c>
    </row>
    <row r="164" customFormat="false" ht="15" hidden="false" customHeight="true" outlineLevel="0" collapsed="false">
      <c r="Z164" s="28" t="str">
        <f aca="false">IF($A164="","",Constants!$B$6+$I164*Constants!$B$7+$J164*Constants!$B$8+$K164*Constants!$B$9+$L164*Constants!$B$10+$M164*Constants!$B$11)</f>
        <v/>
      </c>
      <c r="AA164" s="28" t="str">
        <f aca="false">IF($A164="","",100-Z164)</f>
        <v/>
      </c>
      <c r="AB164" s="28" t="str">
        <f aca="false">IF($A164="","",ROUND($H164*Constants!$B$4,1))</f>
        <v/>
      </c>
      <c r="AC164" s="28" t="str">
        <f aca="false">IF($A164="","",ROUND(AB164*Z164/100,1))</f>
        <v/>
      </c>
      <c r="AD164" s="28" t="str">
        <f aca="false">IF($A164="","",ROUND(AB164*AA164/100,1))</f>
        <v/>
      </c>
      <c r="AE164" s="22" t="str">
        <f aca="false">IF($A164="","",HOUR($Q164)+MINUTE($Q164)/60)</f>
        <v/>
      </c>
      <c r="AF164" s="22" t="str">
        <f aca="false">IF($A164="","",HOUR($R164)+MINUTE($R164)/60)</f>
        <v/>
      </c>
      <c r="AG164" s="22" t="str">
        <f aca="false">IF($A164="","",HOUR($S164)+MINUTE($S164)/60)</f>
        <v/>
      </c>
      <c r="AH164" s="22" t="str">
        <f aca="false">IF($A164="","",HOUR($T164)+MINUTE($T164)/60)</f>
        <v/>
      </c>
      <c r="AI164" s="22" t="str">
        <f aca="false">IF($A164="","",HOUR($V164)+MINUTE($V164)/60)</f>
        <v/>
      </c>
      <c r="AJ164" s="22" t="str">
        <f aca="false">IF($A164="","",HOUR($W164)+MINUTE($W164)/60)</f>
        <v/>
      </c>
      <c r="AK164" s="22" t="str">
        <f aca="false">IF($A164="","",VLOOKUP($F164,Dim_Team!$A:$F,6,0))</f>
        <v/>
      </c>
      <c r="AL164" s="28" t="str">
        <f aca="false">IF($A164="","",VLOOKUP($X164,Dim_Signoff!$A:$C,3,0))</f>
        <v/>
      </c>
      <c r="AM164" s="28" t="str">
        <f aca="false">IF($A164="","",IF($N164="No","n/a",ROUND((AH164-AE164)*60,0)))</f>
        <v/>
      </c>
      <c r="AN164" s="28" t="str">
        <f aca="false">IF($A164="","",IF($O164="No","n/a",ROUND((AH164-AF164)*60,0)))</f>
        <v/>
      </c>
      <c r="AO164" s="28" t="str">
        <f aca="false">IF($A164="","",IF($P164="No","n/a",ROUND((AH164-AG164)*60,0)))</f>
        <v/>
      </c>
      <c r="AP164" s="28" t="str">
        <f aca="false">IF($A164="","",ROUND((AH164-AK164)*60,0))</f>
        <v/>
      </c>
      <c r="AQ164" s="28" t="str">
        <f aca="false">IF($A164="","",ROUND((AI164-AH164)*60,0))</f>
        <v/>
      </c>
      <c r="AR164" s="4" t="str">
        <f aca="false">IF($A164="","",IF(AP164&gt;=AC164,"Yes","No"))</f>
        <v/>
      </c>
      <c r="AS164" s="4" t="str">
        <f aca="false">IF($A164="","",IF(AQ164&gt;=AD164+AL164,"Yes","No"))</f>
        <v/>
      </c>
      <c r="AT164" s="4" t="str">
        <f aca="false">IF($A164="","",IF(AND(AR164="Yes",AS164="Yes"),"OK","REVIEW"))</f>
        <v/>
      </c>
      <c r="AU164" s="4" t="str">
        <f aca="false">IF($A164="","",IF($P164="No","Not applicable",IF(AO164&lt;Constants!$B$14,"CAPTURE","Not needed")))</f>
        <v/>
      </c>
      <c r="AV164" s="4" t="str">
        <f aca="false">IF($A164="","",IF($P164="No","n/a",RANK(AO164,AO:AO,1)))</f>
        <v/>
      </c>
      <c r="AW164" s="4" t="str">
        <f aca="false">IF($A164="","",IF(UPPER($E164)="YES","Strategic","Non-strategic"))</f>
        <v/>
      </c>
      <c r="AX164" s="4" t="str">
        <f aca="false">IF($A164="","",COUNTIFS(Fact_Work!$C:$C,$A164))</f>
        <v/>
      </c>
      <c r="AY164" s="4" t="str">
        <f aca="false">IF($A164="","",IF(AX164=0,"Not seen",IF(AX164&gt;=Constants!$B$13*0.6,"Daily",IF(AX164&gt;=Constants!$B$13*0.12,"Weekly","Monthly or ad hoc"))))</f>
        <v/>
      </c>
      <c r="AZ164" s="22" t="str">
        <f aca="false">IF($A164="","",IFERROR(VLOOKUP($U164,Dim_TOP!$A:$H,8,0),""))</f>
        <v/>
      </c>
      <c r="BA164" s="28" t="str">
        <f aca="false">IF($A164="","",IFERROR(ROUND((AH164-AZ164)*60,0),""))</f>
        <v/>
      </c>
      <c r="BB164" s="4" t="str">
        <f aca="false">IF($A164="","",IF(BA164="","",IF(BA164&lt;=0,"Sets the deadline","Later than peers by "&amp;BA164&amp;" min")))</f>
        <v/>
      </c>
      <c r="BC164" s="29" t="str">
        <f aca="false">IF($A164="","",IF($U164="",0,IF(COUNTIFS($U$2:$U164,$U164,$C$2:$C164,$C164)=1,1,0)))</f>
        <v/>
      </c>
      <c r="BD164" s="10" t="str">
        <f aca="false">IF($A164="","",IF(UPPER($P164)="YES","Yes","No"))</f>
        <v/>
      </c>
      <c r="BE164" s="10" t="str">
        <f aca="false">IF($A164="","",IF($N164="No","n/a",IF(AM164&lt;=Constants!$B$17,"Yes","No")))</f>
        <v/>
      </c>
      <c r="BF164" s="10" t="str">
        <f aca="false">IF($A164="","",IF($O164="No","n/a",IF(AN164&lt;=Constants!$B$17,"Yes","No")))</f>
        <v/>
      </c>
      <c r="BG164" s="10" t="str">
        <f aca="false">IF($A164="","",IF($P164="No","n/a",IF(AO164&lt;=Constants!$B$17,"Yes","No")))</f>
        <v/>
      </c>
      <c r="BH164" s="10" t="str">
        <f aca="false">IF($A164="","",IF($N164="No","No custody process",IF(BE164="Yes","Thin custody slack","Ample custody slack")))</f>
        <v/>
      </c>
      <c r="BI164" s="30" t="str">
        <f aca="false">IF($A164="","",IF($N164="No","",AM164))</f>
        <v/>
      </c>
      <c r="BJ164" s="30" t="str">
        <f aca="false">IF($A164="","",IF($O164="No","",AN164))</f>
        <v/>
      </c>
      <c r="BK164" s="30" t="str">
        <f aca="false">IF($A164="","",IF($P164="No","",AO164))</f>
        <v/>
      </c>
    </row>
    <row r="165" customFormat="false" ht="15" hidden="false" customHeight="true" outlineLevel="0" collapsed="false">
      <c r="Z165" s="28" t="str">
        <f aca="false">IF($A165="","",Constants!$B$6+$I165*Constants!$B$7+$J165*Constants!$B$8+$K165*Constants!$B$9+$L165*Constants!$B$10+$M165*Constants!$B$11)</f>
        <v/>
      </c>
      <c r="AA165" s="28" t="str">
        <f aca="false">IF($A165="","",100-Z165)</f>
        <v/>
      </c>
      <c r="AB165" s="28" t="str">
        <f aca="false">IF($A165="","",ROUND($H165*Constants!$B$4,1))</f>
        <v/>
      </c>
      <c r="AC165" s="28" t="str">
        <f aca="false">IF($A165="","",ROUND(AB165*Z165/100,1))</f>
        <v/>
      </c>
      <c r="AD165" s="28" t="str">
        <f aca="false">IF($A165="","",ROUND(AB165*AA165/100,1))</f>
        <v/>
      </c>
      <c r="AE165" s="22" t="str">
        <f aca="false">IF($A165="","",HOUR($Q165)+MINUTE($Q165)/60)</f>
        <v/>
      </c>
      <c r="AF165" s="22" t="str">
        <f aca="false">IF($A165="","",HOUR($R165)+MINUTE($R165)/60)</f>
        <v/>
      </c>
      <c r="AG165" s="22" t="str">
        <f aca="false">IF($A165="","",HOUR($S165)+MINUTE($S165)/60)</f>
        <v/>
      </c>
      <c r="AH165" s="22" t="str">
        <f aca="false">IF($A165="","",HOUR($T165)+MINUTE($T165)/60)</f>
        <v/>
      </c>
      <c r="AI165" s="22" t="str">
        <f aca="false">IF($A165="","",HOUR($V165)+MINUTE($V165)/60)</f>
        <v/>
      </c>
      <c r="AJ165" s="22" t="str">
        <f aca="false">IF($A165="","",HOUR($W165)+MINUTE($W165)/60)</f>
        <v/>
      </c>
      <c r="AK165" s="22" t="str">
        <f aca="false">IF($A165="","",VLOOKUP($F165,Dim_Team!$A:$F,6,0))</f>
        <v/>
      </c>
      <c r="AL165" s="28" t="str">
        <f aca="false">IF($A165="","",VLOOKUP($X165,Dim_Signoff!$A:$C,3,0))</f>
        <v/>
      </c>
      <c r="AM165" s="28" t="str">
        <f aca="false">IF($A165="","",IF($N165="No","n/a",ROUND((AH165-AE165)*60,0)))</f>
        <v/>
      </c>
      <c r="AN165" s="28" t="str">
        <f aca="false">IF($A165="","",IF($O165="No","n/a",ROUND((AH165-AF165)*60,0)))</f>
        <v/>
      </c>
      <c r="AO165" s="28" t="str">
        <f aca="false">IF($A165="","",IF($P165="No","n/a",ROUND((AH165-AG165)*60,0)))</f>
        <v/>
      </c>
      <c r="AP165" s="28" t="str">
        <f aca="false">IF($A165="","",ROUND((AH165-AK165)*60,0))</f>
        <v/>
      </c>
      <c r="AQ165" s="28" t="str">
        <f aca="false">IF($A165="","",ROUND((AI165-AH165)*60,0))</f>
        <v/>
      </c>
      <c r="AR165" s="4" t="str">
        <f aca="false">IF($A165="","",IF(AP165&gt;=AC165,"Yes","No"))</f>
        <v/>
      </c>
      <c r="AS165" s="4" t="str">
        <f aca="false">IF($A165="","",IF(AQ165&gt;=AD165+AL165,"Yes","No"))</f>
        <v/>
      </c>
      <c r="AT165" s="4" t="str">
        <f aca="false">IF($A165="","",IF(AND(AR165="Yes",AS165="Yes"),"OK","REVIEW"))</f>
        <v/>
      </c>
      <c r="AU165" s="4" t="str">
        <f aca="false">IF($A165="","",IF($P165="No","Not applicable",IF(AO165&lt;Constants!$B$14,"CAPTURE","Not needed")))</f>
        <v/>
      </c>
      <c r="AV165" s="4" t="str">
        <f aca="false">IF($A165="","",IF($P165="No","n/a",RANK(AO165,AO:AO,1)))</f>
        <v/>
      </c>
      <c r="AW165" s="4" t="str">
        <f aca="false">IF($A165="","",IF(UPPER($E165)="YES","Strategic","Non-strategic"))</f>
        <v/>
      </c>
      <c r="AX165" s="4" t="str">
        <f aca="false">IF($A165="","",COUNTIFS(Fact_Work!$C:$C,$A165))</f>
        <v/>
      </c>
      <c r="AY165" s="4" t="str">
        <f aca="false">IF($A165="","",IF(AX165=0,"Not seen",IF(AX165&gt;=Constants!$B$13*0.6,"Daily",IF(AX165&gt;=Constants!$B$13*0.12,"Weekly","Monthly or ad hoc"))))</f>
        <v/>
      </c>
      <c r="AZ165" s="22" t="str">
        <f aca="false">IF($A165="","",IFERROR(VLOOKUP($U165,Dim_TOP!$A:$H,8,0),""))</f>
        <v/>
      </c>
      <c r="BA165" s="28" t="str">
        <f aca="false">IF($A165="","",IFERROR(ROUND((AH165-AZ165)*60,0),""))</f>
        <v/>
      </c>
      <c r="BB165" s="4" t="str">
        <f aca="false">IF($A165="","",IF(BA165="","",IF(BA165&lt;=0,"Sets the deadline","Later than peers by "&amp;BA165&amp;" min")))</f>
        <v/>
      </c>
      <c r="BC165" s="29" t="str">
        <f aca="false">IF($A165="","",IF($U165="",0,IF(COUNTIFS($U$2:$U165,$U165,$C$2:$C165,$C165)=1,1,0)))</f>
        <v/>
      </c>
      <c r="BD165" s="10" t="str">
        <f aca="false">IF($A165="","",IF(UPPER($P165)="YES","Yes","No"))</f>
        <v/>
      </c>
      <c r="BE165" s="10" t="str">
        <f aca="false">IF($A165="","",IF($N165="No","n/a",IF(AM165&lt;=Constants!$B$17,"Yes","No")))</f>
        <v/>
      </c>
      <c r="BF165" s="10" t="str">
        <f aca="false">IF($A165="","",IF($O165="No","n/a",IF(AN165&lt;=Constants!$B$17,"Yes","No")))</f>
        <v/>
      </c>
      <c r="BG165" s="10" t="str">
        <f aca="false">IF($A165="","",IF($P165="No","n/a",IF(AO165&lt;=Constants!$B$17,"Yes","No")))</f>
        <v/>
      </c>
      <c r="BH165" s="10" t="str">
        <f aca="false">IF($A165="","",IF($N165="No","No custody process",IF(BE165="Yes","Thin custody slack","Ample custody slack")))</f>
        <v/>
      </c>
      <c r="BI165" s="30" t="str">
        <f aca="false">IF($A165="","",IF($N165="No","",AM165))</f>
        <v/>
      </c>
      <c r="BJ165" s="30" t="str">
        <f aca="false">IF($A165="","",IF($O165="No","",AN165))</f>
        <v/>
      </c>
      <c r="BK165" s="30" t="str">
        <f aca="false">IF($A165="","",IF($P165="No","",AO165))</f>
        <v/>
      </c>
    </row>
    <row r="166" customFormat="false" ht="15" hidden="false" customHeight="true" outlineLevel="0" collapsed="false">
      <c r="Z166" s="28" t="str">
        <f aca="false">IF($A166="","",Constants!$B$6+$I166*Constants!$B$7+$J166*Constants!$B$8+$K166*Constants!$B$9+$L166*Constants!$B$10+$M166*Constants!$B$11)</f>
        <v/>
      </c>
      <c r="AA166" s="28" t="str">
        <f aca="false">IF($A166="","",100-Z166)</f>
        <v/>
      </c>
      <c r="AB166" s="28" t="str">
        <f aca="false">IF($A166="","",ROUND($H166*Constants!$B$4,1))</f>
        <v/>
      </c>
      <c r="AC166" s="28" t="str">
        <f aca="false">IF($A166="","",ROUND(AB166*Z166/100,1))</f>
        <v/>
      </c>
      <c r="AD166" s="28" t="str">
        <f aca="false">IF($A166="","",ROUND(AB166*AA166/100,1))</f>
        <v/>
      </c>
      <c r="AE166" s="22" t="str">
        <f aca="false">IF($A166="","",HOUR($Q166)+MINUTE($Q166)/60)</f>
        <v/>
      </c>
      <c r="AF166" s="22" t="str">
        <f aca="false">IF($A166="","",HOUR($R166)+MINUTE($R166)/60)</f>
        <v/>
      </c>
      <c r="AG166" s="22" t="str">
        <f aca="false">IF($A166="","",HOUR($S166)+MINUTE($S166)/60)</f>
        <v/>
      </c>
      <c r="AH166" s="22" t="str">
        <f aca="false">IF($A166="","",HOUR($T166)+MINUTE($T166)/60)</f>
        <v/>
      </c>
      <c r="AI166" s="22" t="str">
        <f aca="false">IF($A166="","",HOUR($V166)+MINUTE($V166)/60)</f>
        <v/>
      </c>
      <c r="AJ166" s="22" t="str">
        <f aca="false">IF($A166="","",HOUR($W166)+MINUTE($W166)/60)</f>
        <v/>
      </c>
      <c r="AK166" s="22" t="str">
        <f aca="false">IF($A166="","",VLOOKUP($F166,Dim_Team!$A:$F,6,0))</f>
        <v/>
      </c>
      <c r="AL166" s="28" t="str">
        <f aca="false">IF($A166="","",VLOOKUP($X166,Dim_Signoff!$A:$C,3,0))</f>
        <v/>
      </c>
      <c r="AM166" s="28" t="str">
        <f aca="false">IF($A166="","",IF($N166="No","n/a",ROUND((AH166-AE166)*60,0)))</f>
        <v/>
      </c>
      <c r="AN166" s="28" t="str">
        <f aca="false">IF($A166="","",IF($O166="No","n/a",ROUND((AH166-AF166)*60,0)))</f>
        <v/>
      </c>
      <c r="AO166" s="28" t="str">
        <f aca="false">IF($A166="","",IF($P166="No","n/a",ROUND((AH166-AG166)*60,0)))</f>
        <v/>
      </c>
      <c r="AP166" s="28" t="str">
        <f aca="false">IF($A166="","",ROUND((AH166-AK166)*60,0))</f>
        <v/>
      </c>
      <c r="AQ166" s="28" t="str">
        <f aca="false">IF($A166="","",ROUND((AI166-AH166)*60,0))</f>
        <v/>
      </c>
      <c r="AR166" s="4" t="str">
        <f aca="false">IF($A166="","",IF(AP166&gt;=AC166,"Yes","No"))</f>
        <v/>
      </c>
      <c r="AS166" s="4" t="str">
        <f aca="false">IF($A166="","",IF(AQ166&gt;=AD166+AL166,"Yes","No"))</f>
        <v/>
      </c>
      <c r="AT166" s="4" t="str">
        <f aca="false">IF($A166="","",IF(AND(AR166="Yes",AS166="Yes"),"OK","REVIEW"))</f>
        <v/>
      </c>
      <c r="AU166" s="4" t="str">
        <f aca="false">IF($A166="","",IF($P166="No","Not applicable",IF(AO166&lt;Constants!$B$14,"CAPTURE","Not needed")))</f>
        <v/>
      </c>
      <c r="AV166" s="4" t="str">
        <f aca="false">IF($A166="","",IF($P166="No","n/a",RANK(AO166,AO:AO,1)))</f>
        <v/>
      </c>
      <c r="AW166" s="4" t="str">
        <f aca="false">IF($A166="","",IF(UPPER($E166)="YES","Strategic","Non-strategic"))</f>
        <v/>
      </c>
      <c r="AX166" s="4" t="str">
        <f aca="false">IF($A166="","",COUNTIFS(Fact_Work!$C:$C,$A166))</f>
        <v/>
      </c>
      <c r="AY166" s="4" t="str">
        <f aca="false">IF($A166="","",IF(AX166=0,"Not seen",IF(AX166&gt;=Constants!$B$13*0.6,"Daily",IF(AX166&gt;=Constants!$B$13*0.12,"Weekly","Monthly or ad hoc"))))</f>
        <v/>
      </c>
      <c r="AZ166" s="22" t="str">
        <f aca="false">IF($A166="","",IFERROR(VLOOKUP($U166,Dim_TOP!$A:$H,8,0),""))</f>
        <v/>
      </c>
      <c r="BA166" s="28" t="str">
        <f aca="false">IF($A166="","",IFERROR(ROUND((AH166-AZ166)*60,0),""))</f>
        <v/>
      </c>
      <c r="BB166" s="4" t="str">
        <f aca="false">IF($A166="","",IF(BA166="","",IF(BA166&lt;=0,"Sets the deadline","Later than peers by "&amp;BA166&amp;" min")))</f>
        <v/>
      </c>
      <c r="BC166" s="29" t="str">
        <f aca="false">IF($A166="","",IF($U166="",0,IF(COUNTIFS($U$2:$U166,$U166,$C$2:$C166,$C166)=1,1,0)))</f>
        <v/>
      </c>
      <c r="BD166" s="10" t="str">
        <f aca="false">IF($A166="","",IF(UPPER($P166)="YES","Yes","No"))</f>
        <v/>
      </c>
      <c r="BE166" s="10" t="str">
        <f aca="false">IF($A166="","",IF($N166="No","n/a",IF(AM166&lt;=Constants!$B$17,"Yes","No")))</f>
        <v/>
      </c>
      <c r="BF166" s="10" t="str">
        <f aca="false">IF($A166="","",IF($O166="No","n/a",IF(AN166&lt;=Constants!$B$17,"Yes","No")))</f>
        <v/>
      </c>
      <c r="BG166" s="10" t="str">
        <f aca="false">IF($A166="","",IF($P166="No","n/a",IF(AO166&lt;=Constants!$B$17,"Yes","No")))</f>
        <v/>
      </c>
      <c r="BH166" s="10" t="str">
        <f aca="false">IF($A166="","",IF($N166="No","No custody process",IF(BE166="Yes","Thin custody slack","Ample custody slack")))</f>
        <v/>
      </c>
      <c r="BI166" s="30" t="str">
        <f aca="false">IF($A166="","",IF($N166="No","",AM166))</f>
        <v/>
      </c>
      <c r="BJ166" s="30" t="str">
        <f aca="false">IF($A166="","",IF($O166="No","",AN166))</f>
        <v/>
      </c>
      <c r="BK166" s="30" t="str">
        <f aca="false">IF($A166="","",IF($P166="No","",AO166))</f>
        <v/>
      </c>
    </row>
    <row r="167" customFormat="false" ht="15" hidden="false" customHeight="true" outlineLevel="0" collapsed="false">
      <c r="Z167" s="28" t="str">
        <f aca="false">IF($A167="","",Constants!$B$6+$I167*Constants!$B$7+$J167*Constants!$B$8+$K167*Constants!$B$9+$L167*Constants!$B$10+$M167*Constants!$B$11)</f>
        <v/>
      </c>
      <c r="AA167" s="28" t="str">
        <f aca="false">IF($A167="","",100-Z167)</f>
        <v/>
      </c>
      <c r="AB167" s="28" t="str">
        <f aca="false">IF($A167="","",ROUND($H167*Constants!$B$4,1))</f>
        <v/>
      </c>
      <c r="AC167" s="28" t="str">
        <f aca="false">IF($A167="","",ROUND(AB167*Z167/100,1))</f>
        <v/>
      </c>
      <c r="AD167" s="28" t="str">
        <f aca="false">IF($A167="","",ROUND(AB167*AA167/100,1))</f>
        <v/>
      </c>
      <c r="AE167" s="22" t="str">
        <f aca="false">IF($A167="","",HOUR($Q167)+MINUTE($Q167)/60)</f>
        <v/>
      </c>
      <c r="AF167" s="22" t="str">
        <f aca="false">IF($A167="","",HOUR($R167)+MINUTE($R167)/60)</f>
        <v/>
      </c>
      <c r="AG167" s="22" t="str">
        <f aca="false">IF($A167="","",HOUR($S167)+MINUTE($S167)/60)</f>
        <v/>
      </c>
      <c r="AH167" s="22" t="str">
        <f aca="false">IF($A167="","",HOUR($T167)+MINUTE($T167)/60)</f>
        <v/>
      </c>
      <c r="AI167" s="22" t="str">
        <f aca="false">IF($A167="","",HOUR($V167)+MINUTE($V167)/60)</f>
        <v/>
      </c>
      <c r="AJ167" s="22" t="str">
        <f aca="false">IF($A167="","",HOUR($W167)+MINUTE($W167)/60)</f>
        <v/>
      </c>
      <c r="AK167" s="22" t="str">
        <f aca="false">IF($A167="","",VLOOKUP($F167,Dim_Team!$A:$F,6,0))</f>
        <v/>
      </c>
      <c r="AL167" s="28" t="str">
        <f aca="false">IF($A167="","",VLOOKUP($X167,Dim_Signoff!$A:$C,3,0))</f>
        <v/>
      </c>
      <c r="AM167" s="28" t="str">
        <f aca="false">IF($A167="","",IF($N167="No","n/a",ROUND((AH167-AE167)*60,0)))</f>
        <v/>
      </c>
      <c r="AN167" s="28" t="str">
        <f aca="false">IF($A167="","",IF($O167="No","n/a",ROUND((AH167-AF167)*60,0)))</f>
        <v/>
      </c>
      <c r="AO167" s="28" t="str">
        <f aca="false">IF($A167="","",IF($P167="No","n/a",ROUND((AH167-AG167)*60,0)))</f>
        <v/>
      </c>
      <c r="AP167" s="28" t="str">
        <f aca="false">IF($A167="","",ROUND((AH167-AK167)*60,0))</f>
        <v/>
      </c>
      <c r="AQ167" s="28" t="str">
        <f aca="false">IF($A167="","",ROUND((AI167-AH167)*60,0))</f>
        <v/>
      </c>
      <c r="AR167" s="4" t="str">
        <f aca="false">IF($A167="","",IF(AP167&gt;=AC167,"Yes","No"))</f>
        <v/>
      </c>
      <c r="AS167" s="4" t="str">
        <f aca="false">IF($A167="","",IF(AQ167&gt;=AD167+AL167,"Yes","No"))</f>
        <v/>
      </c>
      <c r="AT167" s="4" t="str">
        <f aca="false">IF($A167="","",IF(AND(AR167="Yes",AS167="Yes"),"OK","REVIEW"))</f>
        <v/>
      </c>
      <c r="AU167" s="4" t="str">
        <f aca="false">IF($A167="","",IF($P167="No","Not applicable",IF(AO167&lt;Constants!$B$14,"CAPTURE","Not needed")))</f>
        <v/>
      </c>
      <c r="AV167" s="4" t="str">
        <f aca="false">IF($A167="","",IF($P167="No","n/a",RANK(AO167,AO:AO,1)))</f>
        <v/>
      </c>
      <c r="AW167" s="4" t="str">
        <f aca="false">IF($A167="","",IF(UPPER($E167)="YES","Strategic","Non-strategic"))</f>
        <v/>
      </c>
      <c r="AX167" s="4" t="str">
        <f aca="false">IF($A167="","",COUNTIFS(Fact_Work!$C:$C,$A167))</f>
        <v/>
      </c>
      <c r="AY167" s="4" t="str">
        <f aca="false">IF($A167="","",IF(AX167=0,"Not seen",IF(AX167&gt;=Constants!$B$13*0.6,"Daily",IF(AX167&gt;=Constants!$B$13*0.12,"Weekly","Monthly or ad hoc"))))</f>
        <v/>
      </c>
      <c r="AZ167" s="22" t="str">
        <f aca="false">IF($A167="","",IFERROR(VLOOKUP($U167,Dim_TOP!$A:$H,8,0),""))</f>
        <v/>
      </c>
      <c r="BA167" s="28" t="str">
        <f aca="false">IF($A167="","",IFERROR(ROUND((AH167-AZ167)*60,0),""))</f>
        <v/>
      </c>
      <c r="BB167" s="4" t="str">
        <f aca="false">IF($A167="","",IF(BA167="","",IF(BA167&lt;=0,"Sets the deadline","Later than peers by "&amp;BA167&amp;" min")))</f>
        <v/>
      </c>
      <c r="BC167" s="29" t="str">
        <f aca="false">IF($A167="","",IF($U167="",0,IF(COUNTIFS($U$2:$U167,$U167,$C$2:$C167,$C167)=1,1,0)))</f>
        <v/>
      </c>
      <c r="BD167" s="10" t="str">
        <f aca="false">IF($A167="","",IF(UPPER($P167)="YES","Yes","No"))</f>
        <v/>
      </c>
      <c r="BE167" s="10" t="str">
        <f aca="false">IF($A167="","",IF($N167="No","n/a",IF(AM167&lt;=Constants!$B$17,"Yes","No")))</f>
        <v/>
      </c>
      <c r="BF167" s="10" t="str">
        <f aca="false">IF($A167="","",IF($O167="No","n/a",IF(AN167&lt;=Constants!$B$17,"Yes","No")))</f>
        <v/>
      </c>
      <c r="BG167" s="10" t="str">
        <f aca="false">IF($A167="","",IF($P167="No","n/a",IF(AO167&lt;=Constants!$B$17,"Yes","No")))</f>
        <v/>
      </c>
      <c r="BH167" s="10" t="str">
        <f aca="false">IF($A167="","",IF($N167="No","No custody process",IF(BE167="Yes","Thin custody slack","Ample custody slack")))</f>
        <v/>
      </c>
      <c r="BI167" s="30" t="str">
        <f aca="false">IF($A167="","",IF($N167="No","",AM167))</f>
        <v/>
      </c>
      <c r="BJ167" s="30" t="str">
        <f aca="false">IF($A167="","",IF($O167="No","",AN167))</f>
        <v/>
      </c>
      <c r="BK167" s="30" t="str">
        <f aca="false">IF($A167="","",IF($P167="No","",AO167))</f>
        <v/>
      </c>
    </row>
    <row r="168" customFormat="false" ht="15" hidden="false" customHeight="true" outlineLevel="0" collapsed="false">
      <c r="Z168" s="28" t="str">
        <f aca="false">IF($A168="","",Constants!$B$6+$I168*Constants!$B$7+$J168*Constants!$B$8+$K168*Constants!$B$9+$L168*Constants!$B$10+$M168*Constants!$B$11)</f>
        <v/>
      </c>
      <c r="AA168" s="28" t="str">
        <f aca="false">IF($A168="","",100-Z168)</f>
        <v/>
      </c>
      <c r="AB168" s="28" t="str">
        <f aca="false">IF($A168="","",ROUND($H168*Constants!$B$4,1))</f>
        <v/>
      </c>
      <c r="AC168" s="28" t="str">
        <f aca="false">IF($A168="","",ROUND(AB168*Z168/100,1))</f>
        <v/>
      </c>
      <c r="AD168" s="28" t="str">
        <f aca="false">IF($A168="","",ROUND(AB168*AA168/100,1))</f>
        <v/>
      </c>
      <c r="AE168" s="22" t="str">
        <f aca="false">IF($A168="","",HOUR($Q168)+MINUTE($Q168)/60)</f>
        <v/>
      </c>
      <c r="AF168" s="22" t="str">
        <f aca="false">IF($A168="","",HOUR($R168)+MINUTE($R168)/60)</f>
        <v/>
      </c>
      <c r="AG168" s="22" t="str">
        <f aca="false">IF($A168="","",HOUR($S168)+MINUTE($S168)/60)</f>
        <v/>
      </c>
      <c r="AH168" s="22" t="str">
        <f aca="false">IF($A168="","",HOUR($T168)+MINUTE($T168)/60)</f>
        <v/>
      </c>
      <c r="AI168" s="22" t="str">
        <f aca="false">IF($A168="","",HOUR($V168)+MINUTE($V168)/60)</f>
        <v/>
      </c>
      <c r="AJ168" s="22" t="str">
        <f aca="false">IF($A168="","",HOUR($W168)+MINUTE($W168)/60)</f>
        <v/>
      </c>
      <c r="AK168" s="22" t="str">
        <f aca="false">IF($A168="","",VLOOKUP($F168,Dim_Team!$A:$F,6,0))</f>
        <v/>
      </c>
      <c r="AL168" s="28" t="str">
        <f aca="false">IF($A168="","",VLOOKUP($X168,Dim_Signoff!$A:$C,3,0))</f>
        <v/>
      </c>
      <c r="AM168" s="28" t="str">
        <f aca="false">IF($A168="","",IF($N168="No","n/a",ROUND((AH168-AE168)*60,0)))</f>
        <v/>
      </c>
      <c r="AN168" s="28" t="str">
        <f aca="false">IF($A168="","",IF($O168="No","n/a",ROUND((AH168-AF168)*60,0)))</f>
        <v/>
      </c>
      <c r="AO168" s="28" t="str">
        <f aca="false">IF($A168="","",IF($P168="No","n/a",ROUND((AH168-AG168)*60,0)))</f>
        <v/>
      </c>
      <c r="AP168" s="28" t="str">
        <f aca="false">IF($A168="","",ROUND((AH168-AK168)*60,0))</f>
        <v/>
      </c>
      <c r="AQ168" s="28" t="str">
        <f aca="false">IF($A168="","",ROUND((AI168-AH168)*60,0))</f>
        <v/>
      </c>
      <c r="AR168" s="4" t="str">
        <f aca="false">IF($A168="","",IF(AP168&gt;=AC168,"Yes","No"))</f>
        <v/>
      </c>
      <c r="AS168" s="4" t="str">
        <f aca="false">IF($A168="","",IF(AQ168&gt;=AD168+AL168,"Yes","No"))</f>
        <v/>
      </c>
      <c r="AT168" s="4" t="str">
        <f aca="false">IF($A168="","",IF(AND(AR168="Yes",AS168="Yes"),"OK","REVIEW"))</f>
        <v/>
      </c>
      <c r="AU168" s="4" t="str">
        <f aca="false">IF($A168="","",IF($P168="No","Not applicable",IF(AO168&lt;Constants!$B$14,"CAPTURE","Not needed")))</f>
        <v/>
      </c>
      <c r="AV168" s="4" t="str">
        <f aca="false">IF($A168="","",IF($P168="No","n/a",RANK(AO168,AO:AO,1)))</f>
        <v/>
      </c>
      <c r="AW168" s="4" t="str">
        <f aca="false">IF($A168="","",IF(UPPER($E168)="YES","Strategic","Non-strategic"))</f>
        <v/>
      </c>
      <c r="AX168" s="4" t="str">
        <f aca="false">IF($A168="","",COUNTIFS(Fact_Work!$C:$C,$A168))</f>
        <v/>
      </c>
      <c r="AY168" s="4" t="str">
        <f aca="false">IF($A168="","",IF(AX168=0,"Not seen",IF(AX168&gt;=Constants!$B$13*0.6,"Daily",IF(AX168&gt;=Constants!$B$13*0.12,"Weekly","Monthly or ad hoc"))))</f>
        <v/>
      </c>
      <c r="AZ168" s="22" t="str">
        <f aca="false">IF($A168="","",IFERROR(VLOOKUP($U168,Dim_TOP!$A:$H,8,0),""))</f>
        <v/>
      </c>
      <c r="BA168" s="28" t="str">
        <f aca="false">IF($A168="","",IFERROR(ROUND((AH168-AZ168)*60,0),""))</f>
        <v/>
      </c>
      <c r="BB168" s="4" t="str">
        <f aca="false">IF($A168="","",IF(BA168="","",IF(BA168&lt;=0,"Sets the deadline","Later than peers by "&amp;BA168&amp;" min")))</f>
        <v/>
      </c>
      <c r="BC168" s="29" t="str">
        <f aca="false">IF($A168="","",IF($U168="",0,IF(COUNTIFS($U$2:$U168,$U168,$C$2:$C168,$C168)=1,1,0)))</f>
        <v/>
      </c>
      <c r="BD168" s="10" t="str">
        <f aca="false">IF($A168="","",IF(UPPER($P168)="YES","Yes","No"))</f>
        <v/>
      </c>
      <c r="BE168" s="10" t="str">
        <f aca="false">IF($A168="","",IF($N168="No","n/a",IF(AM168&lt;=Constants!$B$17,"Yes","No")))</f>
        <v/>
      </c>
      <c r="BF168" s="10" t="str">
        <f aca="false">IF($A168="","",IF($O168="No","n/a",IF(AN168&lt;=Constants!$B$17,"Yes","No")))</f>
        <v/>
      </c>
      <c r="BG168" s="10" t="str">
        <f aca="false">IF($A168="","",IF($P168="No","n/a",IF(AO168&lt;=Constants!$B$17,"Yes","No")))</f>
        <v/>
      </c>
      <c r="BH168" s="10" t="str">
        <f aca="false">IF($A168="","",IF($N168="No","No custody process",IF(BE168="Yes","Thin custody slack","Ample custody slack")))</f>
        <v/>
      </c>
      <c r="BI168" s="30" t="str">
        <f aca="false">IF($A168="","",IF($N168="No","",AM168))</f>
        <v/>
      </c>
      <c r="BJ168" s="30" t="str">
        <f aca="false">IF($A168="","",IF($O168="No","",AN168))</f>
        <v/>
      </c>
      <c r="BK168" s="30" t="str">
        <f aca="false">IF($A168="","",IF($P168="No","",AO168))</f>
        <v/>
      </c>
    </row>
    <row r="169" customFormat="false" ht="15" hidden="false" customHeight="true" outlineLevel="0" collapsed="false">
      <c r="Z169" s="28" t="str">
        <f aca="false">IF($A169="","",Constants!$B$6+$I169*Constants!$B$7+$J169*Constants!$B$8+$K169*Constants!$B$9+$L169*Constants!$B$10+$M169*Constants!$B$11)</f>
        <v/>
      </c>
      <c r="AA169" s="28" t="str">
        <f aca="false">IF($A169="","",100-Z169)</f>
        <v/>
      </c>
      <c r="AB169" s="28" t="str">
        <f aca="false">IF($A169="","",ROUND($H169*Constants!$B$4,1))</f>
        <v/>
      </c>
      <c r="AC169" s="28" t="str">
        <f aca="false">IF($A169="","",ROUND(AB169*Z169/100,1))</f>
        <v/>
      </c>
      <c r="AD169" s="28" t="str">
        <f aca="false">IF($A169="","",ROUND(AB169*AA169/100,1))</f>
        <v/>
      </c>
      <c r="AE169" s="22" t="str">
        <f aca="false">IF($A169="","",HOUR($Q169)+MINUTE($Q169)/60)</f>
        <v/>
      </c>
      <c r="AF169" s="22" t="str">
        <f aca="false">IF($A169="","",HOUR($R169)+MINUTE($R169)/60)</f>
        <v/>
      </c>
      <c r="AG169" s="22" t="str">
        <f aca="false">IF($A169="","",HOUR($S169)+MINUTE($S169)/60)</f>
        <v/>
      </c>
      <c r="AH169" s="22" t="str">
        <f aca="false">IF($A169="","",HOUR($T169)+MINUTE($T169)/60)</f>
        <v/>
      </c>
      <c r="AI169" s="22" t="str">
        <f aca="false">IF($A169="","",HOUR($V169)+MINUTE($V169)/60)</f>
        <v/>
      </c>
      <c r="AJ169" s="22" t="str">
        <f aca="false">IF($A169="","",HOUR($W169)+MINUTE($W169)/60)</f>
        <v/>
      </c>
      <c r="AK169" s="22" t="str">
        <f aca="false">IF($A169="","",VLOOKUP($F169,Dim_Team!$A:$F,6,0))</f>
        <v/>
      </c>
      <c r="AL169" s="28" t="str">
        <f aca="false">IF($A169="","",VLOOKUP($X169,Dim_Signoff!$A:$C,3,0))</f>
        <v/>
      </c>
      <c r="AM169" s="28" t="str">
        <f aca="false">IF($A169="","",IF($N169="No","n/a",ROUND((AH169-AE169)*60,0)))</f>
        <v/>
      </c>
      <c r="AN169" s="28" t="str">
        <f aca="false">IF($A169="","",IF($O169="No","n/a",ROUND((AH169-AF169)*60,0)))</f>
        <v/>
      </c>
      <c r="AO169" s="28" t="str">
        <f aca="false">IF($A169="","",IF($P169="No","n/a",ROUND((AH169-AG169)*60,0)))</f>
        <v/>
      </c>
      <c r="AP169" s="28" t="str">
        <f aca="false">IF($A169="","",ROUND((AH169-AK169)*60,0))</f>
        <v/>
      </c>
      <c r="AQ169" s="28" t="str">
        <f aca="false">IF($A169="","",ROUND((AI169-AH169)*60,0))</f>
        <v/>
      </c>
      <c r="AR169" s="4" t="str">
        <f aca="false">IF($A169="","",IF(AP169&gt;=AC169,"Yes","No"))</f>
        <v/>
      </c>
      <c r="AS169" s="4" t="str">
        <f aca="false">IF($A169="","",IF(AQ169&gt;=AD169+AL169,"Yes","No"))</f>
        <v/>
      </c>
      <c r="AT169" s="4" t="str">
        <f aca="false">IF($A169="","",IF(AND(AR169="Yes",AS169="Yes"),"OK","REVIEW"))</f>
        <v/>
      </c>
      <c r="AU169" s="4" t="str">
        <f aca="false">IF($A169="","",IF($P169="No","Not applicable",IF(AO169&lt;Constants!$B$14,"CAPTURE","Not needed")))</f>
        <v/>
      </c>
      <c r="AV169" s="4" t="str">
        <f aca="false">IF($A169="","",IF($P169="No","n/a",RANK(AO169,AO:AO,1)))</f>
        <v/>
      </c>
      <c r="AW169" s="4" t="str">
        <f aca="false">IF($A169="","",IF(UPPER($E169)="YES","Strategic","Non-strategic"))</f>
        <v/>
      </c>
      <c r="AX169" s="4" t="str">
        <f aca="false">IF($A169="","",COUNTIFS(Fact_Work!$C:$C,$A169))</f>
        <v/>
      </c>
      <c r="AY169" s="4" t="str">
        <f aca="false">IF($A169="","",IF(AX169=0,"Not seen",IF(AX169&gt;=Constants!$B$13*0.6,"Daily",IF(AX169&gt;=Constants!$B$13*0.12,"Weekly","Monthly or ad hoc"))))</f>
        <v/>
      </c>
      <c r="AZ169" s="22" t="str">
        <f aca="false">IF($A169="","",IFERROR(VLOOKUP($U169,Dim_TOP!$A:$H,8,0),""))</f>
        <v/>
      </c>
      <c r="BA169" s="28" t="str">
        <f aca="false">IF($A169="","",IFERROR(ROUND((AH169-AZ169)*60,0),""))</f>
        <v/>
      </c>
      <c r="BB169" s="4" t="str">
        <f aca="false">IF($A169="","",IF(BA169="","",IF(BA169&lt;=0,"Sets the deadline","Later than peers by "&amp;BA169&amp;" min")))</f>
        <v/>
      </c>
      <c r="BC169" s="29" t="str">
        <f aca="false">IF($A169="","",IF($U169="",0,IF(COUNTIFS($U$2:$U169,$U169,$C$2:$C169,$C169)=1,1,0)))</f>
        <v/>
      </c>
      <c r="BD169" s="10" t="str">
        <f aca="false">IF($A169="","",IF(UPPER($P169)="YES","Yes","No"))</f>
        <v/>
      </c>
      <c r="BE169" s="10" t="str">
        <f aca="false">IF($A169="","",IF($N169="No","n/a",IF(AM169&lt;=Constants!$B$17,"Yes","No")))</f>
        <v/>
      </c>
      <c r="BF169" s="10" t="str">
        <f aca="false">IF($A169="","",IF($O169="No","n/a",IF(AN169&lt;=Constants!$B$17,"Yes","No")))</f>
        <v/>
      </c>
      <c r="BG169" s="10" t="str">
        <f aca="false">IF($A169="","",IF($P169="No","n/a",IF(AO169&lt;=Constants!$B$17,"Yes","No")))</f>
        <v/>
      </c>
      <c r="BH169" s="10" t="str">
        <f aca="false">IF($A169="","",IF($N169="No","No custody process",IF(BE169="Yes","Thin custody slack","Ample custody slack")))</f>
        <v/>
      </c>
      <c r="BI169" s="30" t="str">
        <f aca="false">IF($A169="","",IF($N169="No","",AM169))</f>
        <v/>
      </c>
      <c r="BJ169" s="30" t="str">
        <f aca="false">IF($A169="","",IF($O169="No","",AN169))</f>
        <v/>
      </c>
      <c r="BK169" s="30" t="str">
        <f aca="false">IF($A169="","",IF($P169="No","",AO169))</f>
        <v/>
      </c>
    </row>
    <row r="170" customFormat="false" ht="15" hidden="false" customHeight="true" outlineLevel="0" collapsed="false">
      <c r="Z170" s="28" t="str">
        <f aca="false">IF($A170="","",Constants!$B$6+$I170*Constants!$B$7+$J170*Constants!$B$8+$K170*Constants!$B$9+$L170*Constants!$B$10+$M170*Constants!$B$11)</f>
        <v/>
      </c>
      <c r="AA170" s="28" t="str">
        <f aca="false">IF($A170="","",100-Z170)</f>
        <v/>
      </c>
      <c r="AB170" s="28" t="str">
        <f aca="false">IF($A170="","",ROUND($H170*Constants!$B$4,1))</f>
        <v/>
      </c>
      <c r="AC170" s="28" t="str">
        <f aca="false">IF($A170="","",ROUND(AB170*Z170/100,1))</f>
        <v/>
      </c>
      <c r="AD170" s="28" t="str">
        <f aca="false">IF($A170="","",ROUND(AB170*AA170/100,1))</f>
        <v/>
      </c>
      <c r="AE170" s="22" t="str">
        <f aca="false">IF($A170="","",HOUR($Q170)+MINUTE($Q170)/60)</f>
        <v/>
      </c>
      <c r="AF170" s="22" t="str">
        <f aca="false">IF($A170="","",HOUR($R170)+MINUTE($R170)/60)</f>
        <v/>
      </c>
      <c r="AG170" s="22" t="str">
        <f aca="false">IF($A170="","",HOUR($S170)+MINUTE($S170)/60)</f>
        <v/>
      </c>
      <c r="AH170" s="22" t="str">
        <f aca="false">IF($A170="","",HOUR($T170)+MINUTE($T170)/60)</f>
        <v/>
      </c>
      <c r="AI170" s="22" t="str">
        <f aca="false">IF($A170="","",HOUR($V170)+MINUTE($V170)/60)</f>
        <v/>
      </c>
      <c r="AJ170" s="22" t="str">
        <f aca="false">IF($A170="","",HOUR($W170)+MINUTE($W170)/60)</f>
        <v/>
      </c>
      <c r="AK170" s="22" t="str">
        <f aca="false">IF($A170="","",VLOOKUP($F170,Dim_Team!$A:$F,6,0))</f>
        <v/>
      </c>
      <c r="AL170" s="28" t="str">
        <f aca="false">IF($A170="","",VLOOKUP($X170,Dim_Signoff!$A:$C,3,0))</f>
        <v/>
      </c>
      <c r="AM170" s="28" t="str">
        <f aca="false">IF($A170="","",IF($N170="No","n/a",ROUND((AH170-AE170)*60,0)))</f>
        <v/>
      </c>
      <c r="AN170" s="28" t="str">
        <f aca="false">IF($A170="","",IF($O170="No","n/a",ROUND((AH170-AF170)*60,0)))</f>
        <v/>
      </c>
      <c r="AO170" s="28" t="str">
        <f aca="false">IF($A170="","",IF($P170="No","n/a",ROUND((AH170-AG170)*60,0)))</f>
        <v/>
      </c>
      <c r="AP170" s="28" t="str">
        <f aca="false">IF($A170="","",ROUND((AH170-AK170)*60,0))</f>
        <v/>
      </c>
      <c r="AQ170" s="28" t="str">
        <f aca="false">IF($A170="","",ROUND((AI170-AH170)*60,0))</f>
        <v/>
      </c>
      <c r="AR170" s="4" t="str">
        <f aca="false">IF($A170="","",IF(AP170&gt;=AC170,"Yes","No"))</f>
        <v/>
      </c>
      <c r="AS170" s="4" t="str">
        <f aca="false">IF($A170="","",IF(AQ170&gt;=AD170+AL170,"Yes","No"))</f>
        <v/>
      </c>
      <c r="AT170" s="4" t="str">
        <f aca="false">IF($A170="","",IF(AND(AR170="Yes",AS170="Yes"),"OK","REVIEW"))</f>
        <v/>
      </c>
      <c r="AU170" s="4" t="str">
        <f aca="false">IF($A170="","",IF($P170="No","Not applicable",IF(AO170&lt;Constants!$B$14,"CAPTURE","Not needed")))</f>
        <v/>
      </c>
      <c r="AV170" s="4" t="str">
        <f aca="false">IF($A170="","",IF($P170="No","n/a",RANK(AO170,AO:AO,1)))</f>
        <v/>
      </c>
      <c r="AW170" s="4" t="str">
        <f aca="false">IF($A170="","",IF(UPPER($E170)="YES","Strategic","Non-strategic"))</f>
        <v/>
      </c>
      <c r="AX170" s="4" t="str">
        <f aca="false">IF($A170="","",COUNTIFS(Fact_Work!$C:$C,$A170))</f>
        <v/>
      </c>
      <c r="AY170" s="4" t="str">
        <f aca="false">IF($A170="","",IF(AX170=0,"Not seen",IF(AX170&gt;=Constants!$B$13*0.6,"Daily",IF(AX170&gt;=Constants!$B$13*0.12,"Weekly","Monthly or ad hoc"))))</f>
        <v/>
      </c>
      <c r="AZ170" s="22" t="str">
        <f aca="false">IF($A170="","",IFERROR(VLOOKUP($U170,Dim_TOP!$A:$H,8,0),""))</f>
        <v/>
      </c>
      <c r="BA170" s="28" t="str">
        <f aca="false">IF($A170="","",IFERROR(ROUND((AH170-AZ170)*60,0),""))</f>
        <v/>
      </c>
      <c r="BB170" s="4" t="str">
        <f aca="false">IF($A170="","",IF(BA170="","",IF(BA170&lt;=0,"Sets the deadline","Later than peers by "&amp;BA170&amp;" min")))</f>
        <v/>
      </c>
      <c r="BC170" s="29" t="str">
        <f aca="false">IF($A170="","",IF($U170="",0,IF(COUNTIFS($U$2:$U170,$U170,$C$2:$C170,$C170)=1,1,0)))</f>
        <v/>
      </c>
      <c r="BD170" s="10" t="str">
        <f aca="false">IF($A170="","",IF(UPPER($P170)="YES","Yes","No"))</f>
        <v/>
      </c>
      <c r="BE170" s="10" t="str">
        <f aca="false">IF($A170="","",IF($N170="No","n/a",IF(AM170&lt;=Constants!$B$17,"Yes","No")))</f>
        <v/>
      </c>
      <c r="BF170" s="10" t="str">
        <f aca="false">IF($A170="","",IF($O170="No","n/a",IF(AN170&lt;=Constants!$B$17,"Yes","No")))</f>
        <v/>
      </c>
      <c r="BG170" s="10" t="str">
        <f aca="false">IF($A170="","",IF($P170="No","n/a",IF(AO170&lt;=Constants!$B$17,"Yes","No")))</f>
        <v/>
      </c>
      <c r="BH170" s="10" t="str">
        <f aca="false">IF($A170="","",IF($N170="No","No custody process",IF(BE170="Yes","Thin custody slack","Ample custody slack")))</f>
        <v/>
      </c>
      <c r="BI170" s="30" t="str">
        <f aca="false">IF($A170="","",IF($N170="No","",AM170))</f>
        <v/>
      </c>
      <c r="BJ170" s="30" t="str">
        <f aca="false">IF($A170="","",IF($O170="No","",AN170))</f>
        <v/>
      </c>
      <c r="BK170" s="30" t="str">
        <f aca="false">IF($A170="","",IF($P170="No","",AO170))</f>
        <v/>
      </c>
    </row>
    <row r="171" customFormat="false" ht="15" hidden="false" customHeight="true" outlineLevel="0" collapsed="false">
      <c r="Z171" s="28" t="str">
        <f aca="false">IF($A171="","",Constants!$B$6+$I171*Constants!$B$7+$J171*Constants!$B$8+$K171*Constants!$B$9+$L171*Constants!$B$10+$M171*Constants!$B$11)</f>
        <v/>
      </c>
      <c r="AA171" s="28" t="str">
        <f aca="false">IF($A171="","",100-Z171)</f>
        <v/>
      </c>
      <c r="AB171" s="28" t="str">
        <f aca="false">IF($A171="","",ROUND($H171*Constants!$B$4,1))</f>
        <v/>
      </c>
      <c r="AC171" s="28" t="str">
        <f aca="false">IF($A171="","",ROUND(AB171*Z171/100,1))</f>
        <v/>
      </c>
      <c r="AD171" s="28" t="str">
        <f aca="false">IF($A171="","",ROUND(AB171*AA171/100,1))</f>
        <v/>
      </c>
      <c r="AE171" s="22" t="str">
        <f aca="false">IF($A171="","",HOUR($Q171)+MINUTE($Q171)/60)</f>
        <v/>
      </c>
      <c r="AF171" s="22" t="str">
        <f aca="false">IF($A171="","",HOUR($R171)+MINUTE($R171)/60)</f>
        <v/>
      </c>
      <c r="AG171" s="22" t="str">
        <f aca="false">IF($A171="","",HOUR($S171)+MINUTE($S171)/60)</f>
        <v/>
      </c>
      <c r="AH171" s="22" t="str">
        <f aca="false">IF($A171="","",HOUR($T171)+MINUTE($T171)/60)</f>
        <v/>
      </c>
      <c r="AI171" s="22" t="str">
        <f aca="false">IF($A171="","",HOUR($V171)+MINUTE($V171)/60)</f>
        <v/>
      </c>
      <c r="AJ171" s="22" t="str">
        <f aca="false">IF($A171="","",HOUR($W171)+MINUTE($W171)/60)</f>
        <v/>
      </c>
      <c r="AK171" s="22" t="str">
        <f aca="false">IF($A171="","",VLOOKUP($F171,Dim_Team!$A:$F,6,0))</f>
        <v/>
      </c>
      <c r="AL171" s="28" t="str">
        <f aca="false">IF($A171="","",VLOOKUP($X171,Dim_Signoff!$A:$C,3,0))</f>
        <v/>
      </c>
      <c r="AM171" s="28" t="str">
        <f aca="false">IF($A171="","",IF($N171="No","n/a",ROUND((AH171-AE171)*60,0)))</f>
        <v/>
      </c>
      <c r="AN171" s="28" t="str">
        <f aca="false">IF($A171="","",IF($O171="No","n/a",ROUND((AH171-AF171)*60,0)))</f>
        <v/>
      </c>
      <c r="AO171" s="28" t="str">
        <f aca="false">IF($A171="","",IF($P171="No","n/a",ROUND((AH171-AG171)*60,0)))</f>
        <v/>
      </c>
      <c r="AP171" s="28" t="str">
        <f aca="false">IF($A171="","",ROUND((AH171-AK171)*60,0))</f>
        <v/>
      </c>
      <c r="AQ171" s="28" t="str">
        <f aca="false">IF($A171="","",ROUND((AI171-AH171)*60,0))</f>
        <v/>
      </c>
      <c r="AR171" s="4" t="str">
        <f aca="false">IF($A171="","",IF(AP171&gt;=AC171,"Yes","No"))</f>
        <v/>
      </c>
      <c r="AS171" s="4" t="str">
        <f aca="false">IF($A171="","",IF(AQ171&gt;=AD171+AL171,"Yes","No"))</f>
        <v/>
      </c>
      <c r="AT171" s="4" t="str">
        <f aca="false">IF($A171="","",IF(AND(AR171="Yes",AS171="Yes"),"OK","REVIEW"))</f>
        <v/>
      </c>
      <c r="AU171" s="4" t="str">
        <f aca="false">IF($A171="","",IF($P171="No","Not applicable",IF(AO171&lt;Constants!$B$14,"CAPTURE","Not needed")))</f>
        <v/>
      </c>
      <c r="AV171" s="4" t="str">
        <f aca="false">IF($A171="","",IF($P171="No","n/a",RANK(AO171,AO:AO,1)))</f>
        <v/>
      </c>
      <c r="AW171" s="4" t="str">
        <f aca="false">IF($A171="","",IF(UPPER($E171)="YES","Strategic","Non-strategic"))</f>
        <v/>
      </c>
      <c r="AX171" s="4" t="str">
        <f aca="false">IF($A171="","",COUNTIFS(Fact_Work!$C:$C,$A171))</f>
        <v/>
      </c>
      <c r="AY171" s="4" t="str">
        <f aca="false">IF($A171="","",IF(AX171=0,"Not seen",IF(AX171&gt;=Constants!$B$13*0.6,"Daily",IF(AX171&gt;=Constants!$B$13*0.12,"Weekly","Monthly or ad hoc"))))</f>
        <v/>
      </c>
      <c r="AZ171" s="22" t="str">
        <f aca="false">IF($A171="","",IFERROR(VLOOKUP($U171,Dim_TOP!$A:$H,8,0),""))</f>
        <v/>
      </c>
      <c r="BA171" s="28" t="str">
        <f aca="false">IF($A171="","",IFERROR(ROUND((AH171-AZ171)*60,0),""))</f>
        <v/>
      </c>
      <c r="BB171" s="4" t="str">
        <f aca="false">IF($A171="","",IF(BA171="","",IF(BA171&lt;=0,"Sets the deadline","Later than peers by "&amp;BA171&amp;" min")))</f>
        <v/>
      </c>
      <c r="BC171" s="29" t="str">
        <f aca="false">IF($A171="","",IF($U171="",0,IF(COUNTIFS($U$2:$U171,$U171,$C$2:$C171,$C171)=1,1,0)))</f>
        <v/>
      </c>
      <c r="BD171" s="10" t="str">
        <f aca="false">IF($A171="","",IF(UPPER($P171)="YES","Yes","No"))</f>
        <v/>
      </c>
      <c r="BE171" s="10" t="str">
        <f aca="false">IF($A171="","",IF($N171="No","n/a",IF(AM171&lt;=Constants!$B$17,"Yes","No")))</f>
        <v/>
      </c>
      <c r="BF171" s="10" t="str">
        <f aca="false">IF($A171="","",IF($O171="No","n/a",IF(AN171&lt;=Constants!$B$17,"Yes","No")))</f>
        <v/>
      </c>
      <c r="BG171" s="10" t="str">
        <f aca="false">IF($A171="","",IF($P171="No","n/a",IF(AO171&lt;=Constants!$B$17,"Yes","No")))</f>
        <v/>
      </c>
      <c r="BH171" s="10" t="str">
        <f aca="false">IF($A171="","",IF($N171="No","No custody process",IF(BE171="Yes","Thin custody slack","Ample custody slack")))</f>
        <v/>
      </c>
      <c r="BI171" s="30" t="str">
        <f aca="false">IF($A171="","",IF($N171="No","",AM171))</f>
        <v/>
      </c>
      <c r="BJ171" s="30" t="str">
        <f aca="false">IF($A171="","",IF($O171="No","",AN171))</f>
        <v/>
      </c>
      <c r="BK171" s="30" t="str">
        <f aca="false">IF($A171="","",IF($P171="No","",AO171))</f>
        <v/>
      </c>
    </row>
    <row r="172" customFormat="false" ht="15" hidden="false" customHeight="true" outlineLevel="0" collapsed="false">
      <c r="Z172" s="28" t="str">
        <f aca="false">IF($A172="","",Constants!$B$6+$I172*Constants!$B$7+$J172*Constants!$B$8+$K172*Constants!$B$9+$L172*Constants!$B$10+$M172*Constants!$B$11)</f>
        <v/>
      </c>
      <c r="AA172" s="28" t="str">
        <f aca="false">IF($A172="","",100-Z172)</f>
        <v/>
      </c>
      <c r="AB172" s="28" t="str">
        <f aca="false">IF($A172="","",ROUND($H172*Constants!$B$4,1))</f>
        <v/>
      </c>
      <c r="AC172" s="28" t="str">
        <f aca="false">IF($A172="","",ROUND(AB172*Z172/100,1))</f>
        <v/>
      </c>
      <c r="AD172" s="28" t="str">
        <f aca="false">IF($A172="","",ROUND(AB172*AA172/100,1))</f>
        <v/>
      </c>
      <c r="AE172" s="22" t="str">
        <f aca="false">IF($A172="","",HOUR($Q172)+MINUTE($Q172)/60)</f>
        <v/>
      </c>
      <c r="AF172" s="22" t="str">
        <f aca="false">IF($A172="","",HOUR($R172)+MINUTE($R172)/60)</f>
        <v/>
      </c>
      <c r="AG172" s="22" t="str">
        <f aca="false">IF($A172="","",HOUR($S172)+MINUTE($S172)/60)</f>
        <v/>
      </c>
      <c r="AH172" s="22" t="str">
        <f aca="false">IF($A172="","",HOUR($T172)+MINUTE($T172)/60)</f>
        <v/>
      </c>
      <c r="AI172" s="22" t="str">
        <f aca="false">IF($A172="","",HOUR($V172)+MINUTE($V172)/60)</f>
        <v/>
      </c>
      <c r="AJ172" s="22" t="str">
        <f aca="false">IF($A172="","",HOUR($W172)+MINUTE($W172)/60)</f>
        <v/>
      </c>
      <c r="AK172" s="22" t="str">
        <f aca="false">IF($A172="","",VLOOKUP($F172,Dim_Team!$A:$F,6,0))</f>
        <v/>
      </c>
      <c r="AL172" s="28" t="str">
        <f aca="false">IF($A172="","",VLOOKUP($X172,Dim_Signoff!$A:$C,3,0))</f>
        <v/>
      </c>
      <c r="AM172" s="28" t="str">
        <f aca="false">IF($A172="","",IF($N172="No","n/a",ROUND((AH172-AE172)*60,0)))</f>
        <v/>
      </c>
      <c r="AN172" s="28" t="str">
        <f aca="false">IF($A172="","",IF($O172="No","n/a",ROUND((AH172-AF172)*60,0)))</f>
        <v/>
      </c>
      <c r="AO172" s="28" t="str">
        <f aca="false">IF($A172="","",IF($P172="No","n/a",ROUND((AH172-AG172)*60,0)))</f>
        <v/>
      </c>
      <c r="AP172" s="28" t="str">
        <f aca="false">IF($A172="","",ROUND((AH172-AK172)*60,0))</f>
        <v/>
      </c>
      <c r="AQ172" s="28" t="str">
        <f aca="false">IF($A172="","",ROUND((AI172-AH172)*60,0))</f>
        <v/>
      </c>
      <c r="AR172" s="4" t="str">
        <f aca="false">IF($A172="","",IF(AP172&gt;=AC172,"Yes","No"))</f>
        <v/>
      </c>
      <c r="AS172" s="4" t="str">
        <f aca="false">IF($A172="","",IF(AQ172&gt;=AD172+AL172,"Yes","No"))</f>
        <v/>
      </c>
      <c r="AT172" s="4" t="str">
        <f aca="false">IF($A172="","",IF(AND(AR172="Yes",AS172="Yes"),"OK","REVIEW"))</f>
        <v/>
      </c>
      <c r="AU172" s="4" t="str">
        <f aca="false">IF($A172="","",IF($P172="No","Not applicable",IF(AO172&lt;Constants!$B$14,"CAPTURE","Not needed")))</f>
        <v/>
      </c>
      <c r="AV172" s="4" t="str">
        <f aca="false">IF($A172="","",IF($P172="No","n/a",RANK(AO172,AO:AO,1)))</f>
        <v/>
      </c>
      <c r="AW172" s="4" t="str">
        <f aca="false">IF($A172="","",IF(UPPER($E172)="YES","Strategic","Non-strategic"))</f>
        <v/>
      </c>
      <c r="AX172" s="4" t="str">
        <f aca="false">IF($A172="","",COUNTIFS(Fact_Work!$C:$C,$A172))</f>
        <v/>
      </c>
      <c r="AY172" s="4" t="str">
        <f aca="false">IF($A172="","",IF(AX172=0,"Not seen",IF(AX172&gt;=Constants!$B$13*0.6,"Daily",IF(AX172&gt;=Constants!$B$13*0.12,"Weekly","Monthly or ad hoc"))))</f>
        <v/>
      </c>
      <c r="AZ172" s="22" t="str">
        <f aca="false">IF($A172="","",IFERROR(VLOOKUP($U172,Dim_TOP!$A:$H,8,0),""))</f>
        <v/>
      </c>
      <c r="BA172" s="28" t="str">
        <f aca="false">IF($A172="","",IFERROR(ROUND((AH172-AZ172)*60,0),""))</f>
        <v/>
      </c>
      <c r="BB172" s="4" t="str">
        <f aca="false">IF($A172="","",IF(BA172="","",IF(BA172&lt;=0,"Sets the deadline","Later than peers by "&amp;BA172&amp;" min")))</f>
        <v/>
      </c>
      <c r="BC172" s="29" t="str">
        <f aca="false">IF($A172="","",IF($U172="",0,IF(COUNTIFS($U$2:$U172,$U172,$C$2:$C172,$C172)=1,1,0)))</f>
        <v/>
      </c>
      <c r="BD172" s="10" t="str">
        <f aca="false">IF($A172="","",IF(UPPER($P172)="YES","Yes","No"))</f>
        <v/>
      </c>
      <c r="BE172" s="10" t="str">
        <f aca="false">IF($A172="","",IF($N172="No","n/a",IF(AM172&lt;=Constants!$B$17,"Yes","No")))</f>
        <v/>
      </c>
      <c r="BF172" s="10" t="str">
        <f aca="false">IF($A172="","",IF($O172="No","n/a",IF(AN172&lt;=Constants!$B$17,"Yes","No")))</f>
        <v/>
      </c>
      <c r="BG172" s="10" t="str">
        <f aca="false">IF($A172="","",IF($P172="No","n/a",IF(AO172&lt;=Constants!$B$17,"Yes","No")))</f>
        <v/>
      </c>
      <c r="BH172" s="10" t="str">
        <f aca="false">IF($A172="","",IF($N172="No","No custody process",IF(BE172="Yes","Thin custody slack","Ample custody slack")))</f>
        <v/>
      </c>
      <c r="BI172" s="30" t="str">
        <f aca="false">IF($A172="","",IF($N172="No","",AM172))</f>
        <v/>
      </c>
      <c r="BJ172" s="30" t="str">
        <f aca="false">IF($A172="","",IF($O172="No","",AN172))</f>
        <v/>
      </c>
      <c r="BK172" s="30" t="str">
        <f aca="false">IF($A172="","",IF($P172="No","",AO172))</f>
        <v/>
      </c>
    </row>
    <row r="173" customFormat="false" ht="15" hidden="false" customHeight="true" outlineLevel="0" collapsed="false">
      <c r="Z173" s="28" t="str">
        <f aca="false">IF($A173="","",Constants!$B$6+$I173*Constants!$B$7+$J173*Constants!$B$8+$K173*Constants!$B$9+$L173*Constants!$B$10+$M173*Constants!$B$11)</f>
        <v/>
      </c>
      <c r="AA173" s="28" t="str">
        <f aca="false">IF($A173="","",100-Z173)</f>
        <v/>
      </c>
      <c r="AB173" s="28" t="str">
        <f aca="false">IF($A173="","",ROUND($H173*Constants!$B$4,1))</f>
        <v/>
      </c>
      <c r="AC173" s="28" t="str">
        <f aca="false">IF($A173="","",ROUND(AB173*Z173/100,1))</f>
        <v/>
      </c>
      <c r="AD173" s="28" t="str">
        <f aca="false">IF($A173="","",ROUND(AB173*AA173/100,1))</f>
        <v/>
      </c>
      <c r="AE173" s="22" t="str">
        <f aca="false">IF($A173="","",HOUR($Q173)+MINUTE($Q173)/60)</f>
        <v/>
      </c>
      <c r="AF173" s="22" t="str">
        <f aca="false">IF($A173="","",HOUR($R173)+MINUTE($R173)/60)</f>
        <v/>
      </c>
      <c r="AG173" s="22" t="str">
        <f aca="false">IF($A173="","",HOUR($S173)+MINUTE($S173)/60)</f>
        <v/>
      </c>
      <c r="AH173" s="22" t="str">
        <f aca="false">IF($A173="","",HOUR($T173)+MINUTE($T173)/60)</f>
        <v/>
      </c>
      <c r="AI173" s="22" t="str">
        <f aca="false">IF($A173="","",HOUR($V173)+MINUTE($V173)/60)</f>
        <v/>
      </c>
      <c r="AJ173" s="22" t="str">
        <f aca="false">IF($A173="","",HOUR($W173)+MINUTE($W173)/60)</f>
        <v/>
      </c>
      <c r="AK173" s="22" t="str">
        <f aca="false">IF($A173="","",VLOOKUP($F173,Dim_Team!$A:$F,6,0))</f>
        <v/>
      </c>
      <c r="AL173" s="28" t="str">
        <f aca="false">IF($A173="","",VLOOKUP($X173,Dim_Signoff!$A:$C,3,0))</f>
        <v/>
      </c>
      <c r="AM173" s="28" t="str">
        <f aca="false">IF($A173="","",IF($N173="No","n/a",ROUND((AH173-AE173)*60,0)))</f>
        <v/>
      </c>
      <c r="AN173" s="28" t="str">
        <f aca="false">IF($A173="","",IF($O173="No","n/a",ROUND((AH173-AF173)*60,0)))</f>
        <v/>
      </c>
      <c r="AO173" s="28" t="str">
        <f aca="false">IF($A173="","",IF($P173="No","n/a",ROUND((AH173-AG173)*60,0)))</f>
        <v/>
      </c>
      <c r="AP173" s="28" t="str">
        <f aca="false">IF($A173="","",ROUND((AH173-AK173)*60,0))</f>
        <v/>
      </c>
      <c r="AQ173" s="28" t="str">
        <f aca="false">IF($A173="","",ROUND((AI173-AH173)*60,0))</f>
        <v/>
      </c>
      <c r="AR173" s="4" t="str">
        <f aca="false">IF($A173="","",IF(AP173&gt;=AC173,"Yes","No"))</f>
        <v/>
      </c>
      <c r="AS173" s="4" t="str">
        <f aca="false">IF($A173="","",IF(AQ173&gt;=AD173+AL173,"Yes","No"))</f>
        <v/>
      </c>
      <c r="AT173" s="4" t="str">
        <f aca="false">IF($A173="","",IF(AND(AR173="Yes",AS173="Yes"),"OK","REVIEW"))</f>
        <v/>
      </c>
      <c r="AU173" s="4" t="str">
        <f aca="false">IF($A173="","",IF($P173="No","Not applicable",IF(AO173&lt;Constants!$B$14,"CAPTURE","Not needed")))</f>
        <v/>
      </c>
      <c r="AV173" s="4" t="str">
        <f aca="false">IF($A173="","",IF($P173="No","n/a",RANK(AO173,AO:AO,1)))</f>
        <v/>
      </c>
      <c r="AW173" s="4" t="str">
        <f aca="false">IF($A173="","",IF(UPPER($E173)="YES","Strategic","Non-strategic"))</f>
        <v/>
      </c>
      <c r="AX173" s="4" t="str">
        <f aca="false">IF($A173="","",COUNTIFS(Fact_Work!$C:$C,$A173))</f>
        <v/>
      </c>
      <c r="AY173" s="4" t="str">
        <f aca="false">IF($A173="","",IF(AX173=0,"Not seen",IF(AX173&gt;=Constants!$B$13*0.6,"Daily",IF(AX173&gt;=Constants!$B$13*0.12,"Weekly","Monthly or ad hoc"))))</f>
        <v/>
      </c>
      <c r="AZ173" s="22" t="str">
        <f aca="false">IF($A173="","",IFERROR(VLOOKUP($U173,Dim_TOP!$A:$H,8,0),""))</f>
        <v/>
      </c>
      <c r="BA173" s="28" t="str">
        <f aca="false">IF($A173="","",IFERROR(ROUND((AH173-AZ173)*60,0),""))</f>
        <v/>
      </c>
      <c r="BB173" s="4" t="str">
        <f aca="false">IF($A173="","",IF(BA173="","",IF(BA173&lt;=0,"Sets the deadline","Later than peers by "&amp;BA173&amp;" min")))</f>
        <v/>
      </c>
      <c r="BC173" s="29" t="str">
        <f aca="false">IF($A173="","",IF($U173="",0,IF(COUNTIFS($U$2:$U173,$U173,$C$2:$C173,$C173)=1,1,0)))</f>
        <v/>
      </c>
      <c r="BD173" s="10" t="str">
        <f aca="false">IF($A173="","",IF(UPPER($P173)="YES","Yes","No"))</f>
        <v/>
      </c>
      <c r="BE173" s="10" t="str">
        <f aca="false">IF($A173="","",IF($N173="No","n/a",IF(AM173&lt;=Constants!$B$17,"Yes","No")))</f>
        <v/>
      </c>
      <c r="BF173" s="10" t="str">
        <f aca="false">IF($A173="","",IF($O173="No","n/a",IF(AN173&lt;=Constants!$B$17,"Yes","No")))</f>
        <v/>
      </c>
      <c r="BG173" s="10" t="str">
        <f aca="false">IF($A173="","",IF($P173="No","n/a",IF(AO173&lt;=Constants!$B$17,"Yes","No")))</f>
        <v/>
      </c>
      <c r="BH173" s="10" t="str">
        <f aca="false">IF($A173="","",IF($N173="No","No custody process",IF(BE173="Yes","Thin custody slack","Ample custody slack")))</f>
        <v/>
      </c>
      <c r="BI173" s="30" t="str">
        <f aca="false">IF($A173="","",IF($N173="No","",AM173))</f>
        <v/>
      </c>
      <c r="BJ173" s="30" t="str">
        <f aca="false">IF($A173="","",IF($O173="No","",AN173))</f>
        <v/>
      </c>
      <c r="BK173" s="30" t="str">
        <f aca="false">IF($A173="","",IF($P173="No","",AO173))</f>
        <v/>
      </c>
    </row>
    <row r="174" customFormat="false" ht="15" hidden="false" customHeight="true" outlineLevel="0" collapsed="false">
      <c r="Z174" s="28" t="str">
        <f aca="false">IF($A174="","",Constants!$B$6+$I174*Constants!$B$7+$J174*Constants!$B$8+$K174*Constants!$B$9+$L174*Constants!$B$10+$M174*Constants!$B$11)</f>
        <v/>
      </c>
      <c r="AA174" s="28" t="str">
        <f aca="false">IF($A174="","",100-Z174)</f>
        <v/>
      </c>
      <c r="AB174" s="28" t="str">
        <f aca="false">IF($A174="","",ROUND($H174*Constants!$B$4,1))</f>
        <v/>
      </c>
      <c r="AC174" s="28" t="str">
        <f aca="false">IF($A174="","",ROUND(AB174*Z174/100,1))</f>
        <v/>
      </c>
      <c r="AD174" s="28" t="str">
        <f aca="false">IF($A174="","",ROUND(AB174*AA174/100,1))</f>
        <v/>
      </c>
      <c r="AE174" s="22" t="str">
        <f aca="false">IF($A174="","",HOUR($Q174)+MINUTE($Q174)/60)</f>
        <v/>
      </c>
      <c r="AF174" s="22" t="str">
        <f aca="false">IF($A174="","",HOUR($R174)+MINUTE($R174)/60)</f>
        <v/>
      </c>
      <c r="AG174" s="22" t="str">
        <f aca="false">IF($A174="","",HOUR($S174)+MINUTE($S174)/60)</f>
        <v/>
      </c>
      <c r="AH174" s="22" t="str">
        <f aca="false">IF($A174="","",HOUR($T174)+MINUTE($T174)/60)</f>
        <v/>
      </c>
      <c r="AI174" s="22" t="str">
        <f aca="false">IF($A174="","",HOUR($V174)+MINUTE($V174)/60)</f>
        <v/>
      </c>
      <c r="AJ174" s="22" t="str">
        <f aca="false">IF($A174="","",HOUR($W174)+MINUTE($W174)/60)</f>
        <v/>
      </c>
      <c r="AK174" s="22" t="str">
        <f aca="false">IF($A174="","",VLOOKUP($F174,Dim_Team!$A:$F,6,0))</f>
        <v/>
      </c>
      <c r="AL174" s="28" t="str">
        <f aca="false">IF($A174="","",VLOOKUP($X174,Dim_Signoff!$A:$C,3,0))</f>
        <v/>
      </c>
      <c r="AM174" s="28" t="str">
        <f aca="false">IF($A174="","",IF($N174="No","n/a",ROUND((AH174-AE174)*60,0)))</f>
        <v/>
      </c>
      <c r="AN174" s="28" t="str">
        <f aca="false">IF($A174="","",IF($O174="No","n/a",ROUND((AH174-AF174)*60,0)))</f>
        <v/>
      </c>
      <c r="AO174" s="28" t="str">
        <f aca="false">IF($A174="","",IF($P174="No","n/a",ROUND((AH174-AG174)*60,0)))</f>
        <v/>
      </c>
      <c r="AP174" s="28" t="str">
        <f aca="false">IF($A174="","",ROUND((AH174-AK174)*60,0))</f>
        <v/>
      </c>
      <c r="AQ174" s="28" t="str">
        <f aca="false">IF($A174="","",ROUND((AI174-AH174)*60,0))</f>
        <v/>
      </c>
      <c r="AR174" s="4" t="str">
        <f aca="false">IF($A174="","",IF(AP174&gt;=AC174,"Yes","No"))</f>
        <v/>
      </c>
      <c r="AS174" s="4" t="str">
        <f aca="false">IF($A174="","",IF(AQ174&gt;=AD174+AL174,"Yes","No"))</f>
        <v/>
      </c>
      <c r="AT174" s="4" t="str">
        <f aca="false">IF($A174="","",IF(AND(AR174="Yes",AS174="Yes"),"OK","REVIEW"))</f>
        <v/>
      </c>
      <c r="AU174" s="4" t="str">
        <f aca="false">IF($A174="","",IF($P174="No","Not applicable",IF(AO174&lt;Constants!$B$14,"CAPTURE","Not needed")))</f>
        <v/>
      </c>
      <c r="AV174" s="4" t="str">
        <f aca="false">IF($A174="","",IF($P174="No","n/a",RANK(AO174,AO:AO,1)))</f>
        <v/>
      </c>
      <c r="AW174" s="4" t="str">
        <f aca="false">IF($A174="","",IF(UPPER($E174)="YES","Strategic","Non-strategic"))</f>
        <v/>
      </c>
      <c r="AX174" s="4" t="str">
        <f aca="false">IF($A174="","",COUNTIFS(Fact_Work!$C:$C,$A174))</f>
        <v/>
      </c>
      <c r="AY174" s="4" t="str">
        <f aca="false">IF($A174="","",IF(AX174=0,"Not seen",IF(AX174&gt;=Constants!$B$13*0.6,"Daily",IF(AX174&gt;=Constants!$B$13*0.12,"Weekly","Monthly or ad hoc"))))</f>
        <v/>
      </c>
      <c r="AZ174" s="22" t="str">
        <f aca="false">IF($A174="","",IFERROR(VLOOKUP($U174,Dim_TOP!$A:$H,8,0),""))</f>
        <v/>
      </c>
      <c r="BA174" s="28" t="str">
        <f aca="false">IF($A174="","",IFERROR(ROUND((AH174-AZ174)*60,0),""))</f>
        <v/>
      </c>
      <c r="BB174" s="4" t="str">
        <f aca="false">IF($A174="","",IF(BA174="","",IF(BA174&lt;=0,"Sets the deadline","Later than peers by "&amp;BA174&amp;" min")))</f>
        <v/>
      </c>
      <c r="BC174" s="29" t="str">
        <f aca="false">IF($A174="","",IF($U174="",0,IF(COUNTIFS($U$2:$U174,$U174,$C$2:$C174,$C174)=1,1,0)))</f>
        <v/>
      </c>
      <c r="BD174" s="10" t="str">
        <f aca="false">IF($A174="","",IF(UPPER($P174)="YES","Yes","No"))</f>
        <v/>
      </c>
      <c r="BE174" s="10" t="str">
        <f aca="false">IF($A174="","",IF($N174="No","n/a",IF(AM174&lt;=Constants!$B$17,"Yes","No")))</f>
        <v/>
      </c>
      <c r="BF174" s="10" t="str">
        <f aca="false">IF($A174="","",IF($O174="No","n/a",IF(AN174&lt;=Constants!$B$17,"Yes","No")))</f>
        <v/>
      </c>
      <c r="BG174" s="10" t="str">
        <f aca="false">IF($A174="","",IF($P174="No","n/a",IF(AO174&lt;=Constants!$B$17,"Yes","No")))</f>
        <v/>
      </c>
      <c r="BH174" s="10" t="str">
        <f aca="false">IF($A174="","",IF($N174="No","No custody process",IF(BE174="Yes","Thin custody slack","Ample custody slack")))</f>
        <v/>
      </c>
      <c r="BI174" s="30" t="str">
        <f aca="false">IF($A174="","",IF($N174="No","",AM174))</f>
        <v/>
      </c>
      <c r="BJ174" s="30" t="str">
        <f aca="false">IF($A174="","",IF($O174="No","",AN174))</f>
        <v/>
      </c>
      <c r="BK174" s="30" t="str">
        <f aca="false">IF($A174="","",IF($P174="No","",AO174))</f>
        <v/>
      </c>
    </row>
    <row r="175" customFormat="false" ht="15" hidden="false" customHeight="true" outlineLevel="0" collapsed="false">
      <c r="Z175" s="28" t="str">
        <f aca="false">IF($A175="","",Constants!$B$6+$I175*Constants!$B$7+$J175*Constants!$B$8+$K175*Constants!$B$9+$L175*Constants!$B$10+$M175*Constants!$B$11)</f>
        <v/>
      </c>
      <c r="AA175" s="28" t="str">
        <f aca="false">IF($A175="","",100-Z175)</f>
        <v/>
      </c>
      <c r="AB175" s="28" t="str">
        <f aca="false">IF($A175="","",ROUND($H175*Constants!$B$4,1))</f>
        <v/>
      </c>
      <c r="AC175" s="28" t="str">
        <f aca="false">IF($A175="","",ROUND(AB175*Z175/100,1))</f>
        <v/>
      </c>
      <c r="AD175" s="28" t="str">
        <f aca="false">IF($A175="","",ROUND(AB175*AA175/100,1))</f>
        <v/>
      </c>
      <c r="AE175" s="22" t="str">
        <f aca="false">IF($A175="","",HOUR($Q175)+MINUTE($Q175)/60)</f>
        <v/>
      </c>
      <c r="AF175" s="22" t="str">
        <f aca="false">IF($A175="","",HOUR($R175)+MINUTE($R175)/60)</f>
        <v/>
      </c>
      <c r="AG175" s="22" t="str">
        <f aca="false">IF($A175="","",HOUR($S175)+MINUTE($S175)/60)</f>
        <v/>
      </c>
      <c r="AH175" s="22" t="str">
        <f aca="false">IF($A175="","",HOUR($T175)+MINUTE($T175)/60)</f>
        <v/>
      </c>
      <c r="AI175" s="22" t="str">
        <f aca="false">IF($A175="","",HOUR($V175)+MINUTE($V175)/60)</f>
        <v/>
      </c>
      <c r="AJ175" s="22" t="str">
        <f aca="false">IF($A175="","",HOUR($W175)+MINUTE($W175)/60)</f>
        <v/>
      </c>
      <c r="AK175" s="22" t="str">
        <f aca="false">IF($A175="","",VLOOKUP($F175,Dim_Team!$A:$F,6,0))</f>
        <v/>
      </c>
      <c r="AL175" s="28" t="str">
        <f aca="false">IF($A175="","",VLOOKUP($X175,Dim_Signoff!$A:$C,3,0))</f>
        <v/>
      </c>
      <c r="AM175" s="28" t="str">
        <f aca="false">IF($A175="","",IF($N175="No","n/a",ROUND((AH175-AE175)*60,0)))</f>
        <v/>
      </c>
      <c r="AN175" s="28" t="str">
        <f aca="false">IF($A175="","",IF($O175="No","n/a",ROUND((AH175-AF175)*60,0)))</f>
        <v/>
      </c>
      <c r="AO175" s="28" t="str">
        <f aca="false">IF($A175="","",IF($P175="No","n/a",ROUND((AH175-AG175)*60,0)))</f>
        <v/>
      </c>
      <c r="AP175" s="28" t="str">
        <f aca="false">IF($A175="","",ROUND((AH175-AK175)*60,0))</f>
        <v/>
      </c>
      <c r="AQ175" s="28" t="str">
        <f aca="false">IF($A175="","",ROUND((AI175-AH175)*60,0))</f>
        <v/>
      </c>
      <c r="AR175" s="4" t="str">
        <f aca="false">IF($A175="","",IF(AP175&gt;=AC175,"Yes","No"))</f>
        <v/>
      </c>
      <c r="AS175" s="4" t="str">
        <f aca="false">IF($A175="","",IF(AQ175&gt;=AD175+AL175,"Yes","No"))</f>
        <v/>
      </c>
      <c r="AT175" s="4" t="str">
        <f aca="false">IF($A175="","",IF(AND(AR175="Yes",AS175="Yes"),"OK","REVIEW"))</f>
        <v/>
      </c>
      <c r="AU175" s="4" t="str">
        <f aca="false">IF($A175="","",IF($P175="No","Not applicable",IF(AO175&lt;Constants!$B$14,"CAPTURE","Not needed")))</f>
        <v/>
      </c>
      <c r="AV175" s="4" t="str">
        <f aca="false">IF($A175="","",IF($P175="No","n/a",RANK(AO175,AO:AO,1)))</f>
        <v/>
      </c>
      <c r="AW175" s="4" t="str">
        <f aca="false">IF($A175="","",IF(UPPER($E175)="YES","Strategic","Non-strategic"))</f>
        <v/>
      </c>
      <c r="AX175" s="4" t="str">
        <f aca="false">IF($A175="","",COUNTIFS(Fact_Work!$C:$C,$A175))</f>
        <v/>
      </c>
      <c r="AY175" s="4" t="str">
        <f aca="false">IF($A175="","",IF(AX175=0,"Not seen",IF(AX175&gt;=Constants!$B$13*0.6,"Daily",IF(AX175&gt;=Constants!$B$13*0.12,"Weekly","Monthly or ad hoc"))))</f>
        <v/>
      </c>
      <c r="AZ175" s="22" t="str">
        <f aca="false">IF($A175="","",IFERROR(VLOOKUP($U175,Dim_TOP!$A:$H,8,0),""))</f>
        <v/>
      </c>
      <c r="BA175" s="28" t="str">
        <f aca="false">IF($A175="","",IFERROR(ROUND((AH175-AZ175)*60,0),""))</f>
        <v/>
      </c>
      <c r="BB175" s="4" t="str">
        <f aca="false">IF($A175="","",IF(BA175="","",IF(BA175&lt;=0,"Sets the deadline","Later than peers by "&amp;BA175&amp;" min")))</f>
        <v/>
      </c>
      <c r="BC175" s="29" t="str">
        <f aca="false">IF($A175="","",IF($U175="",0,IF(COUNTIFS($U$2:$U175,$U175,$C$2:$C175,$C175)=1,1,0)))</f>
        <v/>
      </c>
      <c r="BD175" s="10" t="str">
        <f aca="false">IF($A175="","",IF(UPPER($P175)="YES","Yes","No"))</f>
        <v/>
      </c>
      <c r="BE175" s="10" t="str">
        <f aca="false">IF($A175="","",IF($N175="No","n/a",IF(AM175&lt;=Constants!$B$17,"Yes","No")))</f>
        <v/>
      </c>
      <c r="BF175" s="10" t="str">
        <f aca="false">IF($A175="","",IF($O175="No","n/a",IF(AN175&lt;=Constants!$B$17,"Yes","No")))</f>
        <v/>
      </c>
      <c r="BG175" s="10" t="str">
        <f aca="false">IF($A175="","",IF($P175="No","n/a",IF(AO175&lt;=Constants!$B$17,"Yes","No")))</f>
        <v/>
      </c>
      <c r="BH175" s="10" t="str">
        <f aca="false">IF($A175="","",IF($N175="No","No custody process",IF(BE175="Yes","Thin custody slack","Ample custody slack")))</f>
        <v/>
      </c>
      <c r="BI175" s="30" t="str">
        <f aca="false">IF($A175="","",IF($N175="No","",AM175))</f>
        <v/>
      </c>
      <c r="BJ175" s="30" t="str">
        <f aca="false">IF($A175="","",IF($O175="No","",AN175))</f>
        <v/>
      </c>
      <c r="BK175" s="30" t="str">
        <f aca="false">IF($A175="","",IF($P175="No","",AO175))</f>
        <v/>
      </c>
    </row>
    <row r="176" customFormat="false" ht="15" hidden="false" customHeight="true" outlineLevel="0" collapsed="false">
      <c r="Z176" s="28" t="str">
        <f aca="false">IF($A176="","",Constants!$B$6+$I176*Constants!$B$7+$J176*Constants!$B$8+$K176*Constants!$B$9+$L176*Constants!$B$10+$M176*Constants!$B$11)</f>
        <v/>
      </c>
      <c r="AA176" s="28" t="str">
        <f aca="false">IF($A176="","",100-Z176)</f>
        <v/>
      </c>
      <c r="AB176" s="28" t="str">
        <f aca="false">IF($A176="","",ROUND($H176*Constants!$B$4,1))</f>
        <v/>
      </c>
      <c r="AC176" s="28" t="str">
        <f aca="false">IF($A176="","",ROUND(AB176*Z176/100,1))</f>
        <v/>
      </c>
      <c r="AD176" s="28" t="str">
        <f aca="false">IF($A176="","",ROUND(AB176*AA176/100,1))</f>
        <v/>
      </c>
      <c r="AE176" s="22" t="str">
        <f aca="false">IF($A176="","",HOUR($Q176)+MINUTE($Q176)/60)</f>
        <v/>
      </c>
      <c r="AF176" s="22" t="str">
        <f aca="false">IF($A176="","",HOUR($R176)+MINUTE($R176)/60)</f>
        <v/>
      </c>
      <c r="AG176" s="22" t="str">
        <f aca="false">IF($A176="","",HOUR($S176)+MINUTE($S176)/60)</f>
        <v/>
      </c>
      <c r="AH176" s="22" t="str">
        <f aca="false">IF($A176="","",HOUR($T176)+MINUTE($T176)/60)</f>
        <v/>
      </c>
      <c r="AI176" s="22" t="str">
        <f aca="false">IF($A176="","",HOUR($V176)+MINUTE($V176)/60)</f>
        <v/>
      </c>
      <c r="AJ176" s="22" t="str">
        <f aca="false">IF($A176="","",HOUR($W176)+MINUTE($W176)/60)</f>
        <v/>
      </c>
      <c r="AK176" s="22" t="str">
        <f aca="false">IF($A176="","",VLOOKUP($F176,Dim_Team!$A:$F,6,0))</f>
        <v/>
      </c>
      <c r="AL176" s="28" t="str">
        <f aca="false">IF($A176="","",VLOOKUP($X176,Dim_Signoff!$A:$C,3,0))</f>
        <v/>
      </c>
      <c r="AM176" s="28" t="str">
        <f aca="false">IF($A176="","",IF($N176="No","n/a",ROUND((AH176-AE176)*60,0)))</f>
        <v/>
      </c>
      <c r="AN176" s="28" t="str">
        <f aca="false">IF($A176="","",IF($O176="No","n/a",ROUND((AH176-AF176)*60,0)))</f>
        <v/>
      </c>
      <c r="AO176" s="28" t="str">
        <f aca="false">IF($A176="","",IF($P176="No","n/a",ROUND((AH176-AG176)*60,0)))</f>
        <v/>
      </c>
      <c r="AP176" s="28" t="str">
        <f aca="false">IF($A176="","",ROUND((AH176-AK176)*60,0))</f>
        <v/>
      </c>
      <c r="AQ176" s="28" t="str">
        <f aca="false">IF($A176="","",ROUND((AI176-AH176)*60,0))</f>
        <v/>
      </c>
      <c r="AR176" s="4" t="str">
        <f aca="false">IF($A176="","",IF(AP176&gt;=AC176,"Yes","No"))</f>
        <v/>
      </c>
      <c r="AS176" s="4" t="str">
        <f aca="false">IF($A176="","",IF(AQ176&gt;=AD176+AL176,"Yes","No"))</f>
        <v/>
      </c>
      <c r="AT176" s="4" t="str">
        <f aca="false">IF($A176="","",IF(AND(AR176="Yes",AS176="Yes"),"OK","REVIEW"))</f>
        <v/>
      </c>
      <c r="AU176" s="4" t="str">
        <f aca="false">IF($A176="","",IF($P176="No","Not applicable",IF(AO176&lt;Constants!$B$14,"CAPTURE","Not needed")))</f>
        <v/>
      </c>
      <c r="AV176" s="4" t="str">
        <f aca="false">IF($A176="","",IF($P176="No","n/a",RANK(AO176,AO:AO,1)))</f>
        <v/>
      </c>
      <c r="AW176" s="4" t="str">
        <f aca="false">IF($A176="","",IF(UPPER($E176)="YES","Strategic","Non-strategic"))</f>
        <v/>
      </c>
      <c r="AX176" s="4" t="str">
        <f aca="false">IF($A176="","",COUNTIFS(Fact_Work!$C:$C,$A176))</f>
        <v/>
      </c>
      <c r="AY176" s="4" t="str">
        <f aca="false">IF($A176="","",IF(AX176=0,"Not seen",IF(AX176&gt;=Constants!$B$13*0.6,"Daily",IF(AX176&gt;=Constants!$B$13*0.12,"Weekly","Monthly or ad hoc"))))</f>
        <v/>
      </c>
      <c r="AZ176" s="22" t="str">
        <f aca="false">IF($A176="","",IFERROR(VLOOKUP($U176,Dim_TOP!$A:$H,8,0),""))</f>
        <v/>
      </c>
      <c r="BA176" s="28" t="str">
        <f aca="false">IF($A176="","",IFERROR(ROUND((AH176-AZ176)*60,0),""))</f>
        <v/>
      </c>
      <c r="BB176" s="4" t="str">
        <f aca="false">IF($A176="","",IF(BA176="","",IF(BA176&lt;=0,"Sets the deadline","Later than peers by "&amp;BA176&amp;" min")))</f>
        <v/>
      </c>
      <c r="BC176" s="29" t="str">
        <f aca="false">IF($A176="","",IF($U176="",0,IF(COUNTIFS($U$2:$U176,$U176,$C$2:$C176,$C176)=1,1,0)))</f>
        <v/>
      </c>
      <c r="BD176" s="10" t="str">
        <f aca="false">IF($A176="","",IF(UPPER($P176)="YES","Yes","No"))</f>
        <v/>
      </c>
      <c r="BE176" s="10" t="str">
        <f aca="false">IF($A176="","",IF($N176="No","n/a",IF(AM176&lt;=Constants!$B$17,"Yes","No")))</f>
        <v/>
      </c>
      <c r="BF176" s="10" t="str">
        <f aca="false">IF($A176="","",IF($O176="No","n/a",IF(AN176&lt;=Constants!$B$17,"Yes","No")))</f>
        <v/>
      </c>
      <c r="BG176" s="10" t="str">
        <f aca="false">IF($A176="","",IF($P176="No","n/a",IF(AO176&lt;=Constants!$B$17,"Yes","No")))</f>
        <v/>
      </c>
      <c r="BH176" s="10" t="str">
        <f aca="false">IF($A176="","",IF($N176="No","No custody process",IF(BE176="Yes","Thin custody slack","Ample custody slack")))</f>
        <v/>
      </c>
      <c r="BI176" s="30" t="str">
        <f aca="false">IF($A176="","",IF($N176="No","",AM176))</f>
        <v/>
      </c>
      <c r="BJ176" s="30" t="str">
        <f aca="false">IF($A176="","",IF($O176="No","",AN176))</f>
        <v/>
      </c>
      <c r="BK176" s="30" t="str">
        <f aca="false">IF($A176="","",IF($P176="No","",AO176))</f>
        <v/>
      </c>
    </row>
    <row r="177" customFormat="false" ht="15" hidden="false" customHeight="true" outlineLevel="0" collapsed="false">
      <c r="Z177" s="28" t="str">
        <f aca="false">IF($A177="","",Constants!$B$6+$I177*Constants!$B$7+$J177*Constants!$B$8+$K177*Constants!$B$9+$L177*Constants!$B$10+$M177*Constants!$B$11)</f>
        <v/>
      </c>
      <c r="AA177" s="28" t="str">
        <f aca="false">IF($A177="","",100-Z177)</f>
        <v/>
      </c>
      <c r="AB177" s="28" t="str">
        <f aca="false">IF($A177="","",ROUND($H177*Constants!$B$4,1))</f>
        <v/>
      </c>
      <c r="AC177" s="28" t="str">
        <f aca="false">IF($A177="","",ROUND(AB177*Z177/100,1))</f>
        <v/>
      </c>
      <c r="AD177" s="28" t="str">
        <f aca="false">IF($A177="","",ROUND(AB177*AA177/100,1))</f>
        <v/>
      </c>
      <c r="AE177" s="22" t="str">
        <f aca="false">IF($A177="","",HOUR($Q177)+MINUTE($Q177)/60)</f>
        <v/>
      </c>
      <c r="AF177" s="22" t="str">
        <f aca="false">IF($A177="","",HOUR($R177)+MINUTE($R177)/60)</f>
        <v/>
      </c>
      <c r="AG177" s="22" t="str">
        <f aca="false">IF($A177="","",HOUR($S177)+MINUTE($S177)/60)</f>
        <v/>
      </c>
      <c r="AH177" s="22" t="str">
        <f aca="false">IF($A177="","",HOUR($T177)+MINUTE($T177)/60)</f>
        <v/>
      </c>
      <c r="AI177" s="22" t="str">
        <f aca="false">IF($A177="","",HOUR($V177)+MINUTE($V177)/60)</f>
        <v/>
      </c>
      <c r="AJ177" s="22" t="str">
        <f aca="false">IF($A177="","",HOUR($W177)+MINUTE($W177)/60)</f>
        <v/>
      </c>
      <c r="AK177" s="22" t="str">
        <f aca="false">IF($A177="","",VLOOKUP($F177,Dim_Team!$A:$F,6,0))</f>
        <v/>
      </c>
      <c r="AL177" s="28" t="str">
        <f aca="false">IF($A177="","",VLOOKUP($X177,Dim_Signoff!$A:$C,3,0))</f>
        <v/>
      </c>
      <c r="AM177" s="28" t="str">
        <f aca="false">IF($A177="","",IF($N177="No","n/a",ROUND((AH177-AE177)*60,0)))</f>
        <v/>
      </c>
      <c r="AN177" s="28" t="str">
        <f aca="false">IF($A177="","",IF($O177="No","n/a",ROUND((AH177-AF177)*60,0)))</f>
        <v/>
      </c>
      <c r="AO177" s="28" t="str">
        <f aca="false">IF($A177="","",IF($P177="No","n/a",ROUND((AH177-AG177)*60,0)))</f>
        <v/>
      </c>
      <c r="AP177" s="28" t="str">
        <f aca="false">IF($A177="","",ROUND((AH177-AK177)*60,0))</f>
        <v/>
      </c>
      <c r="AQ177" s="28" t="str">
        <f aca="false">IF($A177="","",ROUND((AI177-AH177)*60,0))</f>
        <v/>
      </c>
      <c r="AR177" s="4" t="str">
        <f aca="false">IF($A177="","",IF(AP177&gt;=AC177,"Yes","No"))</f>
        <v/>
      </c>
      <c r="AS177" s="4" t="str">
        <f aca="false">IF($A177="","",IF(AQ177&gt;=AD177+AL177,"Yes","No"))</f>
        <v/>
      </c>
      <c r="AT177" s="4" t="str">
        <f aca="false">IF($A177="","",IF(AND(AR177="Yes",AS177="Yes"),"OK","REVIEW"))</f>
        <v/>
      </c>
      <c r="AU177" s="4" t="str">
        <f aca="false">IF($A177="","",IF($P177="No","Not applicable",IF(AO177&lt;Constants!$B$14,"CAPTURE","Not needed")))</f>
        <v/>
      </c>
      <c r="AV177" s="4" t="str">
        <f aca="false">IF($A177="","",IF($P177="No","n/a",RANK(AO177,AO:AO,1)))</f>
        <v/>
      </c>
      <c r="AW177" s="4" t="str">
        <f aca="false">IF($A177="","",IF(UPPER($E177)="YES","Strategic","Non-strategic"))</f>
        <v/>
      </c>
      <c r="AX177" s="4" t="str">
        <f aca="false">IF($A177="","",COUNTIFS(Fact_Work!$C:$C,$A177))</f>
        <v/>
      </c>
      <c r="AY177" s="4" t="str">
        <f aca="false">IF($A177="","",IF(AX177=0,"Not seen",IF(AX177&gt;=Constants!$B$13*0.6,"Daily",IF(AX177&gt;=Constants!$B$13*0.12,"Weekly","Monthly or ad hoc"))))</f>
        <v/>
      </c>
      <c r="AZ177" s="22" t="str">
        <f aca="false">IF($A177="","",IFERROR(VLOOKUP($U177,Dim_TOP!$A:$H,8,0),""))</f>
        <v/>
      </c>
      <c r="BA177" s="28" t="str">
        <f aca="false">IF($A177="","",IFERROR(ROUND((AH177-AZ177)*60,0),""))</f>
        <v/>
      </c>
      <c r="BB177" s="4" t="str">
        <f aca="false">IF($A177="","",IF(BA177="","",IF(BA177&lt;=0,"Sets the deadline","Later than peers by "&amp;BA177&amp;" min")))</f>
        <v/>
      </c>
      <c r="BC177" s="29" t="str">
        <f aca="false">IF($A177="","",IF($U177="",0,IF(COUNTIFS($U$2:$U177,$U177,$C$2:$C177,$C177)=1,1,0)))</f>
        <v/>
      </c>
      <c r="BD177" s="10" t="str">
        <f aca="false">IF($A177="","",IF(UPPER($P177)="YES","Yes","No"))</f>
        <v/>
      </c>
      <c r="BE177" s="10" t="str">
        <f aca="false">IF($A177="","",IF($N177="No","n/a",IF(AM177&lt;=Constants!$B$17,"Yes","No")))</f>
        <v/>
      </c>
      <c r="BF177" s="10" t="str">
        <f aca="false">IF($A177="","",IF($O177="No","n/a",IF(AN177&lt;=Constants!$B$17,"Yes","No")))</f>
        <v/>
      </c>
      <c r="BG177" s="10" t="str">
        <f aca="false">IF($A177="","",IF($P177="No","n/a",IF(AO177&lt;=Constants!$B$17,"Yes","No")))</f>
        <v/>
      </c>
      <c r="BH177" s="10" t="str">
        <f aca="false">IF($A177="","",IF($N177="No","No custody process",IF(BE177="Yes","Thin custody slack","Ample custody slack")))</f>
        <v/>
      </c>
      <c r="BI177" s="30" t="str">
        <f aca="false">IF($A177="","",IF($N177="No","",AM177))</f>
        <v/>
      </c>
      <c r="BJ177" s="30" t="str">
        <f aca="false">IF($A177="","",IF($O177="No","",AN177))</f>
        <v/>
      </c>
      <c r="BK177" s="30" t="str">
        <f aca="false">IF($A177="","",IF($P177="No","",AO177))</f>
        <v/>
      </c>
    </row>
    <row r="178" customFormat="false" ht="15" hidden="false" customHeight="true" outlineLevel="0" collapsed="false">
      <c r="Z178" s="28" t="str">
        <f aca="false">IF($A178="","",Constants!$B$6+$I178*Constants!$B$7+$J178*Constants!$B$8+$K178*Constants!$B$9+$L178*Constants!$B$10+$M178*Constants!$B$11)</f>
        <v/>
      </c>
      <c r="AA178" s="28" t="str">
        <f aca="false">IF($A178="","",100-Z178)</f>
        <v/>
      </c>
      <c r="AB178" s="28" t="str">
        <f aca="false">IF($A178="","",ROUND($H178*Constants!$B$4,1))</f>
        <v/>
      </c>
      <c r="AC178" s="28" t="str">
        <f aca="false">IF($A178="","",ROUND(AB178*Z178/100,1))</f>
        <v/>
      </c>
      <c r="AD178" s="28" t="str">
        <f aca="false">IF($A178="","",ROUND(AB178*AA178/100,1))</f>
        <v/>
      </c>
      <c r="AE178" s="22" t="str">
        <f aca="false">IF($A178="","",HOUR($Q178)+MINUTE($Q178)/60)</f>
        <v/>
      </c>
      <c r="AF178" s="22" t="str">
        <f aca="false">IF($A178="","",HOUR($R178)+MINUTE($R178)/60)</f>
        <v/>
      </c>
      <c r="AG178" s="22" t="str">
        <f aca="false">IF($A178="","",HOUR($S178)+MINUTE($S178)/60)</f>
        <v/>
      </c>
      <c r="AH178" s="22" t="str">
        <f aca="false">IF($A178="","",HOUR($T178)+MINUTE($T178)/60)</f>
        <v/>
      </c>
      <c r="AI178" s="22" t="str">
        <f aca="false">IF($A178="","",HOUR($V178)+MINUTE($V178)/60)</f>
        <v/>
      </c>
      <c r="AJ178" s="22" t="str">
        <f aca="false">IF($A178="","",HOUR($W178)+MINUTE($W178)/60)</f>
        <v/>
      </c>
      <c r="AK178" s="22" t="str">
        <f aca="false">IF($A178="","",VLOOKUP($F178,Dim_Team!$A:$F,6,0))</f>
        <v/>
      </c>
      <c r="AL178" s="28" t="str">
        <f aca="false">IF($A178="","",VLOOKUP($X178,Dim_Signoff!$A:$C,3,0))</f>
        <v/>
      </c>
      <c r="AM178" s="28" t="str">
        <f aca="false">IF($A178="","",IF($N178="No","n/a",ROUND((AH178-AE178)*60,0)))</f>
        <v/>
      </c>
      <c r="AN178" s="28" t="str">
        <f aca="false">IF($A178="","",IF($O178="No","n/a",ROUND((AH178-AF178)*60,0)))</f>
        <v/>
      </c>
      <c r="AO178" s="28" t="str">
        <f aca="false">IF($A178="","",IF($P178="No","n/a",ROUND((AH178-AG178)*60,0)))</f>
        <v/>
      </c>
      <c r="AP178" s="28" t="str">
        <f aca="false">IF($A178="","",ROUND((AH178-AK178)*60,0))</f>
        <v/>
      </c>
      <c r="AQ178" s="28" t="str">
        <f aca="false">IF($A178="","",ROUND((AI178-AH178)*60,0))</f>
        <v/>
      </c>
      <c r="AR178" s="4" t="str">
        <f aca="false">IF($A178="","",IF(AP178&gt;=AC178,"Yes","No"))</f>
        <v/>
      </c>
      <c r="AS178" s="4" t="str">
        <f aca="false">IF($A178="","",IF(AQ178&gt;=AD178+AL178,"Yes","No"))</f>
        <v/>
      </c>
      <c r="AT178" s="4" t="str">
        <f aca="false">IF($A178="","",IF(AND(AR178="Yes",AS178="Yes"),"OK","REVIEW"))</f>
        <v/>
      </c>
      <c r="AU178" s="4" t="str">
        <f aca="false">IF($A178="","",IF($P178="No","Not applicable",IF(AO178&lt;Constants!$B$14,"CAPTURE","Not needed")))</f>
        <v/>
      </c>
      <c r="AV178" s="4" t="str">
        <f aca="false">IF($A178="","",IF($P178="No","n/a",RANK(AO178,AO:AO,1)))</f>
        <v/>
      </c>
      <c r="AW178" s="4" t="str">
        <f aca="false">IF($A178="","",IF(UPPER($E178)="YES","Strategic","Non-strategic"))</f>
        <v/>
      </c>
      <c r="AX178" s="4" t="str">
        <f aca="false">IF($A178="","",COUNTIFS(Fact_Work!$C:$C,$A178))</f>
        <v/>
      </c>
      <c r="AY178" s="4" t="str">
        <f aca="false">IF($A178="","",IF(AX178=0,"Not seen",IF(AX178&gt;=Constants!$B$13*0.6,"Daily",IF(AX178&gt;=Constants!$B$13*0.12,"Weekly","Monthly or ad hoc"))))</f>
        <v/>
      </c>
      <c r="AZ178" s="22" t="str">
        <f aca="false">IF($A178="","",IFERROR(VLOOKUP($U178,Dim_TOP!$A:$H,8,0),""))</f>
        <v/>
      </c>
      <c r="BA178" s="28" t="str">
        <f aca="false">IF($A178="","",IFERROR(ROUND((AH178-AZ178)*60,0),""))</f>
        <v/>
      </c>
      <c r="BB178" s="4" t="str">
        <f aca="false">IF($A178="","",IF(BA178="","",IF(BA178&lt;=0,"Sets the deadline","Later than peers by "&amp;BA178&amp;" min")))</f>
        <v/>
      </c>
      <c r="BC178" s="29" t="str">
        <f aca="false">IF($A178="","",IF($U178="",0,IF(COUNTIFS($U$2:$U178,$U178,$C$2:$C178,$C178)=1,1,0)))</f>
        <v/>
      </c>
      <c r="BD178" s="10" t="str">
        <f aca="false">IF($A178="","",IF(UPPER($P178)="YES","Yes","No"))</f>
        <v/>
      </c>
      <c r="BE178" s="10" t="str">
        <f aca="false">IF($A178="","",IF($N178="No","n/a",IF(AM178&lt;=Constants!$B$17,"Yes","No")))</f>
        <v/>
      </c>
      <c r="BF178" s="10" t="str">
        <f aca="false">IF($A178="","",IF($O178="No","n/a",IF(AN178&lt;=Constants!$B$17,"Yes","No")))</f>
        <v/>
      </c>
      <c r="BG178" s="10" t="str">
        <f aca="false">IF($A178="","",IF($P178="No","n/a",IF(AO178&lt;=Constants!$B$17,"Yes","No")))</f>
        <v/>
      </c>
      <c r="BH178" s="10" t="str">
        <f aca="false">IF($A178="","",IF($N178="No","No custody process",IF(BE178="Yes","Thin custody slack","Ample custody slack")))</f>
        <v/>
      </c>
      <c r="BI178" s="30" t="str">
        <f aca="false">IF($A178="","",IF($N178="No","",AM178))</f>
        <v/>
      </c>
      <c r="BJ178" s="30" t="str">
        <f aca="false">IF($A178="","",IF($O178="No","",AN178))</f>
        <v/>
      </c>
      <c r="BK178" s="30" t="str">
        <f aca="false">IF($A178="","",IF($P178="No","",AO178))</f>
        <v/>
      </c>
    </row>
    <row r="179" customFormat="false" ht="15" hidden="false" customHeight="true" outlineLevel="0" collapsed="false">
      <c r="Z179" s="28" t="str">
        <f aca="false">IF($A179="","",Constants!$B$6+$I179*Constants!$B$7+$J179*Constants!$B$8+$K179*Constants!$B$9+$L179*Constants!$B$10+$M179*Constants!$B$11)</f>
        <v/>
      </c>
      <c r="AA179" s="28" t="str">
        <f aca="false">IF($A179="","",100-Z179)</f>
        <v/>
      </c>
      <c r="AB179" s="28" t="str">
        <f aca="false">IF($A179="","",ROUND($H179*Constants!$B$4,1))</f>
        <v/>
      </c>
      <c r="AC179" s="28" t="str">
        <f aca="false">IF($A179="","",ROUND(AB179*Z179/100,1))</f>
        <v/>
      </c>
      <c r="AD179" s="28" t="str">
        <f aca="false">IF($A179="","",ROUND(AB179*AA179/100,1))</f>
        <v/>
      </c>
      <c r="AE179" s="22" t="str">
        <f aca="false">IF($A179="","",HOUR($Q179)+MINUTE($Q179)/60)</f>
        <v/>
      </c>
      <c r="AF179" s="22" t="str">
        <f aca="false">IF($A179="","",HOUR($R179)+MINUTE($R179)/60)</f>
        <v/>
      </c>
      <c r="AG179" s="22" t="str">
        <f aca="false">IF($A179="","",HOUR($S179)+MINUTE($S179)/60)</f>
        <v/>
      </c>
      <c r="AH179" s="22" t="str">
        <f aca="false">IF($A179="","",HOUR($T179)+MINUTE($T179)/60)</f>
        <v/>
      </c>
      <c r="AI179" s="22" t="str">
        <f aca="false">IF($A179="","",HOUR($V179)+MINUTE($V179)/60)</f>
        <v/>
      </c>
      <c r="AJ179" s="22" t="str">
        <f aca="false">IF($A179="","",HOUR($W179)+MINUTE($W179)/60)</f>
        <v/>
      </c>
      <c r="AK179" s="22" t="str">
        <f aca="false">IF($A179="","",VLOOKUP($F179,Dim_Team!$A:$F,6,0))</f>
        <v/>
      </c>
      <c r="AL179" s="28" t="str">
        <f aca="false">IF($A179="","",VLOOKUP($X179,Dim_Signoff!$A:$C,3,0))</f>
        <v/>
      </c>
      <c r="AM179" s="28" t="str">
        <f aca="false">IF($A179="","",IF($N179="No","n/a",ROUND((AH179-AE179)*60,0)))</f>
        <v/>
      </c>
      <c r="AN179" s="28" t="str">
        <f aca="false">IF($A179="","",IF($O179="No","n/a",ROUND((AH179-AF179)*60,0)))</f>
        <v/>
      </c>
      <c r="AO179" s="28" t="str">
        <f aca="false">IF($A179="","",IF($P179="No","n/a",ROUND((AH179-AG179)*60,0)))</f>
        <v/>
      </c>
      <c r="AP179" s="28" t="str">
        <f aca="false">IF($A179="","",ROUND((AH179-AK179)*60,0))</f>
        <v/>
      </c>
      <c r="AQ179" s="28" t="str">
        <f aca="false">IF($A179="","",ROUND((AI179-AH179)*60,0))</f>
        <v/>
      </c>
      <c r="AR179" s="4" t="str">
        <f aca="false">IF($A179="","",IF(AP179&gt;=AC179,"Yes","No"))</f>
        <v/>
      </c>
      <c r="AS179" s="4" t="str">
        <f aca="false">IF($A179="","",IF(AQ179&gt;=AD179+AL179,"Yes","No"))</f>
        <v/>
      </c>
      <c r="AT179" s="4" t="str">
        <f aca="false">IF($A179="","",IF(AND(AR179="Yes",AS179="Yes"),"OK","REVIEW"))</f>
        <v/>
      </c>
      <c r="AU179" s="4" t="str">
        <f aca="false">IF($A179="","",IF($P179="No","Not applicable",IF(AO179&lt;Constants!$B$14,"CAPTURE","Not needed")))</f>
        <v/>
      </c>
      <c r="AV179" s="4" t="str">
        <f aca="false">IF($A179="","",IF($P179="No","n/a",RANK(AO179,AO:AO,1)))</f>
        <v/>
      </c>
      <c r="AW179" s="4" t="str">
        <f aca="false">IF($A179="","",IF(UPPER($E179)="YES","Strategic","Non-strategic"))</f>
        <v/>
      </c>
      <c r="AX179" s="4" t="str">
        <f aca="false">IF($A179="","",COUNTIFS(Fact_Work!$C:$C,$A179))</f>
        <v/>
      </c>
      <c r="AY179" s="4" t="str">
        <f aca="false">IF($A179="","",IF(AX179=0,"Not seen",IF(AX179&gt;=Constants!$B$13*0.6,"Daily",IF(AX179&gt;=Constants!$B$13*0.12,"Weekly","Monthly or ad hoc"))))</f>
        <v/>
      </c>
      <c r="AZ179" s="22" t="str">
        <f aca="false">IF($A179="","",IFERROR(VLOOKUP($U179,Dim_TOP!$A:$H,8,0),""))</f>
        <v/>
      </c>
      <c r="BA179" s="28" t="str">
        <f aca="false">IF($A179="","",IFERROR(ROUND((AH179-AZ179)*60,0),""))</f>
        <v/>
      </c>
      <c r="BB179" s="4" t="str">
        <f aca="false">IF($A179="","",IF(BA179="","",IF(BA179&lt;=0,"Sets the deadline","Later than peers by "&amp;BA179&amp;" min")))</f>
        <v/>
      </c>
      <c r="BC179" s="29" t="str">
        <f aca="false">IF($A179="","",IF($U179="",0,IF(COUNTIFS($U$2:$U179,$U179,$C$2:$C179,$C179)=1,1,0)))</f>
        <v/>
      </c>
      <c r="BD179" s="10" t="str">
        <f aca="false">IF($A179="","",IF(UPPER($P179)="YES","Yes","No"))</f>
        <v/>
      </c>
      <c r="BE179" s="10" t="str">
        <f aca="false">IF($A179="","",IF($N179="No","n/a",IF(AM179&lt;=Constants!$B$17,"Yes","No")))</f>
        <v/>
      </c>
      <c r="BF179" s="10" t="str">
        <f aca="false">IF($A179="","",IF($O179="No","n/a",IF(AN179&lt;=Constants!$B$17,"Yes","No")))</f>
        <v/>
      </c>
      <c r="BG179" s="10" t="str">
        <f aca="false">IF($A179="","",IF($P179="No","n/a",IF(AO179&lt;=Constants!$B$17,"Yes","No")))</f>
        <v/>
      </c>
      <c r="BH179" s="10" t="str">
        <f aca="false">IF($A179="","",IF($N179="No","No custody process",IF(BE179="Yes","Thin custody slack","Ample custody slack")))</f>
        <v/>
      </c>
      <c r="BI179" s="30" t="str">
        <f aca="false">IF($A179="","",IF($N179="No","",AM179))</f>
        <v/>
      </c>
      <c r="BJ179" s="30" t="str">
        <f aca="false">IF($A179="","",IF($O179="No","",AN179))</f>
        <v/>
      </c>
      <c r="BK179" s="30" t="str">
        <f aca="false">IF($A179="","",IF($P179="No","",AO179))</f>
        <v/>
      </c>
    </row>
    <row r="180" customFormat="false" ht="15" hidden="false" customHeight="true" outlineLevel="0" collapsed="false">
      <c r="Z180" s="28" t="str">
        <f aca="false">IF($A180="","",Constants!$B$6+$I180*Constants!$B$7+$J180*Constants!$B$8+$K180*Constants!$B$9+$L180*Constants!$B$10+$M180*Constants!$B$11)</f>
        <v/>
      </c>
      <c r="AA180" s="28" t="str">
        <f aca="false">IF($A180="","",100-Z180)</f>
        <v/>
      </c>
      <c r="AB180" s="28" t="str">
        <f aca="false">IF($A180="","",ROUND($H180*Constants!$B$4,1))</f>
        <v/>
      </c>
      <c r="AC180" s="28" t="str">
        <f aca="false">IF($A180="","",ROUND(AB180*Z180/100,1))</f>
        <v/>
      </c>
      <c r="AD180" s="28" t="str">
        <f aca="false">IF($A180="","",ROUND(AB180*AA180/100,1))</f>
        <v/>
      </c>
      <c r="AE180" s="22" t="str">
        <f aca="false">IF($A180="","",HOUR($Q180)+MINUTE($Q180)/60)</f>
        <v/>
      </c>
      <c r="AF180" s="22" t="str">
        <f aca="false">IF($A180="","",HOUR($R180)+MINUTE($R180)/60)</f>
        <v/>
      </c>
      <c r="AG180" s="22" t="str">
        <f aca="false">IF($A180="","",HOUR($S180)+MINUTE($S180)/60)</f>
        <v/>
      </c>
      <c r="AH180" s="22" t="str">
        <f aca="false">IF($A180="","",HOUR($T180)+MINUTE($T180)/60)</f>
        <v/>
      </c>
      <c r="AI180" s="22" t="str">
        <f aca="false">IF($A180="","",HOUR($V180)+MINUTE($V180)/60)</f>
        <v/>
      </c>
      <c r="AJ180" s="22" t="str">
        <f aca="false">IF($A180="","",HOUR($W180)+MINUTE($W180)/60)</f>
        <v/>
      </c>
      <c r="AK180" s="22" t="str">
        <f aca="false">IF($A180="","",VLOOKUP($F180,Dim_Team!$A:$F,6,0))</f>
        <v/>
      </c>
      <c r="AL180" s="28" t="str">
        <f aca="false">IF($A180="","",VLOOKUP($X180,Dim_Signoff!$A:$C,3,0))</f>
        <v/>
      </c>
      <c r="AM180" s="28" t="str">
        <f aca="false">IF($A180="","",IF($N180="No","n/a",ROUND((AH180-AE180)*60,0)))</f>
        <v/>
      </c>
      <c r="AN180" s="28" t="str">
        <f aca="false">IF($A180="","",IF($O180="No","n/a",ROUND((AH180-AF180)*60,0)))</f>
        <v/>
      </c>
      <c r="AO180" s="28" t="str">
        <f aca="false">IF($A180="","",IF($P180="No","n/a",ROUND((AH180-AG180)*60,0)))</f>
        <v/>
      </c>
      <c r="AP180" s="28" t="str">
        <f aca="false">IF($A180="","",ROUND((AH180-AK180)*60,0))</f>
        <v/>
      </c>
      <c r="AQ180" s="28" t="str">
        <f aca="false">IF($A180="","",ROUND((AI180-AH180)*60,0))</f>
        <v/>
      </c>
      <c r="AR180" s="4" t="str">
        <f aca="false">IF($A180="","",IF(AP180&gt;=AC180,"Yes","No"))</f>
        <v/>
      </c>
      <c r="AS180" s="4" t="str">
        <f aca="false">IF($A180="","",IF(AQ180&gt;=AD180+AL180,"Yes","No"))</f>
        <v/>
      </c>
      <c r="AT180" s="4" t="str">
        <f aca="false">IF($A180="","",IF(AND(AR180="Yes",AS180="Yes"),"OK","REVIEW"))</f>
        <v/>
      </c>
      <c r="AU180" s="4" t="str">
        <f aca="false">IF($A180="","",IF($P180="No","Not applicable",IF(AO180&lt;Constants!$B$14,"CAPTURE","Not needed")))</f>
        <v/>
      </c>
      <c r="AV180" s="4" t="str">
        <f aca="false">IF($A180="","",IF($P180="No","n/a",RANK(AO180,AO:AO,1)))</f>
        <v/>
      </c>
      <c r="AW180" s="4" t="str">
        <f aca="false">IF($A180="","",IF(UPPER($E180)="YES","Strategic","Non-strategic"))</f>
        <v/>
      </c>
      <c r="AX180" s="4" t="str">
        <f aca="false">IF($A180="","",COUNTIFS(Fact_Work!$C:$C,$A180))</f>
        <v/>
      </c>
      <c r="AY180" s="4" t="str">
        <f aca="false">IF($A180="","",IF(AX180=0,"Not seen",IF(AX180&gt;=Constants!$B$13*0.6,"Daily",IF(AX180&gt;=Constants!$B$13*0.12,"Weekly","Monthly or ad hoc"))))</f>
        <v/>
      </c>
      <c r="AZ180" s="22" t="str">
        <f aca="false">IF($A180="","",IFERROR(VLOOKUP($U180,Dim_TOP!$A:$H,8,0),""))</f>
        <v/>
      </c>
      <c r="BA180" s="28" t="str">
        <f aca="false">IF($A180="","",IFERROR(ROUND((AH180-AZ180)*60,0),""))</f>
        <v/>
      </c>
      <c r="BB180" s="4" t="str">
        <f aca="false">IF($A180="","",IF(BA180="","",IF(BA180&lt;=0,"Sets the deadline","Later than peers by "&amp;BA180&amp;" min")))</f>
        <v/>
      </c>
      <c r="BC180" s="29" t="str">
        <f aca="false">IF($A180="","",IF($U180="",0,IF(COUNTIFS($U$2:$U180,$U180,$C$2:$C180,$C180)=1,1,0)))</f>
        <v/>
      </c>
      <c r="BD180" s="10" t="str">
        <f aca="false">IF($A180="","",IF(UPPER($P180)="YES","Yes","No"))</f>
        <v/>
      </c>
      <c r="BE180" s="10" t="str">
        <f aca="false">IF($A180="","",IF($N180="No","n/a",IF(AM180&lt;=Constants!$B$17,"Yes","No")))</f>
        <v/>
      </c>
      <c r="BF180" s="10" t="str">
        <f aca="false">IF($A180="","",IF($O180="No","n/a",IF(AN180&lt;=Constants!$B$17,"Yes","No")))</f>
        <v/>
      </c>
      <c r="BG180" s="10" t="str">
        <f aca="false">IF($A180="","",IF($P180="No","n/a",IF(AO180&lt;=Constants!$B$17,"Yes","No")))</f>
        <v/>
      </c>
      <c r="BH180" s="10" t="str">
        <f aca="false">IF($A180="","",IF($N180="No","No custody process",IF(BE180="Yes","Thin custody slack","Ample custody slack")))</f>
        <v/>
      </c>
      <c r="BI180" s="30" t="str">
        <f aca="false">IF($A180="","",IF($N180="No","",AM180))</f>
        <v/>
      </c>
      <c r="BJ180" s="30" t="str">
        <f aca="false">IF($A180="","",IF($O180="No","",AN180))</f>
        <v/>
      </c>
      <c r="BK180" s="30" t="str">
        <f aca="false">IF($A180="","",IF($P180="No","",AO180))</f>
        <v/>
      </c>
    </row>
    <row r="181" customFormat="false" ht="15" hidden="false" customHeight="true" outlineLevel="0" collapsed="false">
      <c r="Z181" s="28" t="str">
        <f aca="false">IF($A181="","",Constants!$B$6+$I181*Constants!$B$7+$J181*Constants!$B$8+$K181*Constants!$B$9+$L181*Constants!$B$10+$M181*Constants!$B$11)</f>
        <v/>
      </c>
      <c r="AA181" s="28" t="str">
        <f aca="false">IF($A181="","",100-Z181)</f>
        <v/>
      </c>
      <c r="AB181" s="28" t="str">
        <f aca="false">IF($A181="","",ROUND($H181*Constants!$B$4,1))</f>
        <v/>
      </c>
      <c r="AC181" s="28" t="str">
        <f aca="false">IF($A181="","",ROUND(AB181*Z181/100,1))</f>
        <v/>
      </c>
      <c r="AD181" s="28" t="str">
        <f aca="false">IF($A181="","",ROUND(AB181*AA181/100,1))</f>
        <v/>
      </c>
      <c r="AE181" s="22" t="str">
        <f aca="false">IF($A181="","",HOUR($Q181)+MINUTE($Q181)/60)</f>
        <v/>
      </c>
      <c r="AF181" s="22" t="str">
        <f aca="false">IF($A181="","",HOUR($R181)+MINUTE($R181)/60)</f>
        <v/>
      </c>
      <c r="AG181" s="22" t="str">
        <f aca="false">IF($A181="","",HOUR($S181)+MINUTE($S181)/60)</f>
        <v/>
      </c>
      <c r="AH181" s="22" t="str">
        <f aca="false">IF($A181="","",HOUR($T181)+MINUTE($T181)/60)</f>
        <v/>
      </c>
      <c r="AI181" s="22" t="str">
        <f aca="false">IF($A181="","",HOUR($V181)+MINUTE($V181)/60)</f>
        <v/>
      </c>
      <c r="AJ181" s="22" t="str">
        <f aca="false">IF($A181="","",HOUR($W181)+MINUTE($W181)/60)</f>
        <v/>
      </c>
      <c r="AK181" s="22" t="str">
        <f aca="false">IF($A181="","",VLOOKUP($F181,Dim_Team!$A:$F,6,0))</f>
        <v/>
      </c>
      <c r="AL181" s="28" t="str">
        <f aca="false">IF($A181="","",VLOOKUP($X181,Dim_Signoff!$A:$C,3,0))</f>
        <v/>
      </c>
      <c r="AM181" s="28" t="str">
        <f aca="false">IF($A181="","",IF($N181="No","n/a",ROUND((AH181-AE181)*60,0)))</f>
        <v/>
      </c>
      <c r="AN181" s="28" t="str">
        <f aca="false">IF($A181="","",IF($O181="No","n/a",ROUND((AH181-AF181)*60,0)))</f>
        <v/>
      </c>
      <c r="AO181" s="28" t="str">
        <f aca="false">IF($A181="","",IF($P181="No","n/a",ROUND((AH181-AG181)*60,0)))</f>
        <v/>
      </c>
      <c r="AP181" s="28" t="str">
        <f aca="false">IF($A181="","",ROUND((AH181-AK181)*60,0))</f>
        <v/>
      </c>
      <c r="AQ181" s="28" t="str">
        <f aca="false">IF($A181="","",ROUND((AI181-AH181)*60,0))</f>
        <v/>
      </c>
      <c r="AR181" s="4" t="str">
        <f aca="false">IF($A181="","",IF(AP181&gt;=AC181,"Yes","No"))</f>
        <v/>
      </c>
      <c r="AS181" s="4" t="str">
        <f aca="false">IF($A181="","",IF(AQ181&gt;=AD181+AL181,"Yes","No"))</f>
        <v/>
      </c>
      <c r="AT181" s="4" t="str">
        <f aca="false">IF($A181="","",IF(AND(AR181="Yes",AS181="Yes"),"OK","REVIEW"))</f>
        <v/>
      </c>
      <c r="AU181" s="4" t="str">
        <f aca="false">IF($A181="","",IF($P181="No","Not applicable",IF(AO181&lt;Constants!$B$14,"CAPTURE","Not needed")))</f>
        <v/>
      </c>
      <c r="AV181" s="4" t="str">
        <f aca="false">IF($A181="","",IF($P181="No","n/a",RANK(AO181,AO:AO,1)))</f>
        <v/>
      </c>
      <c r="AW181" s="4" t="str">
        <f aca="false">IF($A181="","",IF(UPPER($E181)="YES","Strategic","Non-strategic"))</f>
        <v/>
      </c>
      <c r="AX181" s="4" t="str">
        <f aca="false">IF($A181="","",COUNTIFS(Fact_Work!$C:$C,$A181))</f>
        <v/>
      </c>
      <c r="AY181" s="4" t="str">
        <f aca="false">IF($A181="","",IF(AX181=0,"Not seen",IF(AX181&gt;=Constants!$B$13*0.6,"Daily",IF(AX181&gt;=Constants!$B$13*0.12,"Weekly","Monthly or ad hoc"))))</f>
        <v/>
      </c>
      <c r="AZ181" s="22" t="str">
        <f aca="false">IF($A181="","",IFERROR(VLOOKUP($U181,Dim_TOP!$A:$H,8,0),""))</f>
        <v/>
      </c>
      <c r="BA181" s="28" t="str">
        <f aca="false">IF($A181="","",IFERROR(ROUND((AH181-AZ181)*60,0),""))</f>
        <v/>
      </c>
      <c r="BB181" s="4" t="str">
        <f aca="false">IF($A181="","",IF(BA181="","",IF(BA181&lt;=0,"Sets the deadline","Later than peers by "&amp;BA181&amp;" min")))</f>
        <v/>
      </c>
      <c r="BC181" s="29" t="str">
        <f aca="false">IF($A181="","",IF($U181="",0,IF(COUNTIFS($U$2:$U181,$U181,$C$2:$C181,$C181)=1,1,0)))</f>
        <v/>
      </c>
      <c r="BD181" s="10" t="str">
        <f aca="false">IF($A181="","",IF(UPPER($P181)="YES","Yes","No"))</f>
        <v/>
      </c>
      <c r="BE181" s="10" t="str">
        <f aca="false">IF($A181="","",IF($N181="No","n/a",IF(AM181&lt;=Constants!$B$17,"Yes","No")))</f>
        <v/>
      </c>
      <c r="BF181" s="10" t="str">
        <f aca="false">IF($A181="","",IF($O181="No","n/a",IF(AN181&lt;=Constants!$B$17,"Yes","No")))</f>
        <v/>
      </c>
      <c r="BG181" s="10" t="str">
        <f aca="false">IF($A181="","",IF($P181="No","n/a",IF(AO181&lt;=Constants!$B$17,"Yes","No")))</f>
        <v/>
      </c>
      <c r="BH181" s="10" t="str">
        <f aca="false">IF($A181="","",IF($N181="No","No custody process",IF(BE181="Yes","Thin custody slack","Ample custody slack")))</f>
        <v/>
      </c>
      <c r="BI181" s="30" t="str">
        <f aca="false">IF($A181="","",IF($N181="No","",AM181))</f>
        <v/>
      </c>
      <c r="BJ181" s="30" t="str">
        <f aca="false">IF($A181="","",IF($O181="No","",AN181))</f>
        <v/>
      </c>
      <c r="BK181" s="30" t="str">
        <f aca="false">IF($A181="","",IF($P181="No","",AO181))</f>
        <v/>
      </c>
    </row>
    <row r="182" customFormat="false" ht="15" hidden="false" customHeight="true" outlineLevel="0" collapsed="false">
      <c r="Z182" s="28" t="str">
        <f aca="false">IF($A182="","",Constants!$B$6+$I182*Constants!$B$7+$J182*Constants!$B$8+$K182*Constants!$B$9+$L182*Constants!$B$10+$M182*Constants!$B$11)</f>
        <v/>
      </c>
      <c r="AA182" s="28" t="str">
        <f aca="false">IF($A182="","",100-Z182)</f>
        <v/>
      </c>
      <c r="AB182" s="28" t="str">
        <f aca="false">IF($A182="","",ROUND($H182*Constants!$B$4,1))</f>
        <v/>
      </c>
      <c r="AC182" s="28" t="str">
        <f aca="false">IF($A182="","",ROUND(AB182*Z182/100,1))</f>
        <v/>
      </c>
      <c r="AD182" s="28" t="str">
        <f aca="false">IF($A182="","",ROUND(AB182*AA182/100,1))</f>
        <v/>
      </c>
      <c r="AE182" s="22" t="str">
        <f aca="false">IF($A182="","",HOUR($Q182)+MINUTE($Q182)/60)</f>
        <v/>
      </c>
      <c r="AF182" s="22" t="str">
        <f aca="false">IF($A182="","",HOUR($R182)+MINUTE($R182)/60)</f>
        <v/>
      </c>
      <c r="AG182" s="22" t="str">
        <f aca="false">IF($A182="","",HOUR($S182)+MINUTE($S182)/60)</f>
        <v/>
      </c>
      <c r="AH182" s="22" t="str">
        <f aca="false">IF($A182="","",HOUR($T182)+MINUTE($T182)/60)</f>
        <v/>
      </c>
      <c r="AI182" s="22" t="str">
        <f aca="false">IF($A182="","",HOUR($V182)+MINUTE($V182)/60)</f>
        <v/>
      </c>
      <c r="AJ182" s="22" t="str">
        <f aca="false">IF($A182="","",HOUR($W182)+MINUTE($W182)/60)</f>
        <v/>
      </c>
      <c r="AK182" s="22" t="str">
        <f aca="false">IF($A182="","",VLOOKUP($F182,Dim_Team!$A:$F,6,0))</f>
        <v/>
      </c>
      <c r="AL182" s="28" t="str">
        <f aca="false">IF($A182="","",VLOOKUP($X182,Dim_Signoff!$A:$C,3,0))</f>
        <v/>
      </c>
      <c r="AM182" s="28" t="str">
        <f aca="false">IF($A182="","",IF($N182="No","n/a",ROUND((AH182-AE182)*60,0)))</f>
        <v/>
      </c>
      <c r="AN182" s="28" t="str">
        <f aca="false">IF($A182="","",IF($O182="No","n/a",ROUND((AH182-AF182)*60,0)))</f>
        <v/>
      </c>
      <c r="AO182" s="28" t="str">
        <f aca="false">IF($A182="","",IF($P182="No","n/a",ROUND((AH182-AG182)*60,0)))</f>
        <v/>
      </c>
      <c r="AP182" s="28" t="str">
        <f aca="false">IF($A182="","",ROUND((AH182-AK182)*60,0))</f>
        <v/>
      </c>
      <c r="AQ182" s="28" t="str">
        <f aca="false">IF($A182="","",ROUND((AI182-AH182)*60,0))</f>
        <v/>
      </c>
      <c r="AR182" s="4" t="str">
        <f aca="false">IF($A182="","",IF(AP182&gt;=AC182,"Yes","No"))</f>
        <v/>
      </c>
      <c r="AS182" s="4" t="str">
        <f aca="false">IF($A182="","",IF(AQ182&gt;=AD182+AL182,"Yes","No"))</f>
        <v/>
      </c>
      <c r="AT182" s="4" t="str">
        <f aca="false">IF($A182="","",IF(AND(AR182="Yes",AS182="Yes"),"OK","REVIEW"))</f>
        <v/>
      </c>
      <c r="AU182" s="4" t="str">
        <f aca="false">IF($A182="","",IF($P182="No","Not applicable",IF(AO182&lt;Constants!$B$14,"CAPTURE","Not needed")))</f>
        <v/>
      </c>
      <c r="AV182" s="4" t="str">
        <f aca="false">IF($A182="","",IF($P182="No","n/a",RANK(AO182,AO:AO,1)))</f>
        <v/>
      </c>
      <c r="AW182" s="4" t="str">
        <f aca="false">IF($A182="","",IF(UPPER($E182)="YES","Strategic","Non-strategic"))</f>
        <v/>
      </c>
      <c r="AX182" s="4" t="str">
        <f aca="false">IF($A182="","",COUNTIFS(Fact_Work!$C:$C,$A182))</f>
        <v/>
      </c>
      <c r="AY182" s="4" t="str">
        <f aca="false">IF($A182="","",IF(AX182=0,"Not seen",IF(AX182&gt;=Constants!$B$13*0.6,"Daily",IF(AX182&gt;=Constants!$B$13*0.12,"Weekly","Monthly or ad hoc"))))</f>
        <v/>
      </c>
      <c r="AZ182" s="22" t="str">
        <f aca="false">IF($A182="","",IFERROR(VLOOKUP($U182,Dim_TOP!$A:$H,8,0),""))</f>
        <v/>
      </c>
      <c r="BA182" s="28" t="str">
        <f aca="false">IF($A182="","",IFERROR(ROUND((AH182-AZ182)*60,0),""))</f>
        <v/>
      </c>
      <c r="BB182" s="4" t="str">
        <f aca="false">IF($A182="","",IF(BA182="","",IF(BA182&lt;=0,"Sets the deadline","Later than peers by "&amp;BA182&amp;" min")))</f>
        <v/>
      </c>
      <c r="BC182" s="29" t="str">
        <f aca="false">IF($A182="","",IF($U182="",0,IF(COUNTIFS($U$2:$U182,$U182,$C$2:$C182,$C182)=1,1,0)))</f>
        <v/>
      </c>
      <c r="BD182" s="10" t="str">
        <f aca="false">IF($A182="","",IF(UPPER($P182)="YES","Yes","No"))</f>
        <v/>
      </c>
      <c r="BE182" s="10" t="str">
        <f aca="false">IF($A182="","",IF($N182="No","n/a",IF(AM182&lt;=Constants!$B$17,"Yes","No")))</f>
        <v/>
      </c>
      <c r="BF182" s="10" t="str">
        <f aca="false">IF($A182="","",IF($O182="No","n/a",IF(AN182&lt;=Constants!$B$17,"Yes","No")))</f>
        <v/>
      </c>
      <c r="BG182" s="10" t="str">
        <f aca="false">IF($A182="","",IF($P182="No","n/a",IF(AO182&lt;=Constants!$B$17,"Yes","No")))</f>
        <v/>
      </c>
      <c r="BH182" s="10" t="str">
        <f aca="false">IF($A182="","",IF($N182="No","No custody process",IF(BE182="Yes","Thin custody slack","Ample custody slack")))</f>
        <v/>
      </c>
      <c r="BI182" s="30" t="str">
        <f aca="false">IF($A182="","",IF($N182="No","",AM182))</f>
        <v/>
      </c>
      <c r="BJ182" s="30" t="str">
        <f aca="false">IF($A182="","",IF($O182="No","",AN182))</f>
        <v/>
      </c>
      <c r="BK182" s="30" t="str">
        <f aca="false">IF($A182="","",IF($P182="No","",AO182))</f>
        <v/>
      </c>
    </row>
    <row r="183" customFormat="false" ht="15" hidden="false" customHeight="true" outlineLevel="0" collapsed="false">
      <c r="Z183" s="28" t="str">
        <f aca="false">IF($A183="","",Constants!$B$6+$I183*Constants!$B$7+$J183*Constants!$B$8+$K183*Constants!$B$9+$L183*Constants!$B$10+$M183*Constants!$B$11)</f>
        <v/>
      </c>
      <c r="AA183" s="28" t="str">
        <f aca="false">IF($A183="","",100-Z183)</f>
        <v/>
      </c>
      <c r="AB183" s="28" t="str">
        <f aca="false">IF($A183="","",ROUND($H183*Constants!$B$4,1))</f>
        <v/>
      </c>
      <c r="AC183" s="28" t="str">
        <f aca="false">IF($A183="","",ROUND(AB183*Z183/100,1))</f>
        <v/>
      </c>
      <c r="AD183" s="28" t="str">
        <f aca="false">IF($A183="","",ROUND(AB183*AA183/100,1))</f>
        <v/>
      </c>
      <c r="AE183" s="22" t="str">
        <f aca="false">IF($A183="","",HOUR($Q183)+MINUTE($Q183)/60)</f>
        <v/>
      </c>
      <c r="AF183" s="22" t="str">
        <f aca="false">IF($A183="","",HOUR($R183)+MINUTE($R183)/60)</f>
        <v/>
      </c>
      <c r="AG183" s="22" t="str">
        <f aca="false">IF($A183="","",HOUR($S183)+MINUTE($S183)/60)</f>
        <v/>
      </c>
      <c r="AH183" s="22" t="str">
        <f aca="false">IF($A183="","",HOUR($T183)+MINUTE($T183)/60)</f>
        <v/>
      </c>
      <c r="AI183" s="22" t="str">
        <f aca="false">IF($A183="","",HOUR($V183)+MINUTE($V183)/60)</f>
        <v/>
      </c>
      <c r="AJ183" s="22" t="str">
        <f aca="false">IF($A183="","",HOUR($W183)+MINUTE($W183)/60)</f>
        <v/>
      </c>
      <c r="AK183" s="22" t="str">
        <f aca="false">IF($A183="","",VLOOKUP($F183,Dim_Team!$A:$F,6,0))</f>
        <v/>
      </c>
      <c r="AL183" s="28" t="str">
        <f aca="false">IF($A183="","",VLOOKUP($X183,Dim_Signoff!$A:$C,3,0))</f>
        <v/>
      </c>
      <c r="AM183" s="28" t="str">
        <f aca="false">IF($A183="","",IF($N183="No","n/a",ROUND((AH183-AE183)*60,0)))</f>
        <v/>
      </c>
      <c r="AN183" s="28" t="str">
        <f aca="false">IF($A183="","",IF($O183="No","n/a",ROUND((AH183-AF183)*60,0)))</f>
        <v/>
      </c>
      <c r="AO183" s="28" t="str">
        <f aca="false">IF($A183="","",IF($P183="No","n/a",ROUND((AH183-AG183)*60,0)))</f>
        <v/>
      </c>
      <c r="AP183" s="28" t="str">
        <f aca="false">IF($A183="","",ROUND((AH183-AK183)*60,0))</f>
        <v/>
      </c>
      <c r="AQ183" s="28" t="str">
        <f aca="false">IF($A183="","",ROUND((AI183-AH183)*60,0))</f>
        <v/>
      </c>
      <c r="AR183" s="4" t="str">
        <f aca="false">IF($A183="","",IF(AP183&gt;=AC183,"Yes","No"))</f>
        <v/>
      </c>
      <c r="AS183" s="4" t="str">
        <f aca="false">IF($A183="","",IF(AQ183&gt;=AD183+AL183,"Yes","No"))</f>
        <v/>
      </c>
      <c r="AT183" s="4" t="str">
        <f aca="false">IF($A183="","",IF(AND(AR183="Yes",AS183="Yes"),"OK","REVIEW"))</f>
        <v/>
      </c>
      <c r="AU183" s="4" t="str">
        <f aca="false">IF($A183="","",IF($P183="No","Not applicable",IF(AO183&lt;Constants!$B$14,"CAPTURE","Not needed")))</f>
        <v/>
      </c>
      <c r="AV183" s="4" t="str">
        <f aca="false">IF($A183="","",IF($P183="No","n/a",RANK(AO183,AO:AO,1)))</f>
        <v/>
      </c>
      <c r="AW183" s="4" t="str">
        <f aca="false">IF($A183="","",IF(UPPER($E183)="YES","Strategic","Non-strategic"))</f>
        <v/>
      </c>
      <c r="AX183" s="4" t="str">
        <f aca="false">IF($A183="","",COUNTIFS(Fact_Work!$C:$C,$A183))</f>
        <v/>
      </c>
      <c r="AY183" s="4" t="str">
        <f aca="false">IF($A183="","",IF(AX183=0,"Not seen",IF(AX183&gt;=Constants!$B$13*0.6,"Daily",IF(AX183&gt;=Constants!$B$13*0.12,"Weekly","Monthly or ad hoc"))))</f>
        <v/>
      </c>
      <c r="AZ183" s="22" t="str">
        <f aca="false">IF($A183="","",IFERROR(VLOOKUP($U183,Dim_TOP!$A:$H,8,0),""))</f>
        <v/>
      </c>
      <c r="BA183" s="28" t="str">
        <f aca="false">IF($A183="","",IFERROR(ROUND((AH183-AZ183)*60,0),""))</f>
        <v/>
      </c>
      <c r="BB183" s="4" t="str">
        <f aca="false">IF($A183="","",IF(BA183="","",IF(BA183&lt;=0,"Sets the deadline","Later than peers by "&amp;BA183&amp;" min")))</f>
        <v/>
      </c>
      <c r="BC183" s="29" t="str">
        <f aca="false">IF($A183="","",IF($U183="",0,IF(COUNTIFS($U$2:$U183,$U183,$C$2:$C183,$C183)=1,1,0)))</f>
        <v/>
      </c>
      <c r="BD183" s="10" t="str">
        <f aca="false">IF($A183="","",IF(UPPER($P183)="YES","Yes","No"))</f>
        <v/>
      </c>
      <c r="BE183" s="10" t="str">
        <f aca="false">IF($A183="","",IF($N183="No","n/a",IF(AM183&lt;=Constants!$B$17,"Yes","No")))</f>
        <v/>
      </c>
      <c r="BF183" s="10" t="str">
        <f aca="false">IF($A183="","",IF($O183="No","n/a",IF(AN183&lt;=Constants!$B$17,"Yes","No")))</f>
        <v/>
      </c>
      <c r="BG183" s="10" t="str">
        <f aca="false">IF($A183="","",IF($P183="No","n/a",IF(AO183&lt;=Constants!$B$17,"Yes","No")))</f>
        <v/>
      </c>
      <c r="BH183" s="10" t="str">
        <f aca="false">IF($A183="","",IF($N183="No","No custody process",IF(BE183="Yes","Thin custody slack","Ample custody slack")))</f>
        <v/>
      </c>
      <c r="BI183" s="30" t="str">
        <f aca="false">IF($A183="","",IF($N183="No","",AM183))</f>
        <v/>
      </c>
      <c r="BJ183" s="30" t="str">
        <f aca="false">IF($A183="","",IF($O183="No","",AN183))</f>
        <v/>
      </c>
      <c r="BK183" s="30" t="str">
        <f aca="false">IF($A183="","",IF($P183="No","",AO183))</f>
        <v/>
      </c>
    </row>
    <row r="184" customFormat="false" ht="15" hidden="false" customHeight="true" outlineLevel="0" collapsed="false">
      <c r="Z184" s="28" t="str">
        <f aca="false">IF($A184="","",Constants!$B$6+$I184*Constants!$B$7+$J184*Constants!$B$8+$K184*Constants!$B$9+$L184*Constants!$B$10+$M184*Constants!$B$11)</f>
        <v/>
      </c>
      <c r="AA184" s="28" t="str">
        <f aca="false">IF($A184="","",100-Z184)</f>
        <v/>
      </c>
      <c r="AB184" s="28" t="str">
        <f aca="false">IF($A184="","",ROUND($H184*Constants!$B$4,1))</f>
        <v/>
      </c>
      <c r="AC184" s="28" t="str">
        <f aca="false">IF($A184="","",ROUND(AB184*Z184/100,1))</f>
        <v/>
      </c>
      <c r="AD184" s="28" t="str">
        <f aca="false">IF($A184="","",ROUND(AB184*AA184/100,1))</f>
        <v/>
      </c>
      <c r="AE184" s="22" t="str">
        <f aca="false">IF($A184="","",HOUR($Q184)+MINUTE($Q184)/60)</f>
        <v/>
      </c>
      <c r="AF184" s="22" t="str">
        <f aca="false">IF($A184="","",HOUR($R184)+MINUTE($R184)/60)</f>
        <v/>
      </c>
      <c r="AG184" s="22" t="str">
        <f aca="false">IF($A184="","",HOUR($S184)+MINUTE($S184)/60)</f>
        <v/>
      </c>
      <c r="AH184" s="22" t="str">
        <f aca="false">IF($A184="","",HOUR($T184)+MINUTE($T184)/60)</f>
        <v/>
      </c>
      <c r="AI184" s="22" t="str">
        <f aca="false">IF($A184="","",HOUR($V184)+MINUTE($V184)/60)</f>
        <v/>
      </c>
      <c r="AJ184" s="22" t="str">
        <f aca="false">IF($A184="","",HOUR($W184)+MINUTE($W184)/60)</f>
        <v/>
      </c>
      <c r="AK184" s="22" t="str">
        <f aca="false">IF($A184="","",VLOOKUP($F184,Dim_Team!$A:$F,6,0))</f>
        <v/>
      </c>
      <c r="AL184" s="28" t="str">
        <f aca="false">IF($A184="","",VLOOKUP($X184,Dim_Signoff!$A:$C,3,0))</f>
        <v/>
      </c>
      <c r="AM184" s="28" t="str">
        <f aca="false">IF($A184="","",IF($N184="No","n/a",ROUND((AH184-AE184)*60,0)))</f>
        <v/>
      </c>
      <c r="AN184" s="28" t="str">
        <f aca="false">IF($A184="","",IF($O184="No","n/a",ROUND((AH184-AF184)*60,0)))</f>
        <v/>
      </c>
      <c r="AO184" s="28" t="str">
        <f aca="false">IF($A184="","",IF($P184="No","n/a",ROUND((AH184-AG184)*60,0)))</f>
        <v/>
      </c>
      <c r="AP184" s="28" t="str">
        <f aca="false">IF($A184="","",ROUND((AH184-AK184)*60,0))</f>
        <v/>
      </c>
      <c r="AQ184" s="28" t="str">
        <f aca="false">IF($A184="","",ROUND((AI184-AH184)*60,0))</f>
        <v/>
      </c>
      <c r="AR184" s="4" t="str">
        <f aca="false">IF($A184="","",IF(AP184&gt;=AC184,"Yes","No"))</f>
        <v/>
      </c>
      <c r="AS184" s="4" t="str">
        <f aca="false">IF($A184="","",IF(AQ184&gt;=AD184+AL184,"Yes","No"))</f>
        <v/>
      </c>
      <c r="AT184" s="4" t="str">
        <f aca="false">IF($A184="","",IF(AND(AR184="Yes",AS184="Yes"),"OK","REVIEW"))</f>
        <v/>
      </c>
      <c r="AU184" s="4" t="str">
        <f aca="false">IF($A184="","",IF($P184="No","Not applicable",IF(AO184&lt;Constants!$B$14,"CAPTURE","Not needed")))</f>
        <v/>
      </c>
      <c r="AV184" s="4" t="str">
        <f aca="false">IF($A184="","",IF($P184="No","n/a",RANK(AO184,AO:AO,1)))</f>
        <v/>
      </c>
      <c r="AW184" s="4" t="str">
        <f aca="false">IF($A184="","",IF(UPPER($E184)="YES","Strategic","Non-strategic"))</f>
        <v/>
      </c>
      <c r="AX184" s="4" t="str">
        <f aca="false">IF($A184="","",COUNTIFS(Fact_Work!$C:$C,$A184))</f>
        <v/>
      </c>
      <c r="AY184" s="4" t="str">
        <f aca="false">IF($A184="","",IF(AX184=0,"Not seen",IF(AX184&gt;=Constants!$B$13*0.6,"Daily",IF(AX184&gt;=Constants!$B$13*0.12,"Weekly","Monthly or ad hoc"))))</f>
        <v/>
      </c>
      <c r="AZ184" s="22" t="str">
        <f aca="false">IF($A184="","",IFERROR(VLOOKUP($U184,Dim_TOP!$A:$H,8,0),""))</f>
        <v/>
      </c>
      <c r="BA184" s="28" t="str">
        <f aca="false">IF($A184="","",IFERROR(ROUND((AH184-AZ184)*60,0),""))</f>
        <v/>
      </c>
      <c r="BB184" s="4" t="str">
        <f aca="false">IF($A184="","",IF(BA184="","",IF(BA184&lt;=0,"Sets the deadline","Later than peers by "&amp;BA184&amp;" min")))</f>
        <v/>
      </c>
      <c r="BC184" s="29" t="str">
        <f aca="false">IF($A184="","",IF($U184="",0,IF(COUNTIFS($U$2:$U184,$U184,$C$2:$C184,$C184)=1,1,0)))</f>
        <v/>
      </c>
      <c r="BD184" s="10" t="str">
        <f aca="false">IF($A184="","",IF(UPPER($P184)="YES","Yes","No"))</f>
        <v/>
      </c>
      <c r="BE184" s="10" t="str">
        <f aca="false">IF($A184="","",IF($N184="No","n/a",IF(AM184&lt;=Constants!$B$17,"Yes","No")))</f>
        <v/>
      </c>
      <c r="BF184" s="10" t="str">
        <f aca="false">IF($A184="","",IF($O184="No","n/a",IF(AN184&lt;=Constants!$B$17,"Yes","No")))</f>
        <v/>
      </c>
      <c r="BG184" s="10" t="str">
        <f aca="false">IF($A184="","",IF($P184="No","n/a",IF(AO184&lt;=Constants!$B$17,"Yes","No")))</f>
        <v/>
      </c>
      <c r="BH184" s="10" t="str">
        <f aca="false">IF($A184="","",IF($N184="No","No custody process",IF(BE184="Yes","Thin custody slack","Ample custody slack")))</f>
        <v/>
      </c>
      <c r="BI184" s="30" t="str">
        <f aca="false">IF($A184="","",IF($N184="No","",AM184))</f>
        <v/>
      </c>
      <c r="BJ184" s="30" t="str">
        <f aca="false">IF($A184="","",IF($O184="No","",AN184))</f>
        <v/>
      </c>
      <c r="BK184" s="30" t="str">
        <f aca="false">IF($A184="","",IF($P184="No","",AO184))</f>
        <v/>
      </c>
    </row>
    <row r="185" customFormat="false" ht="15" hidden="false" customHeight="true" outlineLevel="0" collapsed="false">
      <c r="Z185" s="28" t="str">
        <f aca="false">IF($A185="","",Constants!$B$6+$I185*Constants!$B$7+$J185*Constants!$B$8+$K185*Constants!$B$9+$L185*Constants!$B$10+$M185*Constants!$B$11)</f>
        <v/>
      </c>
      <c r="AA185" s="28" t="str">
        <f aca="false">IF($A185="","",100-Z185)</f>
        <v/>
      </c>
      <c r="AB185" s="28" t="str">
        <f aca="false">IF($A185="","",ROUND($H185*Constants!$B$4,1))</f>
        <v/>
      </c>
      <c r="AC185" s="28" t="str">
        <f aca="false">IF($A185="","",ROUND(AB185*Z185/100,1))</f>
        <v/>
      </c>
      <c r="AD185" s="28" t="str">
        <f aca="false">IF($A185="","",ROUND(AB185*AA185/100,1))</f>
        <v/>
      </c>
      <c r="AE185" s="22" t="str">
        <f aca="false">IF($A185="","",HOUR($Q185)+MINUTE($Q185)/60)</f>
        <v/>
      </c>
      <c r="AF185" s="22" t="str">
        <f aca="false">IF($A185="","",HOUR($R185)+MINUTE($R185)/60)</f>
        <v/>
      </c>
      <c r="AG185" s="22" t="str">
        <f aca="false">IF($A185="","",HOUR($S185)+MINUTE($S185)/60)</f>
        <v/>
      </c>
      <c r="AH185" s="22" t="str">
        <f aca="false">IF($A185="","",HOUR($T185)+MINUTE($T185)/60)</f>
        <v/>
      </c>
      <c r="AI185" s="22" t="str">
        <f aca="false">IF($A185="","",HOUR($V185)+MINUTE($V185)/60)</f>
        <v/>
      </c>
      <c r="AJ185" s="22" t="str">
        <f aca="false">IF($A185="","",HOUR($W185)+MINUTE($W185)/60)</f>
        <v/>
      </c>
      <c r="AK185" s="22" t="str">
        <f aca="false">IF($A185="","",VLOOKUP($F185,Dim_Team!$A:$F,6,0))</f>
        <v/>
      </c>
      <c r="AL185" s="28" t="str">
        <f aca="false">IF($A185="","",VLOOKUP($X185,Dim_Signoff!$A:$C,3,0))</f>
        <v/>
      </c>
      <c r="AM185" s="28" t="str">
        <f aca="false">IF($A185="","",IF($N185="No","n/a",ROUND((AH185-AE185)*60,0)))</f>
        <v/>
      </c>
      <c r="AN185" s="28" t="str">
        <f aca="false">IF($A185="","",IF($O185="No","n/a",ROUND((AH185-AF185)*60,0)))</f>
        <v/>
      </c>
      <c r="AO185" s="28" t="str">
        <f aca="false">IF($A185="","",IF($P185="No","n/a",ROUND((AH185-AG185)*60,0)))</f>
        <v/>
      </c>
      <c r="AP185" s="28" t="str">
        <f aca="false">IF($A185="","",ROUND((AH185-AK185)*60,0))</f>
        <v/>
      </c>
      <c r="AQ185" s="28" t="str">
        <f aca="false">IF($A185="","",ROUND((AI185-AH185)*60,0))</f>
        <v/>
      </c>
      <c r="AR185" s="4" t="str">
        <f aca="false">IF($A185="","",IF(AP185&gt;=AC185,"Yes","No"))</f>
        <v/>
      </c>
      <c r="AS185" s="4" t="str">
        <f aca="false">IF($A185="","",IF(AQ185&gt;=AD185+AL185,"Yes","No"))</f>
        <v/>
      </c>
      <c r="AT185" s="4" t="str">
        <f aca="false">IF($A185="","",IF(AND(AR185="Yes",AS185="Yes"),"OK","REVIEW"))</f>
        <v/>
      </c>
      <c r="AU185" s="4" t="str">
        <f aca="false">IF($A185="","",IF($P185="No","Not applicable",IF(AO185&lt;Constants!$B$14,"CAPTURE","Not needed")))</f>
        <v/>
      </c>
      <c r="AV185" s="4" t="str">
        <f aca="false">IF($A185="","",IF($P185="No","n/a",RANK(AO185,AO:AO,1)))</f>
        <v/>
      </c>
      <c r="AW185" s="4" t="str">
        <f aca="false">IF($A185="","",IF(UPPER($E185)="YES","Strategic","Non-strategic"))</f>
        <v/>
      </c>
      <c r="AX185" s="4" t="str">
        <f aca="false">IF($A185="","",COUNTIFS(Fact_Work!$C:$C,$A185))</f>
        <v/>
      </c>
      <c r="AY185" s="4" t="str">
        <f aca="false">IF($A185="","",IF(AX185=0,"Not seen",IF(AX185&gt;=Constants!$B$13*0.6,"Daily",IF(AX185&gt;=Constants!$B$13*0.12,"Weekly","Monthly or ad hoc"))))</f>
        <v/>
      </c>
      <c r="AZ185" s="22" t="str">
        <f aca="false">IF($A185="","",IFERROR(VLOOKUP($U185,Dim_TOP!$A:$H,8,0),""))</f>
        <v/>
      </c>
      <c r="BA185" s="28" t="str">
        <f aca="false">IF($A185="","",IFERROR(ROUND((AH185-AZ185)*60,0),""))</f>
        <v/>
      </c>
      <c r="BB185" s="4" t="str">
        <f aca="false">IF($A185="","",IF(BA185="","",IF(BA185&lt;=0,"Sets the deadline","Later than peers by "&amp;BA185&amp;" min")))</f>
        <v/>
      </c>
      <c r="BC185" s="29" t="str">
        <f aca="false">IF($A185="","",IF($U185="",0,IF(COUNTIFS($U$2:$U185,$U185,$C$2:$C185,$C185)=1,1,0)))</f>
        <v/>
      </c>
      <c r="BD185" s="10" t="str">
        <f aca="false">IF($A185="","",IF(UPPER($P185)="YES","Yes","No"))</f>
        <v/>
      </c>
      <c r="BE185" s="10" t="str">
        <f aca="false">IF($A185="","",IF($N185="No","n/a",IF(AM185&lt;=Constants!$B$17,"Yes","No")))</f>
        <v/>
      </c>
      <c r="BF185" s="10" t="str">
        <f aca="false">IF($A185="","",IF($O185="No","n/a",IF(AN185&lt;=Constants!$B$17,"Yes","No")))</f>
        <v/>
      </c>
      <c r="BG185" s="10" t="str">
        <f aca="false">IF($A185="","",IF($P185="No","n/a",IF(AO185&lt;=Constants!$B$17,"Yes","No")))</f>
        <v/>
      </c>
      <c r="BH185" s="10" t="str">
        <f aca="false">IF($A185="","",IF($N185="No","No custody process",IF(BE185="Yes","Thin custody slack","Ample custody slack")))</f>
        <v/>
      </c>
      <c r="BI185" s="30" t="str">
        <f aca="false">IF($A185="","",IF($N185="No","",AM185))</f>
        <v/>
      </c>
      <c r="BJ185" s="30" t="str">
        <f aca="false">IF($A185="","",IF($O185="No","",AN185))</f>
        <v/>
      </c>
      <c r="BK185" s="30" t="str">
        <f aca="false">IF($A185="","",IF($P185="No","",AO185))</f>
        <v/>
      </c>
    </row>
    <row r="186" customFormat="false" ht="15" hidden="false" customHeight="true" outlineLevel="0" collapsed="false">
      <c r="Z186" s="28" t="str">
        <f aca="false">IF($A186="","",Constants!$B$6+$I186*Constants!$B$7+$J186*Constants!$B$8+$K186*Constants!$B$9+$L186*Constants!$B$10+$M186*Constants!$B$11)</f>
        <v/>
      </c>
      <c r="AA186" s="28" t="str">
        <f aca="false">IF($A186="","",100-Z186)</f>
        <v/>
      </c>
      <c r="AB186" s="28" t="str">
        <f aca="false">IF($A186="","",ROUND($H186*Constants!$B$4,1))</f>
        <v/>
      </c>
      <c r="AC186" s="28" t="str">
        <f aca="false">IF($A186="","",ROUND(AB186*Z186/100,1))</f>
        <v/>
      </c>
      <c r="AD186" s="28" t="str">
        <f aca="false">IF($A186="","",ROUND(AB186*AA186/100,1))</f>
        <v/>
      </c>
      <c r="AE186" s="22" t="str">
        <f aca="false">IF($A186="","",HOUR($Q186)+MINUTE($Q186)/60)</f>
        <v/>
      </c>
      <c r="AF186" s="22" t="str">
        <f aca="false">IF($A186="","",HOUR($R186)+MINUTE($R186)/60)</f>
        <v/>
      </c>
      <c r="AG186" s="22" t="str">
        <f aca="false">IF($A186="","",HOUR($S186)+MINUTE($S186)/60)</f>
        <v/>
      </c>
      <c r="AH186" s="22" t="str">
        <f aca="false">IF($A186="","",HOUR($T186)+MINUTE($T186)/60)</f>
        <v/>
      </c>
      <c r="AI186" s="22" t="str">
        <f aca="false">IF($A186="","",HOUR($V186)+MINUTE($V186)/60)</f>
        <v/>
      </c>
      <c r="AJ186" s="22" t="str">
        <f aca="false">IF($A186="","",HOUR($W186)+MINUTE($W186)/60)</f>
        <v/>
      </c>
      <c r="AK186" s="22" t="str">
        <f aca="false">IF($A186="","",VLOOKUP($F186,Dim_Team!$A:$F,6,0))</f>
        <v/>
      </c>
      <c r="AL186" s="28" t="str">
        <f aca="false">IF($A186="","",VLOOKUP($X186,Dim_Signoff!$A:$C,3,0))</f>
        <v/>
      </c>
      <c r="AM186" s="28" t="str">
        <f aca="false">IF($A186="","",IF($N186="No","n/a",ROUND((AH186-AE186)*60,0)))</f>
        <v/>
      </c>
      <c r="AN186" s="28" t="str">
        <f aca="false">IF($A186="","",IF($O186="No","n/a",ROUND((AH186-AF186)*60,0)))</f>
        <v/>
      </c>
      <c r="AO186" s="28" t="str">
        <f aca="false">IF($A186="","",IF($P186="No","n/a",ROUND((AH186-AG186)*60,0)))</f>
        <v/>
      </c>
      <c r="AP186" s="28" t="str">
        <f aca="false">IF($A186="","",ROUND((AH186-AK186)*60,0))</f>
        <v/>
      </c>
      <c r="AQ186" s="28" t="str">
        <f aca="false">IF($A186="","",ROUND((AI186-AH186)*60,0))</f>
        <v/>
      </c>
      <c r="AR186" s="4" t="str">
        <f aca="false">IF($A186="","",IF(AP186&gt;=AC186,"Yes","No"))</f>
        <v/>
      </c>
      <c r="AS186" s="4" t="str">
        <f aca="false">IF($A186="","",IF(AQ186&gt;=AD186+AL186,"Yes","No"))</f>
        <v/>
      </c>
      <c r="AT186" s="4" t="str">
        <f aca="false">IF($A186="","",IF(AND(AR186="Yes",AS186="Yes"),"OK","REVIEW"))</f>
        <v/>
      </c>
      <c r="AU186" s="4" t="str">
        <f aca="false">IF($A186="","",IF($P186="No","Not applicable",IF(AO186&lt;Constants!$B$14,"CAPTURE","Not needed")))</f>
        <v/>
      </c>
      <c r="AV186" s="4" t="str">
        <f aca="false">IF($A186="","",IF($P186="No","n/a",RANK(AO186,AO:AO,1)))</f>
        <v/>
      </c>
      <c r="AW186" s="4" t="str">
        <f aca="false">IF($A186="","",IF(UPPER($E186)="YES","Strategic","Non-strategic"))</f>
        <v/>
      </c>
      <c r="AX186" s="4" t="str">
        <f aca="false">IF($A186="","",COUNTIFS(Fact_Work!$C:$C,$A186))</f>
        <v/>
      </c>
      <c r="AY186" s="4" t="str">
        <f aca="false">IF($A186="","",IF(AX186=0,"Not seen",IF(AX186&gt;=Constants!$B$13*0.6,"Daily",IF(AX186&gt;=Constants!$B$13*0.12,"Weekly","Monthly or ad hoc"))))</f>
        <v/>
      </c>
      <c r="AZ186" s="22" t="str">
        <f aca="false">IF($A186="","",IFERROR(VLOOKUP($U186,Dim_TOP!$A:$H,8,0),""))</f>
        <v/>
      </c>
      <c r="BA186" s="28" t="str">
        <f aca="false">IF($A186="","",IFERROR(ROUND((AH186-AZ186)*60,0),""))</f>
        <v/>
      </c>
      <c r="BB186" s="4" t="str">
        <f aca="false">IF($A186="","",IF(BA186="","",IF(BA186&lt;=0,"Sets the deadline","Later than peers by "&amp;BA186&amp;" min")))</f>
        <v/>
      </c>
      <c r="BC186" s="29" t="str">
        <f aca="false">IF($A186="","",IF($U186="",0,IF(COUNTIFS($U$2:$U186,$U186,$C$2:$C186,$C186)=1,1,0)))</f>
        <v/>
      </c>
      <c r="BD186" s="10" t="str">
        <f aca="false">IF($A186="","",IF(UPPER($P186)="YES","Yes","No"))</f>
        <v/>
      </c>
      <c r="BE186" s="10" t="str">
        <f aca="false">IF($A186="","",IF($N186="No","n/a",IF(AM186&lt;=Constants!$B$17,"Yes","No")))</f>
        <v/>
      </c>
      <c r="BF186" s="10" t="str">
        <f aca="false">IF($A186="","",IF($O186="No","n/a",IF(AN186&lt;=Constants!$B$17,"Yes","No")))</f>
        <v/>
      </c>
      <c r="BG186" s="10" t="str">
        <f aca="false">IF($A186="","",IF($P186="No","n/a",IF(AO186&lt;=Constants!$B$17,"Yes","No")))</f>
        <v/>
      </c>
      <c r="BH186" s="10" t="str">
        <f aca="false">IF($A186="","",IF($N186="No","No custody process",IF(BE186="Yes","Thin custody slack","Ample custody slack")))</f>
        <v/>
      </c>
      <c r="BI186" s="30" t="str">
        <f aca="false">IF($A186="","",IF($N186="No","",AM186))</f>
        <v/>
      </c>
      <c r="BJ186" s="30" t="str">
        <f aca="false">IF($A186="","",IF($O186="No","",AN186))</f>
        <v/>
      </c>
      <c r="BK186" s="30" t="str">
        <f aca="false">IF($A186="","",IF($P186="No","",AO186))</f>
        <v/>
      </c>
    </row>
    <row r="187" customFormat="false" ht="15" hidden="false" customHeight="true" outlineLevel="0" collapsed="false">
      <c r="Z187" s="28" t="str">
        <f aca="false">IF($A187="","",Constants!$B$6+$I187*Constants!$B$7+$J187*Constants!$B$8+$K187*Constants!$B$9+$L187*Constants!$B$10+$M187*Constants!$B$11)</f>
        <v/>
      </c>
      <c r="AA187" s="28" t="str">
        <f aca="false">IF($A187="","",100-Z187)</f>
        <v/>
      </c>
      <c r="AB187" s="28" t="str">
        <f aca="false">IF($A187="","",ROUND($H187*Constants!$B$4,1))</f>
        <v/>
      </c>
      <c r="AC187" s="28" t="str">
        <f aca="false">IF($A187="","",ROUND(AB187*Z187/100,1))</f>
        <v/>
      </c>
      <c r="AD187" s="28" t="str">
        <f aca="false">IF($A187="","",ROUND(AB187*AA187/100,1))</f>
        <v/>
      </c>
      <c r="AE187" s="22" t="str">
        <f aca="false">IF($A187="","",HOUR($Q187)+MINUTE($Q187)/60)</f>
        <v/>
      </c>
      <c r="AF187" s="22" t="str">
        <f aca="false">IF($A187="","",HOUR($R187)+MINUTE($R187)/60)</f>
        <v/>
      </c>
      <c r="AG187" s="22" t="str">
        <f aca="false">IF($A187="","",HOUR($S187)+MINUTE($S187)/60)</f>
        <v/>
      </c>
      <c r="AH187" s="22" t="str">
        <f aca="false">IF($A187="","",HOUR($T187)+MINUTE($T187)/60)</f>
        <v/>
      </c>
      <c r="AI187" s="22" t="str">
        <f aca="false">IF($A187="","",HOUR($V187)+MINUTE($V187)/60)</f>
        <v/>
      </c>
      <c r="AJ187" s="22" t="str">
        <f aca="false">IF($A187="","",HOUR($W187)+MINUTE($W187)/60)</f>
        <v/>
      </c>
      <c r="AK187" s="22" t="str">
        <f aca="false">IF($A187="","",VLOOKUP($F187,Dim_Team!$A:$F,6,0))</f>
        <v/>
      </c>
      <c r="AL187" s="28" t="str">
        <f aca="false">IF($A187="","",VLOOKUP($X187,Dim_Signoff!$A:$C,3,0))</f>
        <v/>
      </c>
      <c r="AM187" s="28" t="str">
        <f aca="false">IF($A187="","",IF($N187="No","n/a",ROUND((AH187-AE187)*60,0)))</f>
        <v/>
      </c>
      <c r="AN187" s="28" t="str">
        <f aca="false">IF($A187="","",IF($O187="No","n/a",ROUND((AH187-AF187)*60,0)))</f>
        <v/>
      </c>
      <c r="AO187" s="28" t="str">
        <f aca="false">IF($A187="","",IF($P187="No","n/a",ROUND((AH187-AG187)*60,0)))</f>
        <v/>
      </c>
      <c r="AP187" s="28" t="str">
        <f aca="false">IF($A187="","",ROUND((AH187-AK187)*60,0))</f>
        <v/>
      </c>
      <c r="AQ187" s="28" t="str">
        <f aca="false">IF($A187="","",ROUND((AI187-AH187)*60,0))</f>
        <v/>
      </c>
      <c r="AR187" s="4" t="str">
        <f aca="false">IF($A187="","",IF(AP187&gt;=AC187,"Yes","No"))</f>
        <v/>
      </c>
      <c r="AS187" s="4" t="str">
        <f aca="false">IF($A187="","",IF(AQ187&gt;=AD187+AL187,"Yes","No"))</f>
        <v/>
      </c>
      <c r="AT187" s="4" t="str">
        <f aca="false">IF($A187="","",IF(AND(AR187="Yes",AS187="Yes"),"OK","REVIEW"))</f>
        <v/>
      </c>
      <c r="AU187" s="4" t="str">
        <f aca="false">IF($A187="","",IF($P187="No","Not applicable",IF(AO187&lt;Constants!$B$14,"CAPTURE","Not needed")))</f>
        <v/>
      </c>
      <c r="AV187" s="4" t="str">
        <f aca="false">IF($A187="","",IF($P187="No","n/a",RANK(AO187,AO:AO,1)))</f>
        <v/>
      </c>
      <c r="AW187" s="4" t="str">
        <f aca="false">IF($A187="","",IF(UPPER($E187)="YES","Strategic","Non-strategic"))</f>
        <v/>
      </c>
      <c r="AX187" s="4" t="str">
        <f aca="false">IF($A187="","",COUNTIFS(Fact_Work!$C:$C,$A187))</f>
        <v/>
      </c>
      <c r="AY187" s="4" t="str">
        <f aca="false">IF($A187="","",IF(AX187=0,"Not seen",IF(AX187&gt;=Constants!$B$13*0.6,"Daily",IF(AX187&gt;=Constants!$B$13*0.12,"Weekly","Monthly or ad hoc"))))</f>
        <v/>
      </c>
      <c r="AZ187" s="22" t="str">
        <f aca="false">IF($A187="","",IFERROR(VLOOKUP($U187,Dim_TOP!$A:$H,8,0),""))</f>
        <v/>
      </c>
      <c r="BA187" s="28" t="str">
        <f aca="false">IF($A187="","",IFERROR(ROUND((AH187-AZ187)*60,0),""))</f>
        <v/>
      </c>
      <c r="BB187" s="4" t="str">
        <f aca="false">IF($A187="","",IF(BA187="","",IF(BA187&lt;=0,"Sets the deadline","Later than peers by "&amp;BA187&amp;" min")))</f>
        <v/>
      </c>
      <c r="BC187" s="29" t="str">
        <f aca="false">IF($A187="","",IF($U187="",0,IF(COUNTIFS($U$2:$U187,$U187,$C$2:$C187,$C187)=1,1,0)))</f>
        <v/>
      </c>
      <c r="BD187" s="10" t="str">
        <f aca="false">IF($A187="","",IF(UPPER($P187)="YES","Yes","No"))</f>
        <v/>
      </c>
      <c r="BE187" s="10" t="str">
        <f aca="false">IF($A187="","",IF($N187="No","n/a",IF(AM187&lt;=Constants!$B$17,"Yes","No")))</f>
        <v/>
      </c>
      <c r="BF187" s="10" t="str">
        <f aca="false">IF($A187="","",IF($O187="No","n/a",IF(AN187&lt;=Constants!$B$17,"Yes","No")))</f>
        <v/>
      </c>
      <c r="BG187" s="10" t="str">
        <f aca="false">IF($A187="","",IF($P187="No","n/a",IF(AO187&lt;=Constants!$B$17,"Yes","No")))</f>
        <v/>
      </c>
      <c r="BH187" s="10" t="str">
        <f aca="false">IF($A187="","",IF($N187="No","No custody process",IF(BE187="Yes","Thin custody slack","Ample custody slack")))</f>
        <v/>
      </c>
      <c r="BI187" s="30" t="str">
        <f aca="false">IF($A187="","",IF($N187="No","",AM187))</f>
        <v/>
      </c>
      <c r="BJ187" s="30" t="str">
        <f aca="false">IF($A187="","",IF($O187="No","",AN187))</f>
        <v/>
      </c>
      <c r="BK187" s="30" t="str">
        <f aca="false">IF($A187="","",IF($P187="No","",AO187))</f>
        <v/>
      </c>
    </row>
    <row r="188" customFormat="false" ht="15" hidden="false" customHeight="true" outlineLevel="0" collapsed="false">
      <c r="Z188" s="28" t="str">
        <f aca="false">IF($A188="","",Constants!$B$6+$I188*Constants!$B$7+$J188*Constants!$B$8+$K188*Constants!$B$9+$L188*Constants!$B$10+$M188*Constants!$B$11)</f>
        <v/>
      </c>
      <c r="AA188" s="28" t="str">
        <f aca="false">IF($A188="","",100-Z188)</f>
        <v/>
      </c>
      <c r="AB188" s="28" t="str">
        <f aca="false">IF($A188="","",ROUND($H188*Constants!$B$4,1))</f>
        <v/>
      </c>
      <c r="AC188" s="28" t="str">
        <f aca="false">IF($A188="","",ROUND(AB188*Z188/100,1))</f>
        <v/>
      </c>
      <c r="AD188" s="28" t="str">
        <f aca="false">IF($A188="","",ROUND(AB188*AA188/100,1))</f>
        <v/>
      </c>
      <c r="AE188" s="22" t="str">
        <f aca="false">IF($A188="","",HOUR($Q188)+MINUTE($Q188)/60)</f>
        <v/>
      </c>
      <c r="AF188" s="22" t="str">
        <f aca="false">IF($A188="","",HOUR($R188)+MINUTE($R188)/60)</f>
        <v/>
      </c>
      <c r="AG188" s="22" t="str">
        <f aca="false">IF($A188="","",HOUR($S188)+MINUTE($S188)/60)</f>
        <v/>
      </c>
      <c r="AH188" s="22" t="str">
        <f aca="false">IF($A188="","",HOUR($T188)+MINUTE($T188)/60)</f>
        <v/>
      </c>
      <c r="AI188" s="22" t="str">
        <f aca="false">IF($A188="","",HOUR($V188)+MINUTE($V188)/60)</f>
        <v/>
      </c>
      <c r="AJ188" s="22" t="str">
        <f aca="false">IF($A188="","",HOUR($W188)+MINUTE($W188)/60)</f>
        <v/>
      </c>
      <c r="AK188" s="22" t="str">
        <f aca="false">IF($A188="","",VLOOKUP($F188,Dim_Team!$A:$F,6,0))</f>
        <v/>
      </c>
      <c r="AL188" s="28" t="str">
        <f aca="false">IF($A188="","",VLOOKUP($X188,Dim_Signoff!$A:$C,3,0))</f>
        <v/>
      </c>
      <c r="AM188" s="28" t="str">
        <f aca="false">IF($A188="","",IF($N188="No","n/a",ROUND((AH188-AE188)*60,0)))</f>
        <v/>
      </c>
      <c r="AN188" s="28" t="str">
        <f aca="false">IF($A188="","",IF($O188="No","n/a",ROUND((AH188-AF188)*60,0)))</f>
        <v/>
      </c>
      <c r="AO188" s="28" t="str">
        <f aca="false">IF($A188="","",IF($P188="No","n/a",ROUND((AH188-AG188)*60,0)))</f>
        <v/>
      </c>
      <c r="AP188" s="28" t="str">
        <f aca="false">IF($A188="","",ROUND((AH188-AK188)*60,0))</f>
        <v/>
      </c>
      <c r="AQ188" s="28" t="str">
        <f aca="false">IF($A188="","",ROUND((AI188-AH188)*60,0))</f>
        <v/>
      </c>
      <c r="AR188" s="4" t="str">
        <f aca="false">IF($A188="","",IF(AP188&gt;=AC188,"Yes","No"))</f>
        <v/>
      </c>
      <c r="AS188" s="4" t="str">
        <f aca="false">IF($A188="","",IF(AQ188&gt;=AD188+AL188,"Yes","No"))</f>
        <v/>
      </c>
      <c r="AT188" s="4" t="str">
        <f aca="false">IF($A188="","",IF(AND(AR188="Yes",AS188="Yes"),"OK","REVIEW"))</f>
        <v/>
      </c>
      <c r="AU188" s="4" t="str">
        <f aca="false">IF($A188="","",IF($P188="No","Not applicable",IF(AO188&lt;Constants!$B$14,"CAPTURE","Not needed")))</f>
        <v/>
      </c>
      <c r="AV188" s="4" t="str">
        <f aca="false">IF($A188="","",IF($P188="No","n/a",RANK(AO188,AO:AO,1)))</f>
        <v/>
      </c>
      <c r="AW188" s="4" t="str">
        <f aca="false">IF($A188="","",IF(UPPER($E188)="YES","Strategic","Non-strategic"))</f>
        <v/>
      </c>
      <c r="AX188" s="4" t="str">
        <f aca="false">IF($A188="","",COUNTIFS(Fact_Work!$C:$C,$A188))</f>
        <v/>
      </c>
      <c r="AY188" s="4" t="str">
        <f aca="false">IF($A188="","",IF(AX188=0,"Not seen",IF(AX188&gt;=Constants!$B$13*0.6,"Daily",IF(AX188&gt;=Constants!$B$13*0.12,"Weekly","Monthly or ad hoc"))))</f>
        <v/>
      </c>
      <c r="AZ188" s="22" t="str">
        <f aca="false">IF($A188="","",IFERROR(VLOOKUP($U188,Dim_TOP!$A:$H,8,0),""))</f>
        <v/>
      </c>
      <c r="BA188" s="28" t="str">
        <f aca="false">IF($A188="","",IFERROR(ROUND((AH188-AZ188)*60,0),""))</f>
        <v/>
      </c>
      <c r="BB188" s="4" t="str">
        <f aca="false">IF($A188="","",IF(BA188="","",IF(BA188&lt;=0,"Sets the deadline","Later than peers by "&amp;BA188&amp;" min")))</f>
        <v/>
      </c>
      <c r="BC188" s="29" t="str">
        <f aca="false">IF($A188="","",IF($U188="",0,IF(COUNTIFS($U$2:$U188,$U188,$C$2:$C188,$C188)=1,1,0)))</f>
        <v/>
      </c>
      <c r="BD188" s="10" t="str">
        <f aca="false">IF($A188="","",IF(UPPER($P188)="YES","Yes","No"))</f>
        <v/>
      </c>
      <c r="BE188" s="10" t="str">
        <f aca="false">IF($A188="","",IF($N188="No","n/a",IF(AM188&lt;=Constants!$B$17,"Yes","No")))</f>
        <v/>
      </c>
      <c r="BF188" s="10" t="str">
        <f aca="false">IF($A188="","",IF($O188="No","n/a",IF(AN188&lt;=Constants!$B$17,"Yes","No")))</f>
        <v/>
      </c>
      <c r="BG188" s="10" t="str">
        <f aca="false">IF($A188="","",IF($P188="No","n/a",IF(AO188&lt;=Constants!$B$17,"Yes","No")))</f>
        <v/>
      </c>
      <c r="BH188" s="10" t="str">
        <f aca="false">IF($A188="","",IF($N188="No","No custody process",IF(BE188="Yes","Thin custody slack","Ample custody slack")))</f>
        <v/>
      </c>
      <c r="BI188" s="30" t="str">
        <f aca="false">IF($A188="","",IF($N188="No","",AM188))</f>
        <v/>
      </c>
      <c r="BJ188" s="30" t="str">
        <f aca="false">IF($A188="","",IF($O188="No","",AN188))</f>
        <v/>
      </c>
      <c r="BK188" s="30" t="str">
        <f aca="false">IF($A188="","",IF($P188="No","",AO188))</f>
        <v/>
      </c>
    </row>
    <row r="189" customFormat="false" ht="15" hidden="false" customHeight="true" outlineLevel="0" collapsed="false">
      <c r="Z189" s="28" t="str">
        <f aca="false">IF($A189="","",Constants!$B$6+$I189*Constants!$B$7+$J189*Constants!$B$8+$K189*Constants!$B$9+$L189*Constants!$B$10+$M189*Constants!$B$11)</f>
        <v/>
      </c>
      <c r="AA189" s="28" t="str">
        <f aca="false">IF($A189="","",100-Z189)</f>
        <v/>
      </c>
      <c r="AB189" s="28" t="str">
        <f aca="false">IF($A189="","",ROUND($H189*Constants!$B$4,1))</f>
        <v/>
      </c>
      <c r="AC189" s="28" t="str">
        <f aca="false">IF($A189="","",ROUND(AB189*Z189/100,1))</f>
        <v/>
      </c>
      <c r="AD189" s="28" t="str">
        <f aca="false">IF($A189="","",ROUND(AB189*AA189/100,1))</f>
        <v/>
      </c>
      <c r="AE189" s="22" t="str">
        <f aca="false">IF($A189="","",HOUR($Q189)+MINUTE($Q189)/60)</f>
        <v/>
      </c>
      <c r="AF189" s="22" t="str">
        <f aca="false">IF($A189="","",HOUR($R189)+MINUTE($R189)/60)</f>
        <v/>
      </c>
      <c r="AG189" s="22" t="str">
        <f aca="false">IF($A189="","",HOUR($S189)+MINUTE($S189)/60)</f>
        <v/>
      </c>
      <c r="AH189" s="22" t="str">
        <f aca="false">IF($A189="","",HOUR($T189)+MINUTE($T189)/60)</f>
        <v/>
      </c>
      <c r="AI189" s="22" t="str">
        <f aca="false">IF($A189="","",HOUR($V189)+MINUTE($V189)/60)</f>
        <v/>
      </c>
      <c r="AJ189" s="22" t="str">
        <f aca="false">IF($A189="","",HOUR($W189)+MINUTE($W189)/60)</f>
        <v/>
      </c>
      <c r="AK189" s="22" t="str">
        <f aca="false">IF($A189="","",VLOOKUP($F189,Dim_Team!$A:$F,6,0))</f>
        <v/>
      </c>
      <c r="AL189" s="28" t="str">
        <f aca="false">IF($A189="","",VLOOKUP($X189,Dim_Signoff!$A:$C,3,0))</f>
        <v/>
      </c>
      <c r="AM189" s="28" t="str">
        <f aca="false">IF($A189="","",IF($N189="No","n/a",ROUND((AH189-AE189)*60,0)))</f>
        <v/>
      </c>
      <c r="AN189" s="28" t="str">
        <f aca="false">IF($A189="","",IF($O189="No","n/a",ROUND((AH189-AF189)*60,0)))</f>
        <v/>
      </c>
      <c r="AO189" s="28" t="str">
        <f aca="false">IF($A189="","",IF($P189="No","n/a",ROUND((AH189-AG189)*60,0)))</f>
        <v/>
      </c>
      <c r="AP189" s="28" t="str">
        <f aca="false">IF($A189="","",ROUND((AH189-AK189)*60,0))</f>
        <v/>
      </c>
      <c r="AQ189" s="28" t="str">
        <f aca="false">IF($A189="","",ROUND((AI189-AH189)*60,0))</f>
        <v/>
      </c>
      <c r="AR189" s="4" t="str">
        <f aca="false">IF($A189="","",IF(AP189&gt;=AC189,"Yes","No"))</f>
        <v/>
      </c>
      <c r="AS189" s="4" t="str">
        <f aca="false">IF($A189="","",IF(AQ189&gt;=AD189+AL189,"Yes","No"))</f>
        <v/>
      </c>
      <c r="AT189" s="4" t="str">
        <f aca="false">IF($A189="","",IF(AND(AR189="Yes",AS189="Yes"),"OK","REVIEW"))</f>
        <v/>
      </c>
      <c r="AU189" s="4" t="str">
        <f aca="false">IF($A189="","",IF($P189="No","Not applicable",IF(AO189&lt;Constants!$B$14,"CAPTURE","Not needed")))</f>
        <v/>
      </c>
      <c r="AV189" s="4" t="str">
        <f aca="false">IF($A189="","",IF($P189="No","n/a",RANK(AO189,AO:AO,1)))</f>
        <v/>
      </c>
      <c r="AW189" s="4" t="str">
        <f aca="false">IF($A189="","",IF(UPPER($E189)="YES","Strategic","Non-strategic"))</f>
        <v/>
      </c>
      <c r="AX189" s="4" t="str">
        <f aca="false">IF($A189="","",COUNTIFS(Fact_Work!$C:$C,$A189))</f>
        <v/>
      </c>
      <c r="AY189" s="4" t="str">
        <f aca="false">IF($A189="","",IF(AX189=0,"Not seen",IF(AX189&gt;=Constants!$B$13*0.6,"Daily",IF(AX189&gt;=Constants!$B$13*0.12,"Weekly","Monthly or ad hoc"))))</f>
        <v/>
      </c>
      <c r="AZ189" s="22" t="str">
        <f aca="false">IF($A189="","",IFERROR(VLOOKUP($U189,Dim_TOP!$A:$H,8,0),""))</f>
        <v/>
      </c>
      <c r="BA189" s="28" t="str">
        <f aca="false">IF($A189="","",IFERROR(ROUND((AH189-AZ189)*60,0),""))</f>
        <v/>
      </c>
      <c r="BB189" s="4" t="str">
        <f aca="false">IF($A189="","",IF(BA189="","",IF(BA189&lt;=0,"Sets the deadline","Later than peers by "&amp;BA189&amp;" min")))</f>
        <v/>
      </c>
      <c r="BC189" s="29" t="str">
        <f aca="false">IF($A189="","",IF($U189="",0,IF(COUNTIFS($U$2:$U189,$U189,$C$2:$C189,$C189)=1,1,0)))</f>
        <v/>
      </c>
      <c r="BD189" s="10" t="str">
        <f aca="false">IF($A189="","",IF(UPPER($P189)="YES","Yes","No"))</f>
        <v/>
      </c>
      <c r="BE189" s="10" t="str">
        <f aca="false">IF($A189="","",IF($N189="No","n/a",IF(AM189&lt;=Constants!$B$17,"Yes","No")))</f>
        <v/>
      </c>
      <c r="BF189" s="10" t="str">
        <f aca="false">IF($A189="","",IF($O189="No","n/a",IF(AN189&lt;=Constants!$B$17,"Yes","No")))</f>
        <v/>
      </c>
      <c r="BG189" s="10" t="str">
        <f aca="false">IF($A189="","",IF($P189="No","n/a",IF(AO189&lt;=Constants!$B$17,"Yes","No")))</f>
        <v/>
      </c>
      <c r="BH189" s="10" t="str">
        <f aca="false">IF($A189="","",IF($N189="No","No custody process",IF(BE189="Yes","Thin custody slack","Ample custody slack")))</f>
        <v/>
      </c>
      <c r="BI189" s="30" t="str">
        <f aca="false">IF($A189="","",IF($N189="No","",AM189))</f>
        <v/>
      </c>
      <c r="BJ189" s="30" t="str">
        <f aca="false">IF($A189="","",IF($O189="No","",AN189))</f>
        <v/>
      </c>
      <c r="BK189" s="30" t="str">
        <f aca="false">IF($A189="","",IF($P189="No","",AO189))</f>
        <v/>
      </c>
    </row>
    <row r="190" customFormat="false" ht="15" hidden="false" customHeight="true" outlineLevel="0" collapsed="false">
      <c r="Z190" s="28" t="str">
        <f aca="false">IF($A190="","",Constants!$B$6+$I190*Constants!$B$7+$J190*Constants!$B$8+$K190*Constants!$B$9+$L190*Constants!$B$10+$M190*Constants!$B$11)</f>
        <v/>
      </c>
      <c r="AA190" s="28" t="str">
        <f aca="false">IF($A190="","",100-Z190)</f>
        <v/>
      </c>
      <c r="AB190" s="28" t="str">
        <f aca="false">IF($A190="","",ROUND($H190*Constants!$B$4,1))</f>
        <v/>
      </c>
      <c r="AC190" s="28" t="str">
        <f aca="false">IF($A190="","",ROUND(AB190*Z190/100,1))</f>
        <v/>
      </c>
      <c r="AD190" s="28" t="str">
        <f aca="false">IF($A190="","",ROUND(AB190*AA190/100,1))</f>
        <v/>
      </c>
      <c r="AE190" s="22" t="str">
        <f aca="false">IF($A190="","",HOUR($Q190)+MINUTE($Q190)/60)</f>
        <v/>
      </c>
      <c r="AF190" s="22" t="str">
        <f aca="false">IF($A190="","",HOUR($R190)+MINUTE($R190)/60)</f>
        <v/>
      </c>
      <c r="AG190" s="22" t="str">
        <f aca="false">IF($A190="","",HOUR($S190)+MINUTE($S190)/60)</f>
        <v/>
      </c>
      <c r="AH190" s="22" t="str">
        <f aca="false">IF($A190="","",HOUR($T190)+MINUTE($T190)/60)</f>
        <v/>
      </c>
      <c r="AI190" s="22" t="str">
        <f aca="false">IF($A190="","",HOUR($V190)+MINUTE($V190)/60)</f>
        <v/>
      </c>
      <c r="AJ190" s="22" t="str">
        <f aca="false">IF($A190="","",HOUR($W190)+MINUTE($W190)/60)</f>
        <v/>
      </c>
      <c r="AK190" s="22" t="str">
        <f aca="false">IF($A190="","",VLOOKUP($F190,Dim_Team!$A:$F,6,0))</f>
        <v/>
      </c>
      <c r="AL190" s="28" t="str">
        <f aca="false">IF($A190="","",VLOOKUP($X190,Dim_Signoff!$A:$C,3,0))</f>
        <v/>
      </c>
      <c r="AM190" s="28" t="str">
        <f aca="false">IF($A190="","",IF($N190="No","n/a",ROUND((AH190-AE190)*60,0)))</f>
        <v/>
      </c>
      <c r="AN190" s="28" t="str">
        <f aca="false">IF($A190="","",IF($O190="No","n/a",ROUND((AH190-AF190)*60,0)))</f>
        <v/>
      </c>
      <c r="AO190" s="28" t="str">
        <f aca="false">IF($A190="","",IF($P190="No","n/a",ROUND((AH190-AG190)*60,0)))</f>
        <v/>
      </c>
      <c r="AP190" s="28" t="str">
        <f aca="false">IF($A190="","",ROUND((AH190-AK190)*60,0))</f>
        <v/>
      </c>
      <c r="AQ190" s="28" t="str">
        <f aca="false">IF($A190="","",ROUND((AI190-AH190)*60,0))</f>
        <v/>
      </c>
      <c r="AR190" s="4" t="str">
        <f aca="false">IF($A190="","",IF(AP190&gt;=AC190,"Yes","No"))</f>
        <v/>
      </c>
      <c r="AS190" s="4" t="str">
        <f aca="false">IF($A190="","",IF(AQ190&gt;=AD190+AL190,"Yes","No"))</f>
        <v/>
      </c>
      <c r="AT190" s="4" t="str">
        <f aca="false">IF($A190="","",IF(AND(AR190="Yes",AS190="Yes"),"OK","REVIEW"))</f>
        <v/>
      </c>
      <c r="AU190" s="4" t="str">
        <f aca="false">IF($A190="","",IF($P190="No","Not applicable",IF(AO190&lt;Constants!$B$14,"CAPTURE","Not needed")))</f>
        <v/>
      </c>
      <c r="AV190" s="4" t="str">
        <f aca="false">IF($A190="","",IF($P190="No","n/a",RANK(AO190,AO:AO,1)))</f>
        <v/>
      </c>
      <c r="AW190" s="4" t="str">
        <f aca="false">IF($A190="","",IF(UPPER($E190)="YES","Strategic","Non-strategic"))</f>
        <v/>
      </c>
      <c r="AX190" s="4" t="str">
        <f aca="false">IF($A190="","",COUNTIFS(Fact_Work!$C:$C,$A190))</f>
        <v/>
      </c>
      <c r="AY190" s="4" t="str">
        <f aca="false">IF($A190="","",IF(AX190=0,"Not seen",IF(AX190&gt;=Constants!$B$13*0.6,"Daily",IF(AX190&gt;=Constants!$B$13*0.12,"Weekly","Monthly or ad hoc"))))</f>
        <v/>
      </c>
      <c r="AZ190" s="22" t="str">
        <f aca="false">IF($A190="","",IFERROR(VLOOKUP($U190,Dim_TOP!$A:$H,8,0),""))</f>
        <v/>
      </c>
      <c r="BA190" s="28" t="str">
        <f aca="false">IF($A190="","",IFERROR(ROUND((AH190-AZ190)*60,0),""))</f>
        <v/>
      </c>
      <c r="BB190" s="4" t="str">
        <f aca="false">IF($A190="","",IF(BA190="","",IF(BA190&lt;=0,"Sets the deadline","Later than peers by "&amp;BA190&amp;" min")))</f>
        <v/>
      </c>
      <c r="BC190" s="29" t="str">
        <f aca="false">IF($A190="","",IF($U190="",0,IF(COUNTIFS($U$2:$U190,$U190,$C$2:$C190,$C190)=1,1,0)))</f>
        <v/>
      </c>
      <c r="BD190" s="10" t="str">
        <f aca="false">IF($A190="","",IF(UPPER($P190)="YES","Yes","No"))</f>
        <v/>
      </c>
      <c r="BE190" s="10" t="str">
        <f aca="false">IF($A190="","",IF($N190="No","n/a",IF(AM190&lt;=Constants!$B$17,"Yes","No")))</f>
        <v/>
      </c>
      <c r="BF190" s="10" t="str">
        <f aca="false">IF($A190="","",IF($O190="No","n/a",IF(AN190&lt;=Constants!$B$17,"Yes","No")))</f>
        <v/>
      </c>
      <c r="BG190" s="10" t="str">
        <f aca="false">IF($A190="","",IF($P190="No","n/a",IF(AO190&lt;=Constants!$B$17,"Yes","No")))</f>
        <v/>
      </c>
      <c r="BH190" s="10" t="str">
        <f aca="false">IF($A190="","",IF($N190="No","No custody process",IF(BE190="Yes","Thin custody slack","Ample custody slack")))</f>
        <v/>
      </c>
      <c r="BI190" s="30" t="str">
        <f aca="false">IF($A190="","",IF($N190="No","",AM190))</f>
        <v/>
      </c>
      <c r="BJ190" s="30" t="str">
        <f aca="false">IF($A190="","",IF($O190="No","",AN190))</f>
        <v/>
      </c>
      <c r="BK190" s="30" t="str">
        <f aca="false">IF($A190="","",IF($P190="No","",AO190))</f>
        <v/>
      </c>
    </row>
    <row r="191" customFormat="false" ht="15" hidden="false" customHeight="true" outlineLevel="0" collapsed="false">
      <c r="Z191" s="28" t="str">
        <f aca="false">IF($A191="","",Constants!$B$6+$I191*Constants!$B$7+$J191*Constants!$B$8+$K191*Constants!$B$9+$L191*Constants!$B$10+$M191*Constants!$B$11)</f>
        <v/>
      </c>
      <c r="AA191" s="28" t="str">
        <f aca="false">IF($A191="","",100-Z191)</f>
        <v/>
      </c>
      <c r="AB191" s="28" t="str">
        <f aca="false">IF($A191="","",ROUND($H191*Constants!$B$4,1))</f>
        <v/>
      </c>
      <c r="AC191" s="28" t="str">
        <f aca="false">IF($A191="","",ROUND(AB191*Z191/100,1))</f>
        <v/>
      </c>
      <c r="AD191" s="28" t="str">
        <f aca="false">IF($A191="","",ROUND(AB191*AA191/100,1))</f>
        <v/>
      </c>
      <c r="AE191" s="22" t="str">
        <f aca="false">IF($A191="","",HOUR($Q191)+MINUTE($Q191)/60)</f>
        <v/>
      </c>
      <c r="AF191" s="22" t="str">
        <f aca="false">IF($A191="","",HOUR($R191)+MINUTE($R191)/60)</f>
        <v/>
      </c>
      <c r="AG191" s="22" t="str">
        <f aca="false">IF($A191="","",HOUR($S191)+MINUTE($S191)/60)</f>
        <v/>
      </c>
      <c r="AH191" s="22" t="str">
        <f aca="false">IF($A191="","",HOUR($T191)+MINUTE($T191)/60)</f>
        <v/>
      </c>
      <c r="AI191" s="22" t="str">
        <f aca="false">IF($A191="","",HOUR($V191)+MINUTE($V191)/60)</f>
        <v/>
      </c>
      <c r="AJ191" s="22" t="str">
        <f aca="false">IF($A191="","",HOUR($W191)+MINUTE($W191)/60)</f>
        <v/>
      </c>
      <c r="AK191" s="22" t="str">
        <f aca="false">IF($A191="","",VLOOKUP($F191,Dim_Team!$A:$F,6,0))</f>
        <v/>
      </c>
      <c r="AL191" s="28" t="str">
        <f aca="false">IF($A191="","",VLOOKUP($X191,Dim_Signoff!$A:$C,3,0))</f>
        <v/>
      </c>
      <c r="AM191" s="28" t="str">
        <f aca="false">IF($A191="","",IF($N191="No","n/a",ROUND((AH191-AE191)*60,0)))</f>
        <v/>
      </c>
      <c r="AN191" s="28" t="str">
        <f aca="false">IF($A191="","",IF($O191="No","n/a",ROUND((AH191-AF191)*60,0)))</f>
        <v/>
      </c>
      <c r="AO191" s="28" t="str">
        <f aca="false">IF($A191="","",IF($P191="No","n/a",ROUND((AH191-AG191)*60,0)))</f>
        <v/>
      </c>
      <c r="AP191" s="28" t="str">
        <f aca="false">IF($A191="","",ROUND((AH191-AK191)*60,0))</f>
        <v/>
      </c>
      <c r="AQ191" s="28" t="str">
        <f aca="false">IF($A191="","",ROUND((AI191-AH191)*60,0))</f>
        <v/>
      </c>
      <c r="AR191" s="4" t="str">
        <f aca="false">IF($A191="","",IF(AP191&gt;=AC191,"Yes","No"))</f>
        <v/>
      </c>
      <c r="AS191" s="4" t="str">
        <f aca="false">IF($A191="","",IF(AQ191&gt;=AD191+AL191,"Yes","No"))</f>
        <v/>
      </c>
      <c r="AT191" s="4" t="str">
        <f aca="false">IF($A191="","",IF(AND(AR191="Yes",AS191="Yes"),"OK","REVIEW"))</f>
        <v/>
      </c>
      <c r="AU191" s="4" t="str">
        <f aca="false">IF($A191="","",IF($P191="No","Not applicable",IF(AO191&lt;Constants!$B$14,"CAPTURE","Not needed")))</f>
        <v/>
      </c>
      <c r="AV191" s="4" t="str">
        <f aca="false">IF($A191="","",IF($P191="No","n/a",RANK(AO191,AO:AO,1)))</f>
        <v/>
      </c>
      <c r="AW191" s="4" t="str">
        <f aca="false">IF($A191="","",IF(UPPER($E191)="YES","Strategic","Non-strategic"))</f>
        <v/>
      </c>
      <c r="AX191" s="4" t="str">
        <f aca="false">IF($A191="","",COUNTIFS(Fact_Work!$C:$C,$A191))</f>
        <v/>
      </c>
      <c r="AY191" s="4" t="str">
        <f aca="false">IF($A191="","",IF(AX191=0,"Not seen",IF(AX191&gt;=Constants!$B$13*0.6,"Daily",IF(AX191&gt;=Constants!$B$13*0.12,"Weekly","Monthly or ad hoc"))))</f>
        <v/>
      </c>
      <c r="AZ191" s="22" t="str">
        <f aca="false">IF($A191="","",IFERROR(VLOOKUP($U191,Dim_TOP!$A:$H,8,0),""))</f>
        <v/>
      </c>
      <c r="BA191" s="28" t="str">
        <f aca="false">IF($A191="","",IFERROR(ROUND((AH191-AZ191)*60,0),""))</f>
        <v/>
      </c>
      <c r="BB191" s="4" t="str">
        <f aca="false">IF($A191="","",IF(BA191="","",IF(BA191&lt;=0,"Sets the deadline","Later than peers by "&amp;BA191&amp;" min")))</f>
        <v/>
      </c>
      <c r="BC191" s="29" t="str">
        <f aca="false">IF($A191="","",IF($U191="",0,IF(COUNTIFS($U$2:$U191,$U191,$C$2:$C191,$C191)=1,1,0)))</f>
        <v/>
      </c>
      <c r="BD191" s="10" t="str">
        <f aca="false">IF($A191="","",IF(UPPER($P191)="YES","Yes","No"))</f>
        <v/>
      </c>
      <c r="BE191" s="10" t="str">
        <f aca="false">IF($A191="","",IF($N191="No","n/a",IF(AM191&lt;=Constants!$B$17,"Yes","No")))</f>
        <v/>
      </c>
      <c r="BF191" s="10" t="str">
        <f aca="false">IF($A191="","",IF($O191="No","n/a",IF(AN191&lt;=Constants!$B$17,"Yes","No")))</f>
        <v/>
      </c>
      <c r="BG191" s="10" t="str">
        <f aca="false">IF($A191="","",IF($P191="No","n/a",IF(AO191&lt;=Constants!$B$17,"Yes","No")))</f>
        <v/>
      </c>
      <c r="BH191" s="10" t="str">
        <f aca="false">IF($A191="","",IF($N191="No","No custody process",IF(BE191="Yes","Thin custody slack","Ample custody slack")))</f>
        <v/>
      </c>
      <c r="BI191" s="30" t="str">
        <f aca="false">IF($A191="","",IF($N191="No","",AM191))</f>
        <v/>
      </c>
      <c r="BJ191" s="30" t="str">
        <f aca="false">IF($A191="","",IF($O191="No","",AN191))</f>
        <v/>
      </c>
      <c r="BK191" s="30" t="str">
        <f aca="false">IF($A191="","",IF($P191="No","",AO191))</f>
        <v/>
      </c>
    </row>
    <row r="192" customFormat="false" ht="15" hidden="false" customHeight="true" outlineLevel="0" collapsed="false">
      <c r="Z192" s="28" t="str">
        <f aca="false">IF($A192="","",Constants!$B$6+$I192*Constants!$B$7+$J192*Constants!$B$8+$K192*Constants!$B$9+$L192*Constants!$B$10+$M192*Constants!$B$11)</f>
        <v/>
      </c>
      <c r="AA192" s="28" t="str">
        <f aca="false">IF($A192="","",100-Z192)</f>
        <v/>
      </c>
      <c r="AB192" s="28" t="str">
        <f aca="false">IF($A192="","",ROUND($H192*Constants!$B$4,1))</f>
        <v/>
      </c>
      <c r="AC192" s="28" t="str">
        <f aca="false">IF($A192="","",ROUND(AB192*Z192/100,1))</f>
        <v/>
      </c>
      <c r="AD192" s="28" t="str">
        <f aca="false">IF($A192="","",ROUND(AB192*AA192/100,1))</f>
        <v/>
      </c>
      <c r="AE192" s="22" t="str">
        <f aca="false">IF($A192="","",HOUR($Q192)+MINUTE($Q192)/60)</f>
        <v/>
      </c>
      <c r="AF192" s="22" t="str">
        <f aca="false">IF($A192="","",HOUR($R192)+MINUTE($R192)/60)</f>
        <v/>
      </c>
      <c r="AG192" s="22" t="str">
        <f aca="false">IF($A192="","",HOUR($S192)+MINUTE($S192)/60)</f>
        <v/>
      </c>
      <c r="AH192" s="22" t="str">
        <f aca="false">IF($A192="","",HOUR($T192)+MINUTE($T192)/60)</f>
        <v/>
      </c>
      <c r="AI192" s="22" t="str">
        <f aca="false">IF($A192="","",HOUR($V192)+MINUTE($V192)/60)</f>
        <v/>
      </c>
      <c r="AJ192" s="22" t="str">
        <f aca="false">IF($A192="","",HOUR($W192)+MINUTE($W192)/60)</f>
        <v/>
      </c>
      <c r="AK192" s="22" t="str">
        <f aca="false">IF($A192="","",VLOOKUP($F192,Dim_Team!$A:$F,6,0))</f>
        <v/>
      </c>
      <c r="AL192" s="28" t="str">
        <f aca="false">IF($A192="","",VLOOKUP($X192,Dim_Signoff!$A:$C,3,0))</f>
        <v/>
      </c>
      <c r="AM192" s="28" t="str">
        <f aca="false">IF($A192="","",IF($N192="No","n/a",ROUND((AH192-AE192)*60,0)))</f>
        <v/>
      </c>
      <c r="AN192" s="28" t="str">
        <f aca="false">IF($A192="","",IF($O192="No","n/a",ROUND((AH192-AF192)*60,0)))</f>
        <v/>
      </c>
      <c r="AO192" s="28" t="str">
        <f aca="false">IF($A192="","",IF($P192="No","n/a",ROUND((AH192-AG192)*60,0)))</f>
        <v/>
      </c>
      <c r="AP192" s="28" t="str">
        <f aca="false">IF($A192="","",ROUND((AH192-AK192)*60,0))</f>
        <v/>
      </c>
      <c r="AQ192" s="28" t="str">
        <f aca="false">IF($A192="","",ROUND((AI192-AH192)*60,0))</f>
        <v/>
      </c>
      <c r="AR192" s="4" t="str">
        <f aca="false">IF($A192="","",IF(AP192&gt;=AC192,"Yes","No"))</f>
        <v/>
      </c>
      <c r="AS192" s="4" t="str">
        <f aca="false">IF($A192="","",IF(AQ192&gt;=AD192+AL192,"Yes","No"))</f>
        <v/>
      </c>
      <c r="AT192" s="4" t="str">
        <f aca="false">IF($A192="","",IF(AND(AR192="Yes",AS192="Yes"),"OK","REVIEW"))</f>
        <v/>
      </c>
      <c r="AU192" s="4" t="str">
        <f aca="false">IF($A192="","",IF($P192="No","Not applicable",IF(AO192&lt;Constants!$B$14,"CAPTURE","Not needed")))</f>
        <v/>
      </c>
      <c r="AV192" s="4" t="str">
        <f aca="false">IF($A192="","",IF($P192="No","n/a",RANK(AO192,AO:AO,1)))</f>
        <v/>
      </c>
      <c r="AW192" s="4" t="str">
        <f aca="false">IF($A192="","",IF(UPPER($E192)="YES","Strategic","Non-strategic"))</f>
        <v/>
      </c>
      <c r="AX192" s="4" t="str">
        <f aca="false">IF($A192="","",COUNTIFS(Fact_Work!$C:$C,$A192))</f>
        <v/>
      </c>
      <c r="AY192" s="4" t="str">
        <f aca="false">IF($A192="","",IF(AX192=0,"Not seen",IF(AX192&gt;=Constants!$B$13*0.6,"Daily",IF(AX192&gt;=Constants!$B$13*0.12,"Weekly","Monthly or ad hoc"))))</f>
        <v/>
      </c>
      <c r="AZ192" s="22" t="str">
        <f aca="false">IF($A192="","",IFERROR(VLOOKUP($U192,Dim_TOP!$A:$H,8,0),""))</f>
        <v/>
      </c>
      <c r="BA192" s="28" t="str">
        <f aca="false">IF($A192="","",IFERROR(ROUND((AH192-AZ192)*60,0),""))</f>
        <v/>
      </c>
      <c r="BB192" s="4" t="str">
        <f aca="false">IF($A192="","",IF(BA192="","",IF(BA192&lt;=0,"Sets the deadline","Later than peers by "&amp;BA192&amp;" min")))</f>
        <v/>
      </c>
      <c r="BC192" s="29" t="str">
        <f aca="false">IF($A192="","",IF($U192="",0,IF(COUNTIFS($U$2:$U192,$U192,$C$2:$C192,$C192)=1,1,0)))</f>
        <v/>
      </c>
      <c r="BD192" s="10" t="str">
        <f aca="false">IF($A192="","",IF(UPPER($P192)="YES","Yes","No"))</f>
        <v/>
      </c>
      <c r="BE192" s="10" t="str">
        <f aca="false">IF($A192="","",IF($N192="No","n/a",IF(AM192&lt;=Constants!$B$17,"Yes","No")))</f>
        <v/>
      </c>
      <c r="BF192" s="10" t="str">
        <f aca="false">IF($A192="","",IF($O192="No","n/a",IF(AN192&lt;=Constants!$B$17,"Yes","No")))</f>
        <v/>
      </c>
      <c r="BG192" s="10" t="str">
        <f aca="false">IF($A192="","",IF($P192="No","n/a",IF(AO192&lt;=Constants!$B$17,"Yes","No")))</f>
        <v/>
      </c>
      <c r="BH192" s="10" t="str">
        <f aca="false">IF($A192="","",IF($N192="No","No custody process",IF(BE192="Yes","Thin custody slack","Ample custody slack")))</f>
        <v/>
      </c>
      <c r="BI192" s="30" t="str">
        <f aca="false">IF($A192="","",IF($N192="No","",AM192))</f>
        <v/>
      </c>
      <c r="BJ192" s="30" t="str">
        <f aca="false">IF($A192="","",IF($O192="No","",AN192))</f>
        <v/>
      </c>
      <c r="BK192" s="30" t="str">
        <f aca="false">IF($A192="","",IF($P192="No","",AO192))</f>
        <v/>
      </c>
    </row>
    <row r="193" customFormat="false" ht="15" hidden="false" customHeight="true" outlineLevel="0" collapsed="false">
      <c r="Z193" s="28" t="str">
        <f aca="false">IF($A193="","",Constants!$B$6+$I193*Constants!$B$7+$J193*Constants!$B$8+$K193*Constants!$B$9+$L193*Constants!$B$10+$M193*Constants!$B$11)</f>
        <v/>
      </c>
      <c r="AA193" s="28" t="str">
        <f aca="false">IF($A193="","",100-Z193)</f>
        <v/>
      </c>
      <c r="AB193" s="28" t="str">
        <f aca="false">IF($A193="","",ROUND($H193*Constants!$B$4,1))</f>
        <v/>
      </c>
      <c r="AC193" s="28" t="str">
        <f aca="false">IF($A193="","",ROUND(AB193*Z193/100,1))</f>
        <v/>
      </c>
      <c r="AD193" s="28" t="str">
        <f aca="false">IF($A193="","",ROUND(AB193*AA193/100,1))</f>
        <v/>
      </c>
      <c r="AE193" s="22" t="str">
        <f aca="false">IF($A193="","",HOUR($Q193)+MINUTE($Q193)/60)</f>
        <v/>
      </c>
      <c r="AF193" s="22" t="str">
        <f aca="false">IF($A193="","",HOUR($R193)+MINUTE($R193)/60)</f>
        <v/>
      </c>
      <c r="AG193" s="22" t="str">
        <f aca="false">IF($A193="","",HOUR($S193)+MINUTE($S193)/60)</f>
        <v/>
      </c>
      <c r="AH193" s="22" t="str">
        <f aca="false">IF($A193="","",HOUR($T193)+MINUTE($T193)/60)</f>
        <v/>
      </c>
      <c r="AI193" s="22" t="str">
        <f aca="false">IF($A193="","",HOUR($V193)+MINUTE($V193)/60)</f>
        <v/>
      </c>
      <c r="AJ193" s="22" t="str">
        <f aca="false">IF($A193="","",HOUR($W193)+MINUTE($W193)/60)</f>
        <v/>
      </c>
      <c r="AK193" s="22" t="str">
        <f aca="false">IF($A193="","",VLOOKUP($F193,Dim_Team!$A:$F,6,0))</f>
        <v/>
      </c>
      <c r="AL193" s="28" t="str">
        <f aca="false">IF($A193="","",VLOOKUP($X193,Dim_Signoff!$A:$C,3,0))</f>
        <v/>
      </c>
      <c r="AM193" s="28" t="str">
        <f aca="false">IF($A193="","",IF($N193="No","n/a",ROUND((AH193-AE193)*60,0)))</f>
        <v/>
      </c>
      <c r="AN193" s="28" t="str">
        <f aca="false">IF($A193="","",IF($O193="No","n/a",ROUND((AH193-AF193)*60,0)))</f>
        <v/>
      </c>
      <c r="AO193" s="28" t="str">
        <f aca="false">IF($A193="","",IF($P193="No","n/a",ROUND((AH193-AG193)*60,0)))</f>
        <v/>
      </c>
      <c r="AP193" s="28" t="str">
        <f aca="false">IF($A193="","",ROUND((AH193-AK193)*60,0))</f>
        <v/>
      </c>
      <c r="AQ193" s="28" t="str">
        <f aca="false">IF($A193="","",ROUND((AI193-AH193)*60,0))</f>
        <v/>
      </c>
      <c r="AR193" s="4" t="str">
        <f aca="false">IF($A193="","",IF(AP193&gt;=AC193,"Yes","No"))</f>
        <v/>
      </c>
      <c r="AS193" s="4" t="str">
        <f aca="false">IF($A193="","",IF(AQ193&gt;=AD193+AL193,"Yes","No"))</f>
        <v/>
      </c>
      <c r="AT193" s="4" t="str">
        <f aca="false">IF($A193="","",IF(AND(AR193="Yes",AS193="Yes"),"OK","REVIEW"))</f>
        <v/>
      </c>
      <c r="AU193" s="4" t="str">
        <f aca="false">IF($A193="","",IF($P193="No","Not applicable",IF(AO193&lt;Constants!$B$14,"CAPTURE","Not needed")))</f>
        <v/>
      </c>
      <c r="AV193" s="4" t="str">
        <f aca="false">IF($A193="","",IF($P193="No","n/a",RANK(AO193,AO:AO,1)))</f>
        <v/>
      </c>
      <c r="AW193" s="4" t="str">
        <f aca="false">IF($A193="","",IF(UPPER($E193)="YES","Strategic","Non-strategic"))</f>
        <v/>
      </c>
      <c r="AX193" s="4" t="str">
        <f aca="false">IF($A193="","",COUNTIFS(Fact_Work!$C:$C,$A193))</f>
        <v/>
      </c>
      <c r="AY193" s="4" t="str">
        <f aca="false">IF($A193="","",IF(AX193=0,"Not seen",IF(AX193&gt;=Constants!$B$13*0.6,"Daily",IF(AX193&gt;=Constants!$B$13*0.12,"Weekly","Monthly or ad hoc"))))</f>
        <v/>
      </c>
      <c r="AZ193" s="22" t="str">
        <f aca="false">IF($A193="","",IFERROR(VLOOKUP($U193,Dim_TOP!$A:$H,8,0),""))</f>
        <v/>
      </c>
      <c r="BA193" s="28" t="str">
        <f aca="false">IF($A193="","",IFERROR(ROUND((AH193-AZ193)*60,0),""))</f>
        <v/>
      </c>
      <c r="BB193" s="4" t="str">
        <f aca="false">IF($A193="","",IF(BA193="","",IF(BA193&lt;=0,"Sets the deadline","Later than peers by "&amp;BA193&amp;" min")))</f>
        <v/>
      </c>
      <c r="BC193" s="29" t="str">
        <f aca="false">IF($A193="","",IF($U193="",0,IF(COUNTIFS($U$2:$U193,$U193,$C$2:$C193,$C193)=1,1,0)))</f>
        <v/>
      </c>
      <c r="BD193" s="10" t="str">
        <f aca="false">IF($A193="","",IF(UPPER($P193)="YES","Yes","No"))</f>
        <v/>
      </c>
      <c r="BE193" s="10" t="str">
        <f aca="false">IF($A193="","",IF($N193="No","n/a",IF(AM193&lt;=Constants!$B$17,"Yes","No")))</f>
        <v/>
      </c>
      <c r="BF193" s="10" t="str">
        <f aca="false">IF($A193="","",IF($O193="No","n/a",IF(AN193&lt;=Constants!$B$17,"Yes","No")))</f>
        <v/>
      </c>
      <c r="BG193" s="10" t="str">
        <f aca="false">IF($A193="","",IF($P193="No","n/a",IF(AO193&lt;=Constants!$B$17,"Yes","No")))</f>
        <v/>
      </c>
      <c r="BH193" s="10" t="str">
        <f aca="false">IF($A193="","",IF($N193="No","No custody process",IF(BE193="Yes","Thin custody slack","Ample custody slack")))</f>
        <v/>
      </c>
      <c r="BI193" s="30" t="str">
        <f aca="false">IF($A193="","",IF($N193="No","",AM193))</f>
        <v/>
      </c>
      <c r="BJ193" s="30" t="str">
        <f aca="false">IF($A193="","",IF($O193="No","",AN193))</f>
        <v/>
      </c>
      <c r="BK193" s="30" t="str">
        <f aca="false">IF($A193="","",IF($P193="No","",AO193))</f>
        <v/>
      </c>
    </row>
    <row r="194" customFormat="false" ht="15" hidden="false" customHeight="true" outlineLevel="0" collapsed="false">
      <c r="Z194" s="28" t="str">
        <f aca="false">IF($A194="","",Constants!$B$6+$I194*Constants!$B$7+$J194*Constants!$B$8+$K194*Constants!$B$9+$L194*Constants!$B$10+$M194*Constants!$B$11)</f>
        <v/>
      </c>
      <c r="AA194" s="28" t="str">
        <f aca="false">IF($A194="","",100-Z194)</f>
        <v/>
      </c>
      <c r="AB194" s="28" t="str">
        <f aca="false">IF($A194="","",ROUND($H194*Constants!$B$4,1))</f>
        <v/>
      </c>
      <c r="AC194" s="28" t="str">
        <f aca="false">IF($A194="","",ROUND(AB194*Z194/100,1))</f>
        <v/>
      </c>
      <c r="AD194" s="28" t="str">
        <f aca="false">IF($A194="","",ROUND(AB194*AA194/100,1))</f>
        <v/>
      </c>
      <c r="AE194" s="22" t="str">
        <f aca="false">IF($A194="","",HOUR($Q194)+MINUTE($Q194)/60)</f>
        <v/>
      </c>
      <c r="AF194" s="22" t="str">
        <f aca="false">IF($A194="","",HOUR($R194)+MINUTE($R194)/60)</f>
        <v/>
      </c>
      <c r="AG194" s="22" t="str">
        <f aca="false">IF($A194="","",HOUR($S194)+MINUTE($S194)/60)</f>
        <v/>
      </c>
      <c r="AH194" s="22" t="str">
        <f aca="false">IF($A194="","",HOUR($T194)+MINUTE($T194)/60)</f>
        <v/>
      </c>
      <c r="AI194" s="22" t="str">
        <f aca="false">IF($A194="","",HOUR($V194)+MINUTE($V194)/60)</f>
        <v/>
      </c>
      <c r="AJ194" s="22" t="str">
        <f aca="false">IF($A194="","",HOUR($W194)+MINUTE($W194)/60)</f>
        <v/>
      </c>
      <c r="AK194" s="22" t="str">
        <f aca="false">IF($A194="","",VLOOKUP($F194,Dim_Team!$A:$F,6,0))</f>
        <v/>
      </c>
      <c r="AL194" s="28" t="str">
        <f aca="false">IF($A194="","",VLOOKUP($X194,Dim_Signoff!$A:$C,3,0))</f>
        <v/>
      </c>
      <c r="AM194" s="28" t="str">
        <f aca="false">IF($A194="","",IF($N194="No","n/a",ROUND((AH194-AE194)*60,0)))</f>
        <v/>
      </c>
      <c r="AN194" s="28" t="str">
        <f aca="false">IF($A194="","",IF($O194="No","n/a",ROUND((AH194-AF194)*60,0)))</f>
        <v/>
      </c>
      <c r="AO194" s="28" t="str">
        <f aca="false">IF($A194="","",IF($P194="No","n/a",ROUND((AH194-AG194)*60,0)))</f>
        <v/>
      </c>
      <c r="AP194" s="28" t="str">
        <f aca="false">IF($A194="","",ROUND((AH194-AK194)*60,0))</f>
        <v/>
      </c>
      <c r="AQ194" s="28" t="str">
        <f aca="false">IF($A194="","",ROUND((AI194-AH194)*60,0))</f>
        <v/>
      </c>
      <c r="AR194" s="4" t="str">
        <f aca="false">IF($A194="","",IF(AP194&gt;=AC194,"Yes","No"))</f>
        <v/>
      </c>
      <c r="AS194" s="4" t="str">
        <f aca="false">IF($A194="","",IF(AQ194&gt;=AD194+AL194,"Yes","No"))</f>
        <v/>
      </c>
      <c r="AT194" s="4" t="str">
        <f aca="false">IF($A194="","",IF(AND(AR194="Yes",AS194="Yes"),"OK","REVIEW"))</f>
        <v/>
      </c>
      <c r="AU194" s="4" t="str">
        <f aca="false">IF($A194="","",IF($P194="No","Not applicable",IF(AO194&lt;Constants!$B$14,"CAPTURE","Not needed")))</f>
        <v/>
      </c>
      <c r="AV194" s="4" t="str">
        <f aca="false">IF($A194="","",IF($P194="No","n/a",RANK(AO194,AO:AO,1)))</f>
        <v/>
      </c>
      <c r="AW194" s="4" t="str">
        <f aca="false">IF($A194="","",IF(UPPER($E194)="YES","Strategic","Non-strategic"))</f>
        <v/>
      </c>
      <c r="AX194" s="4" t="str">
        <f aca="false">IF($A194="","",COUNTIFS(Fact_Work!$C:$C,$A194))</f>
        <v/>
      </c>
      <c r="AY194" s="4" t="str">
        <f aca="false">IF($A194="","",IF(AX194=0,"Not seen",IF(AX194&gt;=Constants!$B$13*0.6,"Daily",IF(AX194&gt;=Constants!$B$13*0.12,"Weekly","Monthly or ad hoc"))))</f>
        <v/>
      </c>
      <c r="AZ194" s="22" t="str">
        <f aca="false">IF($A194="","",IFERROR(VLOOKUP($U194,Dim_TOP!$A:$H,8,0),""))</f>
        <v/>
      </c>
      <c r="BA194" s="28" t="str">
        <f aca="false">IF($A194="","",IFERROR(ROUND((AH194-AZ194)*60,0),""))</f>
        <v/>
      </c>
      <c r="BB194" s="4" t="str">
        <f aca="false">IF($A194="","",IF(BA194="","",IF(BA194&lt;=0,"Sets the deadline","Later than peers by "&amp;BA194&amp;" min")))</f>
        <v/>
      </c>
      <c r="BC194" s="29" t="str">
        <f aca="false">IF($A194="","",IF($U194="",0,IF(COUNTIFS($U$2:$U194,$U194,$C$2:$C194,$C194)=1,1,0)))</f>
        <v/>
      </c>
      <c r="BD194" s="10" t="str">
        <f aca="false">IF($A194="","",IF(UPPER($P194)="YES","Yes","No"))</f>
        <v/>
      </c>
      <c r="BE194" s="10" t="str">
        <f aca="false">IF($A194="","",IF($N194="No","n/a",IF(AM194&lt;=Constants!$B$17,"Yes","No")))</f>
        <v/>
      </c>
      <c r="BF194" s="10" t="str">
        <f aca="false">IF($A194="","",IF($O194="No","n/a",IF(AN194&lt;=Constants!$B$17,"Yes","No")))</f>
        <v/>
      </c>
      <c r="BG194" s="10" t="str">
        <f aca="false">IF($A194="","",IF($P194="No","n/a",IF(AO194&lt;=Constants!$B$17,"Yes","No")))</f>
        <v/>
      </c>
      <c r="BH194" s="10" t="str">
        <f aca="false">IF($A194="","",IF($N194="No","No custody process",IF(BE194="Yes","Thin custody slack","Ample custody slack")))</f>
        <v/>
      </c>
      <c r="BI194" s="30" t="str">
        <f aca="false">IF($A194="","",IF($N194="No","",AM194))</f>
        <v/>
      </c>
      <c r="BJ194" s="30" t="str">
        <f aca="false">IF($A194="","",IF($O194="No","",AN194))</f>
        <v/>
      </c>
      <c r="BK194" s="30" t="str">
        <f aca="false">IF($A194="","",IF($P194="No","",AO194))</f>
        <v/>
      </c>
    </row>
    <row r="195" customFormat="false" ht="15" hidden="false" customHeight="true" outlineLevel="0" collapsed="false">
      <c r="Z195" s="28" t="str">
        <f aca="false">IF($A195="","",Constants!$B$6+$I195*Constants!$B$7+$J195*Constants!$B$8+$K195*Constants!$B$9+$L195*Constants!$B$10+$M195*Constants!$B$11)</f>
        <v/>
      </c>
      <c r="AA195" s="28" t="str">
        <f aca="false">IF($A195="","",100-Z195)</f>
        <v/>
      </c>
      <c r="AB195" s="28" t="str">
        <f aca="false">IF($A195="","",ROUND($H195*Constants!$B$4,1))</f>
        <v/>
      </c>
      <c r="AC195" s="28" t="str">
        <f aca="false">IF($A195="","",ROUND(AB195*Z195/100,1))</f>
        <v/>
      </c>
      <c r="AD195" s="28" t="str">
        <f aca="false">IF($A195="","",ROUND(AB195*AA195/100,1))</f>
        <v/>
      </c>
      <c r="AE195" s="22" t="str">
        <f aca="false">IF($A195="","",HOUR($Q195)+MINUTE($Q195)/60)</f>
        <v/>
      </c>
      <c r="AF195" s="22" t="str">
        <f aca="false">IF($A195="","",HOUR($R195)+MINUTE($R195)/60)</f>
        <v/>
      </c>
      <c r="AG195" s="22" t="str">
        <f aca="false">IF($A195="","",HOUR($S195)+MINUTE($S195)/60)</f>
        <v/>
      </c>
      <c r="AH195" s="22" t="str">
        <f aca="false">IF($A195="","",HOUR($T195)+MINUTE($T195)/60)</f>
        <v/>
      </c>
      <c r="AI195" s="22" t="str">
        <f aca="false">IF($A195="","",HOUR($V195)+MINUTE($V195)/60)</f>
        <v/>
      </c>
      <c r="AJ195" s="22" t="str">
        <f aca="false">IF($A195="","",HOUR($W195)+MINUTE($W195)/60)</f>
        <v/>
      </c>
      <c r="AK195" s="22" t="str">
        <f aca="false">IF($A195="","",VLOOKUP($F195,Dim_Team!$A:$F,6,0))</f>
        <v/>
      </c>
      <c r="AL195" s="28" t="str">
        <f aca="false">IF($A195="","",VLOOKUP($X195,Dim_Signoff!$A:$C,3,0))</f>
        <v/>
      </c>
      <c r="AM195" s="28" t="str">
        <f aca="false">IF($A195="","",IF($N195="No","n/a",ROUND((AH195-AE195)*60,0)))</f>
        <v/>
      </c>
      <c r="AN195" s="28" t="str">
        <f aca="false">IF($A195="","",IF($O195="No","n/a",ROUND((AH195-AF195)*60,0)))</f>
        <v/>
      </c>
      <c r="AO195" s="28" t="str">
        <f aca="false">IF($A195="","",IF($P195="No","n/a",ROUND((AH195-AG195)*60,0)))</f>
        <v/>
      </c>
      <c r="AP195" s="28" t="str">
        <f aca="false">IF($A195="","",ROUND((AH195-AK195)*60,0))</f>
        <v/>
      </c>
      <c r="AQ195" s="28" t="str">
        <f aca="false">IF($A195="","",ROUND((AI195-AH195)*60,0))</f>
        <v/>
      </c>
      <c r="AR195" s="4" t="str">
        <f aca="false">IF($A195="","",IF(AP195&gt;=AC195,"Yes","No"))</f>
        <v/>
      </c>
      <c r="AS195" s="4" t="str">
        <f aca="false">IF($A195="","",IF(AQ195&gt;=AD195+AL195,"Yes","No"))</f>
        <v/>
      </c>
      <c r="AT195" s="4" t="str">
        <f aca="false">IF($A195="","",IF(AND(AR195="Yes",AS195="Yes"),"OK","REVIEW"))</f>
        <v/>
      </c>
      <c r="AU195" s="4" t="str">
        <f aca="false">IF($A195="","",IF($P195="No","Not applicable",IF(AO195&lt;Constants!$B$14,"CAPTURE","Not needed")))</f>
        <v/>
      </c>
      <c r="AV195" s="4" t="str">
        <f aca="false">IF($A195="","",IF($P195="No","n/a",RANK(AO195,AO:AO,1)))</f>
        <v/>
      </c>
      <c r="AW195" s="4" t="str">
        <f aca="false">IF($A195="","",IF(UPPER($E195)="YES","Strategic","Non-strategic"))</f>
        <v/>
      </c>
      <c r="AX195" s="4" t="str">
        <f aca="false">IF($A195="","",COUNTIFS(Fact_Work!$C:$C,$A195))</f>
        <v/>
      </c>
      <c r="AY195" s="4" t="str">
        <f aca="false">IF($A195="","",IF(AX195=0,"Not seen",IF(AX195&gt;=Constants!$B$13*0.6,"Daily",IF(AX195&gt;=Constants!$B$13*0.12,"Weekly","Monthly or ad hoc"))))</f>
        <v/>
      </c>
      <c r="AZ195" s="22" t="str">
        <f aca="false">IF($A195="","",IFERROR(VLOOKUP($U195,Dim_TOP!$A:$H,8,0),""))</f>
        <v/>
      </c>
      <c r="BA195" s="28" t="str">
        <f aca="false">IF($A195="","",IFERROR(ROUND((AH195-AZ195)*60,0),""))</f>
        <v/>
      </c>
      <c r="BB195" s="4" t="str">
        <f aca="false">IF($A195="","",IF(BA195="","",IF(BA195&lt;=0,"Sets the deadline","Later than peers by "&amp;BA195&amp;" min")))</f>
        <v/>
      </c>
      <c r="BC195" s="29" t="str">
        <f aca="false">IF($A195="","",IF($U195="",0,IF(COUNTIFS($U$2:$U195,$U195,$C$2:$C195,$C195)=1,1,0)))</f>
        <v/>
      </c>
      <c r="BD195" s="10" t="str">
        <f aca="false">IF($A195="","",IF(UPPER($P195)="YES","Yes","No"))</f>
        <v/>
      </c>
      <c r="BE195" s="10" t="str">
        <f aca="false">IF($A195="","",IF($N195="No","n/a",IF(AM195&lt;=Constants!$B$17,"Yes","No")))</f>
        <v/>
      </c>
      <c r="BF195" s="10" t="str">
        <f aca="false">IF($A195="","",IF($O195="No","n/a",IF(AN195&lt;=Constants!$B$17,"Yes","No")))</f>
        <v/>
      </c>
      <c r="BG195" s="10" t="str">
        <f aca="false">IF($A195="","",IF($P195="No","n/a",IF(AO195&lt;=Constants!$B$17,"Yes","No")))</f>
        <v/>
      </c>
      <c r="BH195" s="10" t="str">
        <f aca="false">IF($A195="","",IF($N195="No","No custody process",IF(BE195="Yes","Thin custody slack","Ample custody slack")))</f>
        <v/>
      </c>
      <c r="BI195" s="30" t="str">
        <f aca="false">IF($A195="","",IF($N195="No","",AM195))</f>
        <v/>
      </c>
      <c r="BJ195" s="30" t="str">
        <f aca="false">IF($A195="","",IF($O195="No","",AN195))</f>
        <v/>
      </c>
      <c r="BK195" s="30" t="str">
        <f aca="false">IF($A195="","",IF($P195="No","",AO195))</f>
        <v/>
      </c>
    </row>
    <row r="196" customFormat="false" ht="15" hidden="false" customHeight="true" outlineLevel="0" collapsed="false">
      <c r="Z196" s="28" t="str">
        <f aca="false">IF($A196="","",Constants!$B$6+$I196*Constants!$B$7+$J196*Constants!$B$8+$K196*Constants!$B$9+$L196*Constants!$B$10+$M196*Constants!$B$11)</f>
        <v/>
      </c>
      <c r="AA196" s="28" t="str">
        <f aca="false">IF($A196="","",100-Z196)</f>
        <v/>
      </c>
      <c r="AB196" s="28" t="str">
        <f aca="false">IF($A196="","",ROUND($H196*Constants!$B$4,1))</f>
        <v/>
      </c>
      <c r="AC196" s="28" t="str">
        <f aca="false">IF($A196="","",ROUND(AB196*Z196/100,1))</f>
        <v/>
      </c>
      <c r="AD196" s="28" t="str">
        <f aca="false">IF($A196="","",ROUND(AB196*AA196/100,1))</f>
        <v/>
      </c>
      <c r="AE196" s="22" t="str">
        <f aca="false">IF($A196="","",HOUR($Q196)+MINUTE($Q196)/60)</f>
        <v/>
      </c>
      <c r="AF196" s="22" t="str">
        <f aca="false">IF($A196="","",HOUR($R196)+MINUTE($R196)/60)</f>
        <v/>
      </c>
      <c r="AG196" s="22" t="str">
        <f aca="false">IF($A196="","",HOUR($S196)+MINUTE($S196)/60)</f>
        <v/>
      </c>
      <c r="AH196" s="22" t="str">
        <f aca="false">IF($A196="","",HOUR($T196)+MINUTE($T196)/60)</f>
        <v/>
      </c>
      <c r="AI196" s="22" t="str">
        <f aca="false">IF($A196="","",HOUR($V196)+MINUTE($V196)/60)</f>
        <v/>
      </c>
      <c r="AJ196" s="22" t="str">
        <f aca="false">IF($A196="","",HOUR($W196)+MINUTE($W196)/60)</f>
        <v/>
      </c>
      <c r="AK196" s="22" t="str">
        <f aca="false">IF($A196="","",VLOOKUP($F196,Dim_Team!$A:$F,6,0))</f>
        <v/>
      </c>
      <c r="AL196" s="28" t="str">
        <f aca="false">IF($A196="","",VLOOKUP($X196,Dim_Signoff!$A:$C,3,0))</f>
        <v/>
      </c>
      <c r="AM196" s="28" t="str">
        <f aca="false">IF($A196="","",IF($N196="No","n/a",ROUND((AH196-AE196)*60,0)))</f>
        <v/>
      </c>
      <c r="AN196" s="28" t="str">
        <f aca="false">IF($A196="","",IF($O196="No","n/a",ROUND((AH196-AF196)*60,0)))</f>
        <v/>
      </c>
      <c r="AO196" s="28" t="str">
        <f aca="false">IF($A196="","",IF($P196="No","n/a",ROUND((AH196-AG196)*60,0)))</f>
        <v/>
      </c>
      <c r="AP196" s="28" t="str">
        <f aca="false">IF($A196="","",ROUND((AH196-AK196)*60,0))</f>
        <v/>
      </c>
      <c r="AQ196" s="28" t="str">
        <f aca="false">IF($A196="","",ROUND((AI196-AH196)*60,0))</f>
        <v/>
      </c>
      <c r="AR196" s="4" t="str">
        <f aca="false">IF($A196="","",IF(AP196&gt;=AC196,"Yes","No"))</f>
        <v/>
      </c>
      <c r="AS196" s="4" t="str">
        <f aca="false">IF($A196="","",IF(AQ196&gt;=AD196+AL196,"Yes","No"))</f>
        <v/>
      </c>
      <c r="AT196" s="4" t="str">
        <f aca="false">IF($A196="","",IF(AND(AR196="Yes",AS196="Yes"),"OK","REVIEW"))</f>
        <v/>
      </c>
      <c r="AU196" s="4" t="str">
        <f aca="false">IF($A196="","",IF($P196="No","Not applicable",IF(AO196&lt;Constants!$B$14,"CAPTURE","Not needed")))</f>
        <v/>
      </c>
      <c r="AV196" s="4" t="str">
        <f aca="false">IF($A196="","",IF($P196="No","n/a",RANK(AO196,AO:AO,1)))</f>
        <v/>
      </c>
      <c r="AW196" s="4" t="str">
        <f aca="false">IF($A196="","",IF(UPPER($E196)="YES","Strategic","Non-strategic"))</f>
        <v/>
      </c>
      <c r="AX196" s="4" t="str">
        <f aca="false">IF($A196="","",COUNTIFS(Fact_Work!$C:$C,$A196))</f>
        <v/>
      </c>
      <c r="AY196" s="4" t="str">
        <f aca="false">IF($A196="","",IF(AX196=0,"Not seen",IF(AX196&gt;=Constants!$B$13*0.6,"Daily",IF(AX196&gt;=Constants!$B$13*0.12,"Weekly","Monthly or ad hoc"))))</f>
        <v/>
      </c>
      <c r="AZ196" s="22" t="str">
        <f aca="false">IF($A196="","",IFERROR(VLOOKUP($U196,Dim_TOP!$A:$H,8,0),""))</f>
        <v/>
      </c>
      <c r="BA196" s="28" t="str">
        <f aca="false">IF($A196="","",IFERROR(ROUND((AH196-AZ196)*60,0),""))</f>
        <v/>
      </c>
      <c r="BB196" s="4" t="str">
        <f aca="false">IF($A196="","",IF(BA196="","",IF(BA196&lt;=0,"Sets the deadline","Later than peers by "&amp;BA196&amp;" min")))</f>
        <v/>
      </c>
      <c r="BC196" s="29" t="str">
        <f aca="false">IF($A196="","",IF($U196="",0,IF(COUNTIFS($U$2:$U196,$U196,$C$2:$C196,$C196)=1,1,0)))</f>
        <v/>
      </c>
      <c r="BD196" s="10" t="str">
        <f aca="false">IF($A196="","",IF(UPPER($P196)="YES","Yes","No"))</f>
        <v/>
      </c>
      <c r="BE196" s="10" t="str">
        <f aca="false">IF($A196="","",IF($N196="No","n/a",IF(AM196&lt;=Constants!$B$17,"Yes","No")))</f>
        <v/>
      </c>
      <c r="BF196" s="10" t="str">
        <f aca="false">IF($A196="","",IF($O196="No","n/a",IF(AN196&lt;=Constants!$B$17,"Yes","No")))</f>
        <v/>
      </c>
      <c r="BG196" s="10" t="str">
        <f aca="false">IF($A196="","",IF($P196="No","n/a",IF(AO196&lt;=Constants!$B$17,"Yes","No")))</f>
        <v/>
      </c>
      <c r="BH196" s="10" t="str">
        <f aca="false">IF($A196="","",IF($N196="No","No custody process",IF(BE196="Yes","Thin custody slack","Ample custody slack")))</f>
        <v/>
      </c>
      <c r="BI196" s="30" t="str">
        <f aca="false">IF($A196="","",IF($N196="No","",AM196))</f>
        <v/>
      </c>
      <c r="BJ196" s="30" t="str">
        <f aca="false">IF($A196="","",IF($O196="No","",AN196))</f>
        <v/>
      </c>
      <c r="BK196" s="30" t="str">
        <f aca="false">IF($A196="","",IF($P196="No","",AO196))</f>
        <v/>
      </c>
    </row>
    <row r="197" customFormat="false" ht="15" hidden="false" customHeight="true" outlineLevel="0" collapsed="false">
      <c r="Z197" s="28" t="str">
        <f aca="false">IF($A197="","",Constants!$B$6+$I197*Constants!$B$7+$J197*Constants!$B$8+$K197*Constants!$B$9+$L197*Constants!$B$10+$M197*Constants!$B$11)</f>
        <v/>
      </c>
      <c r="AA197" s="28" t="str">
        <f aca="false">IF($A197="","",100-Z197)</f>
        <v/>
      </c>
      <c r="AB197" s="28" t="str">
        <f aca="false">IF($A197="","",ROUND($H197*Constants!$B$4,1))</f>
        <v/>
      </c>
      <c r="AC197" s="28" t="str">
        <f aca="false">IF($A197="","",ROUND(AB197*Z197/100,1))</f>
        <v/>
      </c>
      <c r="AD197" s="28" t="str">
        <f aca="false">IF($A197="","",ROUND(AB197*AA197/100,1))</f>
        <v/>
      </c>
      <c r="AE197" s="22" t="str">
        <f aca="false">IF($A197="","",HOUR($Q197)+MINUTE($Q197)/60)</f>
        <v/>
      </c>
      <c r="AF197" s="22" t="str">
        <f aca="false">IF($A197="","",HOUR($R197)+MINUTE($R197)/60)</f>
        <v/>
      </c>
      <c r="AG197" s="22" t="str">
        <f aca="false">IF($A197="","",HOUR($S197)+MINUTE($S197)/60)</f>
        <v/>
      </c>
      <c r="AH197" s="22" t="str">
        <f aca="false">IF($A197="","",HOUR($T197)+MINUTE($T197)/60)</f>
        <v/>
      </c>
      <c r="AI197" s="22" t="str">
        <f aca="false">IF($A197="","",HOUR($V197)+MINUTE($V197)/60)</f>
        <v/>
      </c>
      <c r="AJ197" s="22" t="str">
        <f aca="false">IF($A197="","",HOUR($W197)+MINUTE($W197)/60)</f>
        <v/>
      </c>
      <c r="AK197" s="22" t="str">
        <f aca="false">IF($A197="","",VLOOKUP($F197,Dim_Team!$A:$F,6,0))</f>
        <v/>
      </c>
      <c r="AL197" s="28" t="str">
        <f aca="false">IF($A197="","",VLOOKUP($X197,Dim_Signoff!$A:$C,3,0))</f>
        <v/>
      </c>
      <c r="AM197" s="28" t="str">
        <f aca="false">IF($A197="","",IF($N197="No","n/a",ROUND((AH197-AE197)*60,0)))</f>
        <v/>
      </c>
      <c r="AN197" s="28" t="str">
        <f aca="false">IF($A197="","",IF($O197="No","n/a",ROUND((AH197-AF197)*60,0)))</f>
        <v/>
      </c>
      <c r="AO197" s="28" t="str">
        <f aca="false">IF($A197="","",IF($P197="No","n/a",ROUND((AH197-AG197)*60,0)))</f>
        <v/>
      </c>
      <c r="AP197" s="28" t="str">
        <f aca="false">IF($A197="","",ROUND((AH197-AK197)*60,0))</f>
        <v/>
      </c>
      <c r="AQ197" s="28" t="str">
        <f aca="false">IF($A197="","",ROUND((AI197-AH197)*60,0))</f>
        <v/>
      </c>
      <c r="AR197" s="4" t="str">
        <f aca="false">IF($A197="","",IF(AP197&gt;=AC197,"Yes","No"))</f>
        <v/>
      </c>
      <c r="AS197" s="4" t="str">
        <f aca="false">IF($A197="","",IF(AQ197&gt;=AD197+AL197,"Yes","No"))</f>
        <v/>
      </c>
      <c r="AT197" s="4" t="str">
        <f aca="false">IF($A197="","",IF(AND(AR197="Yes",AS197="Yes"),"OK","REVIEW"))</f>
        <v/>
      </c>
      <c r="AU197" s="4" t="str">
        <f aca="false">IF($A197="","",IF($P197="No","Not applicable",IF(AO197&lt;Constants!$B$14,"CAPTURE","Not needed")))</f>
        <v/>
      </c>
      <c r="AV197" s="4" t="str">
        <f aca="false">IF($A197="","",IF($P197="No","n/a",RANK(AO197,AO:AO,1)))</f>
        <v/>
      </c>
      <c r="AW197" s="4" t="str">
        <f aca="false">IF($A197="","",IF(UPPER($E197)="YES","Strategic","Non-strategic"))</f>
        <v/>
      </c>
      <c r="AX197" s="4" t="str">
        <f aca="false">IF($A197="","",COUNTIFS(Fact_Work!$C:$C,$A197))</f>
        <v/>
      </c>
      <c r="AY197" s="4" t="str">
        <f aca="false">IF($A197="","",IF(AX197=0,"Not seen",IF(AX197&gt;=Constants!$B$13*0.6,"Daily",IF(AX197&gt;=Constants!$B$13*0.12,"Weekly","Monthly or ad hoc"))))</f>
        <v/>
      </c>
      <c r="AZ197" s="22" t="str">
        <f aca="false">IF($A197="","",IFERROR(VLOOKUP($U197,Dim_TOP!$A:$H,8,0),""))</f>
        <v/>
      </c>
      <c r="BA197" s="28" t="str">
        <f aca="false">IF($A197="","",IFERROR(ROUND((AH197-AZ197)*60,0),""))</f>
        <v/>
      </c>
      <c r="BB197" s="4" t="str">
        <f aca="false">IF($A197="","",IF(BA197="","",IF(BA197&lt;=0,"Sets the deadline","Later than peers by "&amp;BA197&amp;" min")))</f>
        <v/>
      </c>
      <c r="BC197" s="29" t="str">
        <f aca="false">IF($A197="","",IF($U197="",0,IF(COUNTIFS($U$2:$U197,$U197,$C$2:$C197,$C197)=1,1,0)))</f>
        <v/>
      </c>
      <c r="BD197" s="10" t="str">
        <f aca="false">IF($A197="","",IF(UPPER($P197)="YES","Yes","No"))</f>
        <v/>
      </c>
      <c r="BE197" s="10" t="str">
        <f aca="false">IF($A197="","",IF($N197="No","n/a",IF(AM197&lt;=Constants!$B$17,"Yes","No")))</f>
        <v/>
      </c>
      <c r="BF197" s="10" t="str">
        <f aca="false">IF($A197="","",IF($O197="No","n/a",IF(AN197&lt;=Constants!$B$17,"Yes","No")))</f>
        <v/>
      </c>
      <c r="BG197" s="10" t="str">
        <f aca="false">IF($A197="","",IF($P197="No","n/a",IF(AO197&lt;=Constants!$B$17,"Yes","No")))</f>
        <v/>
      </c>
      <c r="BH197" s="10" t="str">
        <f aca="false">IF($A197="","",IF($N197="No","No custody process",IF(BE197="Yes","Thin custody slack","Ample custody slack")))</f>
        <v/>
      </c>
      <c r="BI197" s="30" t="str">
        <f aca="false">IF($A197="","",IF($N197="No","",AM197))</f>
        <v/>
      </c>
      <c r="BJ197" s="30" t="str">
        <f aca="false">IF($A197="","",IF($O197="No","",AN197))</f>
        <v/>
      </c>
      <c r="BK197" s="30" t="str">
        <f aca="false">IF($A197="","",IF($P197="No","",AO197))</f>
        <v/>
      </c>
    </row>
    <row r="198" customFormat="false" ht="15" hidden="false" customHeight="true" outlineLevel="0" collapsed="false">
      <c r="Z198" s="28" t="str">
        <f aca="false">IF($A198="","",Constants!$B$6+$I198*Constants!$B$7+$J198*Constants!$B$8+$K198*Constants!$B$9+$L198*Constants!$B$10+$M198*Constants!$B$11)</f>
        <v/>
      </c>
      <c r="AA198" s="28" t="str">
        <f aca="false">IF($A198="","",100-Z198)</f>
        <v/>
      </c>
      <c r="AB198" s="28" t="str">
        <f aca="false">IF($A198="","",ROUND($H198*Constants!$B$4,1))</f>
        <v/>
      </c>
      <c r="AC198" s="28" t="str">
        <f aca="false">IF($A198="","",ROUND(AB198*Z198/100,1))</f>
        <v/>
      </c>
      <c r="AD198" s="28" t="str">
        <f aca="false">IF($A198="","",ROUND(AB198*AA198/100,1))</f>
        <v/>
      </c>
      <c r="AE198" s="22" t="str">
        <f aca="false">IF($A198="","",HOUR($Q198)+MINUTE($Q198)/60)</f>
        <v/>
      </c>
      <c r="AF198" s="22" t="str">
        <f aca="false">IF($A198="","",HOUR($R198)+MINUTE($R198)/60)</f>
        <v/>
      </c>
      <c r="AG198" s="22" t="str">
        <f aca="false">IF($A198="","",HOUR($S198)+MINUTE($S198)/60)</f>
        <v/>
      </c>
      <c r="AH198" s="22" t="str">
        <f aca="false">IF($A198="","",HOUR($T198)+MINUTE($T198)/60)</f>
        <v/>
      </c>
      <c r="AI198" s="22" t="str">
        <f aca="false">IF($A198="","",HOUR($V198)+MINUTE($V198)/60)</f>
        <v/>
      </c>
      <c r="AJ198" s="22" t="str">
        <f aca="false">IF($A198="","",HOUR($W198)+MINUTE($W198)/60)</f>
        <v/>
      </c>
      <c r="AK198" s="22" t="str">
        <f aca="false">IF($A198="","",VLOOKUP($F198,Dim_Team!$A:$F,6,0))</f>
        <v/>
      </c>
      <c r="AL198" s="28" t="str">
        <f aca="false">IF($A198="","",VLOOKUP($X198,Dim_Signoff!$A:$C,3,0))</f>
        <v/>
      </c>
      <c r="AM198" s="28" t="str">
        <f aca="false">IF($A198="","",IF($N198="No","n/a",ROUND((AH198-AE198)*60,0)))</f>
        <v/>
      </c>
      <c r="AN198" s="28" t="str">
        <f aca="false">IF($A198="","",IF($O198="No","n/a",ROUND((AH198-AF198)*60,0)))</f>
        <v/>
      </c>
      <c r="AO198" s="28" t="str">
        <f aca="false">IF($A198="","",IF($P198="No","n/a",ROUND((AH198-AG198)*60,0)))</f>
        <v/>
      </c>
      <c r="AP198" s="28" t="str">
        <f aca="false">IF($A198="","",ROUND((AH198-AK198)*60,0))</f>
        <v/>
      </c>
      <c r="AQ198" s="28" t="str">
        <f aca="false">IF($A198="","",ROUND((AI198-AH198)*60,0))</f>
        <v/>
      </c>
      <c r="AR198" s="4" t="str">
        <f aca="false">IF($A198="","",IF(AP198&gt;=AC198,"Yes","No"))</f>
        <v/>
      </c>
      <c r="AS198" s="4" t="str">
        <f aca="false">IF($A198="","",IF(AQ198&gt;=AD198+AL198,"Yes","No"))</f>
        <v/>
      </c>
      <c r="AT198" s="4" t="str">
        <f aca="false">IF($A198="","",IF(AND(AR198="Yes",AS198="Yes"),"OK","REVIEW"))</f>
        <v/>
      </c>
      <c r="AU198" s="4" t="str">
        <f aca="false">IF($A198="","",IF($P198="No","Not applicable",IF(AO198&lt;Constants!$B$14,"CAPTURE","Not needed")))</f>
        <v/>
      </c>
      <c r="AV198" s="4" t="str">
        <f aca="false">IF($A198="","",IF($P198="No","n/a",RANK(AO198,AO:AO,1)))</f>
        <v/>
      </c>
      <c r="AW198" s="4" t="str">
        <f aca="false">IF($A198="","",IF(UPPER($E198)="YES","Strategic","Non-strategic"))</f>
        <v/>
      </c>
      <c r="AX198" s="4" t="str">
        <f aca="false">IF($A198="","",COUNTIFS(Fact_Work!$C:$C,$A198))</f>
        <v/>
      </c>
      <c r="AY198" s="4" t="str">
        <f aca="false">IF($A198="","",IF(AX198=0,"Not seen",IF(AX198&gt;=Constants!$B$13*0.6,"Daily",IF(AX198&gt;=Constants!$B$13*0.12,"Weekly","Monthly or ad hoc"))))</f>
        <v/>
      </c>
      <c r="AZ198" s="22" t="str">
        <f aca="false">IF($A198="","",IFERROR(VLOOKUP($U198,Dim_TOP!$A:$H,8,0),""))</f>
        <v/>
      </c>
      <c r="BA198" s="28" t="str">
        <f aca="false">IF($A198="","",IFERROR(ROUND((AH198-AZ198)*60,0),""))</f>
        <v/>
      </c>
      <c r="BB198" s="4" t="str">
        <f aca="false">IF($A198="","",IF(BA198="","",IF(BA198&lt;=0,"Sets the deadline","Later than peers by "&amp;BA198&amp;" min")))</f>
        <v/>
      </c>
      <c r="BC198" s="29" t="str">
        <f aca="false">IF($A198="","",IF($U198="",0,IF(COUNTIFS($U$2:$U198,$U198,$C$2:$C198,$C198)=1,1,0)))</f>
        <v/>
      </c>
      <c r="BD198" s="10" t="str">
        <f aca="false">IF($A198="","",IF(UPPER($P198)="YES","Yes","No"))</f>
        <v/>
      </c>
      <c r="BE198" s="10" t="str">
        <f aca="false">IF($A198="","",IF($N198="No","n/a",IF(AM198&lt;=Constants!$B$17,"Yes","No")))</f>
        <v/>
      </c>
      <c r="BF198" s="10" t="str">
        <f aca="false">IF($A198="","",IF($O198="No","n/a",IF(AN198&lt;=Constants!$B$17,"Yes","No")))</f>
        <v/>
      </c>
      <c r="BG198" s="10" t="str">
        <f aca="false">IF($A198="","",IF($P198="No","n/a",IF(AO198&lt;=Constants!$B$17,"Yes","No")))</f>
        <v/>
      </c>
      <c r="BH198" s="10" t="str">
        <f aca="false">IF($A198="","",IF($N198="No","No custody process",IF(BE198="Yes","Thin custody slack","Ample custody slack")))</f>
        <v/>
      </c>
      <c r="BI198" s="30" t="str">
        <f aca="false">IF($A198="","",IF($N198="No","",AM198))</f>
        <v/>
      </c>
      <c r="BJ198" s="30" t="str">
        <f aca="false">IF($A198="","",IF($O198="No","",AN198))</f>
        <v/>
      </c>
      <c r="BK198" s="30" t="str">
        <f aca="false">IF($A198="","",IF($P198="No","",AO198))</f>
        <v/>
      </c>
    </row>
    <row r="199" customFormat="false" ht="15" hidden="false" customHeight="true" outlineLevel="0" collapsed="false">
      <c r="Z199" s="28" t="str">
        <f aca="false">IF($A199="","",Constants!$B$6+$I199*Constants!$B$7+$J199*Constants!$B$8+$K199*Constants!$B$9+$L199*Constants!$B$10+$M199*Constants!$B$11)</f>
        <v/>
      </c>
      <c r="AA199" s="28" t="str">
        <f aca="false">IF($A199="","",100-Z199)</f>
        <v/>
      </c>
      <c r="AB199" s="28" t="str">
        <f aca="false">IF($A199="","",ROUND($H199*Constants!$B$4,1))</f>
        <v/>
      </c>
      <c r="AC199" s="28" t="str">
        <f aca="false">IF($A199="","",ROUND(AB199*Z199/100,1))</f>
        <v/>
      </c>
      <c r="AD199" s="28" t="str">
        <f aca="false">IF($A199="","",ROUND(AB199*AA199/100,1))</f>
        <v/>
      </c>
      <c r="AE199" s="22" t="str">
        <f aca="false">IF($A199="","",HOUR($Q199)+MINUTE($Q199)/60)</f>
        <v/>
      </c>
      <c r="AF199" s="22" t="str">
        <f aca="false">IF($A199="","",HOUR($R199)+MINUTE($R199)/60)</f>
        <v/>
      </c>
      <c r="AG199" s="22" t="str">
        <f aca="false">IF($A199="","",HOUR($S199)+MINUTE($S199)/60)</f>
        <v/>
      </c>
      <c r="AH199" s="22" t="str">
        <f aca="false">IF($A199="","",HOUR($T199)+MINUTE($T199)/60)</f>
        <v/>
      </c>
      <c r="AI199" s="22" t="str">
        <f aca="false">IF($A199="","",HOUR($V199)+MINUTE($V199)/60)</f>
        <v/>
      </c>
      <c r="AJ199" s="22" t="str">
        <f aca="false">IF($A199="","",HOUR($W199)+MINUTE($W199)/60)</f>
        <v/>
      </c>
      <c r="AK199" s="22" t="str">
        <f aca="false">IF($A199="","",VLOOKUP($F199,Dim_Team!$A:$F,6,0))</f>
        <v/>
      </c>
      <c r="AL199" s="28" t="str">
        <f aca="false">IF($A199="","",VLOOKUP($X199,Dim_Signoff!$A:$C,3,0))</f>
        <v/>
      </c>
      <c r="AM199" s="28" t="str">
        <f aca="false">IF($A199="","",IF($N199="No","n/a",ROUND((AH199-AE199)*60,0)))</f>
        <v/>
      </c>
      <c r="AN199" s="28" t="str">
        <f aca="false">IF($A199="","",IF($O199="No","n/a",ROUND((AH199-AF199)*60,0)))</f>
        <v/>
      </c>
      <c r="AO199" s="28" t="str">
        <f aca="false">IF($A199="","",IF($P199="No","n/a",ROUND((AH199-AG199)*60,0)))</f>
        <v/>
      </c>
      <c r="AP199" s="28" t="str">
        <f aca="false">IF($A199="","",ROUND((AH199-AK199)*60,0))</f>
        <v/>
      </c>
      <c r="AQ199" s="28" t="str">
        <f aca="false">IF($A199="","",ROUND((AI199-AH199)*60,0))</f>
        <v/>
      </c>
      <c r="AR199" s="4" t="str">
        <f aca="false">IF($A199="","",IF(AP199&gt;=AC199,"Yes","No"))</f>
        <v/>
      </c>
      <c r="AS199" s="4" t="str">
        <f aca="false">IF($A199="","",IF(AQ199&gt;=AD199+AL199,"Yes","No"))</f>
        <v/>
      </c>
      <c r="AT199" s="4" t="str">
        <f aca="false">IF($A199="","",IF(AND(AR199="Yes",AS199="Yes"),"OK","REVIEW"))</f>
        <v/>
      </c>
      <c r="AU199" s="4" t="str">
        <f aca="false">IF($A199="","",IF($P199="No","Not applicable",IF(AO199&lt;Constants!$B$14,"CAPTURE","Not needed")))</f>
        <v/>
      </c>
      <c r="AV199" s="4" t="str">
        <f aca="false">IF($A199="","",IF($P199="No","n/a",RANK(AO199,AO:AO,1)))</f>
        <v/>
      </c>
      <c r="AW199" s="4" t="str">
        <f aca="false">IF($A199="","",IF(UPPER($E199)="YES","Strategic","Non-strategic"))</f>
        <v/>
      </c>
      <c r="AX199" s="4" t="str">
        <f aca="false">IF($A199="","",COUNTIFS(Fact_Work!$C:$C,$A199))</f>
        <v/>
      </c>
      <c r="AY199" s="4" t="str">
        <f aca="false">IF($A199="","",IF(AX199=0,"Not seen",IF(AX199&gt;=Constants!$B$13*0.6,"Daily",IF(AX199&gt;=Constants!$B$13*0.12,"Weekly","Monthly or ad hoc"))))</f>
        <v/>
      </c>
      <c r="AZ199" s="22" t="str">
        <f aca="false">IF($A199="","",IFERROR(VLOOKUP($U199,Dim_TOP!$A:$H,8,0),""))</f>
        <v/>
      </c>
      <c r="BA199" s="28" t="str">
        <f aca="false">IF($A199="","",IFERROR(ROUND((AH199-AZ199)*60,0),""))</f>
        <v/>
      </c>
      <c r="BB199" s="4" t="str">
        <f aca="false">IF($A199="","",IF(BA199="","",IF(BA199&lt;=0,"Sets the deadline","Later than peers by "&amp;BA199&amp;" min")))</f>
        <v/>
      </c>
      <c r="BC199" s="29" t="str">
        <f aca="false">IF($A199="","",IF($U199="",0,IF(COUNTIFS($U$2:$U199,$U199,$C$2:$C199,$C199)=1,1,0)))</f>
        <v/>
      </c>
      <c r="BD199" s="10" t="str">
        <f aca="false">IF($A199="","",IF(UPPER($P199)="YES","Yes","No"))</f>
        <v/>
      </c>
      <c r="BE199" s="10" t="str">
        <f aca="false">IF($A199="","",IF($N199="No","n/a",IF(AM199&lt;=Constants!$B$17,"Yes","No")))</f>
        <v/>
      </c>
      <c r="BF199" s="10" t="str">
        <f aca="false">IF($A199="","",IF($O199="No","n/a",IF(AN199&lt;=Constants!$B$17,"Yes","No")))</f>
        <v/>
      </c>
      <c r="BG199" s="10" t="str">
        <f aca="false">IF($A199="","",IF($P199="No","n/a",IF(AO199&lt;=Constants!$B$17,"Yes","No")))</f>
        <v/>
      </c>
      <c r="BH199" s="10" t="str">
        <f aca="false">IF($A199="","",IF($N199="No","No custody process",IF(BE199="Yes","Thin custody slack","Ample custody slack")))</f>
        <v/>
      </c>
      <c r="BI199" s="30" t="str">
        <f aca="false">IF($A199="","",IF($N199="No","",AM199))</f>
        <v/>
      </c>
      <c r="BJ199" s="30" t="str">
        <f aca="false">IF($A199="","",IF($O199="No","",AN199))</f>
        <v/>
      </c>
      <c r="BK199" s="30" t="str">
        <f aca="false">IF($A199="","",IF($P199="No","",AO199))</f>
        <v/>
      </c>
    </row>
    <row r="200" customFormat="false" ht="15" hidden="false" customHeight="true" outlineLevel="0" collapsed="false">
      <c r="Z200" s="28" t="str">
        <f aca="false">IF($A200="","",Constants!$B$6+$I200*Constants!$B$7+$J200*Constants!$B$8+$K200*Constants!$B$9+$L200*Constants!$B$10+$M200*Constants!$B$11)</f>
        <v/>
      </c>
      <c r="AA200" s="28" t="str">
        <f aca="false">IF($A200="","",100-Z200)</f>
        <v/>
      </c>
      <c r="AB200" s="28" t="str">
        <f aca="false">IF($A200="","",ROUND($H200*Constants!$B$4,1))</f>
        <v/>
      </c>
      <c r="AC200" s="28" t="str">
        <f aca="false">IF($A200="","",ROUND(AB200*Z200/100,1))</f>
        <v/>
      </c>
      <c r="AD200" s="28" t="str">
        <f aca="false">IF($A200="","",ROUND(AB200*AA200/100,1))</f>
        <v/>
      </c>
      <c r="AE200" s="22" t="str">
        <f aca="false">IF($A200="","",HOUR($Q200)+MINUTE($Q200)/60)</f>
        <v/>
      </c>
      <c r="AF200" s="22" t="str">
        <f aca="false">IF($A200="","",HOUR($R200)+MINUTE($R200)/60)</f>
        <v/>
      </c>
      <c r="AG200" s="22" t="str">
        <f aca="false">IF($A200="","",HOUR($S200)+MINUTE($S200)/60)</f>
        <v/>
      </c>
      <c r="AH200" s="22" t="str">
        <f aca="false">IF($A200="","",HOUR($T200)+MINUTE($T200)/60)</f>
        <v/>
      </c>
      <c r="AI200" s="22" t="str">
        <f aca="false">IF($A200="","",HOUR($V200)+MINUTE($V200)/60)</f>
        <v/>
      </c>
      <c r="AJ200" s="22" t="str">
        <f aca="false">IF($A200="","",HOUR($W200)+MINUTE($W200)/60)</f>
        <v/>
      </c>
      <c r="AK200" s="22" t="str">
        <f aca="false">IF($A200="","",VLOOKUP($F200,Dim_Team!$A:$F,6,0))</f>
        <v/>
      </c>
      <c r="AL200" s="28" t="str">
        <f aca="false">IF($A200="","",VLOOKUP($X200,Dim_Signoff!$A:$C,3,0))</f>
        <v/>
      </c>
      <c r="AM200" s="28" t="str">
        <f aca="false">IF($A200="","",IF($N200="No","n/a",ROUND((AH200-AE200)*60,0)))</f>
        <v/>
      </c>
      <c r="AN200" s="28" t="str">
        <f aca="false">IF($A200="","",IF($O200="No","n/a",ROUND((AH200-AF200)*60,0)))</f>
        <v/>
      </c>
      <c r="AO200" s="28" t="str">
        <f aca="false">IF($A200="","",IF($P200="No","n/a",ROUND((AH200-AG200)*60,0)))</f>
        <v/>
      </c>
      <c r="AP200" s="28" t="str">
        <f aca="false">IF($A200="","",ROUND((AH200-AK200)*60,0))</f>
        <v/>
      </c>
      <c r="AQ200" s="28" t="str">
        <f aca="false">IF($A200="","",ROUND((AI200-AH200)*60,0))</f>
        <v/>
      </c>
      <c r="AR200" s="4" t="str">
        <f aca="false">IF($A200="","",IF(AP200&gt;=AC200,"Yes","No"))</f>
        <v/>
      </c>
      <c r="AS200" s="4" t="str">
        <f aca="false">IF($A200="","",IF(AQ200&gt;=AD200+AL200,"Yes","No"))</f>
        <v/>
      </c>
      <c r="AT200" s="4" t="str">
        <f aca="false">IF($A200="","",IF(AND(AR200="Yes",AS200="Yes"),"OK","REVIEW"))</f>
        <v/>
      </c>
      <c r="AU200" s="4" t="str">
        <f aca="false">IF($A200="","",IF($P200="No","Not applicable",IF(AO200&lt;Constants!$B$14,"CAPTURE","Not needed")))</f>
        <v/>
      </c>
      <c r="AV200" s="4" t="str">
        <f aca="false">IF($A200="","",IF($P200="No","n/a",RANK(AO200,AO:AO,1)))</f>
        <v/>
      </c>
      <c r="AW200" s="4" t="str">
        <f aca="false">IF($A200="","",IF(UPPER($E200)="YES","Strategic","Non-strategic"))</f>
        <v/>
      </c>
      <c r="AX200" s="4" t="str">
        <f aca="false">IF($A200="","",COUNTIFS(Fact_Work!$C:$C,$A200))</f>
        <v/>
      </c>
      <c r="AY200" s="4" t="str">
        <f aca="false">IF($A200="","",IF(AX200=0,"Not seen",IF(AX200&gt;=Constants!$B$13*0.6,"Daily",IF(AX200&gt;=Constants!$B$13*0.12,"Weekly","Monthly or ad hoc"))))</f>
        <v/>
      </c>
      <c r="AZ200" s="22" t="str">
        <f aca="false">IF($A200="","",IFERROR(VLOOKUP($U200,Dim_TOP!$A:$H,8,0),""))</f>
        <v/>
      </c>
      <c r="BA200" s="28" t="str">
        <f aca="false">IF($A200="","",IFERROR(ROUND((AH200-AZ200)*60,0),""))</f>
        <v/>
      </c>
      <c r="BB200" s="4" t="str">
        <f aca="false">IF($A200="","",IF(BA200="","",IF(BA200&lt;=0,"Sets the deadline","Later than peers by "&amp;BA200&amp;" min")))</f>
        <v/>
      </c>
      <c r="BC200" s="29" t="str">
        <f aca="false">IF($A200="","",IF($U200="",0,IF(COUNTIFS($U$2:$U200,$U200,$C$2:$C200,$C200)=1,1,0)))</f>
        <v/>
      </c>
      <c r="BD200" s="10" t="str">
        <f aca="false">IF($A200="","",IF(UPPER($P200)="YES","Yes","No"))</f>
        <v/>
      </c>
      <c r="BE200" s="10" t="str">
        <f aca="false">IF($A200="","",IF($N200="No","n/a",IF(AM200&lt;=Constants!$B$17,"Yes","No")))</f>
        <v/>
      </c>
      <c r="BF200" s="10" t="str">
        <f aca="false">IF($A200="","",IF($O200="No","n/a",IF(AN200&lt;=Constants!$B$17,"Yes","No")))</f>
        <v/>
      </c>
      <c r="BG200" s="10" t="str">
        <f aca="false">IF($A200="","",IF($P200="No","n/a",IF(AO200&lt;=Constants!$B$17,"Yes","No")))</f>
        <v/>
      </c>
      <c r="BH200" s="10" t="str">
        <f aca="false">IF($A200="","",IF($N200="No","No custody process",IF(BE200="Yes","Thin custody slack","Ample custody slack")))</f>
        <v/>
      </c>
      <c r="BI200" s="30" t="str">
        <f aca="false">IF($A200="","",IF($N200="No","",AM200))</f>
        <v/>
      </c>
      <c r="BJ200" s="30" t="str">
        <f aca="false">IF($A200="","",IF($O200="No","",AN200))</f>
        <v/>
      </c>
      <c r="BK200" s="30" t="str">
        <f aca="false">IF($A200="","",IF($P200="No","",AO200))</f>
        <v/>
      </c>
    </row>
    <row r="201" customFormat="false" ht="15" hidden="false" customHeight="true" outlineLevel="0" collapsed="false">
      <c r="Z201" s="28" t="str">
        <f aca="false">IF($A201="","",Constants!$B$6+$I201*Constants!$B$7+$J201*Constants!$B$8+$K201*Constants!$B$9+$L201*Constants!$B$10+$M201*Constants!$B$11)</f>
        <v/>
      </c>
      <c r="AA201" s="28" t="str">
        <f aca="false">IF($A201="","",100-Z201)</f>
        <v/>
      </c>
      <c r="AB201" s="28" t="str">
        <f aca="false">IF($A201="","",ROUND($H201*Constants!$B$4,1))</f>
        <v/>
      </c>
      <c r="AC201" s="28" t="str">
        <f aca="false">IF($A201="","",ROUND(AB201*Z201/100,1))</f>
        <v/>
      </c>
      <c r="AD201" s="28" t="str">
        <f aca="false">IF($A201="","",ROUND(AB201*AA201/100,1))</f>
        <v/>
      </c>
      <c r="AE201" s="22" t="str">
        <f aca="false">IF($A201="","",HOUR($Q201)+MINUTE($Q201)/60)</f>
        <v/>
      </c>
      <c r="AF201" s="22" t="str">
        <f aca="false">IF($A201="","",HOUR($R201)+MINUTE($R201)/60)</f>
        <v/>
      </c>
      <c r="AG201" s="22" t="str">
        <f aca="false">IF($A201="","",HOUR($S201)+MINUTE($S201)/60)</f>
        <v/>
      </c>
      <c r="AH201" s="22" t="str">
        <f aca="false">IF($A201="","",HOUR($T201)+MINUTE($T201)/60)</f>
        <v/>
      </c>
      <c r="AI201" s="22" t="str">
        <f aca="false">IF($A201="","",HOUR($V201)+MINUTE($V201)/60)</f>
        <v/>
      </c>
      <c r="AJ201" s="22" t="str">
        <f aca="false">IF($A201="","",HOUR($W201)+MINUTE($W201)/60)</f>
        <v/>
      </c>
      <c r="AK201" s="22" t="str">
        <f aca="false">IF($A201="","",VLOOKUP($F201,Dim_Team!$A:$F,6,0))</f>
        <v/>
      </c>
      <c r="AL201" s="28" t="str">
        <f aca="false">IF($A201="","",VLOOKUP($X201,Dim_Signoff!$A:$C,3,0))</f>
        <v/>
      </c>
      <c r="AM201" s="28" t="str">
        <f aca="false">IF($A201="","",IF($N201="No","n/a",ROUND((AH201-AE201)*60,0)))</f>
        <v/>
      </c>
      <c r="AN201" s="28" t="str">
        <f aca="false">IF($A201="","",IF($O201="No","n/a",ROUND((AH201-AF201)*60,0)))</f>
        <v/>
      </c>
      <c r="AO201" s="28" t="str">
        <f aca="false">IF($A201="","",IF($P201="No","n/a",ROUND((AH201-AG201)*60,0)))</f>
        <v/>
      </c>
      <c r="AP201" s="28" t="str">
        <f aca="false">IF($A201="","",ROUND((AH201-AK201)*60,0))</f>
        <v/>
      </c>
      <c r="AQ201" s="28" t="str">
        <f aca="false">IF($A201="","",ROUND((AI201-AH201)*60,0))</f>
        <v/>
      </c>
      <c r="AR201" s="4" t="str">
        <f aca="false">IF($A201="","",IF(AP201&gt;=AC201,"Yes","No"))</f>
        <v/>
      </c>
      <c r="AS201" s="4" t="str">
        <f aca="false">IF($A201="","",IF(AQ201&gt;=AD201+AL201,"Yes","No"))</f>
        <v/>
      </c>
      <c r="AT201" s="4" t="str">
        <f aca="false">IF($A201="","",IF(AND(AR201="Yes",AS201="Yes"),"OK","REVIEW"))</f>
        <v/>
      </c>
      <c r="AU201" s="4" t="str">
        <f aca="false">IF($A201="","",IF($P201="No","Not applicable",IF(AO201&lt;Constants!$B$14,"CAPTURE","Not needed")))</f>
        <v/>
      </c>
      <c r="AV201" s="4" t="str">
        <f aca="false">IF($A201="","",IF($P201="No","n/a",RANK(AO201,AO:AO,1)))</f>
        <v/>
      </c>
      <c r="AW201" s="4" t="str">
        <f aca="false">IF($A201="","",IF(UPPER($E201)="YES","Strategic","Non-strategic"))</f>
        <v/>
      </c>
      <c r="AX201" s="4" t="str">
        <f aca="false">IF($A201="","",COUNTIFS(Fact_Work!$C:$C,$A201))</f>
        <v/>
      </c>
      <c r="AY201" s="4" t="str">
        <f aca="false">IF($A201="","",IF(AX201=0,"Not seen",IF(AX201&gt;=Constants!$B$13*0.6,"Daily",IF(AX201&gt;=Constants!$B$13*0.12,"Weekly","Monthly or ad hoc"))))</f>
        <v/>
      </c>
      <c r="AZ201" s="22" t="str">
        <f aca="false">IF($A201="","",IFERROR(VLOOKUP($U201,Dim_TOP!$A:$H,8,0),""))</f>
        <v/>
      </c>
      <c r="BA201" s="28" t="str">
        <f aca="false">IF($A201="","",IFERROR(ROUND((AH201-AZ201)*60,0),""))</f>
        <v/>
      </c>
      <c r="BB201" s="4" t="str">
        <f aca="false">IF($A201="","",IF(BA201="","",IF(BA201&lt;=0,"Sets the deadline","Later than peers by "&amp;BA201&amp;" min")))</f>
        <v/>
      </c>
      <c r="BC201" s="29" t="str">
        <f aca="false">IF($A201="","",IF($U201="",0,IF(COUNTIFS($U$2:$U201,$U201,$C$2:$C201,$C201)=1,1,0)))</f>
        <v/>
      </c>
      <c r="BD201" s="10" t="str">
        <f aca="false">IF($A201="","",IF(UPPER($P201)="YES","Yes","No"))</f>
        <v/>
      </c>
      <c r="BE201" s="10" t="str">
        <f aca="false">IF($A201="","",IF($N201="No","n/a",IF(AM201&lt;=Constants!$B$17,"Yes","No")))</f>
        <v/>
      </c>
      <c r="BF201" s="10" t="str">
        <f aca="false">IF($A201="","",IF($O201="No","n/a",IF(AN201&lt;=Constants!$B$17,"Yes","No")))</f>
        <v/>
      </c>
      <c r="BG201" s="10" t="str">
        <f aca="false">IF($A201="","",IF($P201="No","n/a",IF(AO201&lt;=Constants!$B$17,"Yes","No")))</f>
        <v/>
      </c>
      <c r="BH201" s="10" t="str">
        <f aca="false">IF($A201="","",IF($N201="No","No custody process",IF(BE201="Yes","Thin custody slack","Ample custody slack")))</f>
        <v/>
      </c>
      <c r="BI201" s="30" t="str">
        <f aca="false">IF($A201="","",IF($N201="No","",AM201))</f>
        <v/>
      </c>
      <c r="BJ201" s="30" t="str">
        <f aca="false">IF($A201="","",IF($O201="No","",AN201))</f>
        <v/>
      </c>
      <c r="BK201" s="30" t="str">
        <f aca="false">IF($A201="","",IF($P201="No","",AO201))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3"/>
    <col collapsed="false" customWidth="true" hidden="false" outlineLevel="0" max="3" min="3" style="1" width="18"/>
    <col collapsed="false" customWidth="true" hidden="false" outlineLevel="0" max="4" min="4" style="1" width="14"/>
    <col collapsed="false" customWidth="true" hidden="false" outlineLevel="0" max="5" min="5" style="1" width="20"/>
    <col collapsed="false" customWidth="true" hidden="false" outlineLevel="0" max="6" min="6" style="1" width="18"/>
    <col collapsed="false" customWidth="true" hidden="false" outlineLevel="0" max="7" min="7" style="1" width="20"/>
    <col collapsed="false" customWidth="true" hidden="false" outlineLevel="0" max="9" min="8" style="1" width="19"/>
    <col collapsed="false" customWidth="true" hidden="false" outlineLevel="0" max="14" min="10" style="0" width="11"/>
    <col collapsed="false" customWidth="true" hidden="false" outlineLevel="0" max="15" min="15" style="0" width="14"/>
  </cols>
  <sheetData>
    <row r="1" customFormat="false" ht="15" hidden="false" customHeight="true" outlineLevel="0" collapsed="false">
      <c r="A1" s="17" t="s">
        <v>268</v>
      </c>
      <c r="B1" s="17" t="s">
        <v>352</v>
      </c>
      <c r="C1" s="17" t="s">
        <v>353</v>
      </c>
      <c r="D1" s="18" t="s">
        <v>354</v>
      </c>
      <c r="E1" s="18" t="s">
        <v>355</v>
      </c>
      <c r="F1" s="18" t="s">
        <v>356</v>
      </c>
      <c r="G1" s="18" t="s">
        <v>357</v>
      </c>
      <c r="H1" s="18" t="s">
        <v>358</v>
      </c>
      <c r="I1" s="18" t="s">
        <v>359</v>
      </c>
      <c r="J1" s="19" t="s">
        <v>360</v>
      </c>
      <c r="K1" s="19" t="s">
        <v>361</v>
      </c>
      <c r="L1" s="19" t="s">
        <v>362</v>
      </c>
      <c r="M1" s="19" t="s">
        <v>363</v>
      </c>
      <c r="N1" s="19" t="s">
        <v>364</v>
      </c>
      <c r="O1" s="19" t="s">
        <v>365</v>
      </c>
    </row>
    <row r="2" customFormat="false" ht="15" hidden="false" customHeight="true" outlineLevel="0" collapsed="false">
      <c r="A2" s="13" t="s">
        <v>315</v>
      </c>
      <c r="B2" s="13" t="s">
        <v>366</v>
      </c>
      <c r="C2" s="13" t="s">
        <v>367</v>
      </c>
      <c r="D2" s="4" t="n">
        <f aca="false">IF($A2="","",COUNTIF(Dim_Fund!$U:$U,$A2))</f>
        <v>3</v>
      </c>
      <c r="E2" s="22" t="n">
        <f aca="false">IF($A2="","",IF($D2=0,"",_xlfn.MINIFS(Dim_Fund!$AH:$AH,Dim_Fund!$U:$U,$A2,Dim_Fund!$AH:$AH,"&gt;0")))</f>
        <v>11.65</v>
      </c>
      <c r="F2" s="22" t="n">
        <f aca="false">IF($A2="","",IF($D2=0,"",_xlfn.MAXIFS(Dim_Fund!$AH:$AH,Dim_Fund!$U:$U,$A2,Dim_Fund!$AH:$AH,"&gt;0")))</f>
        <v>13.0166666666667</v>
      </c>
      <c r="G2" s="31" t="n">
        <f aca="false">IF($A2="","",IF($D2=0,"",ROUND(($F2-$E2)*60,0)))</f>
        <v>82</v>
      </c>
      <c r="H2" s="22" t="n">
        <f aca="false">IF($A2="","",$E2)</f>
        <v>11.65</v>
      </c>
      <c r="I2" s="4" t="str">
        <f aca="false">IF($A2="","",IF($D2&gt;=4,"HIGH — "&amp;$D2&amp;" funds share this feed",IF($D2&gt;=2,"Medium — "&amp;$D2&amp;" funds","Single fund")))</f>
        <v>Medium — 3 funds</v>
      </c>
      <c r="J2" s="29" t="n">
        <f aca="false">IF($A2="","",COUNTIFS(Dim_Fund!$U:$U,$A2,Dim_Fund!$BC:$BC,1))</f>
        <v>3</v>
      </c>
      <c r="K2" s="32" t="n">
        <f aca="false">IF($A2="","",IF(COUNTA(Dim_Fund!$A:$A)&lt;=1,"",$D2/(COUNTA(Dim_Fund!$A:$A)-1)))</f>
        <v>0.25</v>
      </c>
      <c r="L2" s="29" t="n">
        <f aca="false">IF($A2="","",COUNTIFS(Fact_Milestone!$B:$B,$A2,Fact_Milestone!$I:$I,"?*"))</f>
        <v>3</v>
      </c>
      <c r="M2" s="29" t="n">
        <f aca="false">IF($A2="","",COUNTIFS(Fact_Milestone!$B:$B,$A2,Fact_Milestone!$I:$I,"No"))</f>
        <v>0</v>
      </c>
      <c r="N2" s="33" t="n">
        <f aca="false">IF($A2="","",ROUND(SUMIFS(Fact_Milestone!$L:$L,Fact_Milestone!$B:$B,$A2)/60,2))</f>
        <v>0</v>
      </c>
      <c r="O2" s="29" t="n">
        <f aca="false">IF($A2="","",COUNTIFS(Fact_Work!$AL:$AL,$A2,Fact_Work!$AI:$AI,"Yes",Fact_Work!$BB:$BB,"No"))</f>
        <v>0</v>
      </c>
    </row>
    <row r="3" customFormat="false" ht="15" hidden="false" customHeight="true" outlineLevel="0" collapsed="false">
      <c r="A3" s="13" t="s">
        <v>322</v>
      </c>
      <c r="B3" s="13" t="s">
        <v>368</v>
      </c>
      <c r="C3" s="13" t="s">
        <v>367</v>
      </c>
      <c r="D3" s="4" t="n">
        <f aca="false">IF($A3="","",COUNTIF(Dim_Fund!$U:$U,$A3))</f>
        <v>3</v>
      </c>
      <c r="E3" s="22" t="n">
        <f aca="false">IF($A3="","",IF($D3=0,"",_xlfn.MINIFS(Dim_Fund!$AH:$AH,Dim_Fund!$U:$U,$A3,Dim_Fund!$AH:$AH,"&gt;0")))</f>
        <v>12.45</v>
      </c>
      <c r="F3" s="22" t="n">
        <f aca="false">IF($A3="","",IF($D3=0,"",_xlfn.MAXIFS(Dim_Fund!$AH:$AH,Dim_Fund!$U:$U,$A3,Dim_Fund!$AH:$AH,"&gt;0")))</f>
        <v>13.85</v>
      </c>
      <c r="G3" s="31" t="n">
        <f aca="false">IF($A3="","",IF($D3=0,"",ROUND(($F3-$E3)*60,0)))</f>
        <v>84</v>
      </c>
      <c r="H3" s="22" t="n">
        <f aca="false">IF($A3="","",$E3)</f>
        <v>12.45</v>
      </c>
      <c r="I3" s="4" t="str">
        <f aca="false">IF($A3="","",IF($D3&gt;=4,"HIGH — "&amp;$D3&amp;" funds share this feed",IF($D3&gt;=2,"Medium — "&amp;$D3&amp;" funds","Single fund")))</f>
        <v>Medium — 3 funds</v>
      </c>
      <c r="J3" s="29" t="n">
        <f aca="false">IF($A3="","",COUNTIFS(Dim_Fund!$U:$U,$A3,Dim_Fund!$BC:$BC,1))</f>
        <v>3</v>
      </c>
      <c r="K3" s="32" t="n">
        <f aca="false">IF($A3="","",IF(COUNTA(Dim_Fund!$A:$A)&lt;=1,"",$D3/(COUNTA(Dim_Fund!$A:$A)-1)))</f>
        <v>0.25</v>
      </c>
      <c r="L3" s="29" t="n">
        <f aca="false">IF($A3="","",COUNTIFS(Fact_Milestone!$B:$B,$A3,Fact_Milestone!$I:$I,"?*"))</f>
        <v>3</v>
      </c>
      <c r="M3" s="29" t="n">
        <f aca="false">IF($A3="","",COUNTIFS(Fact_Milestone!$B:$B,$A3,Fact_Milestone!$I:$I,"No"))</f>
        <v>0</v>
      </c>
      <c r="N3" s="33" t="n">
        <f aca="false">IF($A3="","",ROUND(SUMIFS(Fact_Milestone!$L:$L,Fact_Milestone!$B:$B,$A3)/60,2))</f>
        <v>0</v>
      </c>
      <c r="O3" s="29" t="n">
        <f aca="false">IF($A3="","",COUNTIFS(Fact_Work!$AL:$AL,$A3,Fact_Work!$AI:$AI,"Yes",Fact_Work!$BB:$BB,"No"))</f>
        <v>0</v>
      </c>
    </row>
    <row r="4" customFormat="false" ht="15" hidden="false" customHeight="true" outlineLevel="0" collapsed="false">
      <c r="A4" s="13" t="s">
        <v>329</v>
      </c>
      <c r="B4" s="13" t="s">
        <v>369</v>
      </c>
      <c r="C4" s="13" t="s">
        <v>367</v>
      </c>
      <c r="D4" s="4" t="n">
        <f aca="false">IF($A4="","",COUNTIF(Dim_Fund!$U:$U,$A4))</f>
        <v>3</v>
      </c>
      <c r="E4" s="22" t="n">
        <f aca="false">IF($A4="","",IF($D4=0,"",_xlfn.MINIFS(Dim_Fund!$AH:$AH,Dim_Fund!$U:$U,$A4,Dim_Fund!$AH:$AH,"&gt;0")))</f>
        <v>11.7166666666667</v>
      </c>
      <c r="F4" s="22" t="n">
        <f aca="false">IF($A4="","",IF($D4=0,"",_xlfn.MAXIFS(Dim_Fund!$AH:$AH,Dim_Fund!$U:$U,$A4,Dim_Fund!$AH:$AH,"&gt;0")))</f>
        <v>13.1166666666667</v>
      </c>
      <c r="G4" s="31" t="n">
        <f aca="false">IF($A4="","",IF($D4=0,"",ROUND(($F4-$E4)*60,0)))</f>
        <v>84</v>
      </c>
      <c r="H4" s="22" t="n">
        <f aca="false">IF($A4="","",$E4)</f>
        <v>11.7166666666667</v>
      </c>
      <c r="I4" s="4" t="str">
        <f aca="false">IF($A4="","",IF($D4&gt;=4,"HIGH — "&amp;$D4&amp;" funds share this feed",IF($D4&gt;=2,"Medium — "&amp;$D4&amp;" funds","Single fund")))</f>
        <v>Medium — 3 funds</v>
      </c>
      <c r="J4" s="29" t="n">
        <f aca="false">IF($A4="","",COUNTIFS(Dim_Fund!$U:$U,$A4,Dim_Fund!$BC:$BC,1))</f>
        <v>3</v>
      </c>
      <c r="K4" s="32" t="n">
        <f aca="false">IF($A4="","",IF(COUNTA(Dim_Fund!$A:$A)&lt;=1,"",$D4/(COUNTA(Dim_Fund!$A:$A)-1)))</f>
        <v>0.25</v>
      </c>
      <c r="L4" s="29" t="n">
        <f aca="false">IF($A4="","",COUNTIFS(Fact_Milestone!$B:$B,$A4,Fact_Milestone!$I:$I,"?*"))</f>
        <v>3</v>
      </c>
      <c r="M4" s="29" t="n">
        <f aca="false">IF($A4="","",COUNTIFS(Fact_Milestone!$B:$B,$A4,Fact_Milestone!$I:$I,"No"))</f>
        <v>1</v>
      </c>
      <c r="N4" s="33" t="n">
        <f aca="false">IF($A4="","",ROUND(SUMIFS(Fact_Milestone!$L:$L,Fact_Milestone!$B:$B,$A4)/60,2))</f>
        <v>0.25</v>
      </c>
      <c r="O4" s="29" t="n">
        <f aca="false">IF($A4="","",COUNTIFS(Fact_Work!$AL:$AL,$A4,Fact_Work!$AI:$AI,"Yes",Fact_Work!$BB:$BB,"No"))</f>
        <v>0</v>
      </c>
    </row>
    <row r="5" customFormat="false" ht="15" hidden="false" customHeight="true" outlineLevel="0" collapsed="false">
      <c r="A5" s="13" t="s">
        <v>333</v>
      </c>
      <c r="B5" s="13" t="s">
        <v>370</v>
      </c>
      <c r="C5" s="13" t="s">
        <v>367</v>
      </c>
      <c r="D5" s="4" t="n">
        <f aca="false">IF($A5="","",COUNTIF(Dim_Fund!$U:$U,$A5))</f>
        <v>3</v>
      </c>
      <c r="E5" s="22" t="n">
        <f aca="false">IF($A5="","",IF($D5=0,"",_xlfn.MINIFS(Dim_Fund!$AH:$AH,Dim_Fund!$U:$U,$A5,Dim_Fund!$AH:$AH,"&gt;0")))</f>
        <v>11.6333333333333</v>
      </c>
      <c r="F5" s="22" t="n">
        <f aca="false">IF($A5="","",IF($D5=0,"",_xlfn.MAXIFS(Dim_Fund!$AH:$AH,Dim_Fund!$U:$U,$A5,Dim_Fund!$AH:$AH,"&gt;0")))</f>
        <v>12.6666666666667</v>
      </c>
      <c r="G5" s="31" t="n">
        <f aca="false">IF($A5="","",IF($D5=0,"",ROUND(($F5-$E5)*60,0)))</f>
        <v>62</v>
      </c>
      <c r="H5" s="22" t="n">
        <f aca="false">IF($A5="","",$E5)</f>
        <v>11.6333333333333</v>
      </c>
      <c r="I5" s="4" t="str">
        <f aca="false">IF($A5="","",IF($D5&gt;=4,"HIGH — "&amp;$D5&amp;" funds share this feed",IF($D5&gt;=2,"Medium — "&amp;$D5&amp;" funds","Single fund")))</f>
        <v>Medium — 3 funds</v>
      </c>
      <c r="J5" s="29" t="n">
        <f aca="false">IF($A5="","",COUNTIFS(Dim_Fund!$U:$U,$A5,Dim_Fund!$BC:$BC,1))</f>
        <v>3</v>
      </c>
      <c r="K5" s="32" t="n">
        <f aca="false">IF($A5="","",IF(COUNTA(Dim_Fund!$A:$A)&lt;=1,"",$D5/(COUNTA(Dim_Fund!$A:$A)-1)))</f>
        <v>0.25</v>
      </c>
      <c r="L5" s="29" t="n">
        <f aca="false">IF($A5="","",COUNTIFS(Fact_Milestone!$B:$B,$A5,Fact_Milestone!$I:$I,"?*"))</f>
        <v>3</v>
      </c>
      <c r="M5" s="29" t="n">
        <f aca="false">IF($A5="","",COUNTIFS(Fact_Milestone!$B:$B,$A5,Fact_Milestone!$I:$I,"No"))</f>
        <v>1</v>
      </c>
      <c r="N5" s="33" t="n">
        <f aca="false">IF($A5="","",ROUND(SUMIFS(Fact_Milestone!$L:$L,Fact_Milestone!$B:$B,$A5)/60,2))</f>
        <v>0.92</v>
      </c>
      <c r="O5" s="29" t="n">
        <f aca="false">IF($A5="","",COUNTIFS(Fact_Work!$AL:$AL,$A5,Fact_Work!$AI:$AI,"Yes",Fact_Work!$BB:$BB,"No"))</f>
        <v>1</v>
      </c>
    </row>
    <row r="6" customFormat="false" ht="15" hidden="false" customHeight="true" outlineLevel="0" collapsed="false">
      <c r="D6" s="4" t="str">
        <f aca="false">IF($A6="","",COUNTIF(Dim_Fund!$U:$U,$A6))</f>
        <v/>
      </c>
      <c r="E6" s="22" t="str">
        <f aca="false">IF($A6="","",IF($D6=0,"",_xlfn.MINIFS(Dim_Fund!$AH:$AH,Dim_Fund!$U:$U,$A6,Dim_Fund!$AH:$AH,"&gt;0")))</f>
        <v/>
      </c>
      <c r="F6" s="22" t="str">
        <f aca="false">IF($A6="","",IF($D6=0,"",_xlfn.MAXIFS(Dim_Fund!$AH:$AH,Dim_Fund!$U:$U,$A6,Dim_Fund!$AH:$AH,"&gt;0")))</f>
        <v/>
      </c>
      <c r="G6" s="31" t="str">
        <f aca="false">IF($A6="","",IF($D6=0,"",ROUND(($F6-$E6)*60,0)))</f>
        <v/>
      </c>
      <c r="H6" s="22" t="str">
        <f aca="false">IF($A6="","",$E6)</f>
        <v/>
      </c>
      <c r="I6" s="4" t="str">
        <f aca="false">IF($A6="","",IF($D6&gt;=4,"HIGH — "&amp;$D6&amp;" funds share this feed",IF($D6&gt;=2,"Medium — "&amp;$D6&amp;" funds","Single fund")))</f>
        <v/>
      </c>
      <c r="J6" s="29" t="str">
        <f aca="false">IF($A6="","",COUNTIFS(Dim_Fund!$U:$U,$A6,Dim_Fund!$BC:$BC,1))</f>
        <v/>
      </c>
      <c r="K6" s="32" t="str">
        <f aca="false">IF($A6="","",IF(COUNTA(Dim_Fund!$A:$A)&lt;=1,"",$D6/(COUNTA(Dim_Fund!$A:$A)-1)))</f>
        <v/>
      </c>
      <c r="L6" s="29" t="str">
        <f aca="false">IF($A6="","",COUNTIFS(Fact_Milestone!$B:$B,$A6,Fact_Milestone!$I:$I,"?*"))</f>
        <v/>
      </c>
      <c r="M6" s="29" t="str">
        <f aca="false">IF($A6="","",COUNTIFS(Fact_Milestone!$B:$B,$A6,Fact_Milestone!$I:$I,"No"))</f>
        <v/>
      </c>
      <c r="N6" s="33" t="str">
        <f aca="false">IF($A6="","",ROUND(SUMIFS(Fact_Milestone!$L:$L,Fact_Milestone!$B:$B,$A6)/60,2))</f>
        <v/>
      </c>
      <c r="O6" s="29" t="str">
        <f aca="false">IF($A6="","",COUNTIFS(Fact_Work!$AL:$AL,$A6,Fact_Work!$AI:$AI,"Yes",Fact_Work!$BB:$BB,"No"))</f>
        <v/>
      </c>
    </row>
    <row r="7" customFormat="false" ht="15" hidden="false" customHeight="true" outlineLevel="0" collapsed="false">
      <c r="D7" s="4" t="str">
        <f aca="false">IF($A7="","",COUNTIF(Dim_Fund!$U:$U,$A7))</f>
        <v/>
      </c>
      <c r="E7" s="22" t="str">
        <f aca="false">IF($A7="","",IF($D7=0,"",_xlfn.MINIFS(Dim_Fund!$AH:$AH,Dim_Fund!$U:$U,$A7,Dim_Fund!$AH:$AH,"&gt;0")))</f>
        <v/>
      </c>
      <c r="F7" s="22" t="str">
        <f aca="false">IF($A7="","",IF($D7=0,"",_xlfn.MAXIFS(Dim_Fund!$AH:$AH,Dim_Fund!$U:$U,$A7,Dim_Fund!$AH:$AH,"&gt;0")))</f>
        <v/>
      </c>
      <c r="G7" s="31" t="str">
        <f aca="false">IF($A7="","",IF($D7=0,"",ROUND(($F7-$E7)*60,0)))</f>
        <v/>
      </c>
      <c r="H7" s="22" t="str">
        <f aca="false">IF($A7="","",$E7)</f>
        <v/>
      </c>
      <c r="I7" s="4" t="str">
        <f aca="false">IF($A7="","",IF($D7&gt;=4,"HIGH — "&amp;$D7&amp;" funds share this feed",IF($D7&gt;=2,"Medium — "&amp;$D7&amp;" funds","Single fund")))</f>
        <v/>
      </c>
      <c r="J7" s="29" t="str">
        <f aca="false">IF($A7="","",COUNTIFS(Dim_Fund!$U:$U,$A7,Dim_Fund!$BC:$BC,1))</f>
        <v/>
      </c>
      <c r="K7" s="32" t="str">
        <f aca="false">IF($A7="","",IF(COUNTA(Dim_Fund!$A:$A)&lt;=1,"",$D7/(COUNTA(Dim_Fund!$A:$A)-1)))</f>
        <v/>
      </c>
      <c r="L7" s="29" t="str">
        <f aca="false">IF($A7="","",COUNTIFS(Fact_Milestone!$B:$B,$A7,Fact_Milestone!$I:$I,"?*"))</f>
        <v/>
      </c>
      <c r="M7" s="29" t="str">
        <f aca="false">IF($A7="","",COUNTIFS(Fact_Milestone!$B:$B,$A7,Fact_Milestone!$I:$I,"No"))</f>
        <v/>
      </c>
      <c r="N7" s="33" t="str">
        <f aca="false">IF($A7="","",ROUND(SUMIFS(Fact_Milestone!$L:$L,Fact_Milestone!$B:$B,$A7)/60,2))</f>
        <v/>
      </c>
      <c r="O7" s="29" t="str">
        <f aca="false">IF($A7="","",COUNTIFS(Fact_Work!$AL:$AL,$A7,Fact_Work!$AI:$AI,"Yes",Fact_Work!$BB:$BB,"No"))</f>
        <v/>
      </c>
    </row>
    <row r="8" customFormat="false" ht="15" hidden="false" customHeight="true" outlineLevel="0" collapsed="false">
      <c r="D8" s="4" t="str">
        <f aca="false">IF($A8="","",COUNTIF(Dim_Fund!$U:$U,$A8))</f>
        <v/>
      </c>
      <c r="E8" s="22" t="str">
        <f aca="false">IF($A8="","",IF($D8=0,"",_xlfn.MINIFS(Dim_Fund!$AH:$AH,Dim_Fund!$U:$U,$A8,Dim_Fund!$AH:$AH,"&gt;0")))</f>
        <v/>
      </c>
      <c r="F8" s="22" t="str">
        <f aca="false">IF($A8="","",IF($D8=0,"",_xlfn.MAXIFS(Dim_Fund!$AH:$AH,Dim_Fund!$U:$U,$A8,Dim_Fund!$AH:$AH,"&gt;0")))</f>
        <v/>
      </c>
      <c r="G8" s="31" t="str">
        <f aca="false">IF($A8="","",IF($D8=0,"",ROUND(($F8-$E8)*60,0)))</f>
        <v/>
      </c>
      <c r="H8" s="22" t="str">
        <f aca="false">IF($A8="","",$E8)</f>
        <v/>
      </c>
      <c r="I8" s="4" t="str">
        <f aca="false">IF($A8="","",IF($D8&gt;=4,"HIGH — "&amp;$D8&amp;" funds share this feed",IF($D8&gt;=2,"Medium — "&amp;$D8&amp;" funds","Single fund")))</f>
        <v/>
      </c>
      <c r="J8" s="29" t="str">
        <f aca="false">IF($A8="","",COUNTIFS(Dim_Fund!$U:$U,$A8,Dim_Fund!$BC:$BC,1))</f>
        <v/>
      </c>
      <c r="K8" s="32" t="str">
        <f aca="false">IF($A8="","",IF(COUNTA(Dim_Fund!$A:$A)&lt;=1,"",$D8/(COUNTA(Dim_Fund!$A:$A)-1)))</f>
        <v/>
      </c>
      <c r="L8" s="29" t="str">
        <f aca="false">IF($A8="","",COUNTIFS(Fact_Milestone!$B:$B,$A8,Fact_Milestone!$I:$I,"?*"))</f>
        <v/>
      </c>
      <c r="M8" s="29" t="str">
        <f aca="false">IF($A8="","",COUNTIFS(Fact_Milestone!$B:$B,$A8,Fact_Milestone!$I:$I,"No"))</f>
        <v/>
      </c>
      <c r="N8" s="33" t="str">
        <f aca="false">IF($A8="","",ROUND(SUMIFS(Fact_Milestone!$L:$L,Fact_Milestone!$B:$B,$A8)/60,2))</f>
        <v/>
      </c>
      <c r="O8" s="29" t="str">
        <f aca="false">IF($A8="","",COUNTIFS(Fact_Work!$AL:$AL,$A8,Fact_Work!$AI:$AI,"Yes",Fact_Work!$BB:$BB,"No"))</f>
        <v/>
      </c>
    </row>
    <row r="9" customFormat="false" ht="15" hidden="false" customHeight="true" outlineLevel="0" collapsed="false">
      <c r="D9" s="4" t="str">
        <f aca="false">IF($A9="","",COUNTIF(Dim_Fund!$U:$U,$A9))</f>
        <v/>
      </c>
      <c r="E9" s="22" t="str">
        <f aca="false">IF($A9="","",IF($D9=0,"",_xlfn.MINIFS(Dim_Fund!$AH:$AH,Dim_Fund!$U:$U,$A9,Dim_Fund!$AH:$AH,"&gt;0")))</f>
        <v/>
      </c>
      <c r="F9" s="22" t="str">
        <f aca="false">IF($A9="","",IF($D9=0,"",_xlfn.MAXIFS(Dim_Fund!$AH:$AH,Dim_Fund!$U:$U,$A9,Dim_Fund!$AH:$AH,"&gt;0")))</f>
        <v/>
      </c>
      <c r="G9" s="31" t="str">
        <f aca="false">IF($A9="","",IF($D9=0,"",ROUND(($F9-$E9)*60,0)))</f>
        <v/>
      </c>
      <c r="H9" s="22" t="str">
        <f aca="false">IF($A9="","",$E9)</f>
        <v/>
      </c>
      <c r="I9" s="4" t="str">
        <f aca="false">IF($A9="","",IF($D9&gt;=4,"HIGH — "&amp;$D9&amp;" funds share this feed",IF($D9&gt;=2,"Medium — "&amp;$D9&amp;" funds","Single fund")))</f>
        <v/>
      </c>
      <c r="J9" s="29" t="str">
        <f aca="false">IF($A9="","",COUNTIFS(Dim_Fund!$U:$U,$A9,Dim_Fund!$BC:$BC,1))</f>
        <v/>
      </c>
      <c r="K9" s="32" t="str">
        <f aca="false">IF($A9="","",IF(COUNTA(Dim_Fund!$A:$A)&lt;=1,"",$D9/(COUNTA(Dim_Fund!$A:$A)-1)))</f>
        <v/>
      </c>
      <c r="L9" s="29" t="str">
        <f aca="false">IF($A9="","",COUNTIFS(Fact_Milestone!$B:$B,$A9,Fact_Milestone!$I:$I,"?*"))</f>
        <v/>
      </c>
      <c r="M9" s="29" t="str">
        <f aca="false">IF($A9="","",COUNTIFS(Fact_Milestone!$B:$B,$A9,Fact_Milestone!$I:$I,"No"))</f>
        <v/>
      </c>
      <c r="N9" s="33" t="str">
        <f aca="false">IF($A9="","",ROUND(SUMIFS(Fact_Milestone!$L:$L,Fact_Milestone!$B:$B,$A9)/60,2))</f>
        <v/>
      </c>
      <c r="O9" s="29" t="str">
        <f aca="false">IF($A9="","",COUNTIFS(Fact_Work!$AL:$AL,$A9,Fact_Work!$AI:$AI,"Yes",Fact_Work!$BB:$BB,"No"))</f>
        <v/>
      </c>
    </row>
    <row r="10" customFormat="false" ht="15" hidden="false" customHeight="true" outlineLevel="0" collapsed="false">
      <c r="D10" s="4" t="str">
        <f aca="false">IF($A10="","",COUNTIF(Dim_Fund!$U:$U,$A10))</f>
        <v/>
      </c>
      <c r="E10" s="22" t="str">
        <f aca="false">IF($A10="","",IF($D10=0,"",_xlfn.MINIFS(Dim_Fund!$AH:$AH,Dim_Fund!$U:$U,$A10,Dim_Fund!$AH:$AH,"&gt;0")))</f>
        <v/>
      </c>
      <c r="F10" s="22" t="str">
        <f aca="false">IF($A10="","",IF($D10=0,"",_xlfn.MAXIFS(Dim_Fund!$AH:$AH,Dim_Fund!$U:$U,$A10,Dim_Fund!$AH:$AH,"&gt;0")))</f>
        <v/>
      </c>
      <c r="G10" s="31" t="str">
        <f aca="false">IF($A10="","",IF($D10=0,"",ROUND(($F10-$E10)*60,0)))</f>
        <v/>
      </c>
      <c r="H10" s="22" t="str">
        <f aca="false">IF($A10="","",$E10)</f>
        <v/>
      </c>
      <c r="I10" s="4" t="str">
        <f aca="false">IF($A10="","",IF($D10&gt;=4,"HIGH — "&amp;$D10&amp;" funds share this feed",IF($D10&gt;=2,"Medium — "&amp;$D10&amp;" funds","Single fund")))</f>
        <v/>
      </c>
      <c r="J10" s="29" t="str">
        <f aca="false">IF($A10="","",COUNTIFS(Dim_Fund!$U:$U,$A10,Dim_Fund!$BC:$BC,1))</f>
        <v/>
      </c>
      <c r="K10" s="32" t="str">
        <f aca="false">IF($A10="","",IF(COUNTA(Dim_Fund!$A:$A)&lt;=1,"",$D10/(COUNTA(Dim_Fund!$A:$A)-1)))</f>
        <v/>
      </c>
      <c r="L10" s="29" t="str">
        <f aca="false">IF($A10="","",COUNTIFS(Fact_Milestone!$B:$B,$A10,Fact_Milestone!$I:$I,"?*"))</f>
        <v/>
      </c>
      <c r="M10" s="29" t="str">
        <f aca="false">IF($A10="","",COUNTIFS(Fact_Milestone!$B:$B,$A10,Fact_Milestone!$I:$I,"No"))</f>
        <v/>
      </c>
      <c r="N10" s="33" t="str">
        <f aca="false">IF($A10="","",ROUND(SUMIFS(Fact_Milestone!$L:$L,Fact_Milestone!$B:$B,$A10)/60,2))</f>
        <v/>
      </c>
      <c r="O10" s="29" t="str">
        <f aca="false">IF($A10="","",COUNTIFS(Fact_Work!$AL:$AL,$A10,Fact_Work!$AI:$AI,"Yes",Fact_Work!$BB:$BB,"No"))</f>
        <v/>
      </c>
    </row>
    <row r="11" customFormat="false" ht="15" hidden="false" customHeight="true" outlineLevel="0" collapsed="false">
      <c r="D11" s="4" t="str">
        <f aca="false">IF($A11="","",COUNTIF(Dim_Fund!$U:$U,$A11))</f>
        <v/>
      </c>
      <c r="E11" s="22" t="str">
        <f aca="false">IF($A11="","",IF($D11=0,"",_xlfn.MINIFS(Dim_Fund!$AH:$AH,Dim_Fund!$U:$U,$A11,Dim_Fund!$AH:$AH,"&gt;0")))</f>
        <v/>
      </c>
      <c r="F11" s="22" t="str">
        <f aca="false">IF($A11="","",IF($D11=0,"",_xlfn.MAXIFS(Dim_Fund!$AH:$AH,Dim_Fund!$U:$U,$A11,Dim_Fund!$AH:$AH,"&gt;0")))</f>
        <v/>
      </c>
      <c r="G11" s="31" t="str">
        <f aca="false">IF($A11="","",IF($D11=0,"",ROUND(($F11-$E11)*60,0)))</f>
        <v/>
      </c>
      <c r="H11" s="22" t="str">
        <f aca="false">IF($A11="","",$E11)</f>
        <v/>
      </c>
      <c r="I11" s="4" t="str">
        <f aca="false">IF($A11="","",IF($D11&gt;=4,"HIGH — "&amp;$D11&amp;" funds share this feed",IF($D11&gt;=2,"Medium — "&amp;$D11&amp;" funds","Single fund")))</f>
        <v/>
      </c>
      <c r="J11" s="29" t="str">
        <f aca="false">IF($A11="","",COUNTIFS(Dim_Fund!$U:$U,$A11,Dim_Fund!$BC:$BC,1))</f>
        <v/>
      </c>
      <c r="K11" s="32" t="str">
        <f aca="false">IF($A11="","",IF(COUNTA(Dim_Fund!$A:$A)&lt;=1,"",$D11/(COUNTA(Dim_Fund!$A:$A)-1)))</f>
        <v/>
      </c>
      <c r="L11" s="29" t="str">
        <f aca="false">IF($A11="","",COUNTIFS(Fact_Milestone!$B:$B,$A11,Fact_Milestone!$I:$I,"?*"))</f>
        <v/>
      </c>
      <c r="M11" s="29" t="str">
        <f aca="false">IF($A11="","",COUNTIFS(Fact_Milestone!$B:$B,$A11,Fact_Milestone!$I:$I,"No"))</f>
        <v/>
      </c>
      <c r="N11" s="33" t="str">
        <f aca="false">IF($A11="","",ROUND(SUMIFS(Fact_Milestone!$L:$L,Fact_Milestone!$B:$B,$A11)/60,2))</f>
        <v/>
      </c>
      <c r="O11" s="29" t="str">
        <f aca="false">IF($A11="","",COUNTIFS(Fact_Work!$AL:$AL,$A11,Fact_Work!$AI:$AI,"Yes",Fact_Work!$BB:$BB,"No"))</f>
        <v/>
      </c>
    </row>
    <row r="12" customFormat="false" ht="15" hidden="false" customHeight="true" outlineLevel="0" collapsed="false">
      <c r="D12" s="4" t="str">
        <f aca="false">IF($A12="","",COUNTIF(Dim_Fund!$U:$U,$A12))</f>
        <v/>
      </c>
      <c r="E12" s="22" t="str">
        <f aca="false">IF($A12="","",IF($D12=0,"",_xlfn.MINIFS(Dim_Fund!$AH:$AH,Dim_Fund!$U:$U,$A12,Dim_Fund!$AH:$AH,"&gt;0")))</f>
        <v/>
      </c>
      <c r="F12" s="22" t="str">
        <f aca="false">IF($A12="","",IF($D12=0,"",_xlfn.MAXIFS(Dim_Fund!$AH:$AH,Dim_Fund!$U:$U,$A12,Dim_Fund!$AH:$AH,"&gt;0")))</f>
        <v/>
      </c>
      <c r="G12" s="31" t="str">
        <f aca="false">IF($A12="","",IF($D12=0,"",ROUND(($F12-$E12)*60,0)))</f>
        <v/>
      </c>
      <c r="H12" s="22" t="str">
        <f aca="false">IF($A12="","",$E12)</f>
        <v/>
      </c>
      <c r="I12" s="4" t="str">
        <f aca="false">IF($A12="","",IF($D12&gt;=4,"HIGH — "&amp;$D12&amp;" funds share this feed",IF($D12&gt;=2,"Medium — "&amp;$D12&amp;" funds","Single fund")))</f>
        <v/>
      </c>
      <c r="J12" s="29" t="str">
        <f aca="false">IF($A12="","",COUNTIFS(Dim_Fund!$U:$U,$A12,Dim_Fund!$BC:$BC,1))</f>
        <v/>
      </c>
      <c r="K12" s="32" t="str">
        <f aca="false">IF($A12="","",IF(COUNTA(Dim_Fund!$A:$A)&lt;=1,"",$D12/(COUNTA(Dim_Fund!$A:$A)-1)))</f>
        <v/>
      </c>
      <c r="L12" s="29" t="str">
        <f aca="false">IF($A12="","",COUNTIFS(Fact_Milestone!$B:$B,$A12,Fact_Milestone!$I:$I,"?*"))</f>
        <v/>
      </c>
      <c r="M12" s="29" t="str">
        <f aca="false">IF($A12="","",COUNTIFS(Fact_Milestone!$B:$B,$A12,Fact_Milestone!$I:$I,"No"))</f>
        <v/>
      </c>
      <c r="N12" s="33" t="str">
        <f aca="false">IF($A12="","",ROUND(SUMIFS(Fact_Milestone!$L:$L,Fact_Milestone!$B:$B,$A12)/60,2))</f>
        <v/>
      </c>
      <c r="O12" s="29" t="str">
        <f aca="false">IF($A12="","",COUNTIFS(Fact_Work!$AL:$AL,$A12,Fact_Work!$AI:$AI,"Yes",Fact_Work!$BB:$BB,"No"))</f>
        <v/>
      </c>
    </row>
    <row r="13" customFormat="false" ht="15" hidden="false" customHeight="true" outlineLevel="0" collapsed="false">
      <c r="D13" s="4" t="str">
        <f aca="false">IF($A13="","",COUNTIF(Dim_Fund!$U:$U,$A13))</f>
        <v/>
      </c>
      <c r="E13" s="22" t="str">
        <f aca="false">IF($A13="","",IF($D13=0,"",_xlfn.MINIFS(Dim_Fund!$AH:$AH,Dim_Fund!$U:$U,$A13,Dim_Fund!$AH:$AH,"&gt;0")))</f>
        <v/>
      </c>
      <c r="F13" s="22" t="str">
        <f aca="false">IF($A13="","",IF($D13=0,"",_xlfn.MAXIFS(Dim_Fund!$AH:$AH,Dim_Fund!$U:$U,$A13,Dim_Fund!$AH:$AH,"&gt;0")))</f>
        <v/>
      </c>
      <c r="G13" s="31" t="str">
        <f aca="false">IF($A13="","",IF($D13=0,"",ROUND(($F13-$E13)*60,0)))</f>
        <v/>
      </c>
      <c r="H13" s="22" t="str">
        <f aca="false">IF($A13="","",$E13)</f>
        <v/>
      </c>
      <c r="I13" s="4" t="str">
        <f aca="false">IF($A13="","",IF($D13&gt;=4,"HIGH — "&amp;$D13&amp;" funds share this feed",IF($D13&gt;=2,"Medium — "&amp;$D13&amp;" funds","Single fund")))</f>
        <v/>
      </c>
      <c r="J13" s="29" t="str">
        <f aca="false">IF($A13="","",COUNTIFS(Dim_Fund!$U:$U,$A13,Dim_Fund!$BC:$BC,1))</f>
        <v/>
      </c>
      <c r="K13" s="32" t="str">
        <f aca="false">IF($A13="","",IF(COUNTA(Dim_Fund!$A:$A)&lt;=1,"",$D13/(COUNTA(Dim_Fund!$A:$A)-1)))</f>
        <v/>
      </c>
      <c r="L13" s="29" t="str">
        <f aca="false">IF($A13="","",COUNTIFS(Fact_Milestone!$B:$B,$A13,Fact_Milestone!$I:$I,"?*"))</f>
        <v/>
      </c>
      <c r="M13" s="29" t="str">
        <f aca="false">IF($A13="","",COUNTIFS(Fact_Milestone!$B:$B,$A13,Fact_Milestone!$I:$I,"No"))</f>
        <v/>
      </c>
      <c r="N13" s="33" t="str">
        <f aca="false">IF($A13="","",ROUND(SUMIFS(Fact_Milestone!$L:$L,Fact_Milestone!$B:$B,$A13)/60,2))</f>
        <v/>
      </c>
      <c r="O13" s="29" t="str">
        <f aca="false">IF($A13="","",COUNTIFS(Fact_Work!$AL:$AL,$A13,Fact_Work!$AI:$AI,"Yes",Fact_Work!$BB:$BB,"No"))</f>
        <v/>
      </c>
    </row>
    <row r="14" customFormat="false" ht="15" hidden="false" customHeight="true" outlineLevel="0" collapsed="false">
      <c r="D14" s="4" t="str">
        <f aca="false">IF($A14="","",COUNTIF(Dim_Fund!$U:$U,$A14))</f>
        <v/>
      </c>
      <c r="E14" s="22" t="str">
        <f aca="false">IF($A14="","",IF($D14=0,"",_xlfn.MINIFS(Dim_Fund!$AH:$AH,Dim_Fund!$U:$U,$A14,Dim_Fund!$AH:$AH,"&gt;0")))</f>
        <v/>
      </c>
      <c r="F14" s="22" t="str">
        <f aca="false">IF($A14="","",IF($D14=0,"",_xlfn.MAXIFS(Dim_Fund!$AH:$AH,Dim_Fund!$U:$U,$A14,Dim_Fund!$AH:$AH,"&gt;0")))</f>
        <v/>
      </c>
      <c r="G14" s="31" t="str">
        <f aca="false">IF($A14="","",IF($D14=0,"",ROUND(($F14-$E14)*60,0)))</f>
        <v/>
      </c>
      <c r="H14" s="22" t="str">
        <f aca="false">IF($A14="","",$E14)</f>
        <v/>
      </c>
      <c r="I14" s="4" t="str">
        <f aca="false">IF($A14="","",IF($D14&gt;=4,"HIGH — "&amp;$D14&amp;" funds share this feed",IF($D14&gt;=2,"Medium — "&amp;$D14&amp;" funds","Single fund")))</f>
        <v/>
      </c>
      <c r="J14" s="29" t="str">
        <f aca="false">IF($A14="","",COUNTIFS(Dim_Fund!$U:$U,$A14,Dim_Fund!$BC:$BC,1))</f>
        <v/>
      </c>
      <c r="K14" s="32" t="str">
        <f aca="false">IF($A14="","",IF(COUNTA(Dim_Fund!$A:$A)&lt;=1,"",$D14/(COUNTA(Dim_Fund!$A:$A)-1)))</f>
        <v/>
      </c>
      <c r="L14" s="29" t="str">
        <f aca="false">IF($A14="","",COUNTIFS(Fact_Milestone!$B:$B,$A14,Fact_Milestone!$I:$I,"?*"))</f>
        <v/>
      </c>
      <c r="M14" s="29" t="str">
        <f aca="false">IF($A14="","",COUNTIFS(Fact_Milestone!$B:$B,$A14,Fact_Milestone!$I:$I,"No"))</f>
        <v/>
      </c>
      <c r="N14" s="33" t="str">
        <f aca="false">IF($A14="","",ROUND(SUMIFS(Fact_Milestone!$L:$L,Fact_Milestone!$B:$B,$A14)/60,2))</f>
        <v/>
      </c>
      <c r="O14" s="29" t="str">
        <f aca="false">IF($A14="","",COUNTIFS(Fact_Work!$AL:$AL,$A14,Fact_Work!$AI:$AI,"Yes",Fact_Work!$BB:$BB,"No"))</f>
        <v/>
      </c>
    </row>
    <row r="15" customFormat="false" ht="15" hidden="false" customHeight="true" outlineLevel="0" collapsed="false">
      <c r="D15" s="4" t="str">
        <f aca="false">IF($A15="","",COUNTIF(Dim_Fund!$U:$U,$A15))</f>
        <v/>
      </c>
      <c r="E15" s="22" t="str">
        <f aca="false">IF($A15="","",IF($D15=0,"",_xlfn.MINIFS(Dim_Fund!$AH:$AH,Dim_Fund!$U:$U,$A15,Dim_Fund!$AH:$AH,"&gt;0")))</f>
        <v/>
      </c>
      <c r="F15" s="22" t="str">
        <f aca="false">IF($A15="","",IF($D15=0,"",_xlfn.MAXIFS(Dim_Fund!$AH:$AH,Dim_Fund!$U:$U,$A15,Dim_Fund!$AH:$AH,"&gt;0")))</f>
        <v/>
      </c>
      <c r="G15" s="31" t="str">
        <f aca="false">IF($A15="","",IF($D15=0,"",ROUND(($F15-$E15)*60,0)))</f>
        <v/>
      </c>
      <c r="H15" s="22" t="str">
        <f aca="false">IF($A15="","",$E15)</f>
        <v/>
      </c>
      <c r="I15" s="4" t="str">
        <f aca="false">IF($A15="","",IF($D15&gt;=4,"HIGH — "&amp;$D15&amp;" funds share this feed",IF($D15&gt;=2,"Medium — "&amp;$D15&amp;" funds","Single fund")))</f>
        <v/>
      </c>
      <c r="J15" s="29" t="str">
        <f aca="false">IF($A15="","",COUNTIFS(Dim_Fund!$U:$U,$A15,Dim_Fund!$BC:$BC,1))</f>
        <v/>
      </c>
      <c r="K15" s="32" t="str">
        <f aca="false">IF($A15="","",IF(COUNTA(Dim_Fund!$A:$A)&lt;=1,"",$D15/(COUNTA(Dim_Fund!$A:$A)-1)))</f>
        <v/>
      </c>
      <c r="L15" s="29" t="str">
        <f aca="false">IF($A15="","",COUNTIFS(Fact_Milestone!$B:$B,$A15,Fact_Milestone!$I:$I,"?*"))</f>
        <v/>
      </c>
      <c r="M15" s="29" t="str">
        <f aca="false">IF($A15="","",COUNTIFS(Fact_Milestone!$B:$B,$A15,Fact_Milestone!$I:$I,"No"))</f>
        <v/>
      </c>
      <c r="N15" s="33" t="str">
        <f aca="false">IF($A15="","",ROUND(SUMIFS(Fact_Milestone!$L:$L,Fact_Milestone!$B:$B,$A15)/60,2))</f>
        <v/>
      </c>
      <c r="O15" s="29" t="str">
        <f aca="false">IF($A15="","",COUNTIFS(Fact_Work!$AL:$AL,$A15,Fact_Work!$AI:$AI,"Yes",Fact_Work!$BB:$BB,"No"))</f>
        <v/>
      </c>
    </row>
    <row r="16" customFormat="false" ht="15" hidden="false" customHeight="true" outlineLevel="0" collapsed="false">
      <c r="D16" s="4" t="str">
        <f aca="false">IF($A16="","",COUNTIF(Dim_Fund!$U:$U,$A16))</f>
        <v/>
      </c>
      <c r="E16" s="22" t="str">
        <f aca="false">IF($A16="","",IF($D16=0,"",_xlfn.MINIFS(Dim_Fund!$AH:$AH,Dim_Fund!$U:$U,$A16,Dim_Fund!$AH:$AH,"&gt;0")))</f>
        <v/>
      </c>
      <c r="F16" s="22" t="str">
        <f aca="false">IF($A16="","",IF($D16=0,"",_xlfn.MAXIFS(Dim_Fund!$AH:$AH,Dim_Fund!$U:$U,$A16,Dim_Fund!$AH:$AH,"&gt;0")))</f>
        <v/>
      </c>
      <c r="G16" s="31" t="str">
        <f aca="false">IF($A16="","",IF($D16=0,"",ROUND(($F16-$E16)*60,0)))</f>
        <v/>
      </c>
      <c r="H16" s="22" t="str">
        <f aca="false">IF($A16="","",$E16)</f>
        <v/>
      </c>
      <c r="I16" s="4" t="str">
        <f aca="false">IF($A16="","",IF($D16&gt;=4,"HIGH — "&amp;$D16&amp;" funds share this feed",IF($D16&gt;=2,"Medium — "&amp;$D16&amp;" funds","Single fund")))</f>
        <v/>
      </c>
      <c r="J16" s="29" t="str">
        <f aca="false">IF($A16="","",COUNTIFS(Dim_Fund!$U:$U,$A16,Dim_Fund!$BC:$BC,1))</f>
        <v/>
      </c>
      <c r="K16" s="32" t="str">
        <f aca="false">IF($A16="","",IF(COUNTA(Dim_Fund!$A:$A)&lt;=1,"",$D16/(COUNTA(Dim_Fund!$A:$A)-1)))</f>
        <v/>
      </c>
      <c r="L16" s="29" t="str">
        <f aca="false">IF($A16="","",COUNTIFS(Fact_Milestone!$B:$B,$A16,Fact_Milestone!$I:$I,"?*"))</f>
        <v/>
      </c>
      <c r="M16" s="29" t="str">
        <f aca="false">IF($A16="","",COUNTIFS(Fact_Milestone!$B:$B,$A16,Fact_Milestone!$I:$I,"No"))</f>
        <v/>
      </c>
      <c r="N16" s="33" t="str">
        <f aca="false">IF($A16="","",ROUND(SUMIFS(Fact_Milestone!$L:$L,Fact_Milestone!$B:$B,$A16)/60,2))</f>
        <v/>
      </c>
      <c r="O16" s="29" t="str">
        <f aca="false">IF($A16="","",COUNTIFS(Fact_Work!$AL:$AL,$A16,Fact_Work!$AI:$AI,"Yes",Fact_Work!$BB:$BB,"No"))</f>
        <v/>
      </c>
    </row>
    <row r="17" customFormat="false" ht="15" hidden="false" customHeight="true" outlineLevel="0" collapsed="false">
      <c r="D17" s="4" t="str">
        <f aca="false">IF($A17="","",COUNTIF(Dim_Fund!$U:$U,$A17))</f>
        <v/>
      </c>
      <c r="E17" s="22" t="str">
        <f aca="false">IF($A17="","",IF($D17=0,"",_xlfn.MINIFS(Dim_Fund!$AH:$AH,Dim_Fund!$U:$U,$A17,Dim_Fund!$AH:$AH,"&gt;0")))</f>
        <v/>
      </c>
      <c r="F17" s="22" t="str">
        <f aca="false">IF($A17="","",IF($D17=0,"",_xlfn.MAXIFS(Dim_Fund!$AH:$AH,Dim_Fund!$U:$U,$A17,Dim_Fund!$AH:$AH,"&gt;0")))</f>
        <v/>
      </c>
      <c r="G17" s="31" t="str">
        <f aca="false">IF($A17="","",IF($D17=0,"",ROUND(($F17-$E17)*60,0)))</f>
        <v/>
      </c>
      <c r="H17" s="22" t="str">
        <f aca="false">IF($A17="","",$E17)</f>
        <v/>
      </c>
      <c r="I17" s="4" t="str">
        <f aca="false">IF($A17="","",IF($D17&gt;=4,"HIGH — "&amp;$D17&amp;" funds share this feed",IF($D17&gt;=2,"Medium — "&amp;$D17&amp;" funds","Single fund")))</f>
        <v/>
      </c>
      <c r="J17" s="29" t="str">
        <f aca="false">IF($A17="","",COUNTIFS(Dim_Fund!$U:$U,$A17,Dim_Fund!$BC:$BC,1))</f>
        <v/>
      </c>
      <c r="K17" s="32" t="str">
        <f aca="false">IF($A17="","",IF(COUNTA(Dim_Fund!$A:$A)&lt;=1,"",$D17/(COUNTA(Dim_Fund!$A:$A)-1)))</f>
        <v/>
      </c>
      <c r="L17" s="29" t="str">
        <f aca="false">IF($A17="","",COUNTIFS(Fact_Milestone!$B:$B,$A17,Fact_Milestone!$I:$I,"?*"))</f>
        <v/>
      </c>
      <c r="M17" s="29" t="str">
        <f aca="false">IF($A17="","",COUNTIFS(Fact_Milestone!$B:$B,$A17,Fact_Milestone!$I:$I,"No"))</f>
        <v/>
      </c>
      <c r="N17" s="33" t="str">
        <f aca="false">IF($A17="","",ROUND(SUMIFS(Fact_Milestone!$L:$L,Fact_Milestone!$B:$B,$A17)/60,2))</f>
        <v/>
      </c>
      <c r="O17" s="29" t="str">
        <f aca="false">IF($A17="","",COUNTIFS(Fact_Work!$AL:$AL,$A17,Fact_Work!$AI:$AI,"Yes",Fact_Work!$BB:$BB,"No"))</f>
        <v/>
      </c>
    </row>
    <row r="18" customFormat="false" ht="15" hidden="false" customHeight="true" outlineLevel="0" collapsed="false">
      <c r="D18" s="4" t="str">
        <f aca="false">IF($A18="","",COUNTIF(Dim_Fund!$U:$U,$A18))</f>
        <v/>
      </c>
      <c r="E18" s="22" t="str">
        <f aca="false">IF($A18="","",IF($D18=0,"",_xlfn.MINIFS(Dim_Fund!$AH:$AH,Dim_Fund!$U:$U,$A18,Dim_Fund!$AH:$AH,"&gt;0")))</f>
        <v/>
      </c>
      <c r="F18" s="22" t="str">
        <f aca="false">IF($A18="","",IF($D18=0,"",_xlfn.MAXIFS(Dim_Fund!$AH:$AH,Dim_Fund!$U:$U,$A18,Dim_Fund!$AH:$AH,"&gt;0")))</f>
        <v/>
      </c>
      <c r="G18" s="31" t="str">
        <f aca="false">IF($A18="","",IF($D18=0,"",ROUND(($F18-$E18)*60,0)))</f>
        <v/>
      </c>
      <c r="H18" s="22" t="str">
        <f aca="false">IF($A18="","",$E18)</f>
        <v/>
      </c>
      <c r="I18" s="4" t="str">
        <f aca="false">IF($A18="","",IF($D18&gt;=4,"HIGH — "&amp;$D18&amp;" funds share this feed",IF($D18&gt;=2,"Medium — "&amp;$D18&amp;" funds","Single fund")))</f>
        <v/>
      </c>
      <c r="J18" s="29" t="str">
        <f aca="false">IF($A18="","",COUNTIFS(Dim_Fund!$U:$U,$A18,Dim_Fund!$BC:$BC,1))</f>
        <v/>
      </c>
      <c r="K18" s="32" t="str">
        <f aca="false">IF($A18="","",IF(COUNTA(Dim_Fund!$A:$A)&lt;=1,"",$D18/(COUNTA(Dim_Fund!$A:$A)-1)))</f>
        <v/>
      </c>
      <c r="L18" s="29" t="str">
        <f aca="false">IF($A18="","",COUNTIFS(Fact_Milestone!$B:$B,$A18,Fact_Milestone!$I:$I,"?*"))</f>
        <v/>
      </c>
      <c r="M18" s="29" t="str">
        <f aca="false">IF($A18="","",COUNTIFS(Fact_Milestone!$B:$B,$A18,Fact_Milestone!$I:$I,"No"))</f>
        <v/>
      </c>
      <c r="N18" s="33" t="str">
        <f aca="false">IF($A18="","",ROUND(SUMIFS(Fact_Milestone!$L:$L,Fact_Milestone!$B:$B,$A18)/60,2))</f>
        <v/>
      </c>
      <c r="O18" s="29" t="str">
        <f aca="false">IF($A18="","",COUNTIFS(Fact_Work!$AL:$AL,$A18,Fact_Work!$AI:$AI,"Yes",Fact_Work!$BB:$BB,"No"))</f>
        <v/>
      </c>
    </row>
    <row r="19" customFormat="false" ht="15" hidden="false" customHeight="true" outlineLevel="0" collapsed="false">
      <c r="D19" s="4" t="str">
        <f aca="false">IF($A19="","",COUNTIF(Dim_Fund!$U:$U,$A19))</f>
        <v/>
      </c>
      <c r="E19" s="22" t="str">
        <f aca="false">IF($A19="","",IF($D19=0,"",_xlfn.MINIFS(Dim_Fund!$AH:$AH,Dim_Fund!$U:$U,$A19,Dim_Fund!$AH:$AH,"&gt;0")))</f>
        <v/>
      </c>
      <c r="F19" s="22" t="str">
        <f aca="false">IF($A19="","",IF($D19=0,"",_xlfn.MAXIFS(Dim_Fund!$AH:$AH,Dim_Fund!$U:$U,$A19,Dim_Fund!$AH:$AH,"&gt;0")))</f>
        <v/>
      </c>
      <c r="G19" s="31" t="str">
        <f aca="false">IF($A19="","",IF($D19=0,"",ROUND(($F19-$E19)*60,0)))</f>
        <v/>
      </c>
      <c r="H19" s="22" t="str">
        <f aca="false">IF($A19="","",$E19)</f>
        <v/>
      </c>
      <c r="I19" s="4" t="str">
        <f aca="false">IF($A19="","",IF($D19&gt;=4,"HIGH — "&amp;$D19&amp;" funds share this feed",IF($D19&gt;=2,"Medium — "&amp;$D19&amp;" funds","Single fund")))</f>
        <v/>
      </c>
      <c r="J19" s="29" t="str">
        <f aca="false">IF($A19="","",COUNTIFS(Dim_Fund!$U:$U,$A19,Dim_Fund!$BC:$BC,1))</f>
        <v/>
      </c>
      <c r="K19" s="32" t="str">
        <f aca="false">IF($A19="","",IF(COUNTA(Dim_Fund!$A:$A)&lt;=1,"",$D19/(COUNTA(Dim_Fund!$A:$A)-1)))</f>
        <v/>
      </c>
      <c r="L19" s="29" t="str">
        <f aca="false">IF($A19="","",COUNTIFS(Fact_Milestone!$B:$B,$A19,Fact_Milestone!$I:$I,"?*"))</f>
        <v/>
      </c>
      <c r="M19" s="29" t="str">
        <f aca="false">IF($A19="","",COUNTIFS(Fact_Milestone!$B:$B,$A19,Fact_Milestone!$I:$I,"No"))</f>
        <v/>
      </c>
      <c r="N19" s="33" t="str">
        <f aca="false">IF($A19="","",ROUND(SUMIFS(Fact_Milestone!$L:$L,Fact_Milestone!$B:$B,$A19)/60,2))</f>
        <v/>
      </c>
      <c r="O19" s="29" t="str">
        <f aca="false">IF($A19="","",COUNTIFS(Fact_Work!$AL:$AL,$A19,Fact_Work!$AI:$AI,"Yes",Fact_Work!$BB:$BB,"No"))</f>
        <v/>
      </c>
    </row>
    <row r="20" customFormat="false" ht="15" hidden="false" customHeight="true" outlineLevel="0" collapsed="false">
      <c r="D20" s="4" t="str">
        <f aca="false">IF($A20="","",COUNTIF(Dim_Fund!$U:$U,$A20))</f>
        <v/>
      </c>
      <c r="E20" s="22" t="str">
        <f aca="false">IF($A20="","",IF($D20=0,"",_xlfn.MINIFS(Dim_Fund!$AH:$AH,Dim_Fund!$U:$U,$A20,Dim_Fund!$AH:$AH,"&gt;0")))</f>
        <v/>
      </c>
      <c r="F20" s="22" t="str">
        <f aca="false">IF($A20="","",IF($D20=0,"",_xlfn.MAXIFS(Dim_Fund!$AH:$AH,Dim_Fund!$U:$U,$A20,Dim_Fund!$AH:$AH,"&gt;0")))</f>
        <v/>
      </c>
      <c r="G20" s="31" t="str">
        <f aca="false">IF($A20="","",IF($D20=0,"",ROUND(($F20-$E20)*60,0)))</f>
        <v/>
      </c>
      <c r="H20" s="22" t="str">
        <f aca="false">IF($A20="","",$E20)</f>
        <v/>
      </c>
      <c r="I20" s="4" t="str">
        <f aca="false">IF($A20="","",IF($D20&gt;=4,"HIGH — "&amp;$D20&amp;" funds share this feed",IF($D20&gt;=2,"Medium — "&amp;$D20&amp;" funds","Single fund")))</f>
        <v/>
      </c>
      <c r="J20" s="29" t="str">
        <f aca="false">IF($A20="","",COUNTIFS(Dim_Fund!$U:$U,$A20,Dim_Fund!$BC:$BC,1))</f>
        <v/>
      </c>
      <c r="K20" s="32" t="str">
        <f aca="false">IF($A20="","",IF(COUNTA(Dim_Fund!$A:$A)&lt;=1,"",$D20/(COUNTA(Dim_Fund!$A:$A)-1)))</f>
        <v/>
      </c>
      <c r="L20" s="29" t="str">
        <f aca="false">IF($A20="","",COUNTIFS(Fact_Milestone!$B:$B,$A20,Fact_Milestone!$I:$I,"?*"))</f>
        <v/>
      </c>
      <c r="M20" s="29" t="str">
        <f aca="false">IF($A20="","",COUNTIFS(Fact_Milestone!$B:$B,$A20,Fact_Milestone!$I:$I,"No"))</f>
        <v/>
      </c>
      <c r="N20" s="33" t="str">
        <f aca="false">IF($A20="","",ROUND(SUMIFS(Fact_Milestone!$L:$L,Fact_Milestone!$B:$B,$A20)/60,2))</f>
        <v/>
      </c>
      <c r="O20" s="29" t="str">
        <f aca="false">IF($A20="","",COUNTIFS(Fact_Work!$AL:$AL,$A20,Fact_Work!$AI:$AI,"Yes",Fact_Work!$BB:$BB,"No"))</f>
        <v/>
      </c>
    </row>
    <row r="21" customFormat="false" ht="15" hidden="false" customHeight="true" outlineLevel="0" collapsed="false">
      <c r="D21" s="4" t="str">
        <f aca="false">IF($A21="","",COUNTIF(Dim_Fund!$U:$U,$A21))</f>
        <v/>
      </c>
      <c r="E21" s="22" t="str">
        <f aca="false">IF($A21="","",IF($D21=0,"",_xlfn.MINIFS(Dim_Fund!$AH:$AH,Dim_Fund!$U:$U,$A21,Dim_Fund!$AH:$AH,"&gt;0")))</f>
        <v/>
      </c>
      <c r="F21" s="22" t="str">
        <f aca="false">IF($A21="","",IF($D21=0,"",_xlfn.MAXIFS(Dim_Fund!$AH:$AH,Dim_Fund!$U:$U,$A21,Dim_Fund!$AH:$AH,"&gt;0")))</f>
        <v/>
      </c>
      <c r="G21" s="31" t="str">
        <f aca="false">IF($A21="","",IF($D21=0,"",ROUND(($F21-$E21)*60,0)))</f>
        <v/>
      </c>
      <c r="H21" s="22" t="str">
        <f aca="false">IF($A21="","",$E21)</f>
        <v/>
      </c>
      <c r="I21" s="4" t="str">
        <f aca="false">IF($A21="","",IF($D21&gt;=4,"HIGH — "&amp;$D21&amp;" funds share this feed",IF($D21&gt;=2,"Medium — "&amp;$D21&amp;" funds","Single fund")))</f>
        <v/>
      </c>
      <c r="J21" s="29" t="str">
        <f aca="false">IF($A21="","",COUNTIFS(Dim_Fund!$U:$U,$A21,Dim_Fund!$BC:$BC,1))</f>
        <v/>
      </c>
      <c r="K21" s="32" t="str">
        <f aca="false">IF($A21="","",IF(COUNTA(Dim_Fund!$A:$A)&lt;=1,"",$D21/(COUNTA(Dim_Fund!$A:$A)-1)))</f>
        <v/>
      </c>
      <c r="L21" s="29" t="str">
        <f aca="false">IF($A21="","",COUNTIFS(Fact_Milestone!$B:$B,$A21,Fact_Milestone!$I:$I,"?*"))</f>
        <v/>
      </c>
      <c r="M21" s="29" t="str">
        <f aca="false">IF($A21="","",COUNTIFS(Fact_Milestone!$B:$B,$A21,Fact_Milestone!$I:$I,"No"))</f>
        <v/>
      </c>
      <c r="N21" s="33" t="str">
        <f aca="false">IF($A21="","",ROUND(SUMIFS(Fact_Milestone!$L:$L,Fact_Milestone!$B:$B,$A21)/60,2))</f>
        <v/>
      </c>
      <c r="O21" s="29" t="str">
        <f aca="false">IF($A21="","",COUNTIFS(Fact_Work!$AL:$AL,$A21,Fact_Work!$AI:$AI,"Yes",Fact_Work!$BB:$BB,"No"))</f>
        <v/>
      </c>
    </row>
    <row r="22" customFormat="false" ht="15" hidden="false" customHeight="true" outlineLevel="0" collapsed="false">
      <c r="D22" s="4" t="str">
        <f aca="false">IF($A22="","",COUNTIF(Dim_Fund!$U:$U,$A22))</f>
        <v/>
      </c>
      <c r="E22" s="22" t="str">
        <f aca="false">IF($A22="","",IF($D22=0,"",_xlfn.MINIFS(Dim_Fund!$AH:$AH,Dim_Fund!$U:$U,$A22,Dim_Fund!$AH:$AH,"&gt;0")))</f>
        <v/>
      </c>
      <c r="F22" s="22" t="str">
        <f aca="false">IF($A22="","",IF($D22=0,"",_xlfn.MAXIFS(Dim_Fund!$AH:$AH,Dim_Fund!$U:$U,$A22,Dim_Fund!$AH:$AH,"&gt;0")))</f>
        <v/>
      </c>
      <c r="G22" s="31" t="str">
        <f aca="false">IF($A22="","",IF($D22=0,"",ROUND(($F22-$E22)*60,0)))</f>
        <v/>
      </c>
      <c r="H22" s="22" t="str">
        <f aca="false">IF($A22="","",$E22)</f>
        <v/>
      </c>
      <c r="I22" s="4" t="str">
        <f aca="false">IF($A22="","",IF($D22&gt;=4,"HIGH — "&amp;$D22&amp;" funds share this feed",IF($D22&gt;=2,"Medium — "&amp;$D22&amp;" funds","Single fund")))</f>
        <v/>
      </c>
      <c r="J22" s="29" t="str">
        <f aca="false">IF($A22="","",COUNTIFS(Dim_Fund!$U:$U,$A22,Dim_Fund!$BC:$BC,1))</f>
        <v/>
      </c>
      <c r="K22" s="32" t="str">
        <f aca="false">IF($A22="","",IF(COUNTA(Dim_Fund!$A:$A)&lt;=1,"",$D22/(COUNTA(Dim_Fund!$A:$A)-1)))</f>
        <v/>
      </c>
      <c r="L22" s="29" t="str">
        <f aca="false">IF($A22="","",COUNTIFS(Fact_Milestone!$B:$B,$A22,Fact_Milestone!$I:$I,"?*"))</f>
        <v/>
      </c>
      <c r="M22" s="29" t="str">
        <f aca="false">IF($A22="","",COUNTIFS(Fact_Milestone!$B:$B,$A22,Fact_Milestone!$I:$I,"No"))</f>
        <v/>
      </c>
      <c r="N22" s="33" t="str">
        <f aca="false">IF($A22="","",ROUND(SUMIFS(Fact_Milestone!$L:$L,Fact_Milestone!$B:$B,$A22)/60,2))</f>
        <v/>
      </c>
      <c r="O22" s="29" t="str">
        <f aca="false">IF($A22="","",COUNTIFS(Fact_Work!$AL:$AL,$A22,Fact_Work!$AI:$AI,"Yes",Fact_Work!$BB:$BB,"No"))</f>
        <v/>
      </c>
    </row>
    <row r="23" customFormat="false" ht="15" hidden="false" customHeight="true" outlineLevel="0" collapsed="false">
      <c r="D23" s="4" t="str">
        <f aca="false">IF($A23="","",COUNTIF(Dim_Fund!$U:$U,$A23))</f>
        <v/>
      </c>
      <c r="E23" s="22" t="str">
        <f aca="false">IF($A23="","",IF($D23=0,"",_xlfn.MINIFS(Dim_Fund!$AH:$AH,Dim_Fund!$U:$U,$A23,Dim_Fund!$AH:$AH,"&gt;0")))</f>
        <v/>
      </c>
      <c r="F23" s="22" t="str">
        <f aca="false">IF($A23="","",IF($D23=0,"",_xlfn.MAXIFS(Dim_Fund!$AH:$AH,Dim_Fund!$U:$U,$A23,Dim_Fund!$AH:$AH,"&gt;0")))</f>
        <v/>
      </c>
      <c r="G23" s="31" t="str">
        <f aca="false">IF($A23="","",IF($D23=0,"",ROUND(($F23-$E23)*60,0)))</f>
        <v/>
      </c>
      <c r="H23" s="22" t="str">
        <f aca="false">IF($A23="","",$E23)</f>
        <v/>
      </c>
      <c r="I23" s="4" t="str">
        <f aca="false">IF($A23="","",IF($D23&gt;=4,"HIGH — "&amp;$D23&amp;" funds share this feed",IF($D23&gt;=2,"Medium — "&amp;$D23&amp;" funds","Single fund")))</f>
        <v/>
      </c>
      <c r="J23" s="29" t="str">
        <f aca="false">IF($A23="","",COUNTIFS(Dim_Fund!$U:$U,$A23,Dim_Fund!$BC:$BC,1))</f>
        <v/>
      </c>
      <c r="K23" s="32" t="str">
        <f aca="false">IF($A23="","",IF(COUNTA(Dim_Fund!$A:$A)&lt;=1,"",$D23/(COUNTA(Dim_Fund!$A:$A)-1)))</f>
        <v/>
      </c>
      <c r="L23" s="29" t="str">
        <f aca="false">IF($A23="","",COUNTIFS(Fact_Milestone!$B:$B,$A23,Fact_Milestone!$I:$I,"?*"))</f>
        <v/>
      </c>
      <c r="M23" s="29" t="str">
        <f aca="false">IF($A23="","",COUNTIFS(Fact_Milestone!$B:$B,$A23,Fact_Milestone!$I:$I,"No"))</f>
        <v/>
      </c>
      <c r="N23" s="33" t="str">
        <f aca="false">IF($A23="","",ROUND(SUMIFS(Fact_Milestone!$L:$L,Fact_Milestone!$B:$B,$A23)/60,2))</f>
        <v/>
      </c>
      <c r="O23" s="29" t="str">
        <f aca="false">IF($A23="","",COUNTIFS(Fact_Work!$AL:$AL,$A23,Fact_Work!$AI:$AI,"Yes",Fact_Work!$BB:$BB,"No"))</f>
        <v/>
      </c>
    </row>
    <row r="24" customFormat="false" ht="15" hidden="false" customHeight="true" outlineLevel="0" collapsed="false">
      <c r="D24" s="4" t="str">
        <f aca="false">IF($A24="","",COUNTIF(Dim_Fund!$U:$U,$A24))</f>
        <v/>
      </c>
      <c r="E24" s="22" t="str">
        <f aca="false">IF($A24="","",IF($D24=0,"",_xlfn.MINIFS(Dim_Fund!$AH:$AH,Dim_Fund!$U:$U,$A24,Dim_Fund!$AH:$AH,"&gt;0")))</f>
        <v/>
      </c>
      <c r="F24" s="22" t="str">
        <f aca="false">IF($A24="","",IF($D24=0,"",_xlfn.MAXIFS(Dim_Fund!$AH:$AH,Dim_Fund!$U:$U,$A24,Dim_Fund!$AH:$AH,"&gt;0")))</f>
        <v/>
      </c>
      <c r="G24" s="31" t="str">
        <f aca="false">IF($A24="","",IF($D24=0,"",ROUND(($F24-$E24)*60,0)))</f>
        <v/>
      </c>
      <c r="H24" s="22" t="str">
        <f aca="false">IF($A24="","",$E24)</f>
        <v/>
      </c>
      <c r="I24" s="4" t="str">
        <f aca="false">IF($A24="","",IF($D24&gt;=4,"HIGH — "&amp;$D24&amp;" funds share this feed",IF($D24&gt;=2,"Medium — "&amp;$D24&amp;" funds","Single fund")))</f>
        <v/>
      </c>
      <c r="J24" s="29" t="str">
        <f aca="false">IF($A24="","",COUNTIFS(Dim_Fund!$U:$U,$A24,Dim_Fund!$BC:$BC,1))</f>
        <v/>
      </c>
      <c r="K24" s="32" t="str">
        <f aca="false">IF($A24="","",IF(COUNTA(Dim_Fund!$A:$A)&lt;=1,"",$D24/(COUNTA(Dim_Fund!$A:$A)-1)))</f>
        <v/>
      </c>
      <c r="L24" s="29" t="str">
        <f aca="false">IF($A24="","",COUNTIFS(Fact_Milestone!$B:$B,$A24,Fact_Milestone!$I:$I,"?*"))</f>
        <v/>
      </c>
      <c r="M24" s="29" t="str">
        <f aca="false">IF($A24="","",COUNTIFS(Fact_Milestone!$B:$B,$A24,Fact_Milestone!$I:$I,"No"))</f>
        <v/>
      </c>
      <c r="N24" s="33" t="str">
        <f aca="false">IF($A24="","",ROUND(SUMIFS(Fact_Milestone!$L:$L,Fact_Milestone!$B:$B,$A24)/60,2))</f>
        <v/>
      </c>
      <c r="O24" s="29" t="str">
        <f aca="false">IF($A24="","",COUNTIFS(Fact_Work!$AL:$AL,$A24,Fact_Work!$AI:$AI,"Yes",Fact_Work!$BB:$BB,"No"))</f>
        <v/>
      </c>
    </row>
    <row r="25" customFormat="false" ht="15" hidden="false" customHeight="true" outlineLevel="0" collapsed="false">
      <c r="D25" s="4" t="str">
        <f aca="false">IF($A25="","",COUNTIF(Dim_Fund!$U:$U,$A25))</f>
        <v/>
      </c>
      <c r="E25" s="22" t="str">
        <f aca="false">IF($A25="","",IF($D25=0,"",_xlfn.MINIFS(Dim_Fund!$AH:$AH,Dim_Fund!$U:$U,$A25,Dim_Fund!$AH:$AH,"&gt;0")))</f>
        <v/>
      </c>
      <c r="F25" s="22" t="str">
        <f aca="false">IF($A25="","",IF($D25=0,"",_xlfn.MAXIFS(Dim_Fund!$AH:$AH,Dim_Fund!$U:$U,$A25,Dim_Fund!$AH:$AH,"&gt;0")))</f>
        <v/>
      </c>
      <c r="G25" s="31" t="str">
        <f aca="false">IF($A25="","",IF($D25=0,"",ROUND(($F25-$E25)*60,0)))</f>
        <v/>
      </c>
      <c r="H25" s="22" t="str">
        <f aca="false">IF($A25="","",$E25)</f>
        <v/>
      </c>
      <c r="I25" s="4" t="str">
        <f aca="false">IF($A25="","",IF($D25&gt;=4,"HIGH — "&amp;$D25&amp;" funds share this feed",IF($D25&gt;=2,"Medium — "&amp;$D25&amp;" funds","Single fund")))</f>
        <v/>
      </c>
      <c r="J25" s="29" t="str">
        <f aca="false">IF($A25="","",COUNTIFS(Dim_Fund!$U:$U,$A25,Dim_Fund!$BC:$BC,1))</f>
        <v/>
      </c>
      <c r="K25" s="32" t="str">
        <f aca="false">IF($A25="","",IF(COUNTA(Dim_Fund!$A:$A)&lt;=1,"",$D25/(COUNTA(Dim_Fund!$A:$A)-1)))</f>
        <v/>
      </c>
      <c r="L25" s="29" t="str">
        <f aca="false">IF($A25="","",COUNTIFS(Fact_Milestone!$B:$B,$A25,Fact_Milestone!$I:$I,"?*"))</f>
        <v/>
      </c>
      <c r="M25" s="29" t="str">
        <f aca="false">IF($A25="","",COUNTIFS(Fact_Milestone!$B:$B,$A25,Fact_Milestone!$I:$I,"No"))</f>
        <v/>
      </c>
      <c r="N25" s="33" t="str">
        <f aca="false">IF($A25="","",ROUND(SUMIFS(Fact_Milestone!$L:$L,Fact_Milestone!$B:$B,$A25)/60,2))</f>
        <v/>
      </c>
      <c r="O25" s="29" t="str">
        <f aca="false">IF($A25="","",COUNTIFS(Fact_Work!$AL:$AL,$A25,Fact_Work!$AI:$AI,"Yes",Fact_Work!$BB:$BB,"No"))</f>
        <v/>
      </c>
    </row>
    <row r="26" customFormat="false" ht="15" hidden="false" customHeight="true" outlineLevel="0" collapsed="false">
      <c r="D26" s="4" t="str">
        <f aca="false">IF($A26="","",COUNTIF(Dim_Fund!$U:$U,$A26))</f>
        <v/>
      </c>
      <c r="E26" s="22" t="str">
        <f aca="false">IF($A26="","",IF($D26=0,"",_xlfn.MINIFS(Dim_Fund!$AH:$AH,Dim_Fund!$U:$U,$A26,Dim_Fund!$AH:$AH,"&gt;0")))</f>
        <v/>
      </c>
      <c r="F26" s="22" t="str">
        <f aca="false">IF($A26="","",IF($D26=0,"",_xlfn.MAXIFS(Dim_Fund!$AH:$AH,Dim_Fund!$U:$U,$A26,Dim_Fund!$AH:$AH,"&gt;0")))</f>
        <v/>
      </c>
      <c r="G26" s="31" t="str">
        <f aca="false">IF($A26="","",IF($D26=0,"",ROUND(($F26-$E26)*60,0)))</f>
        <v/>
      </c>
      <c r="H26" s="22" t="str">
        <f aca="false">IF($A26="","",$E26)</f>
        <v/>
      </c>
      <c r="I26" s="4" t="str">
        <f aca="false">IF($A26="","",IF($D26&gt;=4,"HIGH — "&amp;$D26&amp;" funds share this feed",IF($D26&gt;=2,"Medium — "&amp;$D26&amp;" funds","Single fund")))</f>
        <v/>
      </c>
      <c r="J26" s="29" t="str">
        <f aca="false">IF($A26="","",COUNTIFS(Dim_Fund!$U:$U,$A26,Dim_Fund!$BC:$BC,1))</f>
        <v/>
      </c>
      <c r="K26" s="32" t="str">
        <f aca="false">IF($A26="","",IF(COUNTA(Dim_Fund!$A:$A)&lt;=1,"",$D26/(COUNTA(Dim_Fund!$A:$A)-1)))</f>
        <v/>
      </c>
      <c r="L26" s="29" t="str">
        <f aca="false">IF($A26="","",COUNTIFS(Fact_Milestone!$B:$B,$A26,Fact_Milestone!$I:$I,"?*"))</f>
        <v/>
      </c>
      <c r="M26" s="29" t="str">
        <f aca="false">IF($A26="","",COUNTIFS(Fact_Milestone!$B:$B,$A26,Fact_Milestone!$I:$I,"No"))</f>
        <v/>
      </c>
      <c r="N26" s="33" t="str">
        <f aca="false">IF($A26="","",ROUND(SUMIFS(Fact_Milestone!$L:$L,Fact_Milestone!$B:$B,$A26)/60,2))</f>
        <v/>
      </c>
      <c r="O26" s="29" t="str">
        <f aca="false">IF($A26="","",COUNTIFS(Fact_Work!$AL:$AL,$A26,Fact_Work!$AI:$AI,"Yes",Fact_Work!$BB:$BB,"No"))</f>
        <v/>
      </c>
    </row>
    <row r="27" customFormat="false" ht="15" hidden="false" customHeight="true" outlineLevel="0" collapsed="false">
      <c r="D27" s="4" t="str">
        <f aca="false">IF($A27="","",COUNTIF(Dim_Fund!$U:$U,$A27))</f>
        <v/>
      </c>
      <c r="E27" s="22" t="str">
        <f aca="false">IF($A27="","",IF($D27=0,"",_xlfn.MINIFS(Dim_Fund!$AH:$AH,Dim_Fund!$U:$U,$A27,Dim_Fund!$AH:$AH,"&gt;0")))</f>
        <v/>
      </c>
      <c r="F27" s="22" t="str">
        <f aca="false">IF($A27="","",IF($D27=0,"",_xlfn.MAXIFS(Dim_Fund!$AH:$AH,Dim_Fund!$U:$U,$A27,Dim_Fund!$AH:$AH,"&gt;0")))</f>
        <v/>
      </c>
      <c r="G27" s="31" t="str">
        <f aca="false">IF($A27="","",IF($D27=0,"",ROUND(($F27-$E27)*60,0)))</f>
        <v/>
      </c>
      <c r="H27" s="22" t="str">
        <f aca="false">IF($A27="","",$E27)</f>
        <v/>
      </c>
      <c r="I27" s="4" t="str">
        <f aca="false">IF($A27="","",IF($D27&gt;=4,"HIGH — "&amp;$D27&amp;" funds share this feed",IF($D27&gt;=2,"Medium — "&amp;$D27&amp;" funds","Single fund")))</f>
        <v/>
      </c>
      <c r="J27" s="29" t="str">
        <f aca="false">IF($A27="","",COUNTIFS(Dim_Fund!$U:$U,$A27,Dim_Fund!$BC:$BC,1))</f>
        <v/>
      </c>
      <c r="K27" s="32" t="str">
        <f aca="false">IF($A27="","",IF(COUNTA(Dim_Fund!$A:$A)&lt;=1,"",$D27/(COUNTA(Dim_Fund!$A:$A)-1)))</f>
        <v/>
      </c>
      <c r="L27" s="29" t="str">
        <f aca="false">IF($A27="","",COUNTIFS(Fact_Milestone!$B:$B,$A27,Fact_Milestone!$I:$I,"?*"))</f>
        <v/>
      </c>
      <c r="M27" s="29" t="str">
        <f aca="false">IF($A27="","",COUNTIFS(Fact_Milestone!$B:$B,$A27,Fact_Milestone!$I:$I,"No"))</f>
        <v/>
      </c>
      <c r="N27" s="33" t="str">
        <f aca="false">IF($A27="","",ROUND(SUMIFS(Fact_Milestone!$L:$L,Fact_Milestone!$B:$B,$A27)/60,2))</f>
        <v/>
      </c>
      <c r="O27" s="29" t="str">
        <f aca="false">IF($A27="","",COUNTIFS(Fact_Work!$AL:$AL,$A27,Fact_Work!$AI:$AI,"Yes",Fact_Work!$BB:$BB,"No"))</f>
        <v/>
      </c>
    </row>
    <row r="28" customFormat="false" ht="15" hidden="false" customHeight="true" outlineLevel="0" collapsed="false">
      <c r="D28" s="4" t="str">
        <f aca="false">IF($A28="","",COUNTIF(Dim_Fund!$U:$U,$A28))</f>
        <v/>
      </c>
      <c r="E28" s="22" t="str">
        <f aca="false">IF($A28="","",IF($D28=0,"",_xlfn.MINIFS(Dim_Fund!$AH:$AH,Dim_Fund!$U:$U,$A28,Dim_Fund!$AH:$AH,"&gt;0")))</f>
        <v/>
      </c>
      <c r="F28" s="22" t="str">
        <f aca="false">IF($A28="","",IF($D28=0,"",_xlfn.MAXIFS(Dim_Fund!$AH:$AH,Dim_Fund!$U:$U,$A28,Dim_Fund!$AH:$AH,"&gt;0")))</f>
        <v/>
      </c>
      <c r="G28" s="31" t="str">
        <f aca="false">IF($A28="","",IF($D28=0,"",ROUND(($F28-$E28)*60,0)))</f>
        <v/>
      </c>
      <c r="H28" s="22" t="str">
        <f aca="false">IF($A28="","",$E28)</f>
        <v/>
      </c>
      <c r="I28" s="4" t="str">
        <f aca="false">IF($A28="","",IF($D28&gt;=4,"HIGH — "&amp;$D28&amp;" funds share this feed",IF($D28&gt;=2,"Medium — "&amp;$D28&amp;" funds","Single fund")))</f>
        <v/>
      </c>
      <c r="J28" s="29" t="str">
        <f aca="false">IF($A28="","",COUNTIFS(Dim_Fund!$U:$U,$A28,Dim_Fund!$BC:$BC,1))</f>
        <v/>
      </c>
      <c r="K28" s="32" t="str">
        <f aca="false">IF($A28="","",IF(COUNTA(Dim_Fund!$A:$A)&lt;=1,"",$D28/(COUNTA(Dim_Fund!$A:$A)-1)))</f>
        <v/>
      </c>
      <c r="L28" s="29" t="str">
        <f aca="false">IF($A28="","",COUNTIFS(Fact_Milestone!$B:$B,$A28,Fact_Milestone!$I:$I,"?*"))</f>
        <v/>
      </c>
      <c r="M28" s="29" t="str">
        <f aca="false">IF($A28="","",COUNTIFS(Fact_Milestone!$B:$B,$A28,Fact_Milestone!$I:$I,"No"))</f>
        <v/>
      </c>
      <c r="N28" s="33" t="str">
        <f aca="false">IF($A28="","",ROUND(SUMIFS(Fact_Milestone!$L:$L,Fact_Milestone!$B:$B,$A28)/60,2))</f>
        <v/>
      </c>
      <c r="O28" s="29" t="str">
        <f aca="false">IF($A28="","",COUNTIFS(Fact_Work!$AL:$AL,$A28,Fact_Work!$AI:$AI,"Yes",Fact_Work!$BB:$BB,"No"))</f>
        <v/>
      </c>
    </row>
    <row r="29" customFormat="false" ht="15" hidden="false" customHeight="true" outlineLevel="0" collapsed="false">
      <c r="D29" s="4" t="str">
        <f aca="false">IF($A29="","",COUNTIF(Dim_Fund!$U:$U,$A29))</f>
        <v/>
      </c>
      <c r="E29" s="22" t="str">
        <f aca="false">IF($A29="","",IF($D29=0,"",_xlfn.MINIFS(Dim_Fund!$AH:$AH,Dim_Fund!$U:$U,$A29,Dim_Fund!$AH:$AH,"&gt;0")))</f>
        <v/>
      </c>
      <c r="F29" s="22" t="str">
        <f aca="false">IF($A29="","",IF($D29=0,"",_xlfn.MAXIFS(Dim_Fund!$AH:$AH,Dim_Fund!$U:$U,$A29,Dim_Fund!$AH:$AH,"&gt;0")))</f>
        <v/>
      </c>
      <c r="G29" s="31" t="str">
        <f aca="false">IF($A29="","",IF($D29=0,"",ROUND(($F29-$E29)*60,0)))</f>
        <v/>
      </c>
      <c r="H29" s="22" t="str">
        <f aca="false">IF($A29="","",$E29)</f>
        <v/>
      </c>
      <c r="I29" s="4" t="str">
        <f aca="false">IF($A29="","",IF($D29&gt;=4,"HIGH — "&amp;$D29&amp;" funds share this feed",IF($D29&gt;=2,"Medium — "&amp;$D29&amp;" funds","Single fund")))</f>
        <v/>
      </c>
      <c r="J29" s="29" t="str">
        <f aca="false">IF($A29="","",COUNTIFS(Dim_Fund!$U:$U,$A29,Dim_Fund!$BC:$BC,1))</f>
        <v/>
      </c>
      <c r="K29" s="32" t="str">
        <f aca="false">IF($A29="","",IF(COUNTA(Dim_Fund!$A:$A)&lt;=1,"",$D29/(COUNTA(Dim_Fund!$A:$A)-1)))</f>
        <v/>
      </c>
      <c r="L29" s="29" t="str">
        <f aca="false">IF($A29="","",COUNTIFS(Fact_Milestone!$B:$B,$A29,Fact_Milestone!$I:$I,"?*"))</f>
        <v/>
      </c>
      <c r="M29" s="29" t="str">
        <f aca="false">IF($A29="","",COUNTIFS(Fact_Milestone!$B:$B,$A29,Fact_Milestone!$I:$I,"No"))</f>
        <v/>
      </c>
      <c r="N29" s="33" t="str">
        <f aca="false">IF($A29="","",ROUND(SUMIFS(Fact_Milestone!$L:$L,Fact_Milestone!$B:$B,$A29)/60,2))</f>
        <v/>
      </c>
      <c r="O29" s="29" t="str">
        <f aca="false">IF($A29="","",COUNTIFS(Fact_Work!$AL:$AL,$A29,Fact_Work!$AI:$AI,"Yes",Fact_Work!$BB:$BB,"No"))</f>
        <v/>
      </c>
    </row>
    <row r="30" customFormat="false" ht="15" hidden="false" customHeight="true" outlineLevel="0" collapsed="false">
      <c r="D30" s="4" t="str">
        <f aca="false">IF($A30="","",COUNTIF(Dim_Fund!$U:$U,$A30))</f>
        <v/>
      </c>
      <c r="E30" s="22" t="str">
        <f aca="false">IF($A30="","",IF($D30=0,"",_xlfn.MINIFS(Dim_Fund!$AH:$AH,Dim_Fund!$U:$U,$A30,Dim_Fund!$AH:$AH,"&gt;0")))</f>
        <v/>
      </c>
      <c r="F30" s="22" t="str">
        <f aca="false">IF($A30="","",IF($D30=0,"",_xlfn.MAXIFS(Dim_Fund!$AH:$AH,Dim_Fund!$U:$U,$A30,Dim_Fund!$AH:$AH,"&gt;0")))</f>
        <v/>
      </c>
      <c r="G30" s="31" t="str">
        <f aca="false">IF($A30="","",IF($D30=0,"",ROUND(($F30-$E30)*60,0)))</f>
        <v/>
      </c>
      <c r="H30" s="22" t="str">
        <f aca="false">IF($A30="","",$E30)</f>
        <v/>
      </c>
      <c r="I30" s="4" t="str">
        <f aca="false">IF($A30="","",IF($D30&gt;=4,"HIGH — "&amp;$D30&amp;" funds share this feed",IF($D30&gt;=2,"Medium — "&amp;$D30&amp;" funds","Single fund")))</f>
        <v/>
      </c>
      <c r="J30" s="29" t="str">
        <f aca="false">IF($A30="","",COUNTIFS(Dim_Fund!$U:$U,$A30,Dim_Fund!$BC:$BC,1))</f>
        <v/>
      </c>
      <c r="K30" s="32" t="str">
        <f aca="false">IF($A30="","",IF(COUNTA(Dim_Fund!$A:$A)&lt;=1,"",$D30/(COUNTA(Dim_Fund!$A:$A)-1)))</f>
        <v/>
      </c>
      <c r="L30" s="29" t="str">
        <f aca="false">IF($A30="","",COUNTIFS(Fact_Milestone!$B:$B,$A30,Fact_Milestone!$I:$I,"?*"))</f>
        <v/>
      </c>
      <c r="M30" s="29" t="str">
        <f aca="false">IF($A30="","",COUNTIFS(Fact_Milestone!$B:$B,$A30,Fact_Milestone!$I:$I,"No"))</f>
        <v/>
      </c>
      <c r="N30" s="33" t="str">
        <f aca="false">IF($A30="","",ROUND(SUMIFS(Fact_Milestone!$L:$L,Fact_Milestone!$B:$B,$A30)/60,2))</f>
        <v/>
      </c>
      <c r="O30" s="29" t="str">
        <f aca="false">IF($A30="","",COUNTIFS(Fact_Work!$AL:$AL,$A30,Fact_Work!$AI:$AI,"Yes",Fact_Work!$BB:$BB,"No"))</f>
        <v/>
      </c>
    </row>
    <row r="31" customFormat="false" ht="15" hidden="false" customHeight="true" outlineLevel="0" collapsed="false">
      <c r="D31" s="4" t="str">
        <f aca="false">IF($A31="","",COUNTIF(Dim_Fund!$U:$U,$A31))</f>
        <v/>
      </c>
      <c r="E31" s="22" t="str">
        <f aca="false">IF($A31="","",IF($D31=0,"",_xlfn.MINIFS(Dim_Fund!$AH:$AH,Dim_Fund!$U:$U,$A31,Dim_Fund!$AH:$AH,"&gt;0")))</f>
        <v/>
      </c>
      <c r="F31" s="22" t="str">
        <f aca="false">IF($A31="","",IF($D31=0,"",_xlfn.MAXIFS(Dim_Fund!$AH:$AH,Dim_Fund!$U:$U,$A31,Dim_Fund!$AH:$AH,"&gt;0")))</f>
        <v/>
      </c>
      <c r="G31" s="31" t="str">
        <f aca="false">IF($A31="","",IF($D31=0,"",ROUND(($F31-$E31)*60,0)))</f>
        <v/>
      </c>
      <c r="H31" s="22" t="str">
        <f aca="false">IF($A31="","",$E31)</f>
        <v/>
      </c>
      <c r="I31" s="4" t="str">
        <f aca="false">IF($A31="","",IF($D31&gt;=4,"HIGH — "&amp;$D31&amp;" funds share this feed",IF($D31&gt;=2,"Medium — "&amp;$D31&amp;" funds","Single fund")))</f>
        <v/>
      </c>
      <c r="J31" s="29" t="str">
        <f aca="false">IF($A31="","",COUNTIFS(Dim_Fund!$U:$U,$A31,Dim_Fund!$BC:$BC,1))</f>
        <v/>
      </c>
      <c r="K31" s="32" t="str">
        <f aca="false">IF($A31="","",IF(COUNTA(Dim_Fund!$A:$A)&lt;=1,"",$D31/(COUNTA(Dim_Fund!$A:$A)-1)))</f>
        <v/>
      </c>
      <c r="L31" s="29" t="str">
        <f aca="false">IF($A31="","",COUNTIFS(Fact_Milestone!$B:$B,$A31,Fact_Milestone!$I:$I,"?*"))</f>
        <v/>
      </c>
      <c r="M31" s="29" t="str">
        <f aca="false">IF($A31="","",COUNTIFS(Fact_Milestone!$B:$B,$A31,Fact_Milestone!$I:$I,"No"))</f>
        <v/>
      </c>
      <c r="N31" s="33" t="str">
        <f aca="false">IF($A31="","",ROUND(SUMIFS(Fact_Milestone!$L:$L,Fact_Milestone!$B:$B,$A31)/60,2))</f>
        <v/>
      </c>
      <c r="O31" s="29" t="str">
        <f aca="false">IF($A31="","",COUNTIFS(Fact_Work!$AL:$AL,$A31,Fact_Work!$AI:$AI,"Yes",Fact_Work!$BB:$BB,"No"))</f>
        <v/>
      </c>
    </row>
    <row r="32" customFormat="false" ht="15" hidden="false" customHeight="true" outlineLevel="0" collapsed="false">
      <c r="D32" s="4" t="str">
        <f aca="false">IF($A32="","",COUNTIF(Dim_Fund!$U:$U,$A32))</f>
        <v/>
      </c>
      <c r="E32" s="22" t="str">
        <f aca="false">IF($A32="","",IF($D32=0,"",_xlfn.MINIFS(Dim_Fund!$AH:$AH,Dim_Fund!$U:$U,$A32,Dim_Fund!$AH:$AH,"&gt;0")))</f>
        <v/>
      </c>
      <c r="F32" s="22" t="str">
        <f aca="false">IF($A32="","",IF($D32=0,"",_xlfn.MAXIFS(Dim_Fund!$AH:$AH,Dim_Fund!$U:$U,$A32,Dim_Fund!$AH:$AH,"&gt;0")))</f>
        <v/>
      </c>
      <c r="G32" s="31" t="str">
        <f aca="false">IF($A32="","",IF($D32=0,"",ROUND(($F32-$E32)*60,0)))</f>
        <v/>
      </c>
      <c r="H32" s="22" t="str">
        <f aca="false">IF($A32="","",$E32)</f>
        <v/>
      </c>
      <c r="I32" s="4" t="str">
        <f aca="false">IF($A32="","",IF($D32&gt;=4,"HIGH — "&amp;$D32&amp;" funds share this feed",IF($D32&gt;=2,"Medium — "&amp;$D32&amp;" funds","Single fund")))</f>
        <v/>
      </c>
      <c r="J32" s="29" t="str">
        <f aca="false">IF($A32="","",COUNTIFS(Dim_Fund!$U:$U,$A32,Dim_Fund!$BC:$BC,1))</f>
        <v/>
      </c>
      <c r="K32" s="32" t="str">
        <f aca="false">IF($A32="","",IF(COUNTA(Dim_Fund!$A:$A)&lt;=1,"",$D32/(COUNTA(Dim_Fund!$A:$A)-1)))</f>
        <v/>
      </c>
      <c r="L32" s="29" t="str">
        <f aca="false">IF($A32="","",COUNTIFS(Fact_Milestone!$B:$B,$A32,Fact_Milestone!$I:$I,"?*"))</f>
        <v/>
      </c>
      <c r="M32" s="29" t="str">
        <f aca="false">IF($A32="","",COUNTIFS(Fact_Milestone!$B:$B,$A32,Fact_Milestone!$I:$I,"No"))</f>
        <v/>
      </c>
      <c r="N32" s="33" t="str">
        <f aca="false">IF($A32="","",ROUND(SUMIFS(Fact_Milestone!$L:$L,Fact_Milestone!$B:$B,$A32)/60,2))</f>
        <v/>
      </c>
      <c r="O32" s="29" t="str">
        <f aca="false">IF($A32="","",COUNTIFS(Fact_Work!$AL:$AL,$A32,Fact_Work!$AI:$AI,"Yes",Fact_Work!$BB:$BB,"No"))</f>
        <v/>
      </c>
    </row>
    <row r="33" customFormat="false" ht="15" hidden="false" customHeight="true" outlineLevel="0" collapsed="false">
      <c r="D33" s="4" t="str">
        <f aca="false">IF($A33="","",COUNTIF(Dim_Fund!$U:$U,$A33))</f>
        <v/>
      </c>
      <c r="E33" s="22" t="str">
        <f aca="false">IF($A33="","",IF($D33=0,"",_xlfn.MINIFS(Dim_Fund!$AH:$AH,Dim_Fund!$U:$U,$A33,Dim_Fund!$AH:$AH,"&gt;0")))</f>
        <v/>
      </c>
      <c r="F33" s="22" t="str">
        <f aca="false">IF($A33="","",IF($D33=0,"",_xlfn.MAXIFS(Dim_Fund!$AH:$AH,Dim_Fund!$U:$U,$A33,Dim_Fund!$AH:$AH,"&gt;0")))</f>
        <v/>
      </c>
      <c r="G33" s="31" t="str">
        <f aca="false">IF($A33="","",IF($D33=0,"",ROUND(($F33-$E33)*60,0)))</f>
        <v/>
      </c>
      <c r="H33" s="22" t="str">
        <f aca="false">IF($A33="","",$E33)</f>
        <v/>
      </c>
      <c r="I33" s="4" t="str">
        <f aca="false">IF($A33="","",IF($D33&gt;=4,"HIGH — "&amp;$D33&amp;" funds share this feed",IF($D33&gt;=2,"Medium — "&amp;$D33&amp;" funds","Single fund")))</f>
        <v/>
      </c>
      <c r="J33" s="29" t="str">
        <f aca="false">IF($A33="","",COUNTIFS(Dim_Fund!$U:$U,$A33,Dim_Fund!$BC:$BC,1))</f>
        <v/>
      </c>
      <c r="K33" s="32" t="str">
        <f aca="false">IF($A33="","",IF(COUNTA(Dim_Fund!$A:$A)&lt;=1,"",$D33/(COUNTA(Dim_Fund!$A:$A)-1)))</f>
        <v/>
      </c>
      <c r="L33" s="29" t="str">
        <f aca="false">IF($A33="","",COUNTIFS(Fact_Milestone!$B:$B,$A33,Fact_Milestone!$I:$I,"?*"))</f>
        <v/>
      </c>
      <c r="M33" s="29" t="str">
        <f aca="false">IF($A33="","",COUNTIFS(Fact_Milestone!$B:$B,$A33,Fact_Milestone!$I:$I,"No"))</f>
        <v/>
      </c>
      <c r="N33" s="33" t="str">
        <f aca="false">IF($A33="","",ROUND(SUMIFS(Fact_Milestone!$L:$L,Fact_Milestone!$B:$B,$A33)/60,2))</f>
        <v/>
      </c>
      <c r="O33" s="29" t="str">
        <f aca="false">IF($A33="","",COUNTIFS(Fact_Work!$AL:$AL,$A33,Fact_Work!$AI:$AI,"Yes",Fact_Work!$BB:$BB,"No"))</f>
        <v/>
      </c>
    </row>
    <row r="34" customFormat="false" ht="15" hidden="false" customHeight="true" outlineLevel="0" collapsed="false">
      <c r="D34" s="4" t="str">
        <f aca="false">IF($A34="","",COUNTIF(Dim_Fund!$U:$U,$A34))</f>
        <v/>
      </c>
      <c r="E34" s="22" t="str">
        <f aca="false">IF($A34="","",IF($D34=0,"",_xlfn.MINIFS(Dim_Fund!$AH:$AH,Dim_Fund!$U:$U,$A34,Dim_Fund!$AH:$AH,"&gt;0")))</f>
        <v/>
      </c>
      <c r="F34" s="22" t="str">
        <f aca="false">IF($A34="","",IF($D34=0,"",_xlfn.MAXIFS(Dim_Fund!$AH:$AH,Dim_Fund!$U:$U,$A34,Dim_Fund!$AH:$AH,"&gt;0")))</f>
        <v/>
      </c>
      <c r="G34" s="31" t="str">
        <f aca="false">IF($A34="","",IF($D34=0,"",ROUND(($F34-$E34)*60,0)))</f>
        <v/>
      </c>
      <c r="H34" s="22" t="str">
        <f aca="false">IF($A34="","",$E34)</f>
        <v/>
      </c>
      <c r="I34" s="4" t="str">
        <f aca="false">IF($A34="","",IF($D34&gt;=4,"HIGH — "&amp;$D34&amp;" funds share this feed",IF($D34&gt;=2,"Medium — "&amp;$D34&amp;" funds","Single fund")))</f>
        <v/>
      </c>
      <c r="J34" s="29" t="str">
        <f aca="false">IF($A34="","",COUNTIFS(Dim_Fund!$U:$U,$A34,Dim_Fund!$BC:$BC,1))</f>
        <v/>
      </c>
      <c r="K34" s="32" t="str">
        <f aca="false">IF($A34="","",IF(COUNTA(Dim_Fund!$A:$A)&lt;=1,"",$D34/(COUNTA(Dim_Fund!$A:$A)-1)))</f>
        <v/>
      </c>
      <c r="L34" s="29" t="str">
        <f aca="false">IF($A34="","",COUNTIFS(Fact_Milestone!$B:$B,$A34,Fact_Milestone!$I:$I,"?*"))</f>
        <v/>
      </c>
      <c r="M34" s="29" t="str">
        <f aca="false">IF($A34="","",COUNTIFS(Fact_Milestone!$B:$B,$A34,Fact_Milestone!$I:$I,"No"))</f>
        <v/>
      </c>
      <c r="N34" s="33" t="str">
        <f aca="false">IF($A34="","",ROUND(SUMIFS(Fact_Milestone!$L:$L,Fact_Milestone!$B:$B,$A34)/60,2))</f>
        <v/>
      </c>
      <c r="O34" s="29" t="str">
        <f aca="false">IF($A34="","",COUNTIFS(Fact_Work!$AL:$AL,$A34,Fact_Work!$AI:$AI,"Yes",Fact_Work!$BB:$BB,"No"))</f>
        <v/>
      </c>
    </row>
    <row r="35" customFormat="false" ht="15" hidden="false" customHeight="true" outlineLevel="0" collapsed="false">
      <c r="D35" s="4" t="str">
        <f aca="false">IF($A35="","",COUNTIF(Dim_Fund!$U:$U,$A35))</f>
        <v/>
      </c>
      <c r="E35" s="22" t="str">
        <f aca="false">IF($A35="","",IF($D35=0,"",_xlfn.MINIFS(Dim_Fund!$AH:$AH,Dim_Fund!$U:$U,$A35,Dim_Fund!$AH:$AH,"&gt;0")))</f>
        <v/>
      </c>
      <c r="F35" s="22" t="str">
        <f aca="false">IF($A35="","",IF($D35=0,"",_xlfn.MAXIFS(Dim_Fund!$AH:$AH,Dim_Fund!$U:$U,$A35,Dim_Fund!$AH:$AH,"&gt;0")))</f>
        <v/>
      </c>
      <c r="G35" s="31" t="str">
        <f aca="false">IF($A35="","",IF($D35=0,"",ROUND(($F35-$E35)*60,0)))</f>
        <v/>
      </c>
      <c r="H35" s="22" t="str">
        <f aca="false">IF($A35="","",$E35)</f>
        <v/>
      </c>
      <c r="I35" s="4" t="str">
        <f aca="false">IF($A35="","",IF($D35&gt;=4,"HIGH — "&amp;$D35&amp;" funds share this feed",IF($D35&gt;=2,"Medium — "&amp;$D35&amp;" funds","Single fund")))</f>
        <v/>
      </c>
      <c r="J35" s="29" t="str">
        <f aca="false">IF($A35="","",COUNTIFS(Dim_Fund!$U:$U,$A35,Dim_Fund!$BC:$BC,1))</f>
        <v/>
      </c>
      <c r="K35" s="32" t="str">
        <f aca="false">IF($A35="","",IF(COUNTA(Dim_Fund!$A:$A)&lt;=1,"",$D35/(COUNTA(Dim_Fund!$A:$A)-1)))</f>
        <v/>
      </c>
      <c r="L35" s="29" t="str">
        <f aca="false">IF($A35="","",COUNTIFS(Fact_Milestone!$B:$B,$A35,Fact_Milestone!$I:$I,"?*"))</f>
        <v/>
      </c>
      <c r="M35" s="29" t="str">
        <f aca="false">IF($A35="","",COUNTIFS(Fact_Milestone!$B:$B,$A35,Fact_Milestone!$I:$I,"No"))</f>
        <v/>
      </c>
      <c r="N35" s="33" t="str">
        <f aca="false">IF($A35="","",ROUND(SUMIFS(Fact_Milestone!$L:$L,Fact_Milestone!$B:$B,$A35)/60,2))</f>
        <v/>
      </c>
      <c r="O35" s="29" t="str">
        <f aca="false">IF($A35="","",COUNTIFS(Fact_Work!$AL:$AL,$A35,Fact_Work!$AI:$AI,"Yes",Fact_Work!$BB:$BB,"No"))</f>
        <v/>
      </c>
    </row>
    <row r="36" customFormat="false" ht="15" hidden="false" customHeight="true" outlineLevel="0" collapsed="false">
      <c r="D36" s="4" t="str">
        <f aca="false">IF($A36="","",COUNTIF(Dim_Fund!$U:$U,$A36))</f>
        <v/>
      </c>
      <c r="E36" s="22" t="str">
        <f aca="false">IF($A36="","",IF($D36=0,"",_xlfn.MINIFS(Dim_Fund!$AH:$AH,Dim_Fund!$U:$U,$A36,Dim_Fund!$AH:$AH,"&gt;0")))</f>
        <v/>
      </c>
      <c r="F36" s="22" t="str">
        <f aca="false">IF($A36="","",IF($D36=0,"",_xlfn.MAXIFS(Dim_Fund!$AH:$AH,Dim_Fund!$U:$U,$A36,Dim_Fund!$AH:$AH,"&gt;0")))</f>
        <v/>
      </c>
      <c r="G36" s="31" t="str">
        <f aca="false">IF($A36="","",IF($D36=0,"",ROUND(($F36-$E36)*60,0)))</f>
        <v/>
      </c>
      <c r="H36" s="22" t="str">
        <f aca="false">IF($A36="","",$E36)</f>
        <v/>
      </c>
      <c r="I36" s="4" t="str">
        <f aca="false">IF($A36="","",IF($D36&gt;=4,"HIGH — "&amp;$D36&amp;" funds share this feed",IF($D36&gt;=2,"Medium — "&amp;$D36&amp;" funds","Single fund")))</f>
        <v/>
      </c>
      <c r="J36" s="29" t="str">
        <f aca="false">IF($A36="","",COUNTIFS(Dim_Fund!$U:$U,$A36,Dim_Fund!$BC:$BC,1))</f>
        <v/>
      </c>
      <c r="K36" s="32" t="str">
        <f aca="false">IF($A36="","",IF(COUNTA(Dim_Fund!$A:$A)&lt;=1,"",$D36/(COUNTA(Dim_Fund!$A:$A)-1)))</f>
        <v/>
      </c>
      <c r="L36" s="29" t="str">
        <f aca="false">IF($A36="","",COUNTIFS(Fact_Milestone!$B:$B,$A36,Fact_Milestone!$I:$I,"?*"))</f>
        <v/>
      </c>
      <c r="M36" s="29" t="str">
        <f aca="false">IF($A36="","",COUNTIFS(Fact_Milestone!$B:$B,$A36,Fact_Milestone!$I:$I,"No"))</f>
        <v/>
      </c>
      <c r="N36" s="33" t="str">
        <f aca="false">IF($A36="","",ROUND(SUMIFS(Fact_Milestone!$L:$L,Fact_Milestone!$B:$B,$A36)/60,2))</f>
        <v/>
      </c>
      <c r="O36" s="29" t="str">
        <f aca="false">IF($A36="","",COUNTIFS(Fact_Work!$AL:$AL,$A36,Fact_Work!$AI:$AI,"Yes",Fact_Work!$BB:$BB,"No"))</f>
        <v/>
      </c>
    </row>
    <row r="37" customFormat="false" ht="15" hidden="false" customHeight="true" outlineLevel="0" collapsed="false">
      <c r="D37" s="4" t="str">
        <f aca="false">IF($A37="","",COUNTIF(Dim_Fund!$U:$U,$A37))</f>
        <v/>
      </c>
      <c r="E37" s="22" t="str">
        <f aca="false">IF($A37="","",IF($D37=0,"",_xlfn.MINIFS(Dim_Fund!$AH:$AH,Dim_Fund!$U:$U,$A37,Dim_Fund!$AH:$AH,"&gt;0")))</f>
        <v/>
      </c>
      <c r="F37" s="22" t="str">
        <f aca="false">IF($A37="","",IF($D37=0,"",_xlfn.MAXIFS(Dim_Fund!$AH:$AH,Dim_Fund!$U:$U,$A37,Dim_Fund!$AH:$AH,"&gt;0")))</f>
        <v/>
      </c>
      <c r="G37" s="31" t="str">
        <f aca="false">IF($A37="","",IF($D37=0,"",ROUND(($F37-$E37)*60,0)))</f>
        <v/>
      </c>
      <c r="H37" s="22" t="str">
        <f aca="false">IF($A37="","",$E37)</f>
        <v/>
      </c>
      <c r="I37" s="4" t="str">
        <f aca="false">IF($A37="","",IF($D37&gt;=4,"HIGH — "&amp;$D37&amp;" funds share this feed",IF($D37&gt;=2,"Medium — "&amp;$D37&amp;" funds","Single fund")))</f>
        <v/>
      </c>
      <c r="J37" s="29" t="str">
        <f aca="false">IF($A37="","",COUNTIFS(Dim_Fund!$U:$U,$A37,Dim_Fund!$BC:$BC,1))</f>
        <v/>
      </c>
      <c r="K37" s="32" t="str">
        <f aca="false">IF($A37="","",IF(COUNTA(Dim_Fund!$A:$A)&lt;=1,"",$D37/(COUNTA(Dim_Fund!$A:$A)-1)))</f>
        <v/>
      </c>
      <c r="L37" s="29" t="str">
        <f aca="false">IF($A37="","",COUNTIFS(Fact_Milestone!$B:$B,$A37,Fact_Milestone!$I:$I,"?*"))</f>
        <v/>
      </c>
      <c r="M37" s="29" t="str">
        <f aca="false">IF($A37="","",COUNTIFS(Fact_Milestone!$B:$B,$A37,Fact_Milestone!$I:$I,"No"))</f>
        <v/>
      </c>
      <c r="N37" s="33" t="str">
        <f aca="false">IF($A37="","",ROUND(SUMIFS(Fact_Milestone!$L:$L,Fact_Milestone!$B:$B,$A37)/60,2))</f>
        <v/>
      </c>
      <c r="O37" s="29" t="str">
        <f aca="false">IF($A37="","",COUNTIFS(Fact_Work!$AL:$AL,$A37,Fact_Work!$AI:$AI,"Yes",Fact_Work!$BB:$BB,"No"))</f>
        <v/>
      </c>
    </row>
    <row r="38" customFormat="false" ht="15" hidden="false" customHeight="true" outlineLevel="0" collapsed="false">
      <c r="D38" s="4" t="str">
        <f aca="false">IF($A38="","",COUNTIF(Dim_Fund!$U:$U,$A38))</f>
        <v/>
      </c>
      <c r="E38" s="22" t="str">
        <f aca="false">IF($A38="","",IF($D38=0,"",_xlfn.MINIFS(Dim_Fund!$AH:$AH,Dim_Fund!$U:$U,$A38,Dim_Fund!$AH:$AH,"&gt;0")))</f>
        <v/>
      </c>
      <c r="F38" s="22" t="str">
        <f aca="false">IF($A38="","",IF($D38=0,"",_xlfn.MAXIFS(Dim_Fund!$AH:$AH,Dim_Fund!$U:$U,$A38,Dim_Fund!$AH:$AH,"&gt;0")))</f>
        <v/>
      </c>
      <c r="G38" s="31" t="str">
        <f aca="false">IF($A38="","",IF($D38=0,"",ROUND(($F38-$E38)*60,0)))</f>
        <v/>
      </c>
      <c r="H38" s="22" t="str">
        <f aca="false">IF($A38="","",$E38)</f>
        <v/>
      </c>
      <c r="I38" s="4" t="str">
        <f aca="false">IF($A38="","",IF($D38&gt;=4,"HIGH — "&amp;$D38&amp;" funds share this feed",IF($D38&gt;=2,"Medium — "&amp;$D38&amp;" funds","Single fund")))</f>
        <v/>
      </c>
      <c r="J38" s="29" t="str">
        <f aca="false">IF($A38="","",COUNTIFS(Dim_Fund!$U:$U,$A38,Dim_Fund!$BC:$BC,1))</f>
        <v/>
      </c>
      <c r="K38" s="32" t="str">
        <f aca="false">IF($A38="","",IF(COUNTA(Dim_Fund!$A:$A)&lt;=1,"",$D38/(COUNTA(Dim_Fund!$A:$A)-1)))</f>
        <v/>
      </c>
      <c r="L38" s="29" t="str">
        <f aca="false">IF($A38="","",COUNTIFS(Fact_Milestone!$B:$B,$A38,Fact_Milestone!$I:$I,"?*"))</f>
        <v/>
      </c>
      <c r="M38" s="29" t="str">
        <f aca="false">IF($A38="","",COUNTIFS(Fact_Milestone!$B:$B,$A38,Fact_Milestone!$I:$I,"No"))</f>
        <v/>
      </c>
      <c r="N38" s="33" t="str">
        <f aca="false">IF($A38="","",ROUND(SUMIFS(Fact_Milestone!$L:$L,Fact_Milestone!$B:$B,$A38)/60,2))</f>
        <v/>
      </c>
      <c r="O38" s="29" t="str">
        <f aca="false">IF($A38="","",COUNTIFS(Fact_Work!$AL:$AL,$A38,Fact_Work!$AI:$AI,"Yes",Fact_Work!$BB:$BB,"No"))</f>
        <v/>
      </c>
    </row>
    <row r="39" customFormat="false" ht="15" hidden="false" customHeight="true" outlineLevel="0" collapsed="false">
      <c r="D39" s="4" t="str">
        <f aca="false">IF($A39="","",COUNTIF(Dim_Fund!$U:$U,$A39))</f>
        <v/>
      </c>
      <c r="E39" s="22" t="str">
        <f aca="false">IF($A39="","",IF($D39=0,"",_xlfn.MINIFS(Dim_Fund!$AH:$AH,Dim_Fund!$U:$U,$A39,Dim_Fund!$AH:$AH,"&gt;0")))</f>
        <v/>
      </c>
      <c r="F39" s="22" t="str">
        <f aca="false">IF($A39="","",IF($D39=0,"",_xlfn.MAXIFS(Dim_Fund!$AH:$AH,Dim_Fund!$U:$U,$A39,Dim_Fund!$AH:$AH,"&gt;0")))</f>
        <v/>
      </c>
      <c r="G39" s="31" t="str">
        <f aca="false">IF($A39="","",IF($D39=0,"",ROUND(($F39-$E39)*60,0)))</f>
        <v/>
      </c>
      <c r="H39" s="22" t="str">
        <f aca="false">IF($A39="","",$E39)</f>
        <v/>
      </c>
      <c r="I39" s="4" t="str">
        <f aca="false">IF($A39="","",IF($D39&gt;=4,"HIGH — "&amp;$D39&amp;" funds share this feed",IF($D39&gt;=2,"Medium — "&amp;$D39&amp;" funds","Single fund")))</f>
        <v/>
      </c>
      <c r="J39" s="29" t="str">
        <f aca="false">IF($A39="","",COUNTIFS(Dim_Fund!$U:$U,$A39,Dim_Fund!$BC:$BC,1))</f>
        <v/>
      </c>
      <c r="K39" s="32" t="str">
        <f aca="false">IF($A39="","",IF(COUNTA(Dim_Fund!$A:$A)&lt;=1,"",$D39/(COUNTA(Dim_Fund!$A:$A)-1)))</f>
        <v/>
      </c>
      <c r="L39" s="29" t="str">
        <f aca="false">IF($A39="","",COUNTIFS(Fact_Milestone!$B:$B,$A39,Fact_Milestone!$I:$I,"?*"))</f>
        <v/>
      </c>
      <c r="M39" s="29" t="str">
        <f aca="false">IF($A39="","",COUNTIFS(Fact_Milestone!$B:$B,$A39,Fact_Milestone!$I:$I,"No"))</f>
        <v/>
      </c>
      <c r="N39" s="33" t="str">
        <f aca="false">IF($A39="","",ROUND(SUMIFS(Fact_Milestone!$L:$L,Fact_Milestone!$B:$B,$A39)/60,2))</f>
        <v/>
      </c>
      <c r="O39" s="29" t="str">
        <f aca="false">IF($A39="","",COUNTIFS(Fact_Work!$AL:$AL,$A39,Fact_Work!$AI:$AI,"Yes",Fact_Work!$BB:$BB,"No"))</f>
        <v/>
      </c>
    </row>
    <row r="40" customFormat="false" ht="15" hidden="false" customHeight="true" outlineLevel="0" collapsed="false">
      <c r="D40" s="4" t="str">
        <f aca="false">IF($A40="","",COUNTIF(Dim_Fund!$U:$U,$A40))</f>
        <v/>
      </c>
      <c r="E40" s="22" t="str">
        <f aca="false">IF($A40="","",IF($D40=0,"",_xlfn.MINIFS(Dim_Fund!$AH:$AH,Dim_Fund!$U:$U,$A40,Dim_Fund!$AH:$AH,"&gt;0")))</f>
        <v/>
      </c>
      <c r="F40" s="22" t="str">
        <f aca="false">IF($A40="","",IF($D40=0,"",_xlfn.MAXIFS(Dim_Fund!$AH:$AH,Dim_Fund!$U:$U,$A40,Dim_Fund!$AH:$AH,"&gt;0")))</f>
        <v/>
      </c>
      <c r="G40" s="31" t="str">
        <f aca="false">IF($A40="","",IF($D40=0,"",ROUND(($F40-$E40)*60,0)))</f>
        <v/>
      </c>
      <c r="H40" s="22" t="str">
        <f aca="false">IF($A40="","",$E40)</f>
        <v/>
      </c>
      <c r="I40" s="4" t="str">
        <f aca="false">IF($A40="","",IF($D40&gt;=4,"HIGH — "&amp;$D40&amp;" funds share this feed",IF($D40&gt;=2,"Medium — "&amp;$D40&amp;" funds","Single fund")))</f>
        <v/>
      </c>
      <c r="J40" s="29" t="str">
        <f aca="false">IF($A40="","",COUNTIFS(Dim_Fund!$U:$U,$A40,Dim_Fund!$BC:$BC,1))</f>
        <v/>
      </c>
      <c r="K40" s="32" t="str">
        <f aca="false">IF($A40="","",IF(COUNTA(Dim_Fund!$A:$A)&lt;=1,"",$D40/(COUNTA(Dim_Fund!$A:$A)-1)))</f>
        <v/>
      </c>
      <c r="L40" s="29" t="str">
        <f aca="false">IF($A40="","",COUNTIFS(Fact_Milestone!$B:$B,$A40,Fact_Milestone!$I:$I,"?*"))</f>
        <v/>
      </c>
      <c r="M40" s="29" t="str">
        <f aca="false">IF($A40="","",COUNTIFS(Fact_Milestone!$B:$B,$A40,Fact_Milestone!$I:$I,"No"))</f>
        <v/>
      </c>
      <c r="N40" s="33" t="str">
        <f aca="false">IF($A40="","",ROUND(SUMIFS(Fact_Milestone!$L:$L,Fact_Milestone!$B:$B,$A40)/60,2))</f>
        <v/>
      </c>
      <c r="O40" s="29" t="str">
        <f aca="false">IF($A40="","",COUNTIFS(Fact_Work!$AL:$AL,$A40,Fact_Work!$AI:$AI,"Yes",Fact_Work!$BB:$BB,"No"))</f>
        <v/>
      </c>
    </row>
    <row r="41" customFormat="false" ht="15" hidden="false" customHeight="true" outlineLevel="0" collapsed="false">
      <c r="D41" s="4" t="str">
        <f aca="false">IF($A41="","",COUNTIF(Dim_Fund!$U:$U,$A41))</f>
        <v/>
      </c>
      <c r="E41" s="22" t="str">
        <f aca="false">IF($A41="","",IF($D41=0,"",_xlfn.MINIFS(Dim_Fund!$AH:$AH,Dim_Fund!$U:$U,$A41,Dim_Fund!$AH:$AH,"&gt;0")))</f>
        <v/>
      </c>
      <c r="F41" s="22" t="str">
        <f aca="false">IF($A41="","",IF($D41=0,"",_xlfn.MAXIFS(Dim_Fund!$AH:$AH,Dim_Fund!$U:$U,$A41,Dim_Fund!$AH:$AH,"&gt;0")))</f>
        <v/>
      </c>
      <c r="G41" s="31" t="str">
        <f aca="false">IF($A41="","",IF($D41=0,"",ROUND(($F41-$E41)*60,0)))</f>
        <v/>
      </c>
      <c r="H41" s="22" t="str">
        <f aca="false">IF($A41="","",$E41)</f>
        <v/>
      </c>
      <c r="I41" s="4" t="str">
        <f aca="false">IF($A41="","",IF($D41&gt;=4,"HIGH — "&amp;$D41&amp;" funds share this feed",IF($D41&gt;=2,"Medium — "&amp;$D41&amp;" funds","Single fund")))</f>
        <v/>
      </c>
      <c r="J41" s="29" t="str">
        <f aca="false">IF($A41="","",COUNTIFS(Dim_Fund!$U:$U,$A41,Dim_Fund!$BC:$BC,1))</f>
        <v/>
      </c>
      <c r="K41" s="32" t="str">
        <f aca="false">IF($A41="","",IF(COUNTA(Dim_Fund!$A:$A)&lt;=1,"",$D41/(COUNTA(Dim_Fund!$A:$A)-1)))</f>
        <v/>
      </c>
      <c r="L41" s="29" t="str">
        <f aca="false">IF($A41="","",COUNTIFS(Fact_Milestone!$B:$B,$A41,Fact_Milestone!$I:$I,"?*"))</f>
        <v/>
      </c>
      <c r="M41" s="29" t="str">
        <f aca="false">IF($A41="","",COUNTIFS(Fact_Milestone!$B:$B,$A41,Fact_Milestone!$I:$I,"No"))</f>
        <v/>
      </c>
      <c r="N41" s="33" t="str">
        <f aca="false">IF($A41="","",ROUND(SUMIFS(Fact_Milestone!$L:$L,Fact_Milestone!$B:$B,$A41)/60,2))</f>
        <v/>
      </c>
      <c r="O41" s="29" t="str">
        <f aca="false">IF($A41="","",COUNTIFS(Fact_Work!$AL:$AL,$A41,Fact_Work!$AI:$AI,"Yes",Fact_Work!$BB:$BB,"No"))</f>
        <v/>
      </c>
    </row>
    <row r="42" customFormat="false" ht="15" hidden="false" customHeight="true" outlineLevel="0" collapsed="false">
      <c r="D42" s="4" t="str">
        <f aca="false">IF($A42="","",COUNTIF(Dim_Fund!$U:$U,$A42))</f>
        <v/>
      </c>
      <c r="E42" s="22" t="str">
        <f aca="false">IF($A42="","",IF($D42=0,"",_xlfn.MINIFS(Dim_Fund!$AH:$AH,Dim_Fund!$U:$U,$A42,Dim_Fund!$AH:$AH,"&gt;0")))</f>
        <v/>
      </c>
      <c r="F42" s="22" t="str">
        <f aca="false">IF($A42="","",IF($D42=0,"",_xlfn.MAXIFS(Dim_Fund!$AH:$AH,Dim_Fund!$U:$U,$A42,Dim_Fund!$AH:$AH,"&gt;0")))</f>
        <v/>
      </c>
      <c r="G42" s="31" t="str">
        <f aca="false">IF($A42="","",IF($D42=0,"",ROUND(($F42-$E42)*60,0)))</f>
        <v/>
      </c>
      <c r="H42" s="22" t="str">
        <f aca="false">IF($A42="","",$E42)</f>
        <v/>
      </c>
      <c r="I42" s="4" t="str">
        <f aca="false">IF($A42="","",IF($D42&gt;=4,"HIGH — "&amp;$D42&amp;" funds share this feed",IF($D42&gt;=2,"Medium — "&amp;$D42&amp;" funds","Single fund")))</f>
        <v/>
      </c>
      <c r="J42" s="29" t="str">
        <f aca="false">IF($A42="","",COUNTIFS(Dim_Fund!$U:$U,$A42,Dim_Fund!$BC:$BC,1))</f>
        <v/>
      </c>
      <c r="K42" s="32" t="str">
        <f aca="false">IF($A42="","",IF(COUNTA(Dim_Fund!$A:$A)&lt;=1,"",$D42/(COUNTA(Dim_Fund!$A:$A)-1)))</f>
        <v/>
      </c>
      <c r="L42" s="29" t="str">
        <f aca="false">IF($A42="","",COUNTIFS(Fact_Milestone!$B:$B,$A42,Fact_Milestone!$I:$I,"?*"))</f>
        <v/>
      </c>
      <c r="M42" s="29" t="str">
        <f aca="false">IF($A42="","",COUNTIFS(Fact_Milestone!$B:$B,$A42,Fact_Milestone!$I:$I,"No"))</f>
        <v/>
      </c>
      <c r="N42" s="33" t="str">
        <f aca="false">IF($A42="","",ROUND(SUMIFS(Fact_Milestone!$L:$L,Fact_Milestone!$B:$B,$A42)/60,2))</f>
        <v/>
      </c>
      <c r="O42" s="29" t="str">
        <f aca="false">IF($A42="","",COUNTIFS(Fact_Work!$AL:$AL,$A42,Fact_Work!$AI:$AI,"Yes",Fact_Work!$BB:$BB,"No"))</f>
        <v/>
      </c>
    </row>
    <row r="43" customFormat="false" ht="15" hidden="false" customHeight="true" outlineLevel="0" collapsed="false">
      <c r="D43" s="4" t="str">
        <f aca="false">IF($A43="","",COUNTIF(Dim_Fund!$U:$U,$A43))</f>
        <v/>
      </c>
      <c r="E43" s="22" t="str">
        <f aca="false">IF($A43="","",IF($D43=0,"",_xlfn.MINIFS(Dim_Fund!$AH:$AH,Dim_Fund!$U:$U,$A43,Dim_Fund!$AH:$AH,"&gt;0")))</f>
        <v/>
      </c>
      <c r="F43" s="22" t="str">
        <f aca="false">IF($A43="","",IF($D43=0,"",_xlfn.MAXIFS(Dim_Fund!$AH:$AH,Dim_Fund!$U:$U,$A43,Dim_Fund!$AH:$AH,"&gt;0")))</f>
        <v/>
      </c>
      <c r="G43" s="31" t="str">
        <f aca="false">IF($A43="","",IF($D43=0,"",ROUND(($F43-$E43)*60,0)))</f>
        <v/>
      </c>
      <c r="H43" s="22" t="str">
        <f aca="false">IF($A43="","",$E43)</f>
        <v/>
      </c>
      <c r="I43" s="4" t="str">
        <f aca="false">IF($A43="","",IF($D43&gt;=4,"HIGH — "&amp;$D43&amp;" funds share this feed",IF($D43&gt;=2,"Medium — "&amp;$D43&amp;" funds","Single fund")))</f>
        <v/>
      </c>
      <c r="J43" s="29" t="str">
        <f aca="false">IF($A43="","",COUNTIFS(Dim_Fund!$U:$U,$A43,Dim_Fund!$BC:$BC,1))</f>
        <v/>
      </c>
      <c r="K43" s="32" t="str">
        <f aca="false">IF($A43="","",IF(COUNTA(Dim_Fund!$A:$A)&lt;=1,"",$D43/(COUNTA(Dim_Fund!$A:$A)-1)))</f>
        <v/>
      </c>
      <c r="L43" s="29" t="str">
        <f aca="false">IF($A43="","",COUNTIFS(Fact_Milestone!$B:$B,$A43,Fact_Milestone!$I:$I,"?*"))</f>
        <v/>
      </c>
      <c r="M43" s="29" t="str">
        <f aca="false">IF($A43="","",COUNTIFS(Fact_Milestone!$B:$B,$A43,Fact_Milestone!$I:$I,"No"))</f>
        <v/>
      </c>
      <c r="N43" s="33" t="str">
        <f aca="false">IF($A43="","",ROUND(SUMIFS(Fact_Milestone!$L:$L,Fact_Milestone!$B:$B,$A43)/60,2))</f>
        <v/>
      </c>
      <c r="O43" s="29" t="str">
        <f aca="false">IF($A43="","",COUNTIFS(Fact_Work!$AL:$AL,$A43,Fact_Work!$AI:$AI,"Yes",Fact_Work!$BB:$BB,"No"))</f>
        <v/>
      </c>
    </row>
    <row r="44" customFormat="false" ht="15" hidden="false" customHeight="true" outlineLevel="0" collapsed="false">
      <c r="D44" s="4" t="str">
        <f aca="false">IF($A44="","",COUNTIF(Dim_Fund!$U:$U,$A44))</f>
        <v/>
      </c>
      <c r="E44" s="22" t="str">
        <f aca="false">IF($A44="","",IF($D44=0,"",_xlfn.MINIFS(Dim_Fund!$AH:$AH,Dim_Fund!$U:$U,$A44,Dim_Fund!$AH:$AH,"&gt;0")))</f>
        <v/>
      </c>
      <c r="F44" s="22" t="str">
        <f aca="false">IF($A44="","",IF($D44=0,"",_xlfn.MAXIFS(Dim_Fund!$AH:$AH,Dim_Fund!$U:$U,$A44,Dim_Fund!$AH:$AH,"&gt;0")))</f>
        <v/>
      </c>
      <c r="G44" s="31" t="str">
        <f aca="false">IF($A44="","",IF($D44=0,"",ROUND(($F44-$E44)*60,0)))</f>
        <v/>
      </c>
      <c r="H44" s="22" t="str">
        <f aca="false">IF($A44="","",$E44)</f>
        <v/>
      </c>
      <c r="I44" s="4" t="str">
        <f aca="false">IF($A44="","",IF($D44&gt;=4,"HIGH — "&amp;$D44&amp;" funds share this feed",IF($D44&gt;=2,"Medium — "&amp;$D44&amp;" funds","Single fund")))</f>
        <v/>
      </c>
      <c r="J44" s="29" t="str">
        <f aca="false">IF($A44="","",COUNTIFS(Dim_Fund!$U:$U,$A44,Dim_Fund!$BC:$BC,1))</f>
        <v/>
      </c>
      <c r="K44" s="32" t="str">
        <f aca="false">IF($A44="","",IF(COUNTA(Dim_Fund!$A:$A)&lt;=1,"",$D44/(COUNTA(Dim_Fund!$A:$A)-1)))</f>
        <v/>
      </c>
      <c r="L44" s="29" t="str">
        <f aca="false">IF($A44="","",COUNTIFS(Fact_Milestone!$B:$B,$A44,Fact_Milestone!$I:$I,"?*"))</f>
        <v/>
      </c>
      <c r="M44" s="29" t="str">
        <f aca="false">IF($A44="","",COUNTIFS(Fact_Milestone!$B:$B,$A44,Fact_Milestone!$I:$I,"No"))</f>
        <v/>
      </c>
      <c r="N44" s="33" t="str">
        <f aca="false">IF($A44="","",ROUND(SUMIFS(Fact_Milestone!$L:$L,Fact_Milestone!$B:$B,$A44)/60,2))</f>
        <v/>
      </c>
      <c r="O44" s="29" t="str">
        <f aca="false">IF($A44="","",COUNTIFS(Fact_Work!$AL:$AL,$A44,Fact_Work!$AI:$AI,"Yes",Fact_Work!$BB:$BB,"No"))</f>
        <v/>
      </c>
    </row>
    <row r="45" customFormat="false" ht="15" hidden="false" customHeight="true" outlineLevel="0" collapsed="false">
      <c r="D45" s="4" t="str">
        <f aca="false">IF($A45="","",COUNTIF(Dim_Fund!$U:$U,$A45))</f>
        <v/>
      </c>
      <c r="E45" s="22" t="str">
        <f aca="false">IF($A45="","",IF($D45=0,"",_xlfn.MINIFS(Dim_Fund!$AH:$AH,Dim_Fund!$U:$U,$A45,Dim_Fund!$AH:$AH,"&gt;0")))</f>
        <v/>
      </c>
      <c r="F45" s="22" t="str">
        <f aca="false">IF($A45="","",IF($D45=0,"",_xlfn.MAXIFS(Dim_Fund!$AH:$AH,Dim_Fund!$U:$U,$A45,Dim_Fund!$AH:$AH,"&gt;0")))</f>
        <v/>
      </c>
      <c r="G45" s="31" t="str">
        <f aca="false">IF($A45="","",IF($D45=0,"",ROUND(($F45-$E45)*60,0)))</f>
        <v/>
      </c>
      <c r="H45" s="22" t="str">
        <f aca="false">IF($A45="","",$E45)</f>
        <v/>
      </c>
      <c r="I45" s="4" t="str">
        <f aca="false">IF($A45="","",IF($D45&gt;=4,"HIGH — "&amp;$D45&amp;" funds share this feed",IF($D45&gt;=2,"Medium — "&amp;$D45&amp;" funds","Single fund")))</f>
        <v/>
      </c>
      <c r="J45" s="29" t="str">
        <f aca="false">IF($A45="","",COUNTIFS(Dim_Fund!$U:$U,$A45,Dim_Fund!$BC:$BC,1))</f>
        <v/>
      </c>
      <c r="K45" s="32" t="str">
        <f aca="false">IF($A45="","",IF(COUNTA(Dim_Fund!$A:$A)&lt;=1,"",$D45/(COUNTA(Dim_Fund!$A:$A)-1)))</f>
        <v/>
      </c>
      <c r="L45" s="29" t="str">
        <f aca="false">IF($A45="","",COUNTIFS(Fact_Milestone!$B:$B,$A45,Fact_Milestone!$I:$I,"?*"))</f>
        <v/>
      </c>
      <c r="M45" s="29" t="str">
        <f aca="false">IF($A45="","",COUNTIFS(Fact_Milestone!$B:$B,$A45,Fact_Milestone!$I:$I,"No"))</f>
        <v/>
      </c>
      <c r="N45" s="33" t="str">
        <f aca="false">IF($A45="","",ROUND(SUMIFS(Fact_Milestone!$L:$L,Fact_Milestone!$B:$B,$A45)/60,2))</f>
        <v/>
      </c>
      <c r="O45" s="29" t="str">
        <f aca="false">IF($A45="","",COUNTIFS(Fact_Work!$AL:$AL,$A45,Fact_Work!$AI:$AI,"Yes",Fact_Work!$BB:$BB,"No"))</f>
        <v/>
      </c>
    </row>
    <row r="46" customFormat="false" ht="15" hidden="false" customHeight="true" outlineLevel="0" collapsed="false">
      <c r="D46" s="4" t="str">
        <f aca="false">IF($A46="","",COUNTIF(Dim_Fund!$U:$U,$A46))</f>
        <v/>
      </c>
      <c r="E46" s="22" t="str">
        <f aca="false">IF($A46="","",IF($D46=0,"",_xlfn.MINIFS(Dim_Fund!$AH:$AH,Dim_Fund!$U:$U,$A46,Dim_Fund!$AH:$AH,"&gt;0")))</f>
        <v/>
      </c>
      <c r="F46" s="22" t="str">
        <f aca="false">IF($A46="","",IF($D46=0,"",_xlfn.MAXIFS(Dim_Fund!$AH:$AH,Dim_Fund!$U:$U,$A46,Dim_Fund!$AH:$AH,"&gt;0")))</f>
        <v/>
      </c>
      <c r="G46" s="31" t="str">
        <f aca="false">IF($A46="","",IF($D46=0,"",ROUND(($F46-$E46)*60,0)))</f>
        <v/>
      </c>
      <c r="H46" s="22" t="str">
        <f aca="false">IF($A46="","",$E46)</f>
        <v/>
      </c>
      <c r="I46" s="4" t="str">
        <f aca="false">IF($A46="","",IF($D46&gt;=4,"HIGH — "&amp;$D46&amp;" funds share this feed",IF($D46&gt;=2,"Medium — "&amp;$D46&amp;" funds","Single fund")))</f>
        <v/>
      </c>
      <c r="J46" s="29" t="str">
        <f aca="false">IF($A46="","",COUNTIFS(Dim_Fund!$U:$U,$A46,Dim_Fund!$BC:$BC,1))</f>
        <v/>
      </c>
      <c r="K46" s="32" t="str">
        <f aca="false">IF($A46="","",IF(COUNTA(Dim_Fund!$A:$A)&lt;=1,"",$D46/(COUNTA(Dim_Fund!$A:$A)-1)))</f>
        <v/>
      </c>
      <c r="L46" s="29" t="str">
        <f aca="false">IF($A46="","",COUNTIFS(Fact_Milestone!$B:$B,$A46,Fact_Milestone!$I:$I,"?*"))</f>
        <v/>
      </c>
      <c r="M46" s="29" t="str">
        <f aca="false">IF($A46="","",COUNTIFS(Fact_Milestone!$B:$B,$A46,Fact_Milestone!$I:$I,"No"))</f>
        <v/>
      </c>
      <c r="N46" s="33" t="str">
        <f aca="false">IF($A46="","",ROUND(SUMIFS(Fact_Milestone!$L:$L,Fact_Milestone!$B:$B,$A46)/60,2))</f>
        <v/>
      </c>
      <c r="O46" s="29" t="str">
        <f aca="false">IF($A46="","",COUNTIFS(Fact_Work!$AL:$AL,$A46,Fact_Work!$AI:$AI,"Yes",Fact_Work!$BB:$BB,"No"))</f>
        <v/>
      </c>
    </row>
    <row r="47" customFormat="false" ht="15" hidden="false" customHeight="true" outlineLevel="0" collapsed="false">
      <c r="D47" s="4" t="str">
        <f aca="false">IF($A47="","",COUNTIF(Dim_Fund!$U:$U,$A47))</f>
        <v/>
      </c>
      <c r="E47" s="22" t="str">
        <f aca="false">IF($A47="","",IF($D47=0,"",_xlfn.MINIFS(Dim_Fund!$AH:$AH,Dim_Fund!$U:$U,$A47,Dim_Fund!$AH:$AH,"&gt;0")))</f>
        <v/>
      </c>
      <c r="F47" s="22" t="str">
        <f aca="false">IF($A47="","",IF($D47=0,"",_xlfn.MAXIFS(Dim_Fund!$AH:$AH,Dim_Fund!$U:$U,$A47,Dim_Fund!$AH:$AH,"&gt;0")))</f>
        <v/>
      </c>
      <c r="G47" s="31" t="str">
        <f aca="false">IF($A47="","",IF($D47=0,"",ROUND(($F47-$E47)*60,0)))</f>
        <v/>
      </c>
      <c r="H47" s="22" t="str">
        <f aca="false">IF($A47="","",$E47)</f>
        <v/>
      </c>
      <c r="I47" s="4" t="str">
        <f aca="false">IF($A47="","",IF($D47&gt;=4,"HIGH — "&amp;$D47&amp;" funds share this feed",IF($D47&gt;=2,"Medium — "&amp;$D47&amp;" funds","Single fund")))</f>
        <v/>
      </c>
      <c r="J47" s="29" t="str">
        <f aca="false">IF($A47="","",COUNTIFS(Dim_Fund!$U:$U,$A47,Dim_Fund!$BC:$BC,1))</f>
        <v/>
      </c>
      <c r="K47" s="32" t="str">
        <f aca="false">IF($A47="","",IF(COUNTA(Dim_Fund!$A:$A)&lt;=1,"",$D47/(COUNTA(Dim_Fund!$A:$A)-1)))</f>
        <v/>
      </c>
      <c r="L47" s="29" t="str">
        <f aca="false">IF($A47="","",COUNTIFS(Fact_Milestone!$B:$B,$A47,Fact_Milestone!$I:$I,"?*"))</f>
        <v/>
      </c>
      <c r="M47" s="29" t="str">
        <f aca="false">IF($A47="","",COUNTIFS(Fact_Milestone!$B:$B,$A47,Fact_Milestone!$I:$I,"No"))</f>
        <v/>
      </c>
      <c r="N47" s="33" t="str">
        <f aca="false">IF($A47="","",ROUND(SUMIFS(Fact_Milestone!$L:$L,Fact_Milestone!$B:$B,$A47)/60,2))</f>
        <v/>
      </c>
      <c r="O47" s="29" t="str">
        <f aca="false">IF($A47="","",COUNTIFS(Fact_Work!$AL:$AL,$A47,Fact_Work!$AI:$AI,"Yes",Fact_Work!$BB:$BB,"No"))</f>
        <v/>
      </c>
    </row>
    <row r="48" customFormat="false" ht="15" hidden="false" customHeight="true" outlineLevel="0" collapsed="false">
      <c r="D48" s="4" t="str">
        <f aca="false">IF($A48="","",COUNTIF(Dim_Fund!$U:$U,$A48))</f>
        <v/>
      </c>
      <c r="E48" s="22" t="str">
        <f aca="false">IF($A48="","",IF($D48=0,"",_xlfn.MINIFS(Dim_Fund!$AH:$AH,Dim_Fund!$U:$U,$A48,Dim_Fund!$AH:$AH,"&gt;0")))</f>
        <v/>
      </c>
      <c r="F48" s="22" t="str">
        <f aca="false">IF($A48="","",IF($D48=0,"",_xlfn.MAXIFS(Dim_Fund!$AH:$AH,Dim_Fund!$U:$U,$A48,Dim_Fund!$AH:$AH,"&gt;0")))</f>
        <v/>
      </c>
      <c r="G48" s="31" t="str">
        <f aca="false">IF($A48="","",IF($D48=0,"",ROUND(($F48-$E48)*60,0)))</f>
        <v/>
      </c>
      <c r="H48" s="22" t="str">
        <f aca="false">IF($A48="","",$E48)</f>
        <v/>
      </c>
      <c r="I48" s="4" t="str">
        <f aca="false">IF($A48="","",IF($D48&gt;=4,"HIGH — "&amp;$D48&amp;" funds share this feed",IF($D48&gt;=2,"Medium — "&amp;$D48&amp;" funds","Single fund")))</f>
        <v/>
      </c>
      <c r="J48" s="29" t="str">
        <f aca="false">IF($A48="","",COUNTIFS(Dim_Fund!$U:$U,$A48,Dim_Fund!$BC:$BC,1))</f>
        <v/>
      </c>
      <c r="K48" s="32" t="str">
        <f aca="false">IF($A48="","",IF(COUNTA(Dim_Fund!$A:$A)&lt;=1,"",$D48/(COUNTA(Dim_Fund!$A:$A)-1)))</f>
        <v/>
      </c>
      <c r="L48" s="29" t="str">
        <f aca="false">IF($A48="","",COUNTIFS(Fact_Milestone!$B:$B,$A48,Fact_Milestone!$I:$I,"?*"))</f>
        <v/>
      </c>
      <c r="M48" s="29" t="str">
        <f aca="false">IF($A48="","",COUNTIFS(Fact_Milestone!$B:$B,$A48,Fact_Milestone!$I:$I,"No"))</f>
        <v/>
      </c>
      <c r="N48" s="33" t="str">
        <f aca="false">IF($A48="","",ROUND(SUMIFS(Fact_Milestone!$L:$L,Fact_Milestone!$B:$B,$A48)/60,2))</f>
        <v/>
      </c>
      <c r="O48" s="29" t="str">
        <f aca="false">IF($A48="","",COUNTIFS(Fact_Work!$AL:$AL,$A48,Fact_Work!$AI:$AI,"Yes",Fact_Work!$BB:$BB,"No"))</f>
        <v/>
      </c>
    </row>
    <row r="49" customFormat="false" ht="15" hidden="false" customHeight="true" outlineLevel="0" collapsed="false">
      <c r="D49" s="4" t="str">
        <f aca="false">IF($A49="","",COUNTIF(Dim_Fund!$U:$U,$A49))</f>
        <v/>
      </c>
      <c r="E49" s="22" t="str">
        <f aca="false">IF($A49="","",IF($D49=0,"",_xlfn.MINIFS(Dim_Fund!$AH:$AH,Dim_Fund!$U:$U,$A49,Dim_Fund!$AH:$AH,"&gt;0")))</f>
        <v/>
      </c>
      <c r="F49" s="22" t="str">
        <f aca="false">IF($A49="","",IF($D49=0,"",_xlfn.MAXIFS(Dim_Fund!$AH:$AH,Dim_Fund!$U:$U,$A49,Dim_Fund!$AH:$AH,"&gt;0")))</f>
        <v/>
      </c>
      <c r="G49" s="31" t="str">
        <f aca="false">IF($A49="","",IF($D49=0,"",ROUND(($F49-$E49)*60,0)))</f>
        <v/>
      </c>
      <c r="H49" s="22" t="str">
        <f aca="false">IF($A49="","",$E49)</f>
        <v/>
      </c>
      <c r="I49" s="4" t="str">
        <f aca="false">IF($A49="","",IF($D49&gt;=4,"HIGH — "&amp;$D49&amp;" funds share this feed",IF($D49&gt;=2,"Medium — "&amp;$D49&amp;" funds","Single fund")))</f>
        <v/>
      </c>
      <c r="J49" s="29" t="str">
        <f aca="false">IF($A49="","",COUNTIFS(Dim_Fund!$U:$U,$A49,Dim_Fund!$BC:$BC,1))</f>
        <v/>
      </c>
      <c r="K49" s="32" t="str">
        <f aca="false">IF($A49="","",IF(COUNTA(Dim_Fund!$A:$A)&lt;=1,"",$D49/(COUNTA(Dim_Fund!$A:$A)-1)))</f>
        <v/>
      </c>
      <c r="L49" s="29" t="str">
        <f aca="false">IF($A49="","",COUNTIFS(Fact_Milestone!$B:$B,$A49,Fact_Milestone!$I:$I,"?*"))</f>
        <v/>
      </c>
      <c r="M49" s="29" t="str">
        <f aca="false">IF($A49="","",COUNTIFS(Fact_Milestone!$B:$B,$A49,Fact_Milestone!$I:$I,"No"))</f>
        <v/>
      </c>
      <c r="N49" s="33" t="str">
        <f aca="false">IF($A49="","",ROUND(SUMIFS(Fact_Milestone!$L:$L,Fact_Milestone!$B:$B,$A49)/60,2))</f>
        <v/>
      </c>
      <c r="O49" s="29" t="str">
        <f aca="false">IF($A49="","",COUNTIFS(Fact_Work!$AL:$AL,$A49,Fact_Work!$AI:$AI,"Yes",Fact_Work!$BB:$BB,"No"))</f>
        <v/>
      </c>
    </row>
    <row r="50" customFormat="false" ht="15" hidden="false" customHeight="true" outlineLevel="0" collapsed="false">
      <c r="D50" s="4" t="str">
        <f aca="false">IF($A50="","",COUNTIF(Dim_Fund!$U:$U,$A50))</f>
        <v/>
      </c>
      <c r="E50" s="22" t="str">
        <f aca="false">IF($A50="","",IF($D50=0,"",_xlfn.MINIFS(Dim_Fund!$AH:$AH,Dim_Fund!$U:$U,$A50,Dim_Fund!$AH:$AH,"&gt;0")))</f>
        <v/>
      </c>
      <c r="F50" s="22" t="str">
        <f aca="false">IF($A50="","",IF($D50=0,"",_xlfn.MAXIFS(Dim_Fund!$AH:$AH,Dim_Fund!$U:$U,$A50,Dim_Fund!$AH:$AH,"&gt;0")))</f>
        <v/>
      </c>
      <c r="G50" s="31" t="str">
        <f aca="false">IF($A50="","",IF($D50=0,"",ROUND(($F50-$E50)*60,0)))</f>
        <v/>
      </c>
      <c r="H50" s="22" t="str">
        <f aca="false">IF($A50="","",$E50)</f>
        <v/>
      </c>
      <c r="I50" s="4" t="str">
        <f aca="false">IF($A50="","",IF($D50&gt;=4,"HIGH — "&amp;$D50&amp;" funds share this feed",IF($D50&gt;=2,"Medium — "&amp;$D50&amp;" funds","Single fund")))</f>
        <v/>
      </c>
      <c r="J50" s="29" t="str">
        <f aca="false">IF($A50="","",COUNTIFS(Dim_Fund!$U:$U,$A50,Dim_Fund!$BC:$BC,1))</f>
        <v/>
      </c>
      <c r="K50" s="32" t="str">
        <f aca="false">IF($A50="","",IF(COUNTA(Dim_Fund!$A:$A)&lt;=1,"",$D50/(COUNTA(Dim_Fund!$A:$A)-1)))</f>
        <v/>
      </c>
      <c r="L50" s="29" t="str">
        <f aca="false">IF($A50="","",COUNTIFS(Fact_Milestone!$B:$B,$A50,Fact_Milestone!$I:$I,"?*"))</f>
        <v/>
      </c>
      <c r="M50" s="29" t="str">
        <f aca="false">IF($A50="","",COUNTIFS(Fact_Milestone!$B:$B,$A50,Fact_Milestone!$I:$I,"No"))</f>
        <v/>
      </c>
      <c r="N50" s="33" t="str">
        <f aca="false">IF($A50="","",ROUND(SUMIFS(Fact_Milestone!$L:$L,Fact_Milestone!$B:$B,$A50)/60,2))</f>
        <v/>
      </c>
      <c r="O50" s="29" t="str">
        <f aca="false">IF($A50="","",COUNTIFS(Fact_Work!$AL:$AL,$A50,Fact_Work!$AI:$AI,"Yes",Fact_Work!$BB:$BB,"No"))</f>
        <v/>
      </c>
    </row>
    <row r="51" customFormat="false" ht="15" hidden="false" customHeight="true" outlineLevel="0" collapsed="false">
      <c r="D51" s="4" t="str">
        <f aca="false">IF($A51="","",COUNTIF(Dim_Fund!$U:$U,$A51))</f>
        <v/>
      </c>
      <c r="E51" s="22" t="str">
        <f aca="false">IF($A51="","",IF($D51=0,"",_xlfn.MINIFS(Dim_Fund!$AH:$AH,Dim_Fund!$U:$U,$A51,Dim_Fund!$AH:$AH,"&gt;0")))</f>
        <v/>
      </c>
      <c r="F51" s="22" t="str">
        <f aca="false">IF($A51="","",IF($D51=0,"",_xlfn.MAXIFS(Dim_Fund!$AH:$AH,Dim_Fund!$U:$U,$A51,Dim_Fund!$AH:$AH,"&gt;0")))</f>
        <v/>
      </c>
      <c r="G51" s="31" t="str">
        <f aca="false">IF($A51="","",IF($D51=0,"",ROUND(($F51-$E51)*60,0)))</f>
        <v/>
      </c>
      <c r="H51" s="22" t="str">
        <f aca="false">IF($A51="","",$E51)</f>
        <v/>
      </c>
      <c r="I51" s="4" t="str">
        <f aca="false">IF($A51="","",IF($D51&gt;=4,"HIGH — "&amp;$D51&amp;" funds share this feed",IF($D51&gt;=2,"Medium — "&amp;$D51&amp;" funds","Single fund")))</f>
        <v/>
      </c>
      <c r="J51" s="29" t="str">
        <f aca="false">IF($A51="","",COUNTIFS(Dim_Fund!$U:$U,$A51,Dim_Fund!$BC:$BC,1))</f>
        <v/>
      </c>
      <c r="K51" s="32" t="str">
        <f aca="false">IF($A51="","",IF(COUNTA(Dim_Fund!$A:$A)&lt;=1,"",$D51/(COUNTA(Dim_Fund!$A:$A)-1)))</f>
        <v/>
      </c>
      <c r="L51" s="29" t="str">
        <f aca="false">IF($A51="","",COUNTIFS(Fact_Milestone!$B:$B,$A51,Fact_Milestone!$I:$I,"?*"))</f>
        <v/>
      </c>
      <c r="M51" s="29" t="str">
        <f aca="false">IF($A51="","",COUNTIFS(Fact_Milestone!$B:$B,$A51,Fact_Milestone!$I:$I,"No"))</f>
        <v/>
      </c>
      <c r="N51" s="33" t="str">
        <f aca="false">IF($A51="","",ROUND(SUMIFS(Fact_Milestone!$L:$L,Fact_Milestone!$B:$B,$A51)/60,2))</f>
        <v/>
      </c>
      <c r="O51" s="29" t="str">
        <f aca="false">IF($A51="","",COUNTIFS(Fact_Work!$AL:$AL,$A51,Fact_Work!$AI:$AI,"Yes",Fact_Work!$BB:$BB,"No"))</f>
        <v/>
      </c>
    </row>
    <row r="52" customFormat="false" ht="15" hidden="false" customHeight="true" outlineLevel="0" collapsed="false">
      <c r="D52" s="4" t="str">
        <f aca="false">IF($A52="","",COUNTIF(Dim_Fund!$U:$U,$A52))</f>
        <v/>
      </c>
      <c r="E52" s="22" t="str">
        <f aca="false">IF($A52="","",IF($D52=0,"",_xlfn.MINIFS(Dim_Fund!$AH:$AH,Dim_Fund!$U:$U,$A52,Dim_Fund!$AH:$AH,"&gt;0")))</f>
        <v/>
      </c>
      <c r="F52" s="22" t="str">
        <f aca="false">IF($A52="","",IF($D52=0,"",_xlfn.MAXIFS(Dim_Fund!$AH:$AH,Dim_Fund!$U:$U,$A52,Dim_Fund!$AH:$AH,"&gt;0")))</f>
        <v/>
      </c>
      <c r="G52" s="31" t="str">
        <f aca="false">IF($A52="","",IF($D52=0,"",ROUND(($F52-$E52)*60,0)))</f>
        <v/>
      </c>
      <c r="H52" s="22" t="str">
        <f aca="false">IF($A52="","",$E52)</f>
        <v/>
      </c>
      <c r="I52" s="4" t="str">
        <f aca="false">IF($A52="","",IF($D52&gt;=4,"HIGH — "&amp;$D52&amp;" funds share this feed",IF($D52&gt;=2,"Medium — "&amp;$D52&amp;" funds","Single fund")))</f>
        <v/>
      </c>
      <c r="J52" s="29" t="str">
        <f aca="false">IF($A52="","",COUNTIFS(Dim_Fund!$U:$U,$A52,Dim_Fund!$BC:$BC,1))</f>
        <v/>
      </c>
      <c r="K52" s="32" t="str">
        <f aca="false">IF($A52="","",IF(COUNTA(Dim_Fund!$A:$A)&lt;=1,"",$D52/(COUNTA(Dim_Fund!$A:$A)-1)))</f>
        <v/>
      </c>
      <c r="L52" s="29" t="str">
        <f aca="false">IF($A52="","",COUNTIFS(Fact_Milestone!$B:$B,$A52,Fact_Milestone!$I:$I,"?*"))</f>
        <v/>
      </c>
      <c r="M52" s="29" t="str">
        <f aca="false">IF($A52="","",COUNTIFS(Fact_Milestone!$B:$B,$A52,Fact_Milestone!$I:$I,"No"))</f>
        <v/>
      </c>
      <c r="N52" s="33" t="str">
        <f aca="false">IF($A52="","",ROUND(SUMIFS(Fact_Milestone!$L:$L,Fact_Milestone!$B:$B,$A52)/60,2))</f>
        <v/>
      </c>
      <c r="O52" s="29" t="str">
        <f aca="false">IF($A52="","",COUNTIFS(Fact_Work!$AL:$AL,$A52,Fact_Work!$AI:$AI,"Yes",Fact_Work!$BB:$BB,"No"))</f>
        <v/>
      </c>
    </row>
    <row r="53" customFormat="false" ht="15" hidden="false" customHeight="true" outlineLevel="0" collapsed="false">
      <c r="D53" s="4" t="str">
        <f aca="false">IF($A53="","",COUNTIF(Dim_Fund!$U:$U,$A53))</f>
        <v/>
      </c>
      <c r="E53" s="22" t="str">
        <f aca="false">IF($A53="","",IF($D53=0,"",_xlfn.MINIFS(Dim_Fund!$AH:$AH,Dim_Fund!$U:$U,$A53,Dim_Fund!$AH:$AH,"&gt;0")))</f>
        <v/>
      </c>
      <c r="F53" s="22" t="str">
        <f aca="false">IF($A53="","",IF($D53=0,"",_xlfn.MAXIFS(Dim_Fund!$AH:$AH,Dim_Fund!$U:$U,$A53,Dim_Fund!$AH:$AH,"&gt;0")))</f>
        <v/>
      </c>
      <c r="G53" s="31" t="str">
        <f aca="false">IF($A53="","",IF($D53=0,"",ROUND(($F53-$E53)*60,0)))</f>
        <v/>
      </c>
      <c r="H53" s="22" t="str">
        <f aca="false">IF($A53="","",$E53)</f>
        <v/>
      </c>
      <c r="I53" s="4" t="str">
        <f aca="false">IF($A53="","",IF($D53&gt;=4,"HIGH — "&amp;$D53&amp;" funds share this feed",IF($D53&gt;=2,"Medium — "&amp;$D53&amp;" funds","Single fund")))</f>
        <v/>
      </c>
      <c r="J53" s="29" t="str">
        <f aca="false">IF($A53="","",COUNTIFS(Dim_Fund!$U:$U,$A53,Dim_Fund!$BC:$BC,1))</f>
        <v/>
      </c>
      <c r="K53" s="32" t="str">
        <f aca="false">IF($A53="","",IF(COUNTA(Dim_Fund!$A:$A)&lt;=1,"",$D53/(COUNTA(Dim_Fund!$A:$A)-1)))</f>
        <v/>
      </c>
      <c r="L53" s="29" t="str">
        <f aca="false">IF($A53="","",COUNTIFS(Fact_Milestone!$B:$B,$A53,Fact_Milestone!$I:$I,"?*"))</f>
        <v/>
      </c>
      <c r="M53" s="29" t="str">
        <f aca="false">IF($A53="","",COUNTIFS(Fact_Milestone!$B:$B,$A53,Fact_Milestone!$I:$I,"No"))</f>
        <v/>
      </c>
      <c r="N53" s="33" t="str">
        <f aca="false">IF($A53="","",ROUND(SUMIFS(Fact_Milestone!$L:$L,Fact_Milestone!$B:$B,$A53)/60,2))</f>
        <v/>
      </c>
      <c r="O53" s="29" t="str">
        <f aca="false">IF($A53="","",COUNTIFS(Fact_Work!$AL:$AL,$A53,Fact_Work!$AI:$AI,"Yes",Fact_Work!$BB:$BB,"No"))</f>
        <v/>
      </c>
    </row>
    <row r="54" customFormat="false" ht="15" hidden="false" customHeight="true" outlineLevel="0" collapsed="false">
      <c r="D54" s="4" t="str">
        <f aca="false">IF($A54="","",COUNTIF(Dim_Fund!$U:$U,$A54))</f>
        <v/>
      </c>
      <c r="E54" s="22" t="str">
        <f aca="false">IF($A54="","",IF($D54=0,"",_xlfn.MINIFS(Dim_Fund!$AH:$AH,Dim_Fund!$U:$U,$A54,Dim_Fund!$AH:$AH,"&gt;0")))</f>
        <v/>
      </c>
      <c r="F54" s="22" t="str">
        <f aca="false">IF($A54="","",IF($D54=0,"",_xlfn.MAXIFS(Dim_Fund!$AH:$AH,Dim_Fund!$U:$U,$A54,Dim_Fund!$AH:$AH,"&gt;0")))</f>
        <v/>
      </c>
      <c r="G54" s="31" t="str">
        <f aca="false">IF($A54="","",IF($D54=0,"",ROUND(($F54-$E54)*60,0)))</f>
        <v/>
      </c>
      <c r="H54" s="22" t="str">
        <f aca="false">IF($A54="","",$E54)</f>
        <v/>
      </c>
      <c r="I54" s="4" t="str">
        <f aca="false">IF($A54="","",IF($D54&gt;=4,"HIGH — "&amp;$D54&amp;" funds share this feed",IF($D54&gt;=2,"Medium — "&amp;$D54&amp;" funds","Single fund")))</f>
        <v/>
      </c>
      <c r="J54" s="29" t="str">
        <f aca="false">IF($A54="","",COUNTIFS(Dim_Fund!$U:$U,$A54,Dim_Fund!$BC:$BC,1))</f>
        <v/>
      </c>
      <c r="K54" s="32" t="str">
        <f aca="false">IF($A54="","",IF(COUNTA(Dim_Fund!$A:$A)&lt;=1,"",$D54/(COUNTA(Dim_Fund!$A:$A)-1)))</f>
        <v/>
      </c>
      <c r="L54" s="29" t="str">
        <f aca="false">IF($A54="","",COUNTIFS(Fact_Milestone!$B:$B,$A54,Fact_Milestone!$I:$I,"?*"))</f>
        <v/>
      </c>
      <c r="M54" s="29" t="str">
        <f aca="false">IF($A54="","",COUNTIFS(Fact_Milestone!$B:$B,$A54,Fact_Milestone!$I:$I,"No"))</f>
        <v/>
      </c>
      <c r="N54" s="33" t="str">
        <f aca="false">IF($A54="","",ROUND(SUMIFS(Fact_Milestone!$L:$L,Fact_Milestone!$B:$B,$A54)/60,2))</f>
        <v/>
      </c>
      <c r="O54" s="29" t="str">
        <f aca="false">IF($A54="","",COUNTIFS(Fact_Work!$AL:$AL,$A54,Fact_Work!$AI:$AI,"Yes",Fact_Work!$BB:$BB,"No"))</f>
        <v/>
      </c>
    </row>
    <row r="55" customFormat="false" ht="15" hidden="false" customHeight="true" outlineLevel="0" collapsed="false">
      <c r="D55" s="4" t="str">
        <f aca="false">IF($A55="","",COUNTIF(Dim_Fund!$U:$U,$A55))</f>
        <v/>
      </c>
      <c r="E55" s="22" t="str">
        <f aca="false">IF($A55="","",IF($D55=0,"",_xlfn.MINIFS(Dim_Fund!$AH:$AH,Dim_Fund!$U:$U,$A55,Dim_Fund!$AH:$AH,"&gt;0")))</f>
        <v/>
      </c>
      <c r="F55" s="22" t="str">
        <f aca="false">IF($A55="","",IF($D55=0,"",_xlfn.MAXIFS(Dim_Fund!$AH:$AH,Dim_Fund!$U:$U,$A55,Dim_Fund!$AH:$AH,"&gt;0")))</f>
        <v/>
      </c>
      <c r="G55" s="31" t="str">
        <f aca="false">IF($A55="","",IF($D55=0,"",ROUND(($F55-$E55)*60,0)))</f>
        <v/>
      </c>
      <c r="H55" s="22" t="str">
        <f aca="false">IF($A55="","",$E55)</f>
        <v/>
      </c>
      <c r="I55" s="4" t="str">
        <f aca="false">IF($A55="","",IF($D55&gt;=4,"HIGH — "&amp;$D55&amp;" funds share this feed",IF($D55&gt;=2,"Medium — "&amp;$D55&amp;" funds","Single fund")))</f>
        <v/>
      </c>
      <c r="J55" s="29" t="str">
        <f aca="false">IF($A55="","",COUNTIFS(Dim_Fund!$U:$U,$A55,Dim_Fund!$BC:$BC,1))</f>
        <v/>
      </c>
      <c r="K55" s="32" t="str">
        <f aca="false">IF($A55="","",IF(COUNTA(Dim_Fund!$A:$A)&lt;=1,"",$D55/(COUNTA(Dim_Fund!$A:$A)-1)))</f>
        <v/>
      </c>
      <c r="L55" s="29" t="str">
        <f aca="false">IF($A55="","",COUNTIFS(Fact_Milestone!$B:$B,$A55,Fact_Milestone!$I:$I,"?*"))</f>
        <v/>
      </c>
      <c r="M55" s="29" t="str">
        <f aca="false">IF($A55="","",COUNTIFS(Fact_Milestone!$B:$B,$A55,Fact_Milestone!$I:$I,"No"))</f>
        <v/>
      </c>
      <c r="N55" s="33" t="str">
        <f aca="false">IF($A55="","",ROUND(SUMIFS(Fact_Milestone!$L:$L,Fact_Milestone!$B:$B,$A55)/60,2))</f>
        <v/>
      </c>
      <c r="O55" s="29" t="str">
        <f aca="false">IF($A55="","",COUNTIFS(Fact_Work!$AL:$AL,$A55,Fact_Work!$AI:$AI,"Yes",Fact_Work!$BB:$BB,"No"))</f>
        <v/>
      </c>
    </row>
    <row r="56" customFormat="false" ht="15" hidden="false" customHeight="true" outlineLevel="0" collapsed="false">
      <c r="D56" s="4" t="str">
        <f aca="false">IF($A56="","",COUNTIF(Dim_Fund!$U:$U,$A56))</f>
        <v/>
      </c>
      <c r="E56" s="22" t="str">
        <f aca="false">IF($A56="","",IF($D56=0,"",_xlfn.MINIFS(Dim_Fund!$AH:$AH,Dim_Fund!$U:$U,$A56,Dim_Fund!$AH:$AH,"&gt;0")))</f>
        <v/>
      </c>
      <c r="F56" s="22" t="str">
        <f aca="false">IF($A56="","",IF($D56=0,"",_xlfn.MAXIFS(Dim_Fund!$AH:$AH,Dim_Fund!$U:$U,$A56,Dim_Fund!$AH:$AH,"&gt;0")))</f>
        <v/>
      </c>
      <c r="G56" s="31" t="str">
        <f aca="false">IF($A56="","",IF($D56=0,"",ROUND(($F56-$E56)*60,0)))</f>
        <v/>
      </c>
      <c r="H56" s="22" t="str">
        <f aca="false">IF($A56="","",$E56)</f>
        <v/>
      </c>
      <c r="I56" s="4" t="str">
        <f aca="false">IF($A56="","",IF($D56&gt;=4,"HIGH — "&amp;$D56&amp;" funds share this feed",IF($D56&gt;=2,"Medium — "&amp;$D56&amp;" funds","Single fund")))</f>
        <v/>
      </c>
      <c r="J56" s="29" t="str">
        <f aca="false">IF($A56="","",COUNTIFS(Dim_Fund!$U:$U,$A56,Dim_Fund!$BC:$BC,1))</f>
        <v/>
      </c>
      <c r="K56" s="32" t="str">
        <f aca="false">IF($A56="","",IF(COUNTA(Dim_Fund!$A:$A)&lt;=1,"",$D56/(COUNTA(Dim_Fund!$A:$A)-1)))</f>
        <v/>
      </c>
      <c r="L56" s="29" t="str">
        <f aca="false">IF($A56="","",COUNTIFS(Fact_Milestone!$B:$B,$A56,Fact_Milestone!$I:$I,"?*"))</f>
        <v/>
      </c>
      <c r="M56" s="29" t="str">
        <f aca="false">IF($A56="","",COUNTIFS(Fact_Milestone!$B:$B,$A56,Fact_Milestone!$I:$I,"No"))</f>
        <v/>
      </c>
      <c r="N56" s="33" t="str">
        <f aca="false">IF($A56="","",ROUND(SUMIFS(Fact_Milestone!$L:$L,Fact_Milestone!$B:$B,$A56)/60,2))</f>
        <v/>
      </c>
      <c r="O56" s="29" t="str">
        <f aca="false">IF($A56="","",COUNTIFS(Fact_Work!$AL:$AL,$A56,Fact_Work!$AI:$AI,"Yes",Fact_Work!$BB:$BB,"No"))</f>
        <v/>
      </c>
    </row>
    <row r="57" customFormat="false" ht="15" hidden="false" customHeight="true" outlineLevel="0" collapsed="false">
      <c r="D57" s="4" t="str">
        <f aca="false">IF($A57="","",COUNTIF(Dim_Fund!$U:$U,$A57))</f>
        <v/>
      </c>
      <c r="E57" s="22" t="str">
        <f aca="false">IF($A57="","",IF($D57=0,"",_xlfn.MINIFS(Dim_Fund!$AH:$AH,Dim_Fund!$U:$U,$A57,Dim_Fund!$AH:$AH,"&gt;0")))</f>
        <v/>
      </c>
      <c r="F57" s="22" t="str">
        <f aca="false">IF($A57="","",IF($D57=0,"",_xlfn.MAXIFS(Dim_Fund!$AH:$AH,Dim_Fund!$U:$U,$A57,Dim_Fund!$AH:$AH,"&gt;0")))</f>
        <v/>
      </c>
      <c r="G57" s="31" t="str">
        <f aca="false">IF($A57="","",IF($D57=0,"",ROUND(($F57-$E57)*60,0)))</f>
        <v/>
      </c>
      <c r="H57" s="22" t="str">
        <f aca="false">IF($A57="","",$E57)</f>
        <v/>
      </c>
      <c r="I57" s="4" t="str">
        <f aca="false">IF($A57="","",IF($D57&gt;=4,"HIGH — "&amp;$D57&amp;" funds share this feed",IF($D57&gt;=2,"Medium — "&amp;$D57&amp;" funds","Single fund")))</f>
        <v/>
      </c>
      <c r="J57" s="29" t="str">
        <f aca="false">IF($A57="","",COUNTIFS(Dim_Fund!$U:$U,$A57,Dim_Fund!$BC:$BC,1))</f>
        <v/>
      </c>
      <c r="K57" s="32" t="str">
        <f aca="false">IF($A57="","",IF(COUNTA(Dim_Fund!$A:$A)&lt;=1,"",$D57/(COUNTA(Dim_Fund!$A:$A)-1)))</f>
        <v/>
      </c>
      <c r="L57" s="29" t="str">
        <f aca="false">IF($A57="","",COUNTIFS(Fact_Milestone!$B:$B,$A57,Fact_Milestone!$I:$I,"?*"))</f>
        <v/>
      </c>
      <c r="M57" s="29" t="str">
        <f aca="false">IF($A57="","",COUNTIFS(Fact_Milestone!$B:$B,$A57,Fact_Milestone!$I:$I,"No"))</f>
        <v/>
      </c>
      <c r="N57" s="33" t="str">
        <f aca="false">IF($A57="","",ROUND(SUMIFS(Fact_Milestone!$L:$L,Fact_Milestone!$B:$B,$A57)/60,2))</f>
        <v/>
      </c>
      <c r="O57" s="29" t="str">
        <f aca="false">IF($A57="","",COUNTIFS(Fact_Work!$AL:$AL,$A57,Fact_Work!$AI:$AI,"Yes",Fact_Work!$BB:$BB,"No"))</f>
        <v/>
      </c>
    </row>
    <row r="58" customFormat="false" ht="15" hidden="false" customHeight="true" outlineLevel="0" collapsed="false">
      <c r="D58" s="4" t="str">
        <f aca="false">IF($A58="","",COUNTIF(Dim_Fund!$U:$U,$A58))</f>
        <v/>
      </c>
      <c r="E58" s="22" t="str">
        <f aca="false">IF($A58="","",IF($D58=0,"",_xlfn.MINIFS(Dim_Fund!$AH:$AH,Dim_Fund!$U:$U,$A58,Dim_Fund!$AH:$AH,"&gt;0")))</f>
        <v/>
      </c>
      <c r="F58" s="22" t="str">
        <f aca="false">IF($A58="","",IF($D58=0,"",_xlfn.MAXIFS(Dim_Fund!$AH:$AH,Dim_Fund!$U:$U,$A58,Dim_Fund!$AH:$AH,"&gt;0")))</f>
        <v/>
      </c>
      <c r="G58" s="31" t="str">
        <f aca="false">IF($A58="","",IF($D58=0,"",ROUND(($F58-$E58)*60,0)))</f>
        <v/>
      </c>
      <c r="H58" s="22" t="str">
        <f aca="false">IF($A58="","",$E58)</f>
        <v/>
      </c>
      <c r="I58" s="4" t="str">
        <f aca="false">IF($A58="","",IF($D58&gt;=4,"HIGH — "&amp;$D58&amp;" funds share this feed",IF($D58&gt;=2,"Medium — "&amp;$D58&amp;" funds","Single fund")))</f>
        <v/>
      </c>
      <c r="J58" s="29" t="str">
        <f aca="false">IF($A58="","",COUNTIFS(Dim_Fund!$U:$U,$A58,Dim_Fund!$BC:$BC,1))</f>
        <v/>
      </c>
      <c r="K58" s="32" t="str">
        <f aca="false">IF($A58="","",IF(COUNTA(Dim_Fund!$A:$A)&lt;=1,"",$D58/(COUNTA(Dim_Fund!$A:$A)-1)))</f>
        <v/>
      </c>
      <c r="L58" s="29" t="str">
        <f aca="false">IF($A58="","",COUNTIFS(Fact_Milestone!$B:$B,$A58,Fact_Milestone!$I:$I,"?*"))</f>
        <v/>
      </c>
      <c r="M58" s="29" t="str">
        <f aca="false">IF($A58="","",COUNTIFS(Fact_Milestone!$B:$B,$A58,Fact_Milestone!$I:$I,"No"))</f>
        <v/>
      </c>
      <c r="N58" s="33" t="str">
        <f aca="false">IF($A58="","",ROUND(SUMIFS(Fact_Milestone!$L:$L,Fact_Milestone!$B:$B,$A58)/60,2))</f>
        <v/>
      </c>
      <c r="O58" s="29" t="str">
        <f aca="false">IF($A58="","",COUNTIFS(Fact_Work!$AL:$AL,$A58,Fact_Work!$AI:$AI,"Yes",Fact_Work!$BB:$BB,"No"))</f>
        <v/>
      </c>
    </row>
    <row r="59" customFormat="false" ht="15" hidden="false" customHeight="true" outlineLevel="0" collapsed="false">
      <c r="D59" s="4" t="str">
        <f aca="false">IF($A59="","",COUNTIF(Dim_Fund!$U:$U,$A59))</f>
        <v/>
      </c>
      <c r="E59" s="22" t="str">
        <f aca="false">IF($A59="","",IF($D59=0,"",_xlfn.MINIFS(Dim_Fund!$AH:$AH,Dim_Fund!$U:$U,$A59,Dim_Fund!$AH:$AH,"&gt;0")))</f>
        <v/>
      </c>
      <c r="F59" s="22" t="str">
        <f aca="false">IF($A59="","",IF($D59=0,"",_xlfn.MAXIFS(Dim_Fund!$AH:$AH,Dim_Fund!$U:$U,$A59,Dim_Fund!$AH:$AH,"&gt;0")))</f>
        <v/>
      </c>
      <c r="G59" s="31" t="str">
        <f aca="false">IF($A59="","",IF($D59=0,"",ROUND(($F59-$E59)*60,0)))</f>
        <v/>
      </c>
      <c r="H59" s="22" t="str">
        <f aca="false">IF($A59="","",$E59)</f>
        <v/>
      </c>
      <c r="I59" s="4" t="str">
        <f aca="false">IF($A59="","",IF($D59&gt;=4,"HIGH — "&amp;$D59&amp;" funds share this feed",IF($D59&gt;=2,"Medium — "&amp;$D59&amp;" funds","Single fund")))</f>
        <v/>
      </c>
      <c r="J59" s="29" t="str">
        <f aca="false">IF($A59="","",COUNTIFS(Dim_Fund!$U:$U,$A59,Dim_Fund!$BC:$BC,1))</f>
        <v/>
      </c>
      <c r="K59" s="32" t="str">
        <f aca="false">IF($A59="","",IF(COUNTA(Dim_Fund!$A:$A)&lt;=1,"",$D59/(COUNTA(Dim_Fund!$A:$A)-1)))</f>
        <v/>
      </c>
      <c r="L59" s="29" t="str">
        <f aca="false">IF($A59="","",COUNTIFS(Fact_Milestone!$B:$B,$A59,Fact_Milestone!$I:$I,"?*"))</f>
        <v/>
      </c>
      <c r="M59" s="29" t="str">
        <f aca="false">IF($A59="","",COUNTIFS(Fact_Milestone!$B:$B,$A59,Fact_Milestone!$I:$I,"No"))</f>
        <v/>
      </c>
      <c r="N59" s="33" t="str">
        <f aca="false">IF($A59="","",ROUND(SUMIFS(Fact_Milestone!$L:$L,Fact_Milestone!$B:$B,$A59)/60,2))</f>
        <v/>
      </c>
      <c r="O59" s="29" t="str">
        <f aca="false">IF($A59="","",COUNTIFS(Fact_Work!$AL:$AL,$A59,Fact_Work!$AI:$AI,"Yes",Fact_Work!$BB:$BB,"No"))</f>
        <v/>
      </c>
    </row>
    <row r="60" customFormat="false" ht="15" hidden="false" customHeight="true" outlineLevel="0" collapsed="false">
      <c r="D60" s="4" t="str">
        <f aca="false">IF($A60="","",COUNTIF(Dim_Fund!$U:$U,$A60))</f>
        <v/>
      </c>
      <c r="E60" s="22" t="str">
        <f aca="false">IF($A60="","",IF($D60=0,"",_xlfn.MINIFS(Dim_Fund!$AH:$AH,Dim_Fund!$U:$U,$A60,Dim_Fund!$AH:$AH,"&gt;0")))</f>
        <v/>
      </c>
      <c r="F60" s="22" t="str">
        <f aca="false">IF($A60="","",IF($D60=0,"",_xlfn.MAXIFS(Dim_Fund!$AH:$AH,Dim_Fund!$U:$U,$A60,Dim_Fund!$AH:$AH,"&gt;0")))</f>
        <v/>
      </c>
      <c r="G60" s="31" t="str">
        <f aca="false">IF($A60="","",IF($D60=0,"",ROUND(($F60-$E60)*60,0)))</f>
        <v/>
      </c>
      <c r="H60" s="22" t="str">
        <f aca="false">IF($A60="","",$E60)</f>
        <v/>
      </c>
      <c r="I60" s="4" t="str">
        <f aca="false">IF($A60="","",IF($D60&gt;=4,"HIGH — "&amp;$D60&amp;" funds share this feed",IF($D60&gt;=2,"Medium — "&amp;$D60&amp;" funds","Single fund")))</f>
        <v/>
      </c>
      <c r="J60" s="29" t="str">
        <f aca="false">IF($A60="","",COUNTIFS(Dim_Fund!$U:$U,$A60,Dim_Fund!$BC:$BC,1))</f>
        <v/>
      </c>
      <c r="K60" s="32" t="str">
        <f aca="false">IF($A60="","",IF(COUNTA(Dim_Fund!$A:$A)&lt;=1,"",$D60/(COUNTA(Dim_Fund!$A:$A)-1)))</f>
        <v/>
      </c>
      <c r="L60" s="29" t="str">
        <f aca="false">IF($A60="","",COUNTIFS(Fact_Milestone!$B:$B,$A60,Fact_Milestone!$I:$I,"?*"))</f>
        <v/>
      </c>
      <c r="M60" s="29" t="str">
        <f aca="false">IF($A60="","",COUNTIFS(Fact_Milestone!$B:$B,$A60,Fact_Milestone!$I:$I,"No"))</f>
        <v/>
      </c>
      <c r="N60" s="33" t="str">
        <f aca="false">IF($A60="","",ROUND(SUMIFS(Fact_Milestone!$L:$L,Fact_Milestone!$B:$B,$A60)/60,2))</f>
        <v/>
      </c>
      <c r="O60" s="29" t="str">
        <f aca="false">IF($A60="","",COUNTIFS(Fact_Work!$AL:$AL,$A60,Fact_Work!$AI:$AI,"Yes",Fact_Work!$BB:$BB,"No"))</f>
        <v/>
      </c>
    </row>
    <row r="61" customFormat="false" ht="15" hidden="false" customHeight="true" outlineLevel="0" collapsed="false">
      <c r="D61" s="4" t="str">
        <f aca="false">IF($A61="","",COUNTIF(Dim_Fund!$U:$U,$A61))</f>
        <v/>
      </c>
      <c r="E61" s="22" t="str">
        <f aca="false">IF($A61="","",IF($D61=0,"",_xlfn.MINIFS(Dim_Fund!$AH:$AH,Dim_Fund!$U:$U,$A61,Dim_Fund!$AH:$AH,"&gt;0")))</f>
        <v/>
      </c>
      <c r="F61" s="22" t="str">
        <f aca="false">IF($A61="","",IF($D61=0,"",_xlfn.MAXIFS(Dim_Fund!$AH:$AH,Dim_Fund!$U:$U,$A61,Dim_Fund!$AH:$AH,"&gt;0")))</f>
        <v/>
      </c>
      <c r="G61" s="31" t="str">
        <f aca="false">IF($A61="","",IF($D61=0,"",ROUND(($F61-$E61)*60,0)))</f>
        <v/>
      </c>
      <c r="H61" s="22" t="str">
        <f aca="false">IF($A61="","",$E61)</f>
        <v/>
      </c>
      <c r="I61" s="4" t="str">
        <f aca="false">IF($A61="","",IF($D61&gt;=4,"HIGH — "&amp;$D61&amp;" funds share this feed",IF($D61&gt;=2,"Medium — "&amp;$D61&amp;" funds","Single fund")))</f>
        <v/>
      </c>
      <c r="J61" s="29" t="str">
        <f aca="false">IF($A61="","",COUNTIFS(Dim_Fund!$U:$U,$A61,Dim_Fund!$BC:$BC,1))</f>
        <v/>
      </c>
      <c r="K61" s="32" t="str">
        <f aca="false">IF($A61="","",IF(COUNTA(Dim_Fund!$A:$A)&lt;=1,"",$D61/(COUNTA(Dim_Fund!$A:$A)-1)))</f>
        <v/>
      </c>
      <c r="L61" s="29" t="str">
        <f aca="false">IF($A61="","",COUNTIFS(Fact_Milestone!$B:$B,$A61,Fact_Milestone!$I:$I,"?*"))</f>
        <v/>
      </c>
      <c r="M61" s="29" t="str">
        <f aca="false">IF($A61="","",COUNTIFS(Fact_Milestone!$B:$B,$A61,Fact_Milestone!$I:$I,"No"))</f>
        <v/>
      </c>
      <c r="N61" s="33" t="str">
        <f aca="false">IF($A61="","",ROUND(SUMIFS(Fact_Milestone!$L:$L,Fact_Milestone!$B:$B,$A61)/60,2))</f>
        <v/>
      </c>
      <c r="O61" s="29" t="str">
        <f aca="false">IF($A61="","",COUNTIFS(Fact_Work!$AL:$AL,$A61,Fact_Work!$AI:$AI,"Yes",Fact_Work!$BB:$BB,"No"))</f>
        <v/>
      </c>
    </row>
    <row r="62" customFormat="false" ht="15" hidden="false" customHeight="true" outlineLevel="0" collapsed="false">
      <c r="D62" s="4" t="str">
        <f aca="false">IF($A62="","",COUNTIF(Dim_Fund!$U:$U,$A62))</f>
        <v/>
      </c>
      <c r="E62" s="22" t="str">
        <f aca="false">IF($A62="","",IF($D62=0,"",_xlfn.MINIFS(Dim_Fund!$AH:$AH,Dim_Fund!$U:$U,$A62,Dim_Fund!$AH:$AH,"&gt;0")))</f>
        <v/>
      </c>
      <c r="F62" s="22" t="str">
        <f aca="false">IF($A62="","",IF($D62=0,"",_xlfn.MAXIFS(Dim_Fund!$AH:$AH,Dim_Fund!$U:$U,$A62,Dim_Fund!$AH:$AH,"&gt;0")))</f>
        <v/>
      </c>
      <c r="G62" s="31" t="str">
        <f aca="false">IF($A62="","",IF($D62=0,"",ROUND(($F62-$E62)*60,0)))</f>
        <v/>
      </c>
      <c r="H62" s="22" t="str">
        <f aca="false">IF($A62="","",$E62)</f>
        <v/>
      </c>
      <c r="I62" s="4" t="str">
        <f aca="false">IF($A62="","",IF($D62&gt;=4,"HIGH — "&amp;$D62&amp;" funds share this feed",IF($D62&gt;=2,"Medium — "&amp;$D62&amp;" funds","Single fund")))</f>
        <v/>
      </c>
      <c r="J62" s="29" t="str">
        <f aca="false">IF($A62="","",COUNTIFS(Dim_Fund!$U:$U,$A62,Dim_Fund!$BC:$BC,1))</f>
        <v/>
      </c>
      <c r="K62" s="32" t="str">
        <f aca="false">IF($A62="","",IF(COUNTA(Dim_Fund!$A:$A)&lt;=1,"",$D62/(COUNTA(Dim_Fund!$A:$A)-1)))</f>
        <v/>
      </c>
      <c r="L62" s="29" t="str">
        <f aca="false">IF($A62="","",COUNTIFS(Fact_Milestone!$B:$B,$A62,Fact_Milestone!$I:$I,"?*"))</f>
        <v/>
      </c>
      <c r="M62" s="29" t="str">
        <f aca="false">IF($A62="","",COUNTIFS(Fact_Milestone!$B:$B,$A62,Fact_Milestone!$I:$I,"No"))</f>
        <v/>
      </c>
      <c r="N62" s="33" t="str">
        <f aca="false">IF($A62="","",ROUND(SUMIFS(Fact_Milestone!$L:$L,Fact_Milestone!$B:$B,$A62)/60,2))</f>
        <v/>
      </c>
      <c r="O62" s="29" t="str">
        <f aca="false">IF($A62="","",COUNTIFS(Fact_Work!$AL:$AL,$A62,Fact_Work!$AI:$AI,"Yes",Fact_Work!$BB:$BB,"No"))</f>
        <v/>
      </c>
    </row>
    <row r="63" customFormat="false" ht="15" hidden="false" customHeight="true" outlineLevel="0" collapsed="false">
      <c r="A63" s="26"/>
      <c r="D63" s="4" t="str">
        <f aca="false">IF($A63="","",COUNTIF(Dim_Fund!$U:$U,$A63))</f>
        <v/>
      </c>
      <c r="E63" s="22" t="str">
        <f aca="false">IF($A63="","",IF($D63=0,"",_xlfn.MINIFS(Dim_Fund!$AH:$AH,Dim_Fund!$U:$U,$A63,Dim_Fund!$AH:$AH,"&gt;0")))</f>
        <v/>
      </c>
      <c r="F63" s="22" t="str">
        <f aca="false">IF($A63="","",IF($D63=0,"",_xlfn.MAXIFS(Dim_Fund!$AH:$AH,Dim_Fund!$U:$U,$A63,Dim_Fund!$AH:$AH,"&gt;0")))</f>
        <v/>
      </c>
      <c r="G63" s="31" t="str">
        <f aca="false">IF($A63="","",IF($D63=0,"",ROUND(($F63-$E63)*60,0)))</f>
        <v/>
      </c>
      <c r="H63" s="22" t="str">
        <f aca="false">IF($A63="","",$E63)</f>
        <v/>
      </c>
      <c r="I63" s="4" t="str">
        <f aca="false">IF($A63="","",IF($D63&gt;=4,"HIGH — "&amp;$D63&amp;" funds share this feed",IF($D63&gt;=2,"Medium — "&amp;$D63&amp;" funds","Single fund")))</f>
        <v/>
      </c>
      <c r="J63" s="29" t="str">
        <f aca="false">IF($A63="","",COUNTIFS(Dim_Fund!$U:$U,$A63,Dim_Fund!$BC:$BC,1))</f>
        <v/>
      </c>
      <c r="K63" s="32" t="str">
        <f aca="false">IF($A63="","",IF(COUNTA(Dim_Fund!$A:$A)&lt;=1,"",$D63/(COUNTA(Dim_Fund!$A:$A)-1)))</f>
        <v/>
      </c>
      <c r="L63" s="29" t="str">
        <f aca="false">IF($A63="","",COUNTIFS(Fact_Milestone!$B:$B,$A63,Fact_Milestone!$I:$I,"?*"))</f>
        <v/>
      </c>
      <c r="M63" s="29" t="str">
        <f aca="false">IF($A63="","",COUNTIFS(Fact_Milestone!$B:$B,$A63,Fact_Milestone!$I:$I,"No"))</f>
        <v/>
      </c>
      <c r="N63" s="33" t="str">
        <f aca="false">IF($A63="","",ROUND(SUMIFS(Fact_Milestone!$L:$L,Fact_Milestone!$B:$B,$A63)/60,2))</f>
        <v/>
      </c>
      <c r="O63" s="29" t="str">
        <f aca="false">IF($A63="","",COUNTIFS(Fact_Work!$AL:$AL,$A63,Fact_Work!$AI:$AI,"Yes",Fact_Work!$BB:$BB,"No"))</f>
        <v/>
      </c>
    </row>
    <row r="64" customFormat="false" ht="15" hidden="false" customHeight="true" outlineLevel="0" collapsed="false">
      <c r="D64" s="4" t="str">
        <f aca="false">IF($A64="","",COUNTIF(Dim_Fund!$U:$U,$A64))</f>
        <v/>
      </c>
      <c r="E64" s="22" t="str">
        <f aca="false">IF($A64="","",IF($D64=0,"",_xlfn.MINIFS(Dim_Fund!$AH:$AH,Dim_Fund!$U:$U,$A64,Dim_Fund!$AH:$AH,"&gt;0")))</f>
        <v/>
      </c>
      <c r="F64" s="22" t="str">
        <f aca="false">IF($A64="","",IF($D64=0,"",_xlfn.MAXIFS(Dim_Fund!$AH:$AH,Dim_Fund!$U:$U,$A64,Dim_Fund!$AH:$AH,"&gt;0")))</f>
        <v/>
      </c>
      <c r="G64" s="31" t="str">
        <f aca="false">IF($A64="","",IF($D64=0,"",ROUND(($F64-$E64)*60,0)))</f>
        <v/>
      </c>
      <c r="H64" s="22" t="str">
        <f aca="false">IF($A64="","",$E64)</f>
        <v/>
      </c>
      <c r="I64" s="4" t="str">
        <f aca="false">IF($A64="","",IF($D64&gt;=4,"HIGH — "&amp;$D64&amp;" funds share this feed",IF($D64&gt;=2,"Medium — "&amp;$D64&amp;" funds","Single fund")))</f>
        <v/>
      </c>
      <c r="J64" s="29" t="str">
        <f aca="false">IF($A64="","",COUNTIFS(Dim_Fund!$U:$U,$A64,Dim_Fund!$BC:$BC,1))</f>
        <v/>
      </c>
      <c r="K64" s="32" t="str">
        <f aca="false">IF($A64="","",IF(COUNTA(Dim_Fund!$A:$A)&lt;=1,"",$D64/(COUNTA(Dim_Fund!$A:$A)-1)))</f>
        <v/>
      </c>
      <c r="L64" s="29" t="str">
        <f aca="false">IF($A64="","",COUNTIFS(Fact_Milestone!$B:$B,$A64,Fact_Milestone!$I:$I,"?*"))</f>
        <v/>
      </c>
      <c r="M64" s="29" t="str">
        <f aca="false">IF($A64="","",COUNTIFS(Fact_Milestone!$B:$B,$A64,Fact_Milestone!$I:$I,"No"))</f>
        <v/>
      </c>
      <c r="N64" s="33" t="str">
        <f aca="false">IF($A64="","",ROUND(SUMIFS(Fact_Milestone!$L:$L,Fact_Milestone!$B:$B,$A64)/60,2))</f>
        <v/>
      </c>
      <c r="O64" s="29" t="str">
        <f aca="false">IF($A64="","",COUNTIFS(Fact_Work!$AL:$AL,$A64,Fact_Work!$AI:$AI,"Yes",Fact_Work!$BB:$BB,"No"))</f>
        <v/>
      </c>
    </row>
    <row r="65" customFormat="false" ht="15" hidden="false" customHeight="true" outlineLevel="0" collapsed="false">
      <c r="D65" s="4" t="str">
        <f aca="false">IF($A65="","",COUNTIF(Dim_Fund!$U:$U,$A65))</f>
        <v/>
      </c>
      <c r="E65" s="22" t="str">
        <f aca="false">IF($A65="","",IF($D65=0,"",_xlfn.MINIFS(Dim_Fund!$AH:$AH,Dim_Fund!$U:$U,$A65,Dim_Fund!$AH:$AH,"&gt;0")))</f>
        <v/>
      </c>
      <c r="F65" s="22" t="str">
        <f aca="false">IF($A65="","",IF($D65=0,"",_xlfn.MAXIFS(Dim_Fund!$AH:$AH,Dim_Fund!$U:$U,$A65,Dim_Fund!$AH:$AH,"&gt;0")))</f>
        <v/>
      </c>
      <c r="G65" s="31" t="str">
        <f aca="false">IF($A65="","",IF($D65=0,"",ROUND(($F65-$E65)*60,0)))</f>
        <v/>
      </c>
      <c r="H65" s="22" t="str">
        <f aca="false">IF($A65="","",$E65)</f>
        <v/>
      </c>
      <c r="I65" s="4" t="str">
        <f aca="false">IF($A65="","",IF($D65&gt;=4,"HIGH — "&amp;$D65&amp;" funds share this feed",IF($D65&gt;=2,"Medium — "&amp;$D65&amp;" funds","Single fund")))</f>
        <v/>
      </c>
      <c r="J65" s="29" t="str">
        <f aca="false">IF($A65="","",COUNTIFS(Dim_Fund!$U:$U,$A65,Dim_Fund!$BC:$BC,1))</f>
        <v/>
      </c>
      <c r="K65" s="32" t="str">
        <f aca="false">IF($A65="","",IF(COUNTA(Dim_Fund!$A:$A)&lt;=1,"",$D65/(COUNTA(Dim_Fund!$A:$A)-1)))</f>
        <v/>
      </c>
      <c r="L65" s="29" t="str">
        <f aca="false">IF($A65="","",COUNTIFS(Fact_Milestone!$B:$B,$A65,Fact_Milestone!$I:$I,"?*"))</f>
        <v/>
      </c>
      <c r="M65" s="29" t="str">
        <f aca="false">IF($A65="","",COUNTIFS(Fact_Milestone!$B:$B,$A65,Fact_Milestone!$I:$I,"No"))</f>
        <v/>
      </c>
      <c r="N65" s="33" t="str">
        <f aca="false">IF($A65="","",ROUND(SUMIFS(Fact_Milestone!$L:$L,Fact_Milestone!$B:$B,$A65)/60,2))</f>
        <v/>
      </c>
      <c r="O65" s="29" t="str">
        <f aca="false">IF($A65="","",COUNTIFS(Fact_Work!$AL:$AL,$A65,Fact_Work!$AI:$AI,"Yes",Fact_Work!$BB:$BB,"No"))</f>
        <v/>
      </c>
    </row>
    <row r="66" customFormat="false" ht="15" hidden="false" customHeight="true" outlineLevel="0" collapsed="false">
      <c r="D66" s="4" t="str">
        <f aca="false">IF($A66="","",COUNTIF(Dim_Fund!$U:$U,$A66))</f>
        <v/>
      </c>
      <c r="E66" s="22" t="str">
        <f aca="false">IF($A66="","",IF($D66=0,"",_xlfn.MINIFS(Dim_Fund!$AH:$AH,Dim_Fund!$U:$U,$A66,Dim_Fund!$AH:$AH,"&gt;0")))</f>
        <v/>
      </c>
      <c r="F66" s="22" t="str">
        <f aca="false">IF($A66="","",IF($D66=0,"",_xlfn.MAXIFS(Dim_Fund!$AH:$AH,Dim_Fund!$U:$U,$A66,Dim_Fund!$AH:$AH,"&gt;0")))</f>
        <v/>
      </c>
      <c r="G66" s="31" t="str">
        <f aca="false">IF($A66="","",IF($D66=0,"",ROUND(($F66-$E66)*60,0)))</f>
        <v/>
      </c>
      <c r="H66" s="22" t="str">
        <f aca="false">IF($A66="","",$E66)</f>
        <v/>
      </c>
      <c r="I66" s="4" t="str">
        <f aca="false">IF($A66="","",IF($D66&gt;=4,"HIGH — "&amp;$D66&amp;" funds share this feed",IF($D66&gt;=2,"Medium — "&amp;$D66&amp;" funds","Single fund")))</f>
        <v/>
      </c>
      <c r="J66" s="29" t="str">
        <f aca="false">IF($A66="","",COUNTIFS(Dim_Fund!$U:$U,$A66,Dim_Fund!$BC:$BC,1))</f>
        <v/>
      </c>
      <c r="K66" s="32" t="str">
        <f aca="false">IF($A66="","",IF(COUNTA(Dim_Fund!$A:$A)&lt;=1,"",$D66/(COUNTA(Dim_Fund!$A:$A)-1)))</f>
        <v/>
      </c>
      <c r="L66" s="29" t="str">
        <f aca="false">IF($A66="","",COUNTIFS(Fact_Milestone!$B:$B,$A66,Fact_Milestone!$I:$I,"?*"))</f>
        <v/>
      </c>
      <c r="M66" s="29" t="str">
        <f aca="false">IF($A66="","",COUNTIFS(Fact_Milestone!$B:$B,$A66,Fact_Milestone!$I:$I,"No"))</f>
        <v/>
      </c>
      <c r="N66" s="33" t="str">
        <f aca="false">IF($A66="","",ROUND(SUMIFS(Fact_Milestone!$L:$L,Fact_Milestone!$B:$B,$A66)/60,2))</f>
        <v/>
      </c>
      <c r="O66" s="29" t="str">
        <f aca="false">IF($A66="","",COUNTIFS(Fact_Work!$AL:$AL,$A66,Fact_Work!$AI:$AI,"Yes",Fact_Work!$BB:$BB,"No"))</f>
        <v/>
      </c>
    </row>
    <row r="67" customFormat="false" ht="15" hidden="false" customHeight="true" outlineLevel="0" collapsed="false">
      <c r="D67" s="4" t="str">
        <f aca="false">IF($A67="","",COUNTIF(Dim_Fund!$U:$U,$A67))</f>
        <v/>
      </c>
      <c r="E67" s="22" t="str">
        <f aca="false">IF($A67="","",IF($D67=0,"",_xlfn.MINIFS(Dim_Fund!$AH:$AH,Dim_Fund!$U:$U,$A67,Dim_Fund!$AH:$AH,"&gt;0")))</f>
        <v/>
      </c>
      <c r="F67" s="22" t="str">
        <f aca="false">IF($A67="","",IF($D67=0,"",_xlfn.MAXIFS(Dim_Fund!$AH:$AH,Dim_Fund!$U:$U,$A67,Dim_Fund!$AH:$AH,"&gt;0")))</f>
        <v/>
      </c>
      <c r="G67" s="31" t="str">
        <f aca="false">IF($A67="","",IF($D67=0,"",ROUND(($F67-$E67)*60,0)))</f>
        <v/>
      </c>
      <c r="H67" s="22" t="str">
        <f aca="false">IF($A67="","",$E67)</f>
        <v/>
      </c>
      <c r="I67" s="4" t="str">
        <f aca="false">IF($A67="","",IF($D67&gt;=4,"HIGH — "&amp;$D67&amp;" funds share this feed",IF($D67&gt;=2,"Medium — "&amp;$D67&amp;" funds","Single fund")))</f>
        <v/>
      </c>
      <c r="J67" s="29" t="str">
        <f aca="false">IF($A67="","",COUNTIFS(Dim_Fund!$U:$U,$A67,Dim_Fund!$BC:$BC,1))</f>
        <v/>
      </c>
      <c r="K67" s="32" t="str">
        <f aca="false">IF($A67="","",IF(COUNTA(Dim_Fund!$A:$A)&lt;=1,"",$D67/(COUNTA(Dim_Fund!$A:$A)-1)))</f>
        <v/>
      </c>
      <c r="L67" s="29" t="str">
        <f aca="false">IF($A67="","",COUNTIFS(Fact_Milestone!$B:$B,$A67,Fact_Milestone!$I:$I,"?*"))</f>
        <v/>
      </c>
      <c r="M67" s="29" t="str">
        <f aca="false">IF($A67="","",COUNTIFS(Fact_Milestone!$B:$B,$A67,Fact_Milestone!$I:$I,"No"))</f>
        <v/>
      </c>
      <c r="N67" s="33" t="str">
        <f aca="false">IF($A67="","",ROUND(SUMIFS(Fact_Milestone!$L:$L,Fact_Milestone!$B:$B,$A67)/60,2))</f>
        <v/>
      </c>
      <c r="O67" s="29" t="str">
        <f aca="false">IF($A67="","",COUNTIFS(Fact_Work!$AL:$AL,$A67,Fact_Work!$AI:$AI,"Yes",Fact_Work!$BB:$BB,"No"))</f>
        <v/>
      </c>
    </row>
    <row r="68" customFormat="false" ht="15" hidden="false" customHeight="true" outlineLevel="0" collapsed="false">
      <c r="D68" s="4" t="str">
        <f aca="false">IF($A68="","",COUNTIF(Dim_Fund!$U:$U,$A68))</f>
        <v/>
      </c>
      <c r="E68" s="22" t="str">
        <f aca="false">IF($A68="","",IF($D68=0,"",_xlfn.MINIFS(Dim_Fund!$AH:$AH,Dim_Fund!$U:$U,$A68,Dim_Fund!$AH:$AH,"&gt;0")))</f>
        <v/>
      </c>
      <c r="F68" s="22" t="str">
        <f aca="false">IF($A68="","",IF($D68=0,"",_xlfn.MAXIFS(Dim_Fund!$AH:$AH,Dim_Fund!$U:$U,$A68,Dim_Fund!$AH:$AH,"&gt;0")))</f>
        <v/>
      </c>
      <c r="G68" s="31" t="str">
        <f aca="false">IF($A68="","",IF($D68=0,"",ROUND(($F68-$E68)*60,0)))</f>
        <v/>
      </c>
      <c r="H68" s="22" t="str">
        <f aca="false">IF($A68="","",$E68)</f>
        <v/>
      </c>
      <c r="I68" s="4" t="str">
        <f aca="false">IF($A68="","",IF($D68&gt;=4,"HIGH — "&amp;$D68&amp;" funds share this feed",IF($D68&gt;=2,"Medium — "&amp;$D68&amp;" funds","Single fund")))</f>
        <v/>
      </c>
      <c r="J68" s="29" t="str">
        <f aca="false">IF($A68="","",COUNTIFS(Dim_Fund!$U:$U,$A68,Dim_Fund!$BC:$BC,1))</f>
        <v/>
      </c>
      <c r="K68" s="32" t="str">
        <f aca="false">IF($A68="","",IF(COUNTA(Dim_Fund!$A:$A)&lt;=1,"",$D68/(COUNTA(Dim_Fund!$A:$A)-1)))</f>
        <v/>
      </c>
      <c r="L68" s="29" t="str">
        <f aca="false">IF($A68="","",COUNTIFS(Fact_Milestone!$B:$B,$A68,Fact_Milestone!$I:$I,"?*"))</f>
        <v/>
      </c>
      <c r="M68" s="29" t="str">
        <f aca="false">IF($A68="","",COUNTIFS(Fact_Milestone!$B:$B,$A68,Fact_Milestone!$I:$I,"No"))</f>
        <v/>
      </c>
      <c r="N68" s="33" t="str">
        <f aca="false">IF($A68="","",ROUND(SUMIFS(Fact_Milestone!$L:$L,Fact_Milestone!$B:$B,$A68)/60,2))</f>
        <v/>
      </c>
      <c r="O68" s="29" t="str">
        <f aca="false">IF($A68="","",COUNTIFS(Fact_Work!$AL:$AL,$A68,Fact_Work!$AI:$AI,"Yes",Fact_Work!$BB:$BB,"No"))</f>
        <v/>
      </c>
    </row>
    <row r="69" customFormat="false" ht="15" hidden="false" customHeight="true" outlineLevel="0" collapsed="false">
      <c r="D69" s="4" t="str">
        <f aca="false">IF($A69="","",COUNTIF(Dim_Fund!$U:$U,$A69))</f>
        <v/>
      </c>
      <c r="E69" s="22" t="str">
        <f aca="false">IF($A69="","",IF($D69=0,"",_xlfn.MINIFS(Dim_Fund!$AH:$AH,Dim_Fund!$U:$U,$A69,Dim_Fund!$AH:$AH,"&gt;0")))</f>
        <v/>
      </c>
      <c r="F69" s="22" t="str">
        <f aca="false">IF($A69="","",IF($D69=0,"",_xlfn.MAXIFS(Dim_Fund!$AH:$AH,Dim_Fund!$U:$U,$A69,Dim_Fund!$AH:$AH,"&gt;0")))</f>
        <v/>
      </c>
      <c r="G69" s="31" t="str">
        <f aca="false">IF($A69="","",IF($D69=0,"",ROUND(($F69-$E69)*60,0)))</f>
        <v/>
      </c>
      <c r="H69" s="22" t="str">
        <f aca="false">IF($A69="","",$E69)</f>
        <v/>
      </c>
      <c r="I69" s="4" t="str">
        <f aca="false">IF($A69="","",IF($D69&gt;=4,"HIGH — "&amp;$D69&amp;" funds share this feed",IF($D69&gt;=2,"Medium — "&amp;$D69&amp;" funds","Single fund")))</f>
        <v/>
      </c>
      <c r="J69" s="29" t="str">
        <f aca="false">IF($A69="","",COUNTIFS(Dim_Fund!$U:$U,$A69,Dim_Fund!$BC:$BC,1))</f>
        <v/>
      </c>
      <c r="K69" s="32" t="str">
        <f aca="false">IF($A69="","",IF(COUNTA(Dim_Fund!$A:$A)&lt;=1,"",$D69/(COUNTA(Dim_Fund!$A:$A)-1)))</f>
        <v/>
      </c>
      <c r="L69" s="29" t="str">
        <f aca="false">IF($A69="","",COUNTIFS(Fact_Milestone!$B:$B,$A69,Fact_Milestone!$I:$I,"?*"))</f>
        <v/>
      </c>
      <c r="M69" s="29" t="str">
        <f aca="false">IF($A69="","",COUNTIFS(Fact_Milestone!$B:$B,$A69,Fact_Milestone!$I:$I,"No"))</f>
        <v/>
      </c>
      <c r="N69" s="33" t="str">
        <f aca="false">IF($A69="","",ROUND(SUMIFS(Fact_Milestone!$L:$L,Fact_Milestone!$B:$B,$A69)/60,2))</f>
        <v/>
      </c>
      <c r="O69" s="29" t="str">
        <f aca="false">IF($A69="","",COUNTIFS(Fact_Work!$AL:$AL,$A69,Fact_Work!$AI:$AI,"Yes",Fact_Work!$BB:$BB,"No"))</f>
        <v/>
      </c>
    </row>
    <row r="70" customFormat="false" ht="15" hidden="false" customHeight="true" outlineLevel="0" collapsed="false">
      <c r="D70" s="4" t="str">
        <f aca="false">IF($A70="","",COUNTIF(Dim_Fund!$U:$U,$A70))</f>
        <v/>
      </c>
      <c r="E70" s="22" t="str">
        <f aca="false">IF($A70="","",IF($D70=0,"",_xlfn.MINIFS(Dim_Fund!$AH:$AH,Dim_Fund!$U:$U,$A70,Dim_Fund!$AH:$AH,"&gt;0")))</f>
        <v/>
      </c>
      <c r="F70" s="22" t="str">
        <f aca="false">IF($A70="","",IF($D70=0,"",_xlfn.MAXIFS(Dim_Fund!$AH:$AH,Dim_Fund!$U:$U,$A70,Dim_Fund!$AH:$AH,"&gt;0")))</f>
        <v/>
      </c>
      <c r="G70" s="31" t="str">
        <f aca="false">IF($A70="","",IF($D70=0,"",ROUND(($F70-$E70)*60,0)))</f>
        <v/>
      </c>
      <c r="H70" s="22" t="str">
        <f aca="false">IF($A70="","",$E70)</f>
        <v/>
      </c>
      <c r="I70" s="4" t="str">
        <f aca="false">IF($A70="","",IF($D70&gt;=4,"HIGH — "&amp;$D70&amp;" funds share this feed",IF($D70&gt;=2,"Medium — "&amp;$D70&amp;" funds","Single fund")))</f>
        <v/>
      </c>
      <c r="J70" s="29" t="str">
        <f aca="false">IF($A70="","",COUNTIFS(Dim_Fund!$U:$U,$A70,Dim_Fund!$BC:$BC,1))</f>
        <v/>
      </c>
      <c r="K70" s="32" t="str">
        <f aca="false">IF($A70="","",IF(COUNTA(Dim_Fund!$A:$A)&lt;=1,"",$D70/(COUNTA(Dim_Fund!$A:$A)-1)))</f>
        <v/>
      </c>
      <c r="L70" s="29" t="str">
        <f aca="false">IF($A70="","",COUNTIFS(Fact_Milestone!$B:$B,$A70,Fact_Milestone!$I:$I,"?*"))</f>
        <v/>
      </c>
      <c r="M70" s="29" t="str">
        <f aca="false">IF($A70="","",COUNTIFS(Fact_Milestone!$B:$B,$A70,Fact_Milestone!$I:$I,"No"))</f>
        <v/>
      </c>
      <c r="N70" s="33" t="str">
        <f aca="false">IF($A70="","",ROUND(SUMIFS(Fact_Milestone!$L:$L,Fact_Milestone!$B:$B,$A70)/60,2))</f>
        <v/>
      </c>
      <c r="O70" s="29" t="str">
        <f aca="false">IF($A70="","",COUNTIFS(Fact_Work!$AL:$AL,$A70,Fact_Work!$AI:$AI,"Yes",Fact_Work!$BB:$BB,"No"))</f>
        <v/>
      </c>
    </row>
    <row r="71" customFormat="false" ht="15" hidden="false" customHeight="true" outlineLevel="0" collapsed="false">
      <c r="D71" s="4" t="str">
        <f aca="false">IF($A71="","",COUNTIF(Dim_Fund!$U:$U,$A71))</f>
        <v/>
      </c>
      <c r="E71" s="22" t="str">
        <f aca="false">IF($A71="","",IF($D71=0,"",_xlfn.MINIFS(Dim_Fund!$AH:$AH,Dim_Fund!$U:$U,$A71,Dim_Fund!$AH:$AH,"&gt;0")))</f>
        <v/>
      </c>
      <c r="F71" s="22" t="str">
        <f aca="false">IF($A71="","",IF($D71=0,"",_xlfn.MAXIFS(Dim_Fund!$AH:$AH,Dim_Fund!$U:$U,$A71,Dim_Fund!$AH:$AH,"&gt;0")))</f>
        <v/>
      </c>
      <c r="G71" s="31" t="str">
        <f aca="false">IF($A71="","",IF($D71=0,"",ROUND(($F71-$E71)*60,0)))</f>
        <v/>
      </c>
      <c r="H71" s="22" t="str">
        <f aca="false">IF($A71="","",$E71)</f>
        <v/>
      </c>
      <c r="I71" s="4" t="str">
        <f aca="false">IF($A71="","",IF($D71&gt;=4,"HIGH — "&amp;$D71&amp;" funds share this feed",IF($D71&gt;=2,"Medium — "&amp;$D71&amp;" funds","Single fund")))</f>
        <v/>
      </c>
      <c r="J71" s="29" t="str">
        <f aca="false">IF($A71="","",COUNTIFS(Dim_Fund!$U:$U,$A71,Dim_Fund!$BC:$BC,1))</f>
        <v/>
      </c>
      <c r="K71" s="32" t="str">
        <f aca="false">IF($A71="","",IF(COUNTA(Dim_Fund!$A:$A)&lt;=1,"",$D71/(COUNTA(Dim_Fund!$A:$A)-1)))</f>
        <v/>
      </c>
      <c r="L71" s="29" t="str">
        <f aca="false">IF($A71="","",COUNTIFS(Fact_Milestone!$B:$B,$A71,Fact_Milestone!$I:$I,"?*"))</f>
        <v/>
      </c>
      <c r="M71" s="29" t="str">
        <f aca="false">IF($A71="","",COUNTIFS(Fact_Milestone!$B:$B,$A71,Fact_Milestone!$I:$I,"No"))</f>
        <v/>
      </c>
      <c r="N71" s="33" t="str">
        <f aca="false">IF($A71="","",ROUND(SUMIFS(Fact_Milestone!$L:$L,Fact_Milestone!$B:$B,$A71)/60,2))</f>
        <v/>
      </c>
      <c r="O71" s="29" t="str">
        <f aca="false">IF($A71="","",COUNTIFS(Fact_Work!$AL:$AL,$A71,Fact_Work!$AI:$AI,"Yes",Fact_Work!$BB:$BB,"No"))</f>
        <v/>
      </c>
    </row>
    <row r="72" customFormat="false" ht="15" hidden="false" customHeight="true" outlineLevel="0" collapsed="false">
      <c r="D72" s="4" t="str">
        <f aca="false">IF($A72="","",COUNTIF(Dim_Fund!$U:$U,$A72))</f>
        <v/>
      </c>
      <c r="E72" s="22" t="str">
        <f aca="false">IF($A72="","",IF($D72=0,"",_xlfn.MINIFS(Dim_Fund!$AH:$AH,Dim_Fund!$U:$U,$A72,Dim_Fund!$AH:$AH,"&gt;0")))</f>
        <v/>
      </c>
      <c r="F72" s="22" t="str">
        <f aca="false">IF($A72="","",IF($D72=0,"",_xlfn.MAXIFS(Dim_Fund!$AH:$AH,Dim_Fund!$U:$U,$A72,Dim_Fund!$AH:$AH,"&gt;0")))</f>
        <v/>
      </c>
      <c r="G72" s="31" t="str">
        <f aca="false">IF($A72="","",IF($D72=0,"",ROUND(($F72-$E72)*60,0)))</f>
        <v/>
      </c>
      <c r="H72" s="22" t="str">
        <f aca="false">IF($A72="","",$E72)</f>
        <v/>
      </c>
      <c r="I72" s="4" t="str">
        <f aca="false">IF($A72="","",IF($D72&gt;=4,"HIGH — "&amp;$D72&amp;" funds share this feed",IF($D72&gt;=2,"Medium — "&amp;$D72&amp;" funds","Single fund")))</f>
        <v/>
      </c>
      <c r="J72" s="29" t="str">
        <f aca="false">IF($A72="","",COUNTIFS(Dim_Fund!$U:$U,$A72,Dim_Fund!$BC:$BC,1))</f>
        <v/>
      </c>
      <c r="K72" s="32" t="str">
        <f aca="false">IF($A72="","",IF(COUNTA(Dim_Fund!$A:$A)&lt;=1,"",$D72/(COUNTA(Dim_Fund!$A:$A)-1)))</f>
        <v/>
      </c>
      <c r="L72" s="29" t="str">
        <f aca="false">IF($A72="","",COUNTIFS(Fact_Milestone!$B:$B,$A72,Fact_Milestone!$I:$I,"?*"))</f>
        <v/>
      </c>
      <c r="M72" s="29" t="str">
        <f aca="false">IF($A72="","",COUNTIFS(Fact_Milestone!$B:$B,$A72,Fact_Milestone!$I:$I,"No"))</f>
        <v/>
      </c>
      <c r="N72" s="33" t="str">
        <f aca="false">IF($A72="","",ROUND(SUMIFS(Fact_Milestone!$L:$L,Fact_Milestone!$B:$B,$A72)/60,2))</f>
        <v/>
      </c>
      <c r="O72" s="29" t="str">
        <f aca="false">IF($A72="","",COUNTIFS(Fact_Work!$AL:$AL,$A72,Fact_Work!$AI:$AI,"Yes",Fact_Work!$BB:$BB,"No"))</f>
        <v/>
      </c>
    </row>
    <row r="73" customFormat="false" ht="15" hidden="false" customHeight="true" outlineLevel="0" collapsed="false">
      <c r="D73" s="4" t="str">
        <f aca="false">IF($A73="","",COUNTIF(Dim_Fund!$U:$U,$A73))</f>
        <v/>
      </c>
      <c r="E73" s="22" t="str">
        <f aca="false">IF($A73="","",IF($D73=0,"",_xlfn.MINIFS(Dim_Fund!$AH:$AH,Dim_Fund!$U:$U,$A73,Dim_Fund!$AH:$AH,"&gt;0")))</f>
        <v/>
      </c>
      <c r="F73" s="22" t="str">
        <f aca="false">IF($A73="","",IF($D73=0,"",_xlfn.MAXIFS(Dim_Fund!$AH:$AH,Dim_Fund!$U:$U,$A73,Dim_Fund!$AH:$AH,"&gt;0")))</f>
        <v/>
      </c>
      <c r="G73" s="31" t="str">
        <f aca="false">IF($A73="","",IF($D73=0,"",ROUND(($F73-$E73)*60,0)))</f>
        <v/>
      </c>
      <c r="H73" s="22" t="str">
        <f aca="false">IF($A73="","",$E73)</f>
        <v/>
      </c>
      <c r="I73" s="4" t="str">
        <f aca="false">IF($A73="","",IF($D73&gt;=4,"HIGH — "&amp;$D73&amp;" funds share this feed",IF($D73&gt;=2,"Medium — "&amp;$D73&amp;" funds","Single fund")))</f>
        <v/>
      </c>
      <c r="J73" s="29" t="str">
        <f aca="false">IF($A73="","",COUNTIFS(Dim_Fund!$U:$U,$A73,Dim_Fund!$BC:$BC,1))</f>
        <v/>
      </c>
      <c r="K73" s="32" t="str">
        <f aca="false">IF($A73="","",IF(COUNTA(Dim_Fund!$A:$A)&lt;=1,"",$D73/(COUNTA(Dim_Fund!$A:$A)-1)))</f>
        <v/>
      </c>
      <c r="L73" s="29" t="str">
        <f aca="false">IF($A73="","",COUNTIFS(Fact_Milestone!$B:$B,$A73,Fact_Milestone!$I:$I,"?*"))</f>
        <v/>
      </c>
      <c r="M73" s="29" t="str">
        <f aca="false">IF($A73="","",COUNTIFS(Fact_Milestone!$B:$B,$A73,Fact_Milestone!$I:$I,"No"))</f>
        <v/>
      </c>
      <c r="N73" s="33" t="str">
        <f aca="false">IF($A73="","",ROUND(SUMIFS(Fact_Milestone!$L:$L,Fact_Milestone!$B:$B,$A73)/60,2))</f>
        <v/>
      </c>
      <c r="O73" s="29" t="str">
        <f aca="false">IF($A73="","",COUNTIFS(Fact_Work!$AL:$AL,$A73,Fact_Work!$AI:$AI,"Yes",Fact_Work!$BB:$BB,"No"))</f>
        <v/>
      </c>
    </row>
    <row r="74" customFormat="false" ht="15" hidden="false" customHeight="true" outlineLevel="0" collapsed="false">
      <c r="D74" s="4" t="str">
        <f aca="false">IF($A74="","",COUNTIF(Dim_Fund!$U:$U,$A74))</f>
        <v/>
      </c>
      <c r="E74" s="22" t="str">
        <f aca="false">IF($A74="","",IF($D74=0,"",_xlfn.MINIFS(Dim_Fund!$AH:$AH,Dim_Fund!$U:$U,$A74,Dim_Fund!$AH:$AH,"&gt;0")))</f>
        <v/>
      </c>
      <c r="F74" s="22" t="str">
        <f aca="false">IF($A74="","",IF($D74=0,"",_xlfn.MAXIFS(Dim_Fund!$AH:$AH,Dim_Fund!$U:$U,$A74,Dim_Fund!$AH:$AH,"&gt;0")))</f>
        <v/>
      </c>
      <c r="G74" s="31" t="str">
        <f aca="false">IF($A74="","",IF($D74=0,"",ROUND(($F74-$E74)*60,0)))</f>
        <v/>
      </c>
      <c r="H74" s="22" t="str">
        <f aca="false">IF($A74="","",$E74)</f>
        <v/>
      </c>
      <c r="I74" s="4" t="str">
        <f aca="false">IF($A74="","",IF($D74&gt;=4,"HIGH — "&amp;$D74&amp;" funds share this feed",IF($D74&gt;=2,"Medium — "&amp;$D74&amp;" funds","Single fund")))</f>
        <v/>
      </c>
      <c r="J74" s="29" t="str">
        <f aca="false">IF($A74="","",COUNTIFS(Dim_Fund!$U:$U,$A74,Dim_Fund!$BC:$BC,1))</f>
        <v/>
      </c>
      <c r="K74" s="32" t="str">
        <f aca="false">IF($A74="","",IF(COUNTA(Dim_Fund!$A:$A)&lt;=1,"",$D74/(COUNTA(Dim_Fund!$A:$A)-1)))</f>
        <v/>
      </c>
      <c r="L74" s="29" t="str">
        <f aca="false">IF($A74="","",COUNTIFS(Fact_Milestone!$B:$B,$A74,Fact_Milestone!$I:$I,"?*"))</f>
        <v/>
      </c>
      <c r="M74" s="29" t="str">
        <f aca="false">IF($A74="","",COUNTIFS(Fact_Milestone!$B:$B,$A74,Fact_Milestone!$I:$I,"No"))</f>
        <v/>
      </c>
      <c r="N74" s="33" t="str">
        <f aca="false">IF($A74="","",ROUND(SUMIFS(Fact_Milestone!$L:$L,Fact_Milestone!$B:$B,$A74)/60,2))</f>
        <v/>
      </c>
      <c r="O74" s="29" t="str">
        <f aca="false">IF($A74="","",COUNTIFS(Fact_Work!$AL:$AL,$A74,Fact_Work!$AI:$AI,"Yes",Fact_Work!$BB:$BB,"No"))</f>
        <v/>
      </c>
    </row>
    <row r="75" customFormat="false" ht="15" hidden="false" customHeight="true" outlineLevel="0" collapsed="false">
      <c r="D75" s="4" t="str">
        <f aca="false">IF($A75="","",COUNTIF(Dim_Fund!$U:$U,$A75))</f>
        <v/>
      </c>
      <c r="E75" s="22" t="str">
        <f aca="false">IF($A75="","",IF($D75=0,"",_xlfn.MINIFS(Dim_Fund!$AH:$AH,Dim_Fund!$U:$U,$A75,Dim_Fund!$AH:$AH,"&gt;0")))</f>
        <v/>
      </c>
      <c r="F75" s="22" t="str">
        <f aca="false">IF($A75="","",IF($D75=0,"",_xlfn.MAXIFS(Dim_Fund!$AH:$AH,Dim_Fund!$U:$U,$A75,Dim_Fund!$AH:$AH,"&gt;0")))</f>
        <v/>
      </c>
      <c r="G75" s="31" t="str">
        <f aca="false">IF($A75="","",IF($D75=0,"",ROUND(($F75-$E75)*60,0)))</f>
        <v/>
      </c>
      <c r="H75" s="22" t="str">
        <f aca="false">IF($A75="","",$E75)</f>
        <v/>
      </c>
      <c r="I75" s="4" t="str">
        <f aca="false">IF($A75="","",IF($D75&gt;=4,"HIGH — "&amp;$D75&amp;" funds share this feed",IF($D75&gt;=2,"Medium — "&amp;$D75&amp;" funds","Single fund")))</f>
        <v/>
      </c>
      <c r="J75" s="29" t="str">
        <f aca="false">IF($A75="","",COUNTIFS(Dim_Fund!$U:$U,$A75,Dim_Fund!$BC:$BC,1))</f>
        <v/>
      </c>
      <c r="K75" s="32" t="str">
        <f aca="false">IF($A75="","",IF(COUNTA(Dim_Fund!$A:$A)&lt;=1,"",$D75/(COUNTA(Dim_Fund!$A:$A)-1)))</f>
        <v/>
      </c>
      <c r="L75" s="29" t="str">
        <f aca="false">IF($A75="","",COUNTIFS(Fact_Milestone!$B:$B,$A75,Fact_Milestone!$I:$I,"?*"))</f>
        <v/>
      </c>
      <c r="M75" s="29" t="str">
        <f aca="false">IF($A75="","",COUNTIFS(Fact_Milestone!$B:$B,$A75,Fact_Milestone!$I:$I,"No"))</f>
        <v/>
      </c>
      <c r="N75" s="33" t="str">
        <f aca="false">IF($A75="","",ROUND(SUMIFS(Fact_Milestone!$L:$L,Fact_Milestone!$B:$B,$A75)/60,2))</f>
        <v/>
      </c>
      <c r="O75" s="29" t="str">
        <f aca="false">IF($A75="","",COUNTIFS(Fact_Work!$AL:$AL,$A75,Fact_Work!$AI:$AI,"Yes",Fact_Work!$BB:$BB,"No"))</f>
        <v/>
      </c>
    </row>
    <row r="76" customFormat="false" ht="15" hidden="false" customHeight="true" outlineLevel="0" collapsed="false">
      <c r="D76" s="4" t="str">
        <f aca="false">IF($A76="","",COUNTIF(Dim_Fund!$U:$U,$A76))</f>
        <v/>
      </c>
      <c r="E76" s="22" t="str">
        <f aca="false">IF($A76="","",IF($D76=0,"",_xlfn.MINIFS(Dim_Fund!$AH:$AH,Dim_Fund!$U:$U,$A76,Dim_Fund!$AH:$AH,"&gt;0")))</f>
        <v/>
      </c>
      <c r="F76" s="22" t="str">
        <f aca="false">IF($A76="","",IF($D76=0,"",_xlfn.MAXIFS(Dim_Fund!$AH:$AH,Dim_Fund!$U:$U,$A76,Dim_Fund!$AH:$AH,"&gt;0")))</f>
        <v/>
      </c>
      <c r="G76" s="31" t="str">
        <f aca="false">IF($A76="","",IF($D76=0,"",ROUND(($F76-$E76)*60,0)))</f>
        <v/>
      </c>
      <c r="H76" s="22" t="str">
        <f aca="false">IF($A76="","",$E76)</f>
        <v/>
      </c>
      <c r="I76" s="4" t="str">
        <f aca="false">IF($A76="","",IF($D76&gt;=4,"HIGH — "&amp;$D76&amp;" funds share this feed",IF($D76&gt;=2,"Medium — "&amp;$D76&amp;" funds","Single fund")))</f>
        <v/>
      </c>
      <c r="J76" s="29" t="str">
        <f aca="false">IF($A76="","",COUNTIFS(Dim_Fund!$U:$U,$A76,Dim_Fund!$BC:$BC,1))</f>
        <v/>
      </c>
      <c r="K76" s="32" t="str">
        <f aca="false">IF($A76="","",IF(COUNTA(Dim_Fund!$A:$A)&lt;=1,"",$D76/(COUNTA(Dim_Fund!$A:$A)-1)))</f>
        <v/>
      </c>
      <c r="L76" s="29" t="str">
        <f aca="false">IF($A76="","",COUNTIFS(Fact_Milestone!$B:$B,$A76,Fact_Milestone!$I:$I,"?*"))</f>
        <v/>
      </c>
      <c r="M76" s="29" t="str">
        <f aca="false">IF($A76="","",COUNTIFS(Fact_Milestone!$B:$B,$A76,Fact_Milestone!$I:$I,"No"))</f>
        <v/>
      </c>
      <c r="N76" s="33" t="str">
        <f aca="false">IF($A76="","",ROUND(SUMIFS(Fact_Milestone!$L:$L,Fact_Milestone!$B:$B,$A76)/60,2))</f>
        <v/>
      </c>
      <c r="O76" s="29" t="str">
        <f aca="false">IF($A76="","",COUNTIFS(Fact_Work!$AL:$AL,$A76,Fact_Work!$AI:$AI,"Yes",Fact_Work!$BB:$BB,"No"))</f>
        <v/>
      </c>
    </row>
    <row r="77" customFormat="false" ht="15" hidden="false" customHeight="true" outlineLevel="0" collapsed="false">
      <c r="D77" s="4" t="str">
        <f aca="false">IF($A77="","",COUNTIF(Dim_Fund!$U:$U,$A77))</f>
        <v/>
      </c>
      <c r="E77" s="22" t="str">
        <f aca="false">IF($A77="","",IF($D77=0,"",_xlfn.MINIFS(Dim_Fund!$AH:$AH,Dim_Fund!$U:$U,$A77,Dim_Fund!$AH:$AH,"&gt;0")))</f>
        <v/>
      </c>
      <c r="F77" s="22" t="str">
        <f aca="false">IF($A77="","",IF($D77=0,"",_xlfn.MAXIFS(Dim_Fund!$AH:$AH,Dim_Fund!$U:$U,$A77,Dim_Fund!$AH:$AH,"&gt;0")))</f>
        <v/>
      </c>
      <c r="G77" s="31" t="str">
        <f aca="false">IF($A77="","",IF($D77=0,"",ROUND(($F77-$E77)*60,0)))</f>
        <v/>
      </c>
      <c r="H77" s="22" t="str">
        <f aca="false">IF($A77="","",$E77)</f>
        <v/>
      </c>
      <c r="I77" s="4" t="str">
        <f aca="false">IF($A77="","",IF($D77&gt;=4,"HIGH — "&amp;$D77&amp;" funds share this feed",IF($D77&gt;=2,"Medium — "&amp;$D77&amp;" funds","Single fund")))</f>
        <v/>
      </c>
      <c r="J77" s="29" t="str">
        <f aca="false">IF($A77="","",COUNTIFS(Dim_Fund!$U:$U,$A77,Dim_Fund!$BC:$BC,1))</f>
        <v/>
      </c>
      <c r="K77" s="32" t="str">
        <f aca="false">IF($A77="","",IF(COUNTA(Dim_Fund!$A:$A)&lt;=1,"",$D77/(COUNTA(Dim_Fund!$A:$A)-1)))</f>
        <v/>
      </c>
      <c r="L77" s="29" t="str">
        <f aca="false">IF($A77="","",COUNTIFS(Fact_Milestone!$B:$B,$A77,Fact_Milestone!$I:$I,"?*"))</f>
        <v/>
      </c>
      <c r="M77" s="29" t="str">
        <f aca="false">IF($A77="","",COUNTIFS(Fact_Milestone!$B:$B,$A77,Fact_Milestone!$I:$I,"No"))</f>
        <v/>
      </c>
      <c r="N77" s="33" t="str">
        <f aca="false">IF($A77="","",ROUND(SUMIFS(Fact_Milestone!$L:$L,Fact_Milestone!$B:$B,$A77)/60,2))</f>
        <v/>
      </c>
      <c r="O77" s="29" t="str">
        <f aca="false">IF($A77="","",COUNTIFS(Fact_Work!$AL:$AL,$A77,Fact_Work!$AI:$AI,"Yes",Fact_Work!$BB:$BB,"No"))</f>
        <v/>
      </c>
    </row>
    <row r="78" customFormat="false" ht="15" hidden="false" customHeight="true" outlineLevel="0" collapsed="false">
      <c r="D78" s="4" t="str">
        <f aca="false">IF($A78="","",COUNTIF(Dim_Fund!$U:$U,$A78))</f>
        <v/>
      </c>
      <c r="E78" s="22" t="str">
        <f aca="false">IF($A78="","",IF($D78=0,"",_xlfn.MINIFS(Dim_Fund!$AH:$AH,Dim_Fund!$U:$U,$A78,Dim_Fund!$AH:$AH,"&gt;0")))</f>
        <v/>
      </c>
      <c r="F78" s="22" t="str">
        <f aca="false">IF($A78="","",IF($D78=0,"",_xlfn.MAXIFS(Dim_Fund!$AH:$AH,Dim_Fund!$U:$U,$A78,Dim_Fund!$AH:$AH,"&gt;0")))</f>
        <v/>
      </c>
      <c r="G78" s="31" t="str">
        <f aca="false">IF($A78="","",IF($D78=0,"",ROUND(($F78-$E78)*60,0)))</f>
        <v/>
      </c>
      <c r="H78" s="22" t="str">
        <f aca="false">IF($A78="","",$E78)</f>
        <v/>
      </c>
      <c r="I78" s="4" t="str">
        <f aca="false">IF($A78="","",IF($D78&gt;=4,"HIGH — "&amp;$D78&amp;" funds share this feed",IF($D78&gt;=2,"Medium — "&amp;$D78&amp;" funds","Single fund")))</f>
        <v/>
      </c>
      <c r="J78" s="29" t="str">
        <f aca="false">IF($A78="","",COUNTIFS(Dim_Fund!$U:$U,$A78,Dim_Fund!$BC:$BC,1))</f>
        <v/>
      </c>
      <c r="K78" s="32" t="str">
        <f aca="false">IF($A78="","",IF(COUNTA(Dim_Fund!$A:$A)&lt;=1,"",$D78/(COUNTA(Dim_Fund!$A:$A)-1)))</f>
        <v/>
      </c>
      <c r="L78" s="29" t="str">
        <f aca="false">IF($A78="","",COUNTIFS(Fact_Milestone!$B:$B,$A78,Fact_Milestone!$I:$I,"?*"))</f>
        <v/>
      </c>
      <c r="M78" s="29" t="str">
        <f aca="false">IF($A78="","",COUNTIFS(Fact_Milestone!$B:$B,$A78,Fact_Milestone!$I:$I,"No"))</f>
        <v/>
      </c>
      <c r="N78" s="33" t="str">
        <f aca="false">IF($A78="","",ROUND(SUMIFS(Fact_Milestone!$L:$L,Fact_Milestone!$B:$B,$A78)/60,2))</f>
        <v/>
      </c>
      <c r="O78" s="29" t="str">
        <f aca="false">IF($A78="","",COUNTIFS(Fact_Work!$AL:$AL,$A78,Fact_Work!$AI:$AI,"Yes",Fact_Work!$BB:$BB,"No"))</f>
        <v/>
      </c>
    </row>
    <row r="79" customFormat="false" ht="15" hidden="false" customHeight="true" outlineLevel="0" collapsed="false">
      <c r="D79" s="4" t="str">
        <f aca="false">IF($A79="","",COUNTIF(Dim_Fund!$U:$U,$A79))</f>
        <v/>
      </c>
      <c r="E79" s="22" t="str">
        <f aca="false">IF($A79="","",IF($D79=0,"",_xlfn.MINIFS(Dim_Fund!$AH:$AH,Dim_Fund!$U:$U,$A79,Dim_Fund!$AH:$AH,"&gt;0")))</f>
        <v/>
      </c>
      <c r="F79" s="22" t="str">
        <f aca="false">IF($A79="","",IF($D79=0,"",_xlfn.MAXIFS(Dim_Fund!$AH:$AH,Dim_Fund!$U:$U,$A79,Dim_Fund!$AH:$AH,"&gt;0")))</f>
        <v/>
      </c>
      <c r="G79" s="31" t="str">
        <f aca="false">IF($A79="","",IF($D79=0,"",ROUND(($F79-$E79)*60,0)))</f>
        <v/>
      </c>
      <c r="H79" s="22" t="str">
        <f aca="false">IF($A79="","",$E79)</f>
        <v/>
      </c>
      <c r="I79" s="4" t="str">
        <f aca="false">IF($A79="","",IF($D79&gt;=4,"HIGH — "&amp;$D79&amp;" funds share this feed",IF($D79&gt;=2,"Medium — "&amp;$D79&amp;" funds","Single fund")))</f>
        <v/>
      </c>
      <c r="J79" s="29" t="str">
        <f aca="false">IF($A79="","",COUNTIFS(Dim_Fund!$U:$U,$A79,Dim_Fund!$BC:$BC,1))</f>
        <v/>
      </c>
      <c r="K79" s="32" t="str">
        <f aca="false">IF($A79="","",IF(COUNTA(Dim_Fund!$A:$A)&lt;=1,"",$D79/(COUNTA(Dim_Fund!$A:$A)-1)))</f>
        <v/>
      </c>
      <c r="L79" s="29" t="str">
        <f aca="false">IF($A79="","",COUNTIFS(Fact_Milestone!$B:$B,$A79,Fact_Milestone!$I:$I,"?*"))</f>
        <v/>
      </c>
      <c r="M79" s="29" t="str">
        <f aca="false">IF($A79="","",COUNTIFS(Fact_Milestone!$B:$B,$A79,Fact_Milestone!$I:$I,"No"))</f>
        <v/>
      </c>
      <c r="N79" s="33" t="str">
        <f aca="false">IF($A79="","",ROUND(SUMIFS(Fact_Milestone!$L:$L,Fact_Milestone!$B:$B,$A79)/60,2))</f>
        <v/>
      </c>
      <c r="O79" s="29" t="str">
        <f aca="false">IF($A79="","",COUNTIFS(Fact_Work!$AL:$AL,$A79,Fact_Work!$AI:$AI,"Yes",Fact_Work!$BB:$BB,"No"))</f>
        <v/>
      </c>
    </row>
    <row r="80" customFormat="false" ht="15" hidden="false" customHeight="true" outlineLevel="0" collapsed="false">
      <c r="D80" s="4" t="str">
        <f aca="false">IF($A80="","",COUNTIF(Dim_Fund!$U:$U,$A80))</f>
        <v/>
      </c>
      <c r="E80" s="22" t="str">
        <f aca="false">IF($A80="","",IF($D80=0,"",_xlfn.MINIFS(Dim_Fund!$AH:$AH,Dim_Fund!$U:$U,$A80,Dim_Fund!$AH:$AH,"&gt;0")))</f>
        <v/>
      </c>
      <c r="F80" s="22" t="str">
        <f aca="false">IF($A80="","",IF($D80=0,"",_xlfn.MAXIFS(Dim_Fund!$AH:$AH,Dim_Fund!$U:$U,$A80,Dim_Fund!$AH:$AH,"&gt;0")))</f>
        <v/>
      </c>
      <c r="G80" s="31" t="str">
        <f aca="false">IF($A80="","",IF($D80=0,"",ROUND(($F80-$E80)*60,0)))</f>
        <v/>
      </c>
      <c r="H80" s="22" t="str">
        <f aca="false">IF($A80="","",$E80)</f>
        <v/>
      </c>
      <c r="I80" s="4" t="str">
        <f aca="false">IF($A80="","",IF($D80&gt;=4,"HIGH — "&amp;$D80&amp;" funds share this feed",IF($D80&gt;=2,"Medium — "&amp;$D80&amp;" funds","Single fund")))</f>
        <v/>
      </c>
      <c r="J80" s="29" t="str">
        <f aca="false">IF($A80="","",COUNTIFS(Dim_Fund!$U:$U,$A80,Dim_Fund!$BC:$BC,1))</f>
        <v/>
      </c>
      <c r="K80" s="32" t="str">
        <f aca="false">IF($A80="","",IF(COUNTA(Dim_Fund!$A:$A)&lt;=1,"",$D80/(COUNTA(Dim_Fund!$A:$A)-1)))</f>
        <v/>
      </c>
      <c r="L80" s="29" t="str">
        <f aca="false">IF($A80="","",COUNTIFS(Fact_Milestone!$B:$B,$A80,Fact_Milestone!$I:$I,"?*"))</f>
        <v/>
      </c>
      <c r="M80" s="29" t="str">
        <f aca="false">IF($A80="","",COUNTIFS(Fact_Milestone!$B:$B,$A80,Fact_Milestone!$I:$I,"No"))</f>
        <v/>
      </c>
      <c r="N80" s="33" t="str">
        <f aca="false">IF($A80="","",ROUND(SUMIFS(Fact_Milestone!$L:$L,Fact_Milestone!$B:$B,$A80)/60,2))</f>
        <v/>
      </c>
      <c r="O80" s="29" t="str">
        <f aca="false">IF($A80="","",COUNTIFS(Fact_Work!$AL:$AL,$A80,Fact_Work!$AI:$AI,"Yes",Fact_Work!$BB:$BB,"No"))</f>
        <v/>
      </c>
    </row>
    <row r="81" customFormat="false" ht="15" hidden="false" customHeight="true" outlineLevel="0" collapsed="false">
      <c r="D81" s="4" t="str">
        <f aca="false">IF($A81="","",COUNTIF(Dim_Fund!$U:$U,$A81))</f>
        <v/>
      </c>
      <c r="E81" s="22" t="str">
        <f aca="false">IF($A81="","",IF($D81=0,"",_xlfn.MINIFS(Dim_Fund!$AH:$AH,Dim_Fund!$U:$U,$A81,Dim_Fund!$AH:$AH,"&gt;0")))</f>
        <v/>
      </c>
      <c r="F81" s="22" t="str">
        <f aca="false">IF($A81="","",IF($D81=0,"",_xlfn.MAXIFS(Dim_Fund!$AH:$AH,Dim_Fund!$U:$U,$A81,Dim_Fund!$AH:$AH,"&gt;0")))</f>
        <v/>
      </c>
      <c r="G81" s="31" t="str">
        <f aca="false">IF($A81="","",IF($D81=0,"",ROUND(($F81-$E81)*60,0)))</f>
        <v/>
      </c>
      <c r="H81" s="22" t="str">
        <f aca="false">IF($A81="","",$E81)</f>
        <v/>
      </c>
      <c r="I81" s="4" t="str">
        <f aca="false">IF($A81="","",IF($D81&gt;=4,"HIGH — "&amp;$D81&amp;" funds share this feed",IF($D81&gt;=2,"Medium — "&amp;$D81&amp;" funds","Single fund")))</f>
        <v/>
      </c>
      <c r="J81" s="29" t="str">
        <f aca="false">IF($A81="","",COUNTIFS(Dim_Fund!$U:$U,$A81,Dim_Fund!$BC:$BC,1))</f>
        <v/>
      </c>
      <c r="K81" s="32" t="str">
        <f aca="false">IF($A81="","",IF(COUNTA(Dim_Fund!$A:$A)&lt;=1,"",$D81/(COUNTA(Dim_Fund!$A:$A)-1)))</f>
        <v/>
      </c>
      <c r="L81" s="29" t="str">
        <f aca="false">IF($A81="","",COUNTIFS(Fact_Milestone!$B:$B,$A81,Fact_Milestone!$I:$I,"?*"))</f>
        <v/>
      </c>
      <c r="M81" s="29" t="str">
        <f aca="false">IF($A81="","",COUNTIFS(Fact_Milestone!$B:$B,$A81,Fact_Milestone!$I:$I,"No"))</f>
        <v/>
      </c>
      <c r="N81" s="33" t="str">
        <f aca="false">IF($A81="","",ROUND(SUMIFS(Fact_Milestone!$L:$L,Fact_Milestone!$B:$B,$A81)/60,2))</f>
        <v/>
      </c>
      <c r="O81" s="29" t="str">
        <f aca="false">IF($A81="","",COUNTIFS(Fact_Work!$AL:$AL,$A81,Fact_Work!$AI:$AI,"Yes",Fact_Work!$BB:$BB,"No"))</f>
        <v/>
      </c>
    </row>
    <row r="82" customFormat="false" ht="15" hidden="false" customHeight="true" outlineLevel="0" collapsed="false">
      <c r="D82" s="4" t="str">
        <f aca="false">IF($A82="","",COUNTIF(Dim_Fund!$U:$U,$A82))</f>
        <v/>
      </c>
      <c r="E82" s="22" t="str">
        <f aca="false">IF($A82="","",IF($D82=0,"",_xlfn.MINIFS(Dim_Fund!$AH:$AH,Dim_Fund!$U:$U,$A82,Dim_Fund!$AH:$AH,"&gt;0")))</f>
        <v/>
      </c>
      <c r="F82" s="22" t="str">
        <f aca="false">IF($A82="","",IF($D82=0,"",_xlfn.MAXIFS(Dim_Fund!$AH:$AH,Dim_Fund!$U:$U,$A82,Dim_Fund!$AH:$AH,"&gt;0")))</f>
        <v/>
      </c>
      <c r="G82" s="31" t="str">
        <f aca="false">IF($A82="","",IF($D82=0,"",ROUND(($F82-$E82)*60,0)))</f>
        <v/>
      </c>
      <c r="H82" s="22" t="str">
        <f aca="false">IF($A82="","",$E82)</f>
        <v/>
      </c>
      <c r="I82" s="4" t="str">
        <f aca="false">IF($A82="","",IF($D82&gt;=4,"HIGH — "&amp;$D82&amp;" funds share this feed",IF($D82&gt;=2,"Medium — "&amp;$D82&amp;" funds","Single fund")))</f>
        <v/>
      </c>
      <c r="J82" s="29" t="str">
        <f aca="false">IF($A82="","",COUNTIFS(Dim_Fund!$U:$U,$A82,Dim_Fund!$BC:$BC,1))</f>
        <v/>
      </c>
      <c r="K82" s="32" t="str">
        <f aca="false">IF($A82="","",IF(COUNTA(Dim_Fund!$A:$A)&lt;=1,"",$D82/(COUNTA(Dim_Fund!$A:$A)-1)))</f>
        <v/>
      </c>
      <c r="L82" s="29" t="str">
        <f aca="false">IF($A82="","",COUNTIFS(Fact_Milestone!$B:$B,$A82,Fact_Milestone!$I:$I,"?*"))</f>
        <v/>
      </c>
      <c r="M82" s="29" t="str">
        <f aca="false">IF($A82="","",COUNTIFS(Fact_Milestone!$B:$B,$A82,Fact_Milestone!$I:$I,"No"))</f>
        <v/>
      </c>
      <c r="N82" s="33" t="str">
        <f aca="false">IF($A82="","",ROUND(SUMIFS(Fact_Milestone!$L:$L,Fact_Milestone!$B:$B,$A82)/60,2))</f>
        <v/>
      </c>
      <c r="O82" s="29" t="str">
        <f aca="false">IF($A82="","",COUNTIFS(Fact_Work!$AL:$AL,$A82,Fact_Work!$AI:$AI,"Yes",Fact_Work!$BB:$BB,"No"))</f>
        <v/>
      </c>
    </row>
    <row r="83" customFormat="false" ht="15" hidden="false" customHeight="true" outlineLevel="0" collapsed="false">
      <c r="D83" s="4" t="str">
        <f aca="false">IF($A83="","",COUNTIF(Dim_Fund!$U:$U,$A83))</f>
        <v/>
      </c>
      <c r="E83" s="22" t="str">
        <f aca="false">IF($A83="","",IF($D83=0,"",_xlfn.MINIFS(Dim_Fund!$AH:$AH,Dim_Fund!$U:$U,$A83,Dim_Fund!$AH:$AH,"&gt;0")))</f>
        <v/>
      </c>
      <c r="F83" s="22" t="str">
        <f aca="false">IF($A83="","",IF($D83=0,"",_xlfn.MAXIFS(Dim_Fund!$AH:$AH,Dim_Fund!$U:$U,$A83,Dim_Fund!$AH:$AH,"&gt;0")))</f>
        <v/>
      </c>
      <c r="G83" s="31" t="str">
        <f aca="false">IF($A83="","",IF($D83=0,"",ROUND(($F83-$E83)*60,0)))</f>
        <v/>
      </c>
      <c r="H83" s="22" t="str">
        <f aca="false">IF($A83="","",$E83)</f>
        <v/>
      </c>
      <c r="I83" s="4" t="str">
        <f aca="false">IF($A83="","",IF($D83&gt;=4,"HIGH — "&amp;$D83&amp;" funds share this feed",IF($D83&gt;=2,"Medium — "&amp;$D83&amp;" funds","Single fund")))</f>
        <v/>
      </c>
      <c r="J83" s="29" t="str">
        <f aca="false">IF($A83="","",COUNTIFS(Dim_Fund!$U:$U,$A83,Dim_Fund!$BC:$BC,1))</f>
        <v/>
      </c>
      <c r="K83" s="32" t="str">
        <f aca="false">IF($A83="","",IF(COUNTA(Dim_Fund!$A:$A)&lt;=1,"",$D83/(COUNTA(Dim_Fund!$A:$A)-1)))</f>
        <v/>
      </c>
      <c r="L83" s="29" t="str">
        <f aca="false">IF($A83="","",COUNTIFS(Fact_Milestone!$B:$B,$A83,Fact_Milestone!$I:$I,"?*"))</f>
        <v/>
      </c>
      <c r="M83" s="29" t="str">
        <f aca="false">IF($A83="","",COUNTIFS(Fact_Milestone!$B:$B,$A83,Fact_Milestone!$I:$I,"No"))</f>
        <v/>
      </c>
      <c r="N83" s="33" t="str">
        <f aca="false">IF($A83="","",ROUND(SUMIFS(Fact_Milestone!$L:$L,Fact_Milestone!$B:$B,$A83)/60,2))</f>
        <v/>
      </c>
      <c r="O83" s="29" t="str">
        <f aca="false">IF($A83="","",COUNTIFS(Fact_Work!$AL:$AL,$A83,Fact_Work!$AI:$AI,"Yes",Fact_Work!$BB:$BB,"No"))</f>
        <v/>
      </c>
    </row>
    <row r="84" customFormat="false" ht="15" hidden="false" customHeight="true" outlineLevel="0" collapsed="false">
      <c r="D84" s="4" t="str">
        <f aca="false">IF($A84="","",COUNTIF(Dim_Fund!$U:$U,$A84))</f>
        <v/>
      </c>
      <c r="E84" s="22" t="str">
        <f aca="false">IF($A84="","",IF($D84=0,"",_xlfn.MINIFS(Dim_Fund!$AH:$AH,Dim_Fund!$U:$U,$A84,Dim_Fund!$AH:$AH,"&gt;0")))</f>
        <v/>
      </c>
      <c r="F84" s="22" t="str">
        <f aca="false">IF($A84="","",IF($D84=0,"",_xlfn.MAXIFS(Dim_Fund!$AH:$AH,Dim_Fund!$U:$U,$A84,Dim_Fund!$AH:$AH,"&gt;0")))</f>
        <v/>
      </c>
      <c r="G84" s="31" t="str">
        <f aca="false">IF($A84="","",IF($D84=0,"",ROUND(($F84-$E84)*60,0)))</f>
        <v/>
      </c>
      <c r="H84" s="22" t="str">
        <f aca="false">IF($A84="","",$E84)</f>
        <v/>
      </c>
      <c r="I84" s="4" t="str">
        <f aca="false">IF($A84="","",IF($D84&gt;=4,"HIGH — "&amp;$D84&amp;" funds share this feed",IF($D84&gt;=2,"Medium — "&amp;$D84&amp;" funds","Single fund")))</f>
        <v/>
      </c>
      <c r="J84" s="29" t="str">
        <f aca="false">IF($A84="","",COUNTIFS(Dim_Fund!$U:$U,$A84,Dim_Fund!$BC:$BC,1))</f>
        <v/>
      </c>
      <c r="K84" s="32" t="str">
        <f aca="false">IF($A84="","",IF(COUNTA(Dim_Fund!$A:$A)&lt;=1,"",$D84/(COUNTA(Dim_Fund!$A:$A)-1)))</f>
        <v/>
      </c>
      <c r="L84" s="29" t="str">
        <f aca="false">IF($A84="","",COUNTIFS(Fact_Milestone!$B:$B,$A84,Fact_Milestone!$I:$I,"?*"))</f>
        <v/>
      </c>
      <c r="M84" s="29" t="str">
        <f aca="false">IF($A84="","",COUNTIFS(Fact_Milestone!$B:$B,$A84,Fact_Milestone!$I:$I,"No"))</f>
        <v/>
      </c>
      <c r="N84" s="33" t="str">
        <f aca="false">IF($A84="","",ROUND(SUMIFS(Fact_Milestone!$L:$L,Fact_Milestone!$B:$B,$A84)/60,2))</f>
        <v/>
      </c>
      <c r="O84" s="29" t="str">
        <f aca="false">IF($A84="","",COUNTIFS(Fact_Work!$AL:$AL,$A84,Fact_Work!$AI:$AI,"Yes",Fact_Work!$BB:$BB,"No"))</f>
        <v/>
      </c>
    </row>
    <row r="85" customFormat="false" ht="15" hidden="false" customHeight="true" outlineLevel="0" collapsed="false">
      <c r="D85" s="4" t="str">
        <f aca="false">IF($A85="","",COUNTIF(Dim_Fund!$U:$U,$A85))</f>
        <v/>
      </c>
      <c r="E85" s="22" t="str">
        <f aca="false">IF($A85="","",IF($D85=0,"",_xlfn.MINIFS(Dim_Fund!$AH:$AH,Dim_Fund!$U:$U,$A85,Dim_Fund!$AH:$AH,"&gt;0")))</f>
        <v/>
      </c>
      <c r="F85" s="22" t="str">
        <f aca="false">IF($A85="","",IF($D85=0,"",_xlfn.MAXIFS(Dim_Fund!$AH:$AH,Dim_Fund!$U:$U,$A85,Dim_Fund!$AH:$AH,"&gt;0")))</f>
        <v/>
      </c>
      <c r="G85" s="31" t="str">
        <f aca="false">IF($A85="","",IF($D85=0,"",ROUND(($F85-$E85)*60,0)))</f>
        <v/>
      </c>
      <c r="H85" s="22" t="str">
        <f aca="false">IF($A85="","",$E85)</f>
        <v/>
      </c>
      <c r="I85" s="4" t="str">
        <f aca="false">IF($A85="","",IF($D85&gt;=4,"HIGH — "&amp;$D85&amp;" funds share this feed",IF($D85&gt;=2,"Medium — "&amp;$D85&amp;" funds","Single fund")))</f>
        <v/>
      </c>
      <c r="J85" s="29" t="str">
        <f aca="false">IF($A85="","",COUNTIFS(Dim_Fund!$U:$U,$A85,Dim_Fund!$BC:$BC,1))</f>
        <v/>
      </c>
      <c r="K85" s="32" t="str">
        <f aca="false">IF($A85="","",IF(COUNTA(Dim_Fund!$A:$A)&lt;=1,"",$D85/(COUNTA(Dim_Fund!$A:$A)-1)))</f>
        <v/>
      </c>
      <c r="L85" s="29" t="str">
        <f aca="false">IF($A85="","",COUNTIFS(Fact_Milestone!$B:$B,$A85,Fact_Milestone!$I:$I,"?*"))</f>
        <v/>
      </c>
      <c r="M85" s="29" t="str">
        <f aca="false">IF($A85="","",COUNTIFS(Fact_Milestone!$B:$B,$A85,Fact_Milestone!$I:$I,"No"))</f>
        <v/>
      </c>
      <c r="N85" s="33" t="str">
        <f aca="false">IF($A85="","",ROUND(SUMIFS(Fact_Milestone!$L:$L,Fact_Milestone!$B:$B,$A85)/60,2))</f>
        <v/>
      </c>
      <c r="O85" s="29" t="str">
        <f aca="false">IF($A85="","",COUNTIFS(Fact_Work!$AL:$AL,$A85,Fact_Work!$AI:$AI,"Yes",Fact_Work!$BB:$BB,"No"))</f>
        <v/>
      </c>
    </row>
    <row r="86" customFormat="false" ht="15" hidden="false" customHeight="true" outlineLevel="0" collapsed="false">
      <c r="D86" s="4" t="str">
        <f aca="false">IF($A86="","",COUNTIF(Dim_Fund!$U:$U,$A86))</f>
        <v/>
      </c>
      <c r="E86" s="22" t="str">
        <f aca="false">IF($A86="","",IF($D86=0,"",_xlfn.MINIFS(Dim_Fund!$AH:$AH,Dim_Fund!$U:$U,$A86,Dim_Fund!$AH:$AH,"&gt;0")))</f>
        <v/>
      </c>
      <c r="F86" s="22" t="str">
        <f aca="false">IF($A86="","",IF($D86=0,"",_xlfn.MAXIFS(Dim_Fund!$AH:$AH,Dim_Fund!$U:$U,$A86,Dim_Fund!$AH:$AH,"&gt;0")))</f>
        <v/>
      </c>
      <c r="G86" s="31" t="str">
        <f aca="false">IF($A86="","",IF($D86=0,"",ROUND(($F86-$E86)*60,0)))</f>
        <v/>
      </c>
      <c r="H86" s="22" t="str">
        <f aca="false">IF($A86="","",$E86)</f>
        <v/>
      </c>
      <c r="I86" s="4" t="str">
        <f aca="false">IF($A86="","",IF($D86&gt;=4,"HIGH — "&amp;$D86&amp;" funds share this feed",IF($D86&gt;=2,"Medium — "&amp;$D86&amp;" funds","Single fund")))</f>
        <v/>
      </c>
      <c r="J86" s="29" t="str">
        <f aca="false">IF($A86="","",COUNTIFS(Dim_Fund!$U:$U,$A86,Dim_Fund!$BC:$BC,1))</f>
        <v/>
      </c>
      <c r="K86" s="32" t="str">
        <f aca="false">IF($A86="","",IF(COUNTA(Dim_Fund!$A:$A)&lt;=1,"",$D86/(COUNTA(Dim_Fund!$A:$A)-1)))</f>
        <v/>
      </c>
      <c r="L86" s="29" t="str">
        <f aca="false">IF($A86="","",COUNTIFS(Fact_Milestone!$B:$B,$A86,Fact_Milestone!$I:$I,"?*"))</f>
        <v/>
      </c>
      <c r="M86" s="29" t="str">
        <f aca="false">IF($A86="","",COUNTIFS(Fact_Milestone!$B:$B,$A86,Fact_Milestone!$I:$I,"No"))</f>
        <v/>
      </c>
      <c r="N86" s="33" t="str">
        <f aca="false">IF($A86="","",ROUND(SUMIFS(Fact_Milestone!$L:$L,Fact_Milestone!$B:$B,$A86)/60,2))</f>
        <v/>
      </c>
      <c r="O86" s="29" t="str">
        <f aca="false">IF($A86="","",COUNTIFS(Fact_Work!$AL:$AL,$A86,Fact_Work!$AI:$AI,"Yes",Fact_Work!$BB:$BB,"No"))</f>
        <v/>
      </c>
    </row>
    <row r="87" customFormat="false" ht="15" hidden="false" customHeight="true" outlineLevel="0" collapsed="false">
      <c r="D87" s="4" t="str">
        <f aca="false">IF($A87="","",COUNTIF(Dim_Fund!$U:$U,$A87))</f>
        <v/>
      </c>
      <c r="E87" s="22" t="str">
        <f aca="false">IF($A87="","",IF($D87=0,"",_xlfn.MINIFS(Dim_Fund!$AH:$AH,Dim_Fund!$U:$U,$A87,Dim_Fund!$AH:$AH,"&gt;0")))</f>
        <v/>
      </c>
      <c r="F87" s="22" t="str">
        <f aca="false">IF($A87="","",IF($D87=0,"",_xlfn.MAXIFS(Dim_Fund!$AH:$AH,Dim_Fund!$U:$U,$A87,Dim_Fund!$AH:$AH,"&gt;0")))</f>
        <v/>
      </c>
      <c r="G87" s="31" t="str">
        <f aca="false">IF($A87="","",IF($D87=0,"",ROUND(($F87-$E87)*60,0)))</f>
        <v/>
      </c>
      <c r="H87" s="22" t="str">
        <f aca="false">IF($A87="","",$E87)</f>
        <v/>
      </c>
      <c r="I87" s="4" t="str">
        <f aca="false">IF($A87="","",IF($D87&gt;=4,"HIGH — "&amp;$D87&amp;" funds share this feed",IF($D87&gt;=2,"Medium — "&amp;$D87&amp;" funds","Single fund")))</f>
        <v/>
      </c>
      <c r="J87" s="29" t="str">
        <f aca="false">IF($A87="","",COUNTIFS(Dim_Fund!$U:$U,$A87,Dim_Fund!$BC:$BC,1))</f>
        <v/>
      </c>
      <c r="K87" s="32" t="str">
        <f aca="false">IF($A87="","",IF(COUNTA(Dim_Fund!$A:$A)&lt;=1,"",$D87/(COUNTA(Dim_Fund!$A:$A)-1)))</f>
        <v/>
      </c>
      <c r="L87" s="29" t="str">
        <f aca="false">IF($A87="","",COUNTIFS(Fact_Milestone!$B:$B,$A87,Fact_Milestone!$I:$I,"?*"))</f>
        <v/>
      </c>
      <c r="M87" s="29" t="str">
        <f aca="false">IF($A87="","",COUNTIFS(Fact_Milestone!$B:$B,$A87,Fact_Milestone!$I:$I,"No"))</f>
        <v/>
      </c>
      <c r="N87" s="33" t="str">
        <f aca="false">IF($A87="","",ROUND(SUMIFS(Fact_Milestone!$L:$L,Fact_Milestone!$B:$B,$A87)/60,2))</f>
        <v/>
      </c>
      <c r="O87" s="29" t="str">
        <f aca="false">IF($A87="","",COUNTIFS(Fact_Work!$AL:$AL,$A87,Fact_Work!$AI:$AI,"Yes",Fact_Work!$BB:$BB,"No"))</f>
        <v/>
      </c>
    </row>
    <row r="88" customFormat="false" ht="15" hidden="false" customHeight="true" outlineLevel="0" collapsed="false">
      <c r="D88" s="4" t="str">
        <f aca="false">IF($A88="","",COUNTIF(Dim_Fund!$U:$U,$A88))</f>
        <v/>
      </c>
      <c r="E88" s="22" t="str">
        <f aca="false">IF($A88="","",IF($D88=0,"",_xlfn.MINIFS(Dim_Fund!$AH:$AH,Dim_Fund!$U:$U,$A88,Dim_Fund!$AH:$AH,"&gt;0")))</f>
        <v/>
      </c>
      <c r="F88" s="22" t="str">
        <f aca="false">IF($A88="","",IF($D88=0,"",_xlfn.MAXIFS(Dim_Fund!$AH:$AH,Dim_Fund!$U:$U,$A88,Dim_Fund!$AH:$AH,"&gt;0")))</f>
        <v/>
      </c>
      <c r="G88" s="31" t="str">
        <f aca="false">IF($A88="","",IF($D88=0,"",ROUND(($F88-$E88)*60,0)))</f>
        <v/>
      </c>
      <c r="H88" s="22" t="str">
        <f aca="false">IF($A88="","",$E88)</f>
        <v/>
      </c>
      <c r="I88" s="4" t="str">
        <f aca="false">IF($A88="","",IF($D88&gt;=4,"HIGH — "&amp;$D88&amp;" funds share this feed",IF($D88&gt;=2,"Medium — "&amp;$D88&amp;" funds","Single fund")))</f>
        <v/>
      </c>
      <c r="J88" s="29" t="str">
        <f aca="false">IF($A88="","",COUNTIFS(Dim_Fund!$U:$U,$A88,Dim_Fund!$BC:$BC,1))</f>
        <v/>
      </c>
      <c r="K88" s="32" t="str">
        <f aca="false">IF($A88="","",IF(COUNTA(Dim_Fund!$A:$A)&lt;=1,"",$D88/(COUNTA(Dim_Fund!$A:$A)-1)))</f>
        <v/>
      </c>
      <c r="L88" s="29" t="str">
        <f aca="false">IF($A88="","",COUNTIFS(Fact_Milestone!$B:$B,$A88,Fact_Milestone!$I:$I,"?*"))</f>
        <v/>
      </c>
      <c r="M88" s="29" t="str">
        <f aca="false">IF($A88="","",COUNTIFS(Fact_Milestone!$B:$B,$A88,Fact_Milestone!$I:$I,"No"))</f>
        <v/>
      </c>
      <c r="N88" s="33" t="str">
        <f aca="false">IF($A88="","",ROUND(SUMIFS(Fact_Milestone!$L:$L,Fact_Milestone!$B:$B,$A88)/60,2))</f>
        <v/>
      </c>
      <c r="O88" s="29" t="str">
        <f aca="false">IF($A88="","",COUNTIFS(Fact_Work!$AL:$AL,$A88,Fact_Work!$AI:$AI,"Yes",Fact_Work!$BB:$BB,"No"))</f>
        <v/>
      </c>
    </row>
    <row r="89" customFormat="false" ht="15" hidden="false" customHeight="true" outlineLevel="0" collapsed="false">
      <c r="D89" s="4" t="str">
        <f aca="false">IF($A89="","",COUNTIF(Dim_Fund!$U:$U,$A89))</f>
        <v/>
      </c>
      <c r="E89" s="22" t="str">
        <f aca="false">IF($A89="","",IF($D89=0,"",_xlfn.MINIFS(Dim_Fund!$AH:$AH,Dim_Fund!$U:$U,$A89,Dim_Fund!$AH:$AH,"&gt;0")))</f>
        <v/>
      </c>
      <c r="F89" s="22" t="str">
        <f aca="false">IF($A89="","",IF($D89=0,"",_xlfn.MAXIFS(Dim_Fund!$AH:$AH,Dim_Fund!$U:$U,$A89,Dim_Fund!$AH:$AH,"&gt;0")))</f>
        <v/>
      </c>
      <c r="G89" s="31" t="str">
        <f aca="false">IF($A89="","",IF($D89=0,"",ROUND(($F89-$E89)*60,0)))</f>
        <v/>
      </c>
      <c r="H89" s="22" t="str">
        <f aca="false">IF($A89="","",$E89)</f>
        <v/>
      </c>
      <c r="I89" s="4" t="str">
        <f aca="false">IF($A89="","",IF($D89&gt;=4,"HIGH — "&amp;$D89&amp;" funds share this feed",IF($D89&gt;=2,"Medium — "&amp;$D89&amp;" funds","Single fund")))</f>
        <v/>
      </c>
      <c r="J89" s="29" t="str">
        <f aca="false">IF($A89="","",COUNTIFS(Dim_Fund!$U:$U,$A89,Dim_Fund!$BC:$BC,1))</f>
        <v/>
      </c>
      <c r="K89" s="32" t="str">
        <f aca="false">IF($A89="","",IF(COUNTA(Dim_Fund!$A:$A)&lt;=1,"",$D89/(COUNTA(Dim_Fund!$A:$A)-1)))</f>
        <v/>
      </c>
      <c r="L89" s="29" t="str">
        <f aca="false">IF($A89="","",COUNTIFS(Fact_Milestone!$B:$B,$A89,Fact_Milestone!$I:$I,"?*"))</f>
        <v/>
      </c>
      <c r="M89" s="29" t="str">
        <f aca="false">IF($A89="","",COUNTIFS(Fact_Milestone!$B:$B,$A89,Fact_Milestone!$I:$I,"No"))</f>
        <v/>
      </c>
      <c r="N89" s="33" t="str">
        <f aca="false">IF($A89="","",ROUND(SUMIFS(Fact_Milestone!$L:$L,Fact_Milestone!$B:$B,$A89)/60,2))</f>
        <v/>
      </c>
      <c r="O89" s="29" t="str">
        <f aca="false">IF($A89="","",COUNTIFS(Fact_Work!$AL:$AL,$A89,Fact_Work!$AI:$AI,"Yes",Fact_Work!$BB:$BB,"No"))</f>
        <v/>
      </c>
    </row>
    <row r="90" customFormat="false" ht="15" hidden="false" customHeight="true" outlineLevel="0" collapsed="false">
      <c r="D90" s="4" t="str">
        <f aca="false">IF($A90="","",COUNTIF(Dim_Fund!$U:$U,$A90))</f>
        <v/>
      </c>
      <c r="E90" s="22" t="str">
        <f aca="false">IF($A90="","",IF($D90=0,"",_xlfn.MINIFS(Dim_Fund!$AH:$AH,Dim_Fund!$U:$U,$A90,Dim_Fund!$AH:$AH,"&gt;0")))</f>
        <v/>
      </c>
      <c r="F90" s="22" t="str">
        <f aca="false">IF($A90="","",IF($D90=0,"",_xlfn.MAXIFS(Dim_Fund!$AH:$AH,Dim_Fund!$U:$U,$A90,Dim_Fund!$AH:$AH,"&gt;0")))</f>
        <v/>
      </c>
      <c r="G90" s="31" t="str">
        <f aca="false">IF($A90="","",IF($D90=0,"",ROUND(($F90-$E90)*60,0)))</f>
        <v/>
      </c>
      <c r="H90" s="22" t="str">
        <f aca="false">IF($A90="","",$E90)</f>
        <v/>
      </c>
      <c r="I90" s="4" t="str">
        <f aca="false">IF($A90="","",IF($D90&gt;=4,"HIGH — "&amp;$D90&amp;" funds share this feed",IF($D90&gt;=2,"Medium — "&amp;$D90&amp;" funds","Single fund")))</f>
        <v/>
      </c>
      <c r="J90" s="29" t="str">
        <f aca="false">IF($A90="","",COUNTIFS(Dim_Fund!$U:$U,$A90,Dim_Fund!$BC:$BC,1))</f>
        <v/>
      </c>
      <c r="K90" s="32" t="str">
        <f aca="false">IF($A90="","",IF(COUNTA(Dim_Fund!$A:$A)&lt;=1,"",$D90/(COUNTA(Dim_Fund!$A:$A)-1)))</f>
        <v/>
      </c>
      <c r="L90" s="29" t="str">
        <f aca="false">IF($A90="","",COUNTIFS(Fact_Milestone!$B:$B,$A90,Fact_Milestone!$I:$I,"?*"))</f>
        <v/>
      </c>
      <c r="M90" s="29" t="str">
        <f aca="false">IF($A90="","",COUNTIFS(Fact_Milestone!$B:$B,$A90,Fact_Milestone!$I:$I,"No"))</f>
        <v/>
      </c>
      <c r="N90" s="33" t="str">
        <f aca="false">IF($A90="","",ROUND(SUMIFS(Fact_Milestone!$L:$L,Fact_Milestone!$B:$B,$A90)/60,2))</f>
        <v/>
      </c>
      <c r="O90" s="29" t="str">
        <f aca="false">IF($A90="","",COUNTIFS(Fact_Work!$AL:$AL,$A90,Fact_Work!$AI:$AI,"Yes",Fact_Work!$BB:$BB,"No"))</f>
        <v/>
      </c>
    </row>
    <row r="91" customFormat="false" ht="15" hidden="false" customHeight="true" outlineLevel="0" collapsed="false">
      <c r="D91" s="4" t="str">
        <f aca="false">IF($A91="","",COUNTIF(Dim_Fund!$U:$U,$A91))</f>
        <v/>
      </c>
      <c r="E91" s="22" t="str">
        <f aca="false">IF($A91="","",IF($D91=0,"",_xlfn.MINIFS(Dim_Fund!$AH:$AH,Dim_Fund!$U:$U,$A91,Dim_Fund!$AH:$AH,"&gt;0")))</f>
        <v/>
      </c>
      <c r="F91" s="22" t="str">
        <f aca="false">IF($A91="","",IF($D91=0,"",_xlfn.MAXIFS(Dim_Fund!$AH:$AH,Dim_Fund!$U:$U,$A91,Dim_Fund!$AH:$AH,"&gt;0")))</f>
        <v/>
      </c>
      <c r="G91" s="31" t="str">
        <f aca="false">IF($A91="","",IF($D91=0,"",ROUND(($F91-$E91)*60,0)))</f>
        <v/>
      </c>
      <c r="H91" s="22" t="str">
        <f aca="false">IF($A91="","",$E91)</f>
        <v/>
      </c>
      <c r="I91" s="4" t="str">
        <f aca="false">IF($A91="","",IF($D91&gt;=4,"HIGH — "&amp;$D91&amp;" funds share this feed",IF($D91&gt;=2,"Medium — "&amp;$D91&amp;" funds","Single fund")))</f>
        <v/>
      </c>
      <c r="J91" s="29" t="str">
        <f aca="false">IF($A91="","",COUNTIFS(Dim_Fund!$U:$U,$A91,Dim_Fund!$BC:$BC,1))</f>
        <v/>
      </c>
      <c r="K91" s="32" t="str">
        <f aca="false">IF($A91="","",IF(COUNTA(Dim_Fund!$A:$A)&lt;=1,"",$D91/(COUNTA(Dim_Fund!$A:$A)-1)))</f>
        <v/>
      </c>
      <c r="L91" s="29" t="str">
        <f aca="false">IF($A91="","",COUNTIFS(Fact_Milestone!$B:$B,$A91,Fact_Milestone!$I:$I,"?*"))</f>
        <v/>
      </c>
      <c r="M91" s="29" t="str">
        <f aca="false">IF($A91="","",COUNTIFS(Fact_Milestone!$B:$B,$A91,Fact_Milestone!$I:$I,"No"))</f>
        <v/>
      </c>
      <c r="N91" s="33" t="str">
        <f aca="false">IF($A91="","",ROUND(SUMIFS(Fact_Milestone!$L:$L,Fact_Milestone!$B:$B,$A91)/60,2))</f>
        <v/>
      </c>
      <c r="O91" s="29" t="str">
        <f aca="false">IF($A91="","",COUNTIFS(Fact_Work!$AL:$AL,$A91,Fact_Work!$AI:$AI,"Yes",Fact_Work!$BB:$BB,"No"))</f>
        <v/>
      </c>
    </row>
    <row r="92" customFormat="false" ht="15" hidden="false" customHeight="true" outlineLevel="0" collapsed="false">
      <c r="D92" s="4" t="str">
        <f aca="false">IF($A92="","",COUNTIF(Dim_Fund!$U:$U,$A92))</f>
        <v/>
      </c>
      <c r="E92" s="22" t="str">
        <f aca="false">IF($A92="","",IF($D92=0,"",_xlfn.MINIFS(Dim_Fund!$AH:$AH,Dim_Fund!$U:$U,$A92,Dim_Fund!$AH:$AH,"&gt;0")))</f>
        <v/>
      </c>
      <c r="F92" s="22" t="str">
        <f aca="false">IF($A92="","",IF($D92=0,"",_xlfn.MAXIFS(Dim_Fund!$AH:$AH,Dim_Fund!$U:$U,$A92,Dim_Fund!$AH:$AH,"&gt;0")))</f>
        <v/>
      </c>
      <c r="G92" s="31" t="str">
        <f aca="false">IF($A92="","",IF($D92=0,"",ROUND(($F92-$E92)*60,0)))</f>
        <v/>
      </c>
      <c r="H92" s="22" t="str">
        <f aca="false">IF($A92="","",$E92)</f>
        <v/>
      </c>
      <c r="I92" s="4" t="str">
        <f aca="false">IF($A92="","",IF($D92&gt;=4,"HIGH — "&amp;$D92&amp;" funds share this feed",IF($D92&gt;=2,"Medium — "&amp;$D92&amp;" funds","Single fund")))</f>
        <v/>
      </c>
      <c r="J92" s="29" t="str">
        <f aca="false">IF($A92="","",COUNTIFS(Dim_Fund!$U:$U,$A92,Dim_Fund!$BC:$BC,1))</f>
        <v/>
      </c>
      <c r="K92" s="32" t="str">
        <f aca="false">IF($A92="","",IF(COUNTA(Dim_Fund!$A:$A)&lt;=1,"",$D92/(COUNTA(Dim_Fund!$A:$A)-1)))</f>
        <v/>
      </c>
      <c r="L92" s="29" t="str">
        <f aca="false">IF($A92="","",COUNTIFS(Fact_Milestone!$B:$B,$A92,Fact_Milestone!$I:$I,"?*"))</f>
        <v/>
      </c>
      <c r="M92" s="29" t="str">
        <f aca="false">IF($A92="","",COUNTIFS(Fact_Milestone!$B:$B,$A92,Fact_Milestone!$I:$I,"No"))</f>
        <v/>
      </c>
      <c r="N92" s="33" t="str">
        <f aca="false">IF($A92="","",ROUND(SUMIFS(Fact_Milestone!$L:$L,Fact_Milestone!$B:$B,$A92)/60,2))</f>
        <v/>
      </c>
      <c r="O92" s="29" t="str">
        <f aca="false">IF($A92="","",COUNTIFS(Fact_Work!$AL:$AL,$A92,Fact_Work!$AI:$AI,"Yes",Fact_Work!$BB:$BB,"No"))</f>
        <v/>
      </c>
    </row>
    <row r="93" customFormat="false" ht="15" hidden="false" customHeight="true" outlineLevel="0" collapsed="false">
      <c r="D93" s="4" t="str">
        <f aca="false">IF($A93="","",COUNTIF(Dim_Fund!$U:$U,$A93))</f>
        <v/>
      </c>
      <c r="E93" s="22" t="str">
        <f aca="false">IF($A93="","",IF($D93=0,"",_xlfn.MINIFS(Dim_Fund!$AH:$AH,Dim_Fund!$U:$U,$A93,Dim_Fund!$AH:$AH,"&gt;0")))</f>
        <v/>
      </c>
      <c r="F93" s="22" t="str">
        <f aca="false">IF($A93="","",IF($D93=0,"",_xlfn.MAXIFS(Dim_Fund!$AH:$AH,Dim_Fund!$U:$U,$A93,Dim_Fund!$AH:$AH,"&gt;0")))</f>
        <v/>
      </c>
      <c r="G93" s="31" t="str">
        <f aca="false">IF($A93="","",IF($D93=0,"",ROUND(($F93-$E93)*60,0)))</f>
        <v/>
      </c>
      <c r="H93" s="22" t="str">
        <f aca="false">IF($A93="","",$E93)</f>
        <v/>
      </c>
      <c r="I93" s="4" t="str">
        <f aca="false">IF($A93="","",IF($D93&gt;=4,"HIGH — "&amp;$D93&amp;" funds share this feed",IF($D93&gt;=2,"Medium — "&amp;$D93&amp;" funds","Single fund")))</f>
        <v/>
      </c>
      <c r="J93" s="29" t="str">
        <f aca="false">IF($A93="","",COUNTIFS(Dim_Fund!$U:$U,$A93,Dim_Fund!$BC:$BC,1))</f>
        <v/>
      </c>
      <c r="K93" s="32" t="str">
        <f aca="false">IF($A93="","",IF(COUNTA(Dim_Fund!$A:$A)&lt;=1,"",$D93/(COUNTA(Dim_Fund!$A:$A)-1)))</f>
        <v/>
      </c>
      <c r="L93" s="29" t="str">
        <f aca="false">IF($A93="","",COUNTIFS(Fact_Milestone!$B:$B,$A93,Fact_Milestone!$I:$I,"?*"))</f>
        <v/>
      </c>
      <c r="M93" s="29" t="str">
        <f aca="false">IF($A93="","",COUNTIFS(Fact_Milestone!$B:$B,$A93,Fact_Milestone!$I:$I,"No"))</f>
        <v/>
      </c>
      <c r="N93" s="33" t="str">
        <f aca="false">IF($A93="","",ROUND(SUMIFS(Fact_Milestone!$L:$L,Fact_Milestone!$B:$B,$A93)/60,2))</f>
        <v/>
      </c>
      <c r="O93" s="29" t="str">
        <f aca="false">IF($A93="","",COUNTIFS(Fact_Work!$AL:$AL,$A93,Fact_Work!$AI:$AI,"Yes",Fact_Work!$BB:$BB,"No"))</f>
        <v/>
      </c>
    </row>
    <row r="94" customFormat="false" ht="15" hidden="false" customHeight="true" outlineLevel="0" collapsed="false">
      <c r="D94" s="4" t="str">
        <f aca="false">IF($A94="","",COUNTIF(Dim_Fund!$U:$U,$A94))</f>
        <v/>
      </c>
      <c r="E94" s="22" t="str">
        <f aca="false">IF($A94="","",IF($D94=0,"",_xlfn.MINIFS(Dim_Fund!$AH:$AH,Dim_Fund!$U:$U,$A94,Dim_Fund!$AH:$AH,"&gt;0")))</f>
        <v/>
      </c>
      <c r="F94" s="22" t="str">
        <f aca="false">IF($A94="","",IF($D94=0,"",_xlfn.MAXIFS(Dim_Fund!$AH:$AH,Dim_Fund!$U:$U,$A94,Dim_Fund!$AH:$AH,"&gt;0")))</f>
        <v/>
      </c>
      <c r="G94" s="31" t="str">
        <f aca="false">IF($A94="","",IF($D94=0,"",ROUND(($F94-$E94)*60,0)))</f>
        <v/>
      </c>
      <c r="H94" s="22" t="str">
        <f aca="false">IF($A94="","",$E94)</f>
        <v/>
      </c>
      <c r="I94" s="4" t="str">
        <f aca="false">IF($A94="","",IF($D94&gt;=4,"HIGH — "&amp;$D94&amp;" funds share this feed",IF($D94&gt;=2,"Medium — "&amp;$D94&amp;" funds","Single fund")))</f>
        <v/>
      </c>
      <c r="J94" s="29" t="str">
        <f aca="false">IF($A94="","",COUNTIFS(Dim_Fund!$U:$U,$A94,Dim_Fund!$BC:$BC,1))</f>
        <v/>
      </c>
      <c r="K94" s="32" t="str">
        <f aca="false">IF($A94="","",IF(COUNTA(Dim_Fund!$A:$A)&lt;=1,"",$D94/(COUNTA(Dim_Fund!$A:$A)-1)))</f>
        <v/>
      </c>
      <c r="L94" s="29" t="str">
        <f aca="false">IF($A94="","",COUNTIFS(Fact_Milestone!$B:$B,$A94,Fact_Milestone!$I:$I,"?*"))</f>
        <v/>
      </c>
      <c r="M94" s="29" t="str">
        <f aca="false">IF($A94="","",COUNTIFS(Fact_Milestone!$B:$B,$A94,Fact_Milestone!$I:$I,"No"))</f>
        <v/>
      </c>
      <c r="N94" s="33" t="str">
        <f aca="false">IF($A94="","",ROUND(SUMIFS(Fact_Milestone!$L:$L,Fact_Milestone!$B:$B,$A94)/60,2))</f>
        <v/>
      </c>
      <c r="O94" s="29" t="str">
        <f aca="false">IF($A94="","",COUNTIFS(Fact_Work!$AL:$AL,$A94,Fact_Work!$AI:$AI,"Yes",Fact_Work!$BB:$BB,"No"))</f>
        <v/>
      </c>
    </row>
    <row r="95" customFormat="false" ht="15" hidden="false" customHeight="true" outlineLevel="0" collapsed="false">
      <c r="D95" s="4" t="str">
        <f aca="false">IF($A95="","",COUNTIF(Dim_Fund!$U:$U,$A95))</f>
        <v/>
      </c>
      <c r="E95" s="22" t="str">
        <f aca="false">IF($A95="","",IF($D95=0,"",_xlfn.MINIFS(Dim_Fund!$AH:$AH,Dim_Fund!$U:$U,$A95,Dim_Fund!$AH:$AH,"&gt;0")))</f>
        <v/>
      </c>
      <c r="F95" s="22" t="str">
        <f aca="false">IF($A95="","",IF($D95=0,"",_xlfn.MAXIFS(Dim_Fund!$AH:$AH,Dim_Fund!$U:$U,$A95,Dim_Fund!$AH:$AH,"&gt;0")))</f>
        <v/>
      </c>
      <c r="G95" s="31" t="str">
        <f aca="false">IF($A95="","",IF($D95=0,"",ROUND(($F95-$E95)*60,0)))</f>
        <v/>
      </c>
      <c r="H95" s="22" t="str">
        <f aca="false">IF($A95="","",$E95)</f>
        <v/>
      </c>
      <c r="I95" s="4" t="str">
        <f aca="false">IF($A95="","",IF($D95&gt;=4,"HIGH — "&amp;$D95&amp;" funds share this feed",IF($D95&gt;=2,"Medium — "&amp;$D95&amp;" funds","Single fund")))</f>
        <v/>
      </c>
      <c r="J95" s="29" t="str">
        <f aca="false">IF($A95="","",COUNTIFS(Dim_Fund!$U:$U,$A95,Dim_Fund!$BC:$BC,1))</f>
        <v/>
      </c>
      <c r="K95" s="32" t="str">
        <f aca="false">IF($A95="","",IF(COUNTA(Dim_Fund!$A:$A)&lt;=1,"",$D95/(COUNTA(Dim_Fund!$A:$A)-1)))</f>
        <v/>
      </c>
      <c r="L95" s="29" t="str">
        <f aca="false">IF($A95="","",COUNTIFS(Fact_Milestone!$B:$B,$A95,Fact_Milestone!$I:$I,"?*"))</f>
        <v/>
      </c>
      <c r="M95" s="29" t="str">
        <f aca="false">IF($A95="","",COUNTIFS(Fact_Milestone!$B:$B,$A95,Fact_Milestone!$I:$I,"No"))</f>
        <v/>
      </c>
      <c r="N95" s="33" t="str">
        <f aca="false">IF($A95="","",ROUND(SUMIFS(Fact_Milestone!$L:$L,Fact_Milestone!$B:$B,$A95)/60,2))</f>
        <v/>
      </c>
      <c r="O95" s="29" t="str">
        <f aca="false">IF($A95="","",COUNTIFS(Fact_Work!$AL:$AL,$A95,Fact_Work!$AI:$AI,"Yes",Fact_Work!$BB:$BB,"No"))</f>
        <v/>
      </c>
    </row>
    <row r="96" customFormat="false" ht="15" hidden="false" customHeight="true" outlineLevel="0" collapsed="false">
      <c r="D96" s="4" t="str">
        <f aca="false">IF($A96="","",COUNTIF(Dim_Fund!$U:$U,$A96))</f>
        <v/>
      </c>
      <c r="E96" s="22" t="str">
        <f aca="false">IF($A96="","",IF($D96=0,"",_xlfn.MINIFS(Dim_Fund!$AH:$AH,Dim_Fund!$U:$U,$A96,Dim_Fund!$AH:$AH,"&gt;0")))</f>
        <v/>
      </c>
      <c r="F96" s="22" t="str">
        <f aca="false">IF($A96="","",IF($D96=0,"",_xlfn.MAXIFS(Dim_Fund!$AH:$AH,Dim_Fund!$U:$U,$A96,Dim_Fund!$AH:$AH,"&gt;0")))</f>
        <v/>
      </c>
      <c r="G96" s="31" t="str">
        <f aca="false">IF($A96="","",IF($D96=0,"",ROUND(($F96-$E96)*60,0)))</f>
        <v/>
      </c>
      <c r="H96" s="22" t="str">
        <f aca="false">IF($A96="","",$E96)</f>
        <v/>
      </c>
      <c r="I96" s="4" t="str">
        <f aca="false">IF($A96="","",IF($D96&gt;=4,"HIGH — "&amp;$D96&amp;" funds share this feed",IF($D96&gt;=2,"Medium — "&amp;$D96&amp;" funds","Single fund")))</f>
        <v/>
      </c>
      <c r="J96" s="29" t="str">
        <f aca="false">IF($A96="","",COUNTIFS(Dim_Fund!$U:$U,$A96,Dim_Fund!$BC:$BC,1))</f>
        <v/>
      </c>
      <c r="K96" s="32" t="str">
        <f aca="false">IF($A96="","",IF(COUNTA(Dim_Fund!$A:$A)&lt;=1,"",$D96/(COUNTA(Dim_Fund!$A:$A)-1)))</f>
        <v/>
      </c>
      <c r="L96" s="29" t="str">
        <f aca="false">IF($A96="","",COUNTIFS(Fact_Milestone!$B:$B,$A96,Fact_Milestone!$I:$I,"?*"))</f>
        <v/>
      </c>
      <c r="M96" s="29" t="str">
        <f aca="false">IF($A96="","",COUNTIFS(Fact_Milestone!$B:$B,$A96,Fact_Milestone!$I:$I,"No"))</f>
        <v/>
      </c>
      <c r="N96" s="33" t="str">
        <f aca="false">IF($A96="","",ROUND(SUMIFS(Fact_Milestone!$L:$L,Fact_Milestone!$B:$B,$A96)/60,2))</f>
        <v/>
      </c>
      <c r="O96" s="29" t="str">
        <f aca="false">IF($A96="","",COUNTIFS(Fact_Work!$AL:$AL,$A96,Fact_Work!$AI:$AI,"Yes",Fact_Work!$BB:$BB,"No"))</f>
        <v/>
      </c>
    </row>
    <row r="97" customFormat="false" ht="15" hidden="false" customHeight="true" outlineLevel="0" collapsed="false">
      <c r="D97" s="4" t="str">
        <f aca="false">IF($A97="","",COUNTIF(Dim_Fund!$U:$U,$A97))</f>
        <v/>
      </c>
      <c r="E97" s="22" t="str">
        <f aca="false">IF($A97="","",IF($D97=0,"",_xlfn.MINIFS(Dim_Fund!$AH:$AH,Dim_Fund!$U:$U,$A97,Dim_Fund!$AH:$AH,"&gt;0")))</f>
        <v/>
      </c>
      <c r="F97" s="22" t="str">
        <f aca="false">IF($A97="","",IF($D97=0,"",_xlfn.MAXIFS(Dim_Fund!$AH:$AH,Dim_Fund!$U:$U,$A97,Dim_Fund!$AH:$AH,"&gt;0")))</f>
        <v/>
      </c>
      <c r="G97" s="31" t="str">
        <f aca="false">IF($A97="","",IF($D97=0,"",ROUND(($F97-$E97)*60,0)))</f>
        <v/>
      </c>
      <c r="H97" s="22" t="str">
        <f aca="false">IF($A97="","",$E97)</f>
        <v/>
      </c>
      <c r="I97" s="4" t="str">
        <f aca="false">IF($A97="","",IF($D97&gt;=4,"HIGH — "&amp;$D97&amp;" funds share this feed",IF($D97&gt;=2,"Medium — "&amp;$D97&amp;" funds","Single fund")))</f>
        <v/>
      </c>
      <c r="J97" s="29" t="str">
        <f aca="false">IF($A97="","",COUNTIFS(Dim_Fund!$U:$U,$A97,Dim_Fund!$BC:$BC,1))</f>
        <v/>
      </c>
      <c r="K97" s="32" t="str">
        <f aca="false">IF($A97="","",IF(COUNTA(Dim_Fund!$A:$A)&lt;=1,"",$D97/(COUNTA(Dim_Fund!$A:$A)-1)))</f>
        <v/>
      </c>
      <c r="L97" s="29" t="str">
        <f aca="false">IF($A97="","",COUNTIFS(Fact_Milestone!$B:$B,$A97,Fact_Milestone!$I:$I,"?*"))</f>
        <v/>
      </c>
      <c r="M97" s="29" t="str">
        <f aca="false">IF($A97="","",COUNTIFS(Fact_Milestone!$B:$B,$A97,Fact_Milestone!$I:$I,"No"))</f>
        <v/>
      </c>
      <c r="N97" s="33" t="str">
        <f aca="false">IF($A97="","",ROUND(SUMIFS(Fact_Milestone!$L:$L,Fact_Milestone!$B:$B,$A97)/60,2))</f>
        <v/>
      </c>
      <c r="O97" s="29" t="str">
        <f aca="false">IF($A97="","",COUNTIFS(Fact_Work!$AL:$AL,$A97,Fact_Work!$AI:$AI,"Yes",Fact_Work!$BB:$BB,"No"))</f>
        <v/>
      </c>
    </row>
    <row r="98" customFormat="false" ht="15" hidden="false" customHeight="true" outlineLevel="0" collapsed="false">
      <c r="D98" s="4" t="str">
        <f aca="false">IF($A98="","",COUNTIF(Dim_Fund!$U:$U,$A98))</f>
        <v/>
      </c>
      <c r="E98" s="22" t="str">
        <f aca="false">IF($A98="","",IF($D98=0,"",_xlfn.MINIFS(Dim_Fund!$AH:$AH,Dim_Fund!$U:$U,$A98,Dim_Fund!$AH:$AH,"&gt;0")))</f>
        <v/>
      </c>
      <c r="F98" s="22" t="str">
        <f aca="false">IF($A98="","",IF($D98=0,"",_xlfn.MAXIFS(Dim_Fund!$AH:$AH,Dim_Fund!$U:$U,$A98,Dim_Fund!$AH:$AH,"&gt;0")))</f>
        <v/>
      </c>
      <c r="G98" s="31" t="str">
        <f aca="false">IF($A98="","",IF($D98=0,"",ROUND(($F98-$E98)*60,0)))</f>
        <v/>
      </c>
      <c r="H98" s="22" t="str">
        <f aca="false">IF($A98="","",$E98)</f>
        <v/>
      </c>
      <c r="I98" s="4" t="str">
        <f aca="false">IF($A98="","",IF($D98&gt;=4,"HIGH — "&amp;$D98&amp;" funds share this feed",IF($D98&gt;=2,"Medium — "&amp;$D98&amp;" funds","Single fund")))</f>
        <v/>
      </c>
      <c r="J98" s="29" t="str">
        <f aca="false">IF($A98="","",COUNTIFS(Dim_Fund!$U:$U,$A98,Dim_Fund!$BC:$BC,1))</f>
        <v/>
      </c>
      <c r="K98" s="32" t="str">
        <f aca="false">IF($A98="","",IF(COUNTA(Dim_Fund!$A:$A)&lt;=1,"",$D98/(COUNTA(Dim_Fund!$A:$A)-1)))</f>
        <v/>
      </c>
      <c r="L98" s="29" t="str">
        <f aca="false">IF($A98="","",COUNTIFS(Fact_Milestone!$B:$B,$A98,Fact_Milestone!$I:$I,"?*"))</f>
        <v/>
      </c>
      <c r="M98" s="29" t="str">
        <f aca="false">IF($A98="","",COUNTIFS(Fact_Milestone!$B:$B,$A98,Fact_Milestone!$I:$I,"No"))</f>
        <v/>
      </c>
      <c r="N98" s="33" t="str">
        <f aca="false">IF($A98="","",ROUND(SUMIFS(Fact_Milestone!$L:$L,Fact_Milestone!$B:$B,$A98)/60,2))</f>
        <v/>
      </c>
      <c r="O98" s="29" t="str">
        <f aca="false">IF($A98="","",COUNTIFS(Fact_Work!$AL:$AL,$A98,Fact_Work!$AI:$AI,"Yes",Fact_Work!$BB:$BB,"No"))</f>
        <v/>
      </c>
    </row>
    <row r="99" customFormat="false" ht="15" hidden="false" customHeight="true" outlineLevel="0" collapsed="false">
      <c r="D99" s="4" t="str">
        <f aca="false">IF($A99="","",COUNTIF(Dim_Fund!$U:$U,$A99))</f>
        <v/>
      </c>
      <c r="E99" s="22" t="str">
        <f aca="false">IF($A99="","",IF($D99=0,"",_xlfn.MINIFS(Dim_Fund!$AH:$AH,Dim_Fund!$U:$U,$A99,Dim_Fund!$AH:$AH,"&gt;0")))</f>
        <v/>
      </c>
      <c r="F99" s="22" t="str">
        <f aca="false">IF($A99="","",IF($D99=0,"",_xlfn.MAXIFS(Dim_Fund!$AH:$AH,Dim_Fund!$U:$U,$A99,Dim_Fund!$AH:$AH,"&gt;0")))</f>
        <v/>
      </c>
      <c r="G99" s="31" t="str">
        <f aca="false">IF($A99="","",IF($D99=0,"",ROUND(($F99-$E99)*60,0)))</f>
        <v/>
      </c>
      <c r="H99" s="22" t="str">
        <f aca="false">IF($A99="","",$E99)</f>
        <v/>
      </c>
      <c r="I99" s="4" t="str">
        <f aca="false">IF($A99="","",IF($D99&gt;=4,"HIGH — "&amp;$D99&amp;" funds share this feed",IF($D99&gt;=2,"Medium — "&amp;$D99&amp;" funds","Single fund")))</f>
        <v/>
      </c>
      <c r="J99" s="29" t="str">
        <f aca="false">IF($A99="","",COUNTIFS(Dim_Fund!$U:$U,$A99,Dim_Fund!$BC:$BC,1))</f>
        <v/>
      </c>
      <c r="K99" s="32" t="str">
        <f aca="false">IF($A99="","",IF(COUNTA(Dim_Fund!$A:$A)&lt;=1,"",$D99/(COUNTA(Dim_Fund!$A:$A)-1)))</f>
        <v/>
      </c>
      <c r="L99" s="29" t="str">
        <f aca="false">IF($A99="","",COUNTIFS(Fact_Milestone!$B:$B,$A99,Fact_Milestone!$I:$I,"?*"))</f>
        <v/>
      </c>
      <c r="M99" s="29" t="str">
        <f aca="false">IF($A99="","",COUNTIFS(Fact_Milestone!$B:$B,$A99,Fact_Milestone!$I:$I,"No"))</f>
        <v/>
      </c>
      <c r="N99" s="33" t="str">
        <f aca="false">IF($A99="","",ROUND(SUMIFS(Fact_Milestone!$L:$L,Fact_Milestone!$B:$B,$A99)/60,2))</f>
        <v/>
      </c>
      <c r="O99" s="29" t="str">
        <f aca="false">IF($A99="","",COUNTIFS(Fact_Work!$AL:$AL,$A99,Fact_Work!$AI:$AI,"Yes",Fact_Work!$BB:$BB,"No"))</f>
        <v/>
      </c>
    </row>
    <row r="100" customFormat="false" ht="15" hidden="false" customHeight="true" outlineLevel="0" collapsed="false">
      <c r="D100" s="4" t="str">
        <f aca="false">IF($A100="","",COUNTIF(Dim_Fund!$U:$U,$A100))</f>
        <v/>
      </c>
      <c r="E100" s="22" t="str">
        <f aca="false">IF($A100="","",IF($D100=0,"",_xlfn.MINIFS(Dim_Fund!$AH:$AH,Dim_Fund!$U:$U,$A100,Dim_Fund!$AH:$AH,"&gt;0")))</f>
        <v/>
      </c>
      <c r="F100" s="22" t="str">
        <f aca="false">IF($A100="","",IF($D100=0,"",_xlfn.MAXIFS(Dim_Fund!$AH:$AH,Dim_Fund!$U:$U,$A100,Dim_Fund!$AH:$AH,"&gt;0")))</f>
        <v/>
      </c>
      <c r="G100" s="31" t="str">
        <f aca="false">IF($A100="","",IF($D100=0,"",ROUND(($F100-$E100)*60,0)))</f>
        <v/>
      </c>
      <c r="H100" s="22" t="str">
        <f aca="false">IF($A100="","",$E100)</f>
        <v/>
      </c>
      <c r="I100" s="4" t="str">
        <f aca="false">IF($A100="","",IF($D100&gt;=4,"HIGH — "&amp;$D100&amp;" funds share this feed",IF($D100&gt;=2,"Medium — "&amp;$D100&amp;" funds","Single fund")))</f>
        <v/>
      </c>
      <c r="J100" s="29" t="str">
        <f aca="false">IF($A100="","",COUNTIFS(Dim_Fund!$U:$U,$A100,Dim_Fund!$BC:$BC,1))</f>
        <v/>
      </c>
      <c r="K100" s="32" t="str">
        <f aca="false">IF($A100="","",IF(COUNTA(Dim_Fund!$A:$A)&lt;=1,"",$D100/(COUNTA(Dim_Fund!$A:$A)-1)))</f>
        <v/>
      </c>
      <c r="L100" s="29" t="str">
        <f aca="false">IF($A100="","",COUNTIFS(Fact_Milestone!$B:$B,$A100,Fact_Milestone!$I:$I,"?*"))</f>
        <v/>
      </c>
      <c r="M100" s="29" t="str">
        <f aca="false">IF($A100="","",COUNTIFS(Fact_Milestone!$B:$B,$A100,Fact_Milestone!$I:$I,"No"))</f>
        <v/>
      </c>
      <c r="N100" s="33" t="str">
        <f aca="false">IF($A100="","",ROUND(SUMIFS(Fact_Milestone!$L:$L,Fact_Milestone!$B:$B,$A100)/60,2))</f>
        <v/>
      </c>
      <c r="O100" s="29" t="str">
        <f aca="false">IF($A100="","",COUNTIFS(Fact_Work!$AL:$AL,$A100,Fact_Work!$AI:$AI,"Yes",Fact_Work!$BB:$BB,"No"))</f>
        <v/>
      </c>
    </row>
    <row r="101" customFormat="false" ht="15" hidden="false" customHeight="true" outlineLevel="0" collapsed="false">
      <c r="D101" s="4" t="str">
        <f aca="false">IF($A101="","",COUNTIF(Dim_Fund!$U:$U,$A101))</f>
        <v/>
      </c>
      <c r="E101" s="22" t="str">
        <f aca="false">IF($A101="","",IF($D101=0,"",_xlfn.MINIFS(Dim_Fund!$AH:$AH,Dim_Fund!$U:$U,$A101,Dim_Fund!$AH:$AH,"&gt;0")))</f>
        <v/>
      </c>
      <c r="F101" s="22" t="str">
        <f aca="false">IF($A101="","",IF($D101=0,"",_xlfn.MAXIFS(Dim_Fund!$AH:$AH,Dim_Fund!$U:$U,$A101,Dim_Fund!$AH:$AH,"&gt;0")))</f>
        <v/>
      </c>
      <c r="G101" s="31" t="str">
        <f aca="false">IF($A101="","",IF($D101=0,"",ROUND(($F101-$E101)*60,0)))</f>
        <v/>
      </c>
      <c r="H101" s="22" t="str">
        <f aca="false">IF($A101="","",$E101)</f>
        <v/>
      </c>
      <c r="I101" s="4" t="str">
        <f aca="false">IF($A101="","",IF($D101&gt;=4,"HIGH — "&amp;$D101&amp;" funds share this feed",IF($D101&gt;=2,"Medium — "&amp;$D101&amp;" funds","Single fund")))</f>
        <v/>
      </c>
      <c r="J101" s="29" t="str">
        <f aca="false">IF($A101="","",COUNTIFS(Dim_Fund!$U:$U,$A101,Dim_Fund!$BC:$BC,1))</f>
        <v/>
      </c>
      <c r="K101" s="32" t="str">
        <f aca="false">IF($A101="","",IF(COUNTA(Dim_Fund!$A:$A)&lt;=1,"",$D101/(COUNTA(Dim_Fund!$A:$A)-1)))</f>
        <v/>
      </c>
      <c r="L101" s="29" t="str">
        <f aca="false">IF($A101="","",COUNTIFS(Fact_Milestone!$B:$B,$A101,Fact_Milestone!$I:$I,"?*"))</f>
        <v/>
      </c>
      <c r="M101" s="29" t="str">
        <f aca="false">IF($A101="","",COUNTIFS(Fact_Milestone!$B:$B,$A101,Fact_Milestone!$I:$I,"No"))</f>
        <v/>
      </c>
      <c r="N101" s="33" t="str">
        <f aca="false">IF($A101="","",ROUND(SUMIFS(Fact_Milestone!$L:$L,Fact_Milestone!$B:$B,$A101)/60,2))</f>
        <v/>
      </c>
      <c r="O101" s="29" t="str">
        <f aca="false">IF($A101="","",COUNTIFS(Fact_Work!$AL:$AL,$A101,Fact_Work!$AI:$AI,"Yes",Fact_Work!$BB:$BB,"No"))</f>
        <v/>
      </c>
    </row>
    <row r="102" customFormat="false" ht="15" hidden="false" customHeight="true" outlineLevel="0" collapsed="false">
      <c r="D102" s="4" t="str">
        <f aca="false">IF($A102="","",COUNTIF(Dim_Fund!$U:$U,$A102))</f>
        <v/>
      </c>
      <c r="E102" s="22" t="str">
        <f aca="false">IF($A102="","",IF($D102=0,"",_xlfn.MINIFS(Dim_Fund!$AH:$AH,Dim_Fund!$U:$U,$A102,Dim_Fund!$AH:$AH,"&gt;0")))</f>
        <v/>
      </c>
      <c r="F102" s="22" t="str">
        <f aca="false">IF($A102="","",IF($D102=0,"",_xlfn.MAXIFS(Dim_Fund!$AH:$AH,Dim_Fund!$U:$U,$A102,Dim_Fund!$AH:$AH,"&gt;0")))</f>
        <v/>
      </c>
      <c r="G102" s="31" t="str">
        <f aca="false">IF($A102="","",IF($D102=0,"",ROUND(($F102-$E102)*60,0)))</f>
        <v/>
      </c>
      <c r="H102" s="22" t="str">
        <f aca="false">IF($A102="","",$E102)</f>
        <v/>
      </c>
      <c r="I102" s="4" t="str">
        <f aca="false">IF($A102="","",IF($D102&gt;=4,"HIGH — "&amp;$D102&amp;" funds share this feed",IF($D102&gt;=2,"Medium — "&amp;$D102&amp;" funds","Single fund")))</f>
        <v/>
      </c>
      <c r="J102" s="29" t="str">
        <f aca="false">IF($A102="","",COUNTIFS(Dim_Fund!$U:$U,$A102,Dim_Fund!$BC:$BC,1))</f>
        <v/>
      </c>
      <c r="K102" s="32" t="str">
        <f aca="false">IF($A102="","",IF(COUNTA(Dim_Fund!$A:$A)&lt;=1,"",$D102/(COUNTA(Dim_Fund!$A:$A)-1)))</f>
        <v/>
      </c>
      <c r="L102" s="29" t="str">
        <f aca="false">IF($A102="","",COUNTIFS(Fact_Milestone!$B:$B,$A102,Fact_Milestone!$I:$I,"?*"))</f>
        <v/>
      </c>
      <c r="M102" s="29" t="str">
        <f aca="false">IF($A102="","",COUNTIFS(Fact_Milestone!$B:$B,$A102,Fact_Milestone!$I:$I,"No"))</f>
        <v/>
      </c>
      <c r="N102" s="33" t="str">
        <f aca="false">IF($A102="","",ROUND(SUMIFS(Fact_Milestone!$L:$L,Fact_Milestone!$B:$B,$A102)/60,2))</f>
        <v/>
      </c>
      <c r="O102" s="29" t="str">
        <f aca="false">IF($A102="","",COUNTIFS(Fact_Work!$AL:$AL,$A102,Fact_Work!$AI:$AI,"Yes",Fact_Work!$BB:$BB,"No"))</f>
        <v/>
      </c>
    </row>
    <row r="103" customFormat="false" ht="15" hidden="false" customHeight="true" outlineLevel="0" collapsed="false">
      <c r="D103" s="4" t="str">
        <f aca="false">IF($A103="","",COUNTIF(Dim_Fund!$U:$U,$A103))</f>
        <v/>
      </c>
      <c r="E103" s="22" t="str">
        <f aca="false">IF($A103="","",IF($D103=0,"",_xlfn.MINIFS(Dim_Fund!$AH:$AH,Dim_Fund!$U:$U,$A103,Dim_Fund!$AH:$AH,"&gt;0")))</f>
        <v/>
      </c>
      <c r="F103" s="22" t="str">
        <f aca="false">IF($A103="","",IF($D103=0,"",_xlfn.MAXIFS(Dim_Fund!$AH:$AH,Dim_Fund!$U:$U,$A103,Dim_Fund!$AH:$AH,"&gt;0")))</f>
        <v/>
      </c>
      <c r="G103" s="31" t="str">
        <f aca="false">IF($A103="","",IF($D103=0,"",ROUND(($F103-$E103)*60,0)))</f>
        <v/>
      </c>
      <c r="H103" s="22" t="str">
        <f aca="false">IF($A103="","",$E103)</f>
        <v/>
      </c>
      <c r="I103" s="4" t="str">
        <f aca="false">IF($A103="","",IF($D103&gt;=4,"HIGH — "&amp;$D103&amp;" funds share this feed",IF($D103&gt;=2,"Medium — "&amp;$D103&amp;" funds","Single fund")))</f>
        <v/>
      </c>
      <c r="J103" s="29" t="str">
        <f aca="false">IF($A103="","",COUNTIFS(Dim_Fund!$U:$U,$A103,Dim_Fund!$BC:$BC,1))</f>
        <v/>
      </c>
      <c r="K103" s="32" t="str">
        <f aca="false">IF($A103="","",IF(COUNTA(Dim_Fund!$A:$A)&lt;=1,"",$D103/(COUNTA(Dim_Fund!$A:$A)-1)))</f>
        <v/>
      </c>
      <c r="L103" s="29" t="str">
        <f aca="false">IF($A103="","",COUNTIFS(Fact_Milestone!$B:$B,$A103,Fact_Milestone!$I:$I,"?*"))</f>
        <v/>
      </c>
      <c r="M103" s="29" t="str">
        <f aca="false">IF($A103="","",COUNTIFS(Fact_Milestone!$B:$B,$A103,Fact_Milestone!$I:$I,"No"))</f>
        <v/>
      </c>
      <c r="N103" s="33" t="str">
        <f aca="false">IF($A103="","",ROUND(SUMIFS(Fact_Milestone!$L:$L,Fact_Milestone!$B:$B,$A103)/60,2))</f>
        <v/>
      </c>
      <c r="O103" s="29" t="str">
        <f aca="false">IF($A103="","",COUNTIFS(Fact_Work!$AL:$AL,$A103,Fact_Work!$AI:$AI,"Yes",Fact_Work!$BB:$BB,"No"))</f>
        <v/>
      </c>
    </row>
    <row r="104" customFormat="false" ht="15" hidden="false" customHeight="true" outlineLevel="0" collapsed="false">
      <c r="D104" s="4" t="str">
        <f aca="false">IF($A104="","",COUNTIF(Dim_Fund!$U:$U,$A104))</f>
        <v/>
      </c>
      <c r="E104" s="22" t="str">
        <f aca="false">IF($A104="","",IF($D104=0,"",_xlfn.MINIFS(Dim_Fund!$AH:$AH,Dim_Fund!$U:$U,$A104,Dim_Fund!$AH:$AH,"&gt;0")))</f>
        <v/>
      </c>
      <c r="F104" s="22" t="str">
        <f aca="false">IF($A104="","",IF($D104=0,"",_xlfn.MAXIFS(Dim_Fund!$AH:$AH,Dim_Fund!$U:$U,$A104,Dim_Fund!$AH:$AH,"&gt;0")))</f>
        <v/>
      </c>
      <c r="G104" s="31" t="str">
        <f aca="false">IF($A104="","",IF($D104=0,"",ROUND(($F104-$E104)*60,0)))</f>
        <v/>
      </c>
      <c r="H104" s="22" t="str">
        <f aca="false">IF($A104="","",$E104)</f>
        <v/>
      </c>
      <c r="I104" s="4" t="str">
        <f aca="false">IF($A104="","",IF($D104&gt;=4,"HIGH — "&amp;$D104&amp;" funds share this feed",IF($D104&gt;=2,"Medium — "&amp;$D104&amp;" funds","Single fund")))</f>
        <v/>
      </c>
      <c r="J104" s="29" t="str">
        <f aca="false">IF($A104="","",COUNTIFS(Dim_Fund!$U:$U,$A104,Dim_Fund!$BC:$BC,1))</f>
        <v/>
      </c>
      <c r="K104" s="32" t="str">
        <f aca="false">IF($A104="","",IF(COUNTA(Dim_Fund!$A:$A)&lt;=1,"",$D104/(COUNTA(Dim_Fund!$A:$A)-1)))</f>
        <v/>
      </c>
      <c r="L104" s="29" t="str">
        <f aca="false">IF($A104="","",COUNTIFS(Fact_Milestone!$B:$B,$A104,Fact_Milestone!$I:$I,"?*"))</f>
        <v/>
      </c>
      <c r="M104" s="29" t="str">
        <f aca="false">IF($A104="","",COUNTIFS(Fact_Milestone!$B:$B,$A104,Fact_Milestone!$I:$I,"No"))</f>
        <v/>
      </c>
      <c r="N104" s="33" t="str">
        <f aca="false">IF($A104="","",ROUND(SUMIFS(Fact_Milestone!$L:$L,Fact_Milestone!$B:$B,$A104)/60,2))</f>
        <v/>
      </c>
      <c r="O104" s="29" t="str">
        <f aca="false">IF($A104="","",COUNTIFS(Fact_Work!$AL:$AL,$A104,Fact_Work!$AI:$AI,"Yes",Fact_Work!$BB:$BB,"No"))</f>
        <v/>
      </c>
    </row>
    <row r="105" customFormat="false" ht="15" hidden="false" customHeight="true" outlineLevel="0" collapsed="false">
      <c r="D105" s="4" t="str">
        <f aca="false">IF($A105="","",COUNTIF(Dim_Fund!$U:$U,$A105))</f>
        <v/>
      </c>
      <c r="E105" s="22" t="str">
        <f aca="false">IF($A105="","",IF($D105=0,"",_xlfn.MINIFS(Dim_Fund!$AH:$AH,Dim_Fund!$U:$U,$A105,Dim_Fund!$AH:$AH,"&gt;0")))</f>
        <v/>
      </c>
      <c r="F105" s="22" t="str">
        <f aca="false">IF($A105="","",IF($D105=0,"",_xlfn.MAXIFS(Dim_Fund!$AH:$AH,Dim_Fund!$U:$U,$A105,Dim_Fund!$AH:$AH,"&gt;0")))</f>
        <v/>
      </c>
      <c r="G105" s="31" t="str">
        <f aca="false">IF($A105="","",IF($D105=0,"",ROUND(($F105-$E105)*60,0)))</f>
        <v/>
      </c>
      <c r="H105" s="22" t="str">
        <f aca="false">IF($A105="","",$E105)</f>
        <v/>
      </c>
      <c r="I105" s="4" t="str">
        <f aca="false">IF($A105="","",IF($D105&gt;=4,"HIGH — "&amp;$D105&amp;" funds share this feed",IF($D105&gt;=2,"Medium — "&amp;$D105&amp;" funds","Single fund")))</f>
        <v/>
      </c>
      <c r="J105" s="29" t="str">
        <f aca="false">IF($A105="","",COUNTIFS(Dim_Fund!$U:$U,$A105,Dim_Fund!$BC:$BC,1))</f>
        <v/>
      </c>
      <c r="K105" s="32" t="str">
        <f aca="false">IF($A105="","",IF(COUNTA(Dim_Fund!$A:$A)&lt;=1,"",$D105/(COUNTA(Dim_Fund!$A:$A)-1)))</f>
        <v/>
      </c>
      <c r="L105" s="29" t="str">
        <f aca="false">IF($A105="","",COUNTIFS(Fact_Milestone!$B:$B,$A105,Fact_Milestone!$I:$I,"?*"))</f>
        <v/>
      </c>
      <c r="M105" s="29" t="str">
        <f aca="false">IF($A105="","",COUNTIFS(Fact_Milestone!$B:$B,$A105,Fact_Milestone!$I:$I,"No"))</f>
        <v/>
      </c>
      <c r="N105" s="33" t="str">
        <f aca="false">IF($A105="","",ROUND(SUMIFS(Fact_Milestone!$L:$L,Fact_Milestone!$B:$B,$A105)/60,2))</f>
        <v/>
      </c>
      <c r="O105" s="29" t="str">
        <f aca="false">IF($A105="","",COUNTIFS(Fact_Work!$AL:$AL,$A105,Fact_Work!$AI:$AI,"Yes",Fact_Work!$BB:$BB,"No"))</f>
        <v/>
      </c>
    </row>
    <row r="106" customFormat="false" ht="15" hidden="false" customHeight="true" outlineLevel="0" collapsed="false">
      <c r="D106" s="4" t="str">
        <f aca="false">IF($A106="","",COUNTIF(Dim_Fund!$U:$U,$A106))</f>
        <v/>
      </c>
      <c r="E106" s="22" t="str">
        <f aca="false">IF($A106="","",IF($D106=0,"",_xlfn.MINIFS(Dim_Fund!$AH:$AH,Dim_Fund!$U:$U,$A106,Dim_Fund!$AH:$AH,"&gt;0")))</f>
        <v/>
      </c>
      <c r="F106" s="22" t="str">
        <f aca="false">IF($A106="","",IF($D106=0,"",_xlfn.MAXIFS(Dim_Fund!$AH:$AH,Dim_Fund!$U:$U,$A106,Dim_Fund!$AH:$AH,"&gt;0")))</f>
        <v/>
      </c>
      <c r="G106" s="31" t="str">
        <f aca="false">IF($A106="","",IF($D106=0,"",ROUND(($F106-$E106)*60,0)))</f>
        <v/>
      </c>
      <c r="H106" s="22" t="str">
        <f aca="false">IF($A106="","",$E106)</f>
        <v/>
      </c>
      <c r="I106" s="4" t="str">
        <f aca="false">IF($A106="","",IF($D106&gt;=4,"HIGH — "&amp;$D106&amp;" funds share this feed",IF($D106&gt;=2,"Medium — "&amp;$D106&amp;" funds","Single fund")))</f>
        <v/>
      </c>
      <c r="J106" s="29" t="str">
        <f aca="false">IF($A106="","",COUNTIFS(Dim_Fund!$U:$U,$A106,Dim_Fund!$BC:$BC,1))</f>
        <v/>
      </c>
      <c r="K106" s="32" t="str">
        <f aca="false">IF($A106="","",IF(COUNTA(Dim_Fund!$A:$A)&lt;=1,"",$D106/(COUNTA(Dim_Fund!$A:$A)-1)))</f>
        <v/>
      </c>
      <c r="L106" s="29" t="str">
        <f aca="false">IF($A106="","",COUNTIFS(Fact_Milestone!$B:$B,$A106,Fact_Milestone!$I:$I,"?*"))</f>
        <v/>
      </c>
      <c r="M106" s="29" t="str">
        <f aca="false">IF($A106="","",COUNTIFS(Fact_Milestone!$B:$B,$A106,Fact_Milestone!$I:$I,"No"))</f>
        <v/>
      </c>
      <c r="N106" s="33" t="str">
        <f aca="false">IF($A106="","",ROUND(SUMIFS(Fact_Milestone!$L:$L,Fact_Milestone!$B:$B,$A106)/60,2))</f>
        <v/>
      </c>
      <c r="O106" s="29" t="str">
        <f aca="false">IF($A106="","",COUNTIFS(Fact_Work!$AL:$AL,$A106,Fact_Work!$AI:$AI,"Yes",Fact_Work!$BB:$BB,"No"))</f>
        <v/>
      </c>
    </row>
    <row r="107" customFormat="false" ht="15" hidden="false" customHeight="true" outlineLevel="0" collapsed="false">
      <c r="D107" s="4" t="str">
        <f aca="false">IF($A107="","",COUNTIF(Dim_Fund!$U:$U,$A107))</f>
        <v/>
      </c>
      <c r="E107" s="22" t="str">
        <f aca="false">IF($A107="","",IF($D107=0,"",_xlfn.MINIFS(Dim_Fund!$AH:$AH,Dim_Fund!$U:$U,$A107,Dim_Fund!$AH:$AH,"&gt;0")))</f>
        <v/>
      </c>
      <c r="F107" s="22" t="str">
        <f aca="false">IF($A107="","",IF($D107=0,"",_xlfn.MAXIFS(Dim_Fund!$AH:$AH,Dim_Fund!$U:$U,$A107,Dim_Fund!$AH:$AH,"&gt;0")))</f>
        <v/>
      </c>
      <c r="G107" s="31" t="str">
        <f aca="false">IF($A107="","",IF($D107=0,"",ROUND(($F107-$E107)*60,0)))</f>
        <v/>
      </c>
      <c r="H107" s="22" t="str">
        <f aca="false">IF($A107="","",$E107)</f>
        <v/>
      </c>
      <c r="I107" s="4" t="str">
        <f aca="false">IF($A107="","",IF($D107&gt;=4,"HIGH — "&amp;$D107&amp;" funds share this feed",IF($D107&gt;=2,"Medium — "&amp;$D107&amp;" funds","Single fund")))</f>
        <v/>
      </c>
      <c r="J107" s="29" t="str">
        <f aca="false">IF($A107="","",COUNTIFS(Dim_Fund!$U:$U,$A107,Dim_Fund!$BC:$BC,1))</f>
        <v/>
      </c>
      <c r="K107" s="32" t="str">
        <f aca="false">IF($A107="","",IF(COUNTA(Dim_Fund!$A:$A)&lt;=1,"",$D107/(COUNTA(Dim_Fund!$A:$A)-1)))</f>
        <v/>
      </c>
      <c r="L107" s="29" t="str">
        <f aca="false">IF($A107="","",COUNTIFS(Fact_Milestone!$B:$B,$A107,Fact_Milestone!$I:$I,"?*"))</f>
        <v/>
      </c>
      <c r="M107" s="29" t="str">
        <f aca="false">IF($A107="","",COUNTIFS(Fact_Milestone!$B:$B,$A107,Fact_Milestone!$I:$I,"No"))</f>
        <v/>
      </c>
      <c r="N107" s="33" t="str">
        <f aca="false">IF($A107="","",ROUND(SUMIFS(Fact_Milestone!$L:$L,Fact_Milestone!$B:$B,$A107)/60,2))</f>
        <v/>
      </c>
      <c r="O107" s="29" t="str">
        <f aca="false">IF($A107="","",COUNTIFS(Fact_Work!$AL:$AL,$A107,Fact_Work!$AI:$AI,"Yes",Fact_Work!$BB:$BB,"No"))</f>
        <v/>
      </c>
    </row>
    <row r="108" customFormat="false" ht="15" hidden="false" customHeight="true" outlineLevel="0" collapsed="false">
      <c r="D108" s="4" t="str">
        <f aca="false">IF($A108="","",COUNTIF(Dim_Fund!$U:$U,$A108))</f>
        <v/>
      </c>
      <c r="E108" s="22" t="str">
        <f aca="false">IF($A108="","",IF($D108=0,"",_xlfn.MINIFS(Dim_Fund!$AH:$AH,Dim_Fund!$U:$U,$A108,Dim_Fund!$AH:$AH,"&gt;0")))</f>
        <v/>
      </c>
      <c r="F108" s="22" t="str">
        <f aca="false">IF($A108="","",IF($D108=0,"",_xlfn.MAXIFS(Dim_Fund!$AH:$AH,Dim_Fund!$U:$U,$A108,Dim_Fund!$AH:$AH,"&gt;0")))</f>
        <v/>
      </c>
      <c r="G108" s="31" t="str">
        <f aca="false">IF($A108="","",IF($D108=0,"",ROUND(($F108-$E108)*60,0)))</f>
        <v/>
      </c>
      <c r="H108" s="22" t="str">
        <f aca="false">IF($A108="","",$E108)</f>
        <v/>
      </c>
      <c r="I108" s="4" t="str">
        <f aca="false">IF($A108="","",IF($D108&gt;=4,"HIGH — "&amp;$D108&amp;" funds share this feed",IF($D108&gt;=2,"Medium — "&amp;$D108&amp;" funds","Single fund")))</f>
        <v/>
      </c>
      <c r="J108" s="29" t="str">
        <f aca="false">IF($A108="","",COUNTIFS(Dim_Fund!$U:$U,$A108,Dim_Fund!$BC:$BC,1))</f>
        <v/>
      </c>
      <c r="K108" s="32" t="str">
        <f aca="false">IF($A108="","",IF(COUNTA(Dim_Fund!$A:$A)&lt;=1,"",$D108/(COUNTA(Dim_Fund!$A:$A)-1)))</f>
        <v/>
      </c>
      <c r="L108" s="29" t="str">
        <f aca="false">IF($A108="","",COUNTIFS(Fact_Milestone!$B:$B,$A108,Fact_Milestone!$I:$I,"?*"))</f>
        <v/>
      </c>
      <c r="M108" s="29" t="str">
        <f aca="false">IF($A108="","",COUNTIFS(Fact_Milestone!$B:$B,$A108,Fact_Milestone!$I:$I,"No"))</f>
        <v/>
      </c>
      <c r="N108" s="33" t="str">
        <f aca="false">IF($A108="","",ROUND(SUMIFS(Fact_Milestone!$L:$L,Fact_Milestone!$B:$B,$A108)/60,2))</f>
        <v/>
      </c>
      <c r="O108" s="29" t="str">
        <f aca="false">IF($A108="","",COUNTIFS(Fact_Work!$AL:$AL,$A108,Fact_Work!$AI:$AI,"Yes",Fact_Work!$BB:$BB,"No"))</f>
        <v/>
      </c>
    </row>
    <row r="109" customFormat="false" ht="15" hidden="false" customHeight="true" outlineLevel="0" collapsed="false">
      <c r="D109" s="4" t="str">
        <f aca="false">IF($A109="","",COUNTIF(Dim_Fund!$U:$U,$A109))</f>
        <v/>
      </c>
      <c r="E109" s="22" t="str">
        <f aca="false">IF($A109="","",IF($D109=0,"",_xlfn.MINIFS(Dim_Fund!$AH:$AH,Dim_Fund!$U:$U,$A109,Dim_Fund!$AH:$AH,"&gt;0")))</f>
        <v/>
      </c>
      <c r="F109" s="22" t="str">
        <f aca="false">IF($A109="","",IF($D109=0,"",_xlfn.MAXIFS(Dim_Fund!$AH:$AH,Dim_Fund!$U:$U,$A109,Dim_Fund!$AH:$AH,"&gt;0")))</f>
        <v/>
      </c>
      <c r="G109" s="31" t="str">
        <f aca="false">IF($A109="","",IF($D109=0,"",ROUND(($F109-$E109)*60,0)))</f>
        <v/>
      </c>
      <c r="H109" s="22" t="str">
        <f aca="false">IF($A109="","",$E109)</f>
        <v/>
      </c>
      <c r="I109" s="4" t="str">
        <f aca="false">IF($A109="","",IF($D109&gt;=4,"HIGH — "&amp;$D109&amp;" funds share this feed",IF($D109&gt;=2,"Medium — "&amp;$D109&amp;" funds","Single fund")))</f>
        <v/>
      </c>
      <c r="J109" s="29" t="str">
        <f aca="false">IF($A109="","",COUNTIFS(Dim_Fund!$U:$U,$A109,Dim_Fund!$BC:$BC,1))</f>
        <v/>
      </c>
      <c r="K109" s="32" t="str">
        <f aca="false">IF($A109="","",IF(COUNTA(Dim_Fund!$A:$A)&lt;=1,"",$D109/(COUNTA(Dim_Fund!$A:$A)-1)))</f>
        <v/>
      </c>
      <c r="L109" s="29" t="str">
        <f aca="false">IF($A109="","",COUNTIFS(Fact_Milestone!$B:$B,$A109,Fact_Milestone!$I:$I,"?*"))</f>
        <v/>
      </c>
      <c r="M109" s="29" t="str">
        <f aca="false">IF($A109="","",COUNTIFS(Fact_Milestone!$B:$B,$A109,Fact_Milestone!$I:$I,"No"))</f>
        <v/>
      </c>
      <c r="N109" s="33" t="str">
        <f aca="false">IF($A109="","",ROUND(SUMIFS(Fact_Milestone!$L:$L,Fact_Milestone!$B:$B,$A109)/60,2))</f>
        <v/>
      </c>
      <c r="O109" s="29" t="str">
        <f aca="false">IF($A109="","",COUNTIFS(Fact_Work!$AL:$AL,$A109,Fact_Work!$AI:$AI,"Yes",Fact_Work!$BB:$BB,"No"))</f>
        <v/>
      </c>
    </row>
    <row r="110" customFormat="false" ht="15" hidden="false" customHeight="true" outlineLevel="0" collapsed="false">
      <c r="D110" s="4" t="str">
        <f aca="false">IF($A110="","",COUNTIF(Dim_Fund!$U:$U,$A110))</f>
        <v/>
      </c>
      <c r="E110" s="22" t="str">
        <f aca="false">IF($A110="","",IF($D110=0,"",_xlfn.MINIFS(Dim_Fund!$AH:$AH,Dim_Fund!$U:$U,$A110,Dim_Fund!$AH:$AH,"&gt;0")))</f>
        <v/>
      </c>
      <c r="F110" s="22" t="str">
        <f aca="false">IF($A110="","",IF($D110=0,"",_xlfn.MAXIFS(Dim_Fund!$AH:$AH,Dim_Fund!$U:$U,$A110,Dim_Fund!$AH:$AH,"&gt;0")))</f>
        <v/>
      </c>
      <c r="G110" s="31" t="str">
        <f aca="false">IF($A110="","",IF($D110=0,"",ROUND(($F110-$E110)*60,0)))</f>
        <v/>
      </c>
      <c r="H110" s="22" t="str">
        <f aca="false">IF($A110="","",$E110)</f>
        <v/>
      </c>
      <c r="I110" s="4" t="str">
        <f aca="false">IF($A110="","",IF($D110&gt;=4,"HIGH — "&amp;$D110&amp;" funds share this feed",IF($D110&gt;=2,"Medium — "&amp;$D110&amp;" funds","Single fund")))</f>
        <v/>
      </c>
      <c r="J110" s="29" t="str">
        <f aca="false">IF($A110="","",COUNTIFS(Dim_Fund!$U:$U,$A110,Dim_Fund!$BC:$BC,1))</f>
        <v/>
      </c>
      <c r="K110" s="32" t="str">
        <f aca="false">IF($A110="","",IF(COUNTA(Dim_Fund!$A:$A)&lt;=1,"",$D110/(COUNTA(Dim_Fund!$A:$A)-1)))</f>
        <v/>
      </c>
      <c r="L110" s="29" t="str">
        <f aca="false">IF($A110="","",COUNTIFS(Fact_Milestone!$B:$B,$A110,Fact_Milestone!$I:$I,"?*"))</f>
        <v/>
      </c>
      <c r="M110" s="29" t="str">
        <f aca="false">IF($A110="","",COUNTIFS(Fact_Milestone!$B:$B,$A110,Fact_Milestone!$I:$I,"No"))</f>
        <v/>
      </c>
      <c r="N110" s="33" t="str">
        <f aca="false">IF($A110="","",ROUND(SUMIFS(Fact_Milestone!$L:$L,Fact_Milestone!$B:$B,$A110)/60,2))</f>
        <v/>
      </c>
      <c r="O110" s="29" t="str">
        <f aca="false">IF($A110="","",COUNTIFS(Fact_Work!$AL:$AL,$A110,Fact_Work!$AI:$AI,"Yes",Fact_Work!$BB:$BB,"No"))</f>
        <v/>
      </c>
    </row>
    <row r="111" customFormat="false" ht="15" hidden="false" customHeight="true" outlineLevel="0" collapsed="false">
      <c r="D111" s="4" t="str">
        <f aca="false">IF($A111="","",COUNTIF(Dim_Fund!$U:$U,$A111))</f>
        <v/>
      </c>
      <c r="E111" s="22" t="str">
        <f aca="false">IF($A111="","",IF($D111=0,"",_xlfn.MINIFS(Dim_Fund!$AH:$AH,Dim_Fund!$U:$U,$A111,Dim_Fund!$AH:$AH,"&gt;0")))</f>
        <v/>
      </c>
      <c r="F111" s="22" t="str">
        <f aca="false">IF($A111="","",IF($D111=0,"",_xlfn.MAXIFS(Dim_Fund!$AH:$AH,Dim_Fund!$U:$U,$A111,Dim_Fund!$AH:$AH,"&gt;0")))</f>
        <v/>
      </c>
      <c r="G111" s="31" t="str">
        <f aca="false">IF($A111="","",IF($D111=0,"",ROUND(($F111-$E111)*60,0)))</f>
        <v/>
      </c>
      <c r="H111" s="22" t="str">
        <f aca="false">IF($A111="","",$E111)</f>
        <v/>
      </c>
      <c r="I111" s="4" t="str">
        <f aca="false">IF($A111="","",IF($D111&gt;=4,"HIGH — "&amp;$D111&amp;" funds share this feed",IF($D111&gt;=2,"Medium — "&amp;$D111&amp;" funds","Single fund")))</f>
        <v/>
      </c>
      <c r="J111" s="29" t="str">
        <f aca="false">IF($A111="","",COUNTIFS(Dim_Fund!$U:$U,$A111,Dim_Fund!$BC:$BC,1))</f>
        <v/>
      </c>
      <c r="K111" s="32" t="str">
        <f aca="false">IF($A111="","",IF(COUNTA(Dim_Fund!$A:$A)&lt;=1,"",$D111/(COUNTA(Dim_Fund!$A:$A)-1)))</f>
        <v/>
      </c>
      <c r="L111" s="29" t="str">
        <f aca="false">IF($A111="","",COUNTIFS(Fact_Milestone!$B:$B,$A111,Fact_Milestone!$I:$I,"?*"))</f>
        <v/>
      </c>
      <c r="M111" s="29" t="str">
        <f aca="false">IF($A111="","",COUNTIFS(Fact_Milestone!$B:$B,$A111,Fact_Milestone!$I:$I,"No"))</f>
        <v/>
      </c>
      <c r="N111" s="33" t="str">
        <f aca="false">IF($A111="","",ROUND(SUMIFS(Fact_Milestone!$L:$L,Fact_Milestone!$B:$B,$A111)/60,2))</f>
        <v/>
      </c>
      <c r="O111" s="29" t="str">
        <f aca="false">IF($A111="","",COUNTIFS(Fact_Work!$AL:$AL,$A111,Fact_Work!$AI:$AI,"Yes",Fact_Work!$BB:$BB,"No"))</f>
        <v/>
      </c>
    </row>
    <row r="112" customFormat="false" ht="15" hidden="false" customHeight="true" outlineLevel="0" collapsed="false">
      <c r="D112" s="4" t="str">
        <f aca="false">IF($A112="","",COUNTIF(Dim_Fund!$U:$U,$A112))</f>
        <v/>
      </c>
      <c r="E112" s="22" t="str">
        <f aca="false">IF($A112="","",IF($D112=0,"",_xlfn.MINIFS(Dim_Fund!$AH:$AH,Dim_Fund!$U:$U,$A112,Dim_Fund!$AH:$AH,"&gt;0")))</f>
        <v/>
      </c>
      <c r="F112" s="22" t="str">
        <f aca="false">IF($A112="","",IF($D112=0,"",_xlfn.MAXIFS(Dim_Fund!$AH:$AH,Dim_Fund!$U:$U,$A112,Dim_Fund!$AH:$AH,"&gt;0")))</f>
        <v/>
      </c>
      <c r="G112" s="31" t="str">
        <f aca="false">IF($A112="","",IF($D112=0,"",ROUND(($F112-$E112)*60,0)))</f>
        <v/>
      </c>
      <c r="H112" s="22" t="str">
        <f aca="false">IF($A112="","",$E112)</f>
        <v/>
      </c>
      <c r="I112" s="4" t="str">
        <f aca="false">IF($A112="","",IF($D112&gt;=4,"HIGH — "&amp;$D112&amp;" funds share this feed",IF($D112&gt;=2,"Medium — "&amp;$D112&amp;" funds","Single fund")))</f>
        <v/>
      </c>
      <c r="J112" s="29" t="str">
        <f aca="false">IF($A112="","",COUNTIFS(Dim_Fund!$U:$U,$A112,Dim_Fund!$BC:$BC,1))</f>
        <v/>
      </c>
      <c r="K112" s="32" t="str">
        <f aca="false">IF($A112="","",IF(COUNTA(Dim_Fund!$A:$A)&lt;=1,"",$D112/(COUNTA(Dim_Fund!$A:$A)-1)))</f>
        <v/>
      </c>
      <c r="L112" s="29" t="str">
        <f aca="false">IF($A112="","",COUNTIFS(Fact_Milestone!$B:$B,$A112,Fact_Milestone!$I:$I,"?*"))</f>
        <v/>
      </c>
      <c r="M112" s="29" t="str">
        <f aca="false">IF($A112="","",COUNTIFS(Fact_Milestone!$B:$B,$A112,Fact_Milestone!$I:$I,"No"))</f>
        <v/>
      </c>
      <c r="N112" s="33" t="str">
        <f aca="false">IF($A112="","",ROUND(SUMIFS(Fact_Milestone!$L:$L,Fact_Milestone!$B:$B,$A112)/60,2))</f>
        <v/>
      </c>
      <c r="O112" s="29" t="str">
        <f aca="false">IF($A112="","",COUNTIFS(Fact_Work!$AL:$AL,$A112,Fact_Work!$AI:$AI,"Yes",Fact_Work!$BB:$BB,"No"))</f>
        <v/>
      </c>
    </row>
    <row r="113" customFormat="false" ht="15" hidden="false" customHeight="true" outlineLevel="0" collapsed="false">
      <c r="D113" s="4" t="str">
        <f aca="false">IF($A113="","",COUNTIF(Dim_Fund!$U:$U,$A113))</f>
        <v/>
      </c>
      <c r="E113" s="22" t="str">
        <f aca="false">IF($A113="","",IF($D113=0,"",_xlfn.MINIFS(Dim_Fund!$AH:$AH,Dim_Fund!$U:$U,$A113,Dim_Fund!$AH:$AH,"&gt;0")))</f>
        <v/>
      </c>
      <c r="F113" s="22" t="str">
        <f aca="false">IF($A113="","",IF($D113=0,"",_xlfn.MAXIFS(Dim_Fund!$AH:$AH,Dim_Fund!$U:$U,$A113,Dim_Fund!$AH:$AH,"&gt;0")))</f>
        <v/>
      </c>
      <c r="G113" s="31" t="str">
        <f aca="false">IF($A113="","",IF($D113=0,"",ROUND(($F113-$E113)*60,0)))</f>
        <v/>
      </c>
      <c r="H113" s="22" t="str">
        <f aca="false">IF($A113="","",$E113)</f>
        <v/>
      </c>
      <c r="I113" s="4" t="str">
        <f aca="false">IF($A113="","",IF($D113&gt;=4,"HIGH — "&amp;$D113&amp;" funds share this feed",IF($D113&gt;=2,"Medium — "&amp;$D113&amp;" funds","Single fund")))</f>
        <v/>
      </c>
      <c r="J113" s="29" t="str">
        <f aca="false">IF($A113="","",COUNTIFS(Dim_Fund!$U:$U,$A113,Dim_Fund!$BC:$BC,1))</f>
        <v/>
      </c>
      <c r="K113" s="32" t="str">
        <f aca="false">IF($A113="","",IF(COUNTA(Dim_Fund!$A:$A)&lt;=1,"",$D113/(COUNTA(Dim_Fund!$A:$A)-1)))</f>
        <v/>
      </c>
      <c r="L113" s="29" t="str">
        <f aca="false">IF($A113="","",COUNTIFS(Fact_Milestone!$B:$B,$A113,Fact_Milestone!$I:$I,"?*"))</f>
        <v/>
      </c>
      <c r="M113" s="29" t="str">
        <f aca="false">IF($A113="","",COUNTIFS(Fact_Milestone!$B:$B,$A113,Fact_Milestone!$I:$I,"No"))</f>
        <v/>
      </c>
      <c r="N113" s="33" t="str">
        <f aca="false">IF($A113="","",ROUND(SUMIFS(Fact_Milestone!$L:$L,Fact_Milestone!$B:$B,$A113)/60,2))</f>
        <v/>
      </c>
      <c r="O113" s="29" t="str">
        <f aca="false">IF($A113="","",COUNTIFS(Fact_Work!$AL:$AL,$A113,Fact_Work!$AI:$AI,"Yes",Fact_Work!$BB:$BB,"No"))</f>
        <v/>
      </c>
    </row>
    <row r="114" customFormat="false" ht="15" hidden="false" customHeight="true" outlineLevel="0" collapsed="false">
      <c r="D114" s="4" t="str">
        <f aca="false">IF($A114="","",COUNTIF(Dim_Fund!$U:$U,$A114))</f>
        <v/>
      </c>
      <c r="E114" s="22" t="str">
        <f aca="false">IF($A114="","",IF($D114=0,"",_xlfn.MINIFS(Dim_Fund!$AH:$AH,Dim_Fund!$U:$U,$A114,Dim_Fund!$AH:$AH,"&gt;0")))</f>
        <v/>
      </c>
      <c r="F114" s="22" t="str">
        <f aca="false">IF($A114="","",IF($D114=0,"",_xlfn.MAXIFS(Dim_Fund!$AH:$AH,Dim_Fund!$U:$U,$A114,Dim_Fund!$AH:$AH,"&gt;0")))</f>
        <v/>
      </c>
      <c r="G114" s="31" t="str">
        <f aca="false">IF($A114="","",IF($D114=0,"",ROUND(($F114-$E114)*60,0)))</f>
        <v/>
      </c>
      <c r="H114" s="22" t="str">
        <f aca="false">IF($A114="","",$E114)</f>
        <v/>
      </c>
      <c r="I114" s="4" t="str">
        <f aca="false">IF($A114="","",IF($D114&gt;=4,"HIGH — "&amp;$D114&amp;" funds share this feed",IF($D114&gt;=2,"Medium — "&amp;$D114&amp;" funds","Single fund")))</f>
        <v/>
      </c>
      <c r="J114" s="29" t="str">
        <f aca="false">IF($A114="","",COUNTIFS(Dim_Fund!$U:$U,$A114,Dim_Fund!$BC:$BC,1))</f>
        <v/>
      </c>
      <c r="K114" s="32" t="str">
        <f aca="false">IF($A114="","",IF(COUNTA(Dim_Fund!$A:$A)&lt;=1,"",$D114/(COUNTA(Dim_Fund!$A:$A)-1)))</f>
        <v/>
      </c>
      <c r="L114" s="29" t="str">
        <f aca="false">IF($A114="","",COUNTIFS(Fact_Milestone!$B:$B,$A114,Fact_Milestone!$I:$I,"?*"))</f>
        <v/>
      </c>
      <c r="M114" s="29" t="str">
        <f aca="false">IF($A114="","",COUNTIFS(Fact_Milestone!$B:$B,$A114,Fact_Milestone!$I:$I,"No"))</f>
        <v/>
      </c>
      <c r="N114" s="33" t="str">
        <f aca="false">IF($A114="","",ROUND(SUMIFS(Fact_Milestone!$L:$L,Fact_Milestone!$B:$B,$A114)/60,2))</f>
        <v/>
      </c>
      <c r="O114" s="29" t="str">
        <f aca="false">IF($A114="","",COUNTIFS(Fact_Work!$AL:$AL,$A114,Fact_Work!$AI:$AI,"Yes",Fact_Work!$BB:$BB,"No"))</f>
        <v/>
      </c>
    </row>
    <row r="115" customFormat="false" ht="15" hidden="false" customHeight="true" outlineLevel="0" collapsed="false">
      <c r="D115" s="4" t="str">
        <f aca="false">IF($A115="","",COUNTIF(Dim_Fund!$U:$U,$A115))</f>
        <v/>
      </c>
      <c r="E115" s="22" t="str">
        <f aca="false">IF($A115="","",IF($D115=0,"",_xlfn.MINIFS(Dim_Fund!$AH:$AH,Dim_Fund!$U:$U,$A115,Dim_Fund!$AH:$AH,"&gt;0")))</f>
        <v/>
      </c>
      <c r="F115" s="22" t="str">
        <f aca="false">IF($A115="","",IF($D115=0,"",_xlfn.MAXIFS(Dim_Fund!$AH:$AH,Dim_Fund!$U:$U,$A115,Dim_Fund!$AH:$AH,"&gt;0")))</f>
        <v/>
      </c>
      <c r="G115" s="31" t="str">
        <f aca="false">IF($A115="","",IF($D115=0,"",ROUND(($F115-$E115)*60,0)))</f>
        <v/>
      </c>
      <c r="H115" s="22" t="str">
        <f aca="false">IF($A115="","",$E115)</f>
        <v/>
      </c>
      <c r="I115" s="4" t="str">
        <f aca="false">IF($A115="","",IF($D115&gt;=4,"HIGH — "&amp;$D115&amp;" funds share this feed",IF($D115&gt;=2,"Medium — "&amp;$D115&amp;" funds","Single fund")))</f>
        <v/>
      </c>
      <c r="J115" s="29" t="str">
        <f aca="false">IF($A115="","",COUNTIFS(Dim_Fund!$U:$U,$A115,Dim_Fund!$BC:$BC,1))</f>
        <v/>
      </c>
      <c r="K115" s="32" t="str">
        <f aca="false">IF($A115="","",IF(COUNTA(Dim_Fund!$A:$A)&lt;=1,"",$D115/(COUNTA(Dim_Fund!$A:$A)-1)))</f>
        <v/>
      </c>
      <c r="L115" s="29" t="str">
        <f aca="false">IF($A115="","",COUNTIFS(Fact_Milestone!$B:$B,$A115,Fact_Milestone!$I:$I,"?*"))</f>
        <v/>
      </c>
      <c r="M115" s="29" t="str">
        <f aca="false">IF($A115="","",COUNTIFS(Fact_Milestone!$B:$B,$A115,Fact_Milestone!$I:$I,"No"))</f>
        <v/>
      </c>
      <c r="N115" s="33" t="str">
        <f aca="false">IF($A115="","",ROUND(SUMIFS(Fact_Milestone!$L:$L,Fact_Milestone!$B:$B,$A115)/60,2))</f>
        <v/>
      </c>
      <c r="O115" s="29" t="str">
        <f aca="false">IF($A115="","",COUNTIFS(Fact_Work!$AL:$AL,$A115,Fact_Work!$AI:$AI,"Yes",Fact_Work!$BB:$BB,"No"))</f>
        <v/>
      </c>
    </row>
    <row r="116" customFormat="false" ht="15" hidden="false" customHeight="true" outlineLevel="0" collapsed="false">
      <c r="D116" s="4" t="str">
        <f aca="false">IF($A116="","",COUNTIF(Dim_Fund!$U:$U,$A116))</f>
        <v/>
      </c>
      <c r="E116" s="22" t="str">
        <f aca="false">IF($A116="","",IF($D116=0,"",_xlfn.MINIFS(Dim_Fund!$AH:$AH,Dim_Fund!$U:$U,$A116,Dim_Fund!$AH:$AH,"&gt;0")))</f>
        <v/>
      </c>
      <c r="F116" s="22" t="str">
        <f aca="false">IF($A116="","",IF($D116=0,"",_xlfn.MAXIFS(Dim_Fund!$AH:$AH,Dim_Fund!$U:$U,$A116,Dim_Fund!$AH:$AH,"&gt;0")))</f>
        <v/>
      </c>
      <c r="G116" s="31" t="str">
        <f aca="false">IF($A116="","",IF($D116=0,"",ROUND(($F116-$E116)*60,0)))</f>
        <v/>
      </c>
      <c r="H116" s="22" t="str">
        <f aca="false">IF($A116="","",$E116)</f>
        <v/>
      </c>
      <c r="I116" s="4" t="str">
        <f aca="false">IF($A116="","",IF($D116&gt;=4,"HIGH — "&amp;$D116&amp;" funds share this feed",IF($D116&gt;=2,"Medium — "&amp;$D116&amp;" funds","Single fund")))</f>
        <v/>
      </c>
      <c r="J116" s="29" t="str">
        <f aca="false">IF($A116="","",COUNTIFS(Dim_Fund!$U:$U,$A116,Dim_Fund!$BC:$BC,1))</f>
        <v/>
      </c>
      <c r="K116" s="32" t="str">
        <f aca="false">IF($A116="","",IF(COUNTA(Dim_Fund!$A:$A)&lt;=1,"",$D116/(COUNTA(Dim_Fund!$A:$A)-1)))</f>
        <v/>
      </c>
      <c r="L116" s="29" t="str">
        <f aca="false">IF($A116="","",COUNTIFS(Fact_Milestone!$B:$B,$A116,Fact_Milestone!$I:$I,"?*"))</f>
        <v/>
      </c>
      <c r="M116" s="29" t="str">
        <f aca="false">IF($A116="","",COUNTIFS(Fact_Milestone!$B:$B,$A116,Fact_Milestone!$I:$I,"No"))</f>
        <v/>
      </c>
      <c r="N116" s="33" t="str">
        <f aca="false">IF($A116="","",ROUND(SUMIFS(Fact_Milestone!$L:$L,Fact_Milestone!$B:$B,$A116)/60,2))</f>
        <v/>
      </c>
      <c r="O116" s="29" t="str">
        <f aca="false">IF($A116="","",COUNTIFS(Fact_Work!$AL:$AL,$A116,Fact_Work!$AI:$AI,"Yes",Fact_Work!$BB:$BB,"No"))</f>
        <v/>
      </c>
    </row>
    <row r="117" customFormat="false" ht="15" hidden="false" customHeight="true" outlineLevel="0" collapsed="false">
      <c r="D117" s="4" t="str">
        <f aca="false">IF($A117="","",COUNTIF(Dim_Fund!$U:$U,$A117))</f>
        <v/>
      </c>
      <c r="E117" s="22" t="str">
        <f aca="false">IF($A117="","",IF($D117=0,"",_xlfn.MINIFS(Dim_Fund!$AH:$AH,Dim_Fund!$U:$U,$A117,Dim_Fund!$AH:$AH,"&gt;0")))</f>
        <v/>
      </c>
      <c r="F117" s="22" t="str">
        <f aca="false">IF($A117="","",IF($D117=0,"",_xlfn.MAXIFS(Dim_Fund!$AH:$AH,Dim_Fund!$U:$U,$A117,Dim_Fund!$AH:$AH,"&gt;0")))</f>
        <v/>
      </c>
      <c r="G117" s="31" t="str">
        <f aca="false">IF($A117="","",IF($D117=0,"",ROUND(($F117-$E117)*60,0)))</f>
        <v/>
      </c>
      <c r="H117" s="22" t="str">
        <f aca="false">IF($A117="","",$E117)</f>
        <v/>
      </c>
      <c r="I117" s="4" t="str">
        <f aca="false">IF($A117="","",IF($D117&gt;=4,"HIGH — "&amp;$D117&amp;" funds share this feed",IF($D117&gt;=2,"Medium — "&amp;$D117&amp;" funds","Single fund")))</f>
        <v/>
      </c>
      <c r="J117" s="29" t="str">
        <f aca="false">IF($A117="","",COUNTIFS(Dim_Fund!$U:$U,$A117,Dim_Fund!$BC:$BC,1))</f>
        <v/>
      </c>
      <c r="K117" s="32" t="str">
        <f aca="false">IF($A117="","",IF(COUNTA(Dim_Fund!$A:$A)&lt;=1,"",$D117/(COUNTA(Dim_Fund!$A:$A)-1)))</f>
        <v/>
      </c>
      <c r="L117" s="29" t="str">
        <f aca="false">IF($A117="","",COUNTIFS(Fact_Milestone!$B:$B,$A117,Fact_Milestone!$I:$I,"?*"))</f>
        <v/>
      </c>
      <c r="M117" s="29" t="str">
        <f aca="false">IF($A117="","",COUNTIFS(Fact_Milestone!$B:$B,$A117,Fact_Milestone!$I:$I,"No"))</f>
        <v/>
      </c>
      <c r="N117" s="33" t="str">
        <f aca="false">IF($A117="","",ROUND(SUMIFS(Fact_Milestone!$L:$L,Fact_Milestone!$B:$B,$A117)/60,2))</f>
        <v/>
      </c>
      <c r="O117" s="29" t="str">
        <f aca="false">IF($A117="","",COUNTIFS(Fact_Work!$AL:$AL,$A117,Fact_Work!$AI:$AI,"Yes",Fact_Work!$BB:$BB,"No"))</f>
        <v/>
      </c>
    </row>
    <row r="118" customFormat="false" ht="15" hidden="false" customHeight="true" outlineLevel="0" collapsed="false">
      <c r="D118" s="4" t="str">
        <f aca="false">IF($A118="","",COUNTIF(Dim_Fund!$U:$U,$A118))</f>
        <v/>
      </c>
      <c r="E118" s="22" t="str">
        <f aca="false">IF($A118="","",IF($D118=0,"",_xlfn.MINIFS(Dim_Fund!$AH:$AH,Dim_Fund!$U:$U,$A118,Dim_Fund!$AH:$AH,"&gt;0")))</f>
        <v/>
      </c>
      <c r="F118" s="22" t="str">
        <f aca="false">IF($A118="","",IF($D118=0,"",_xlfn.MAXIFS(Dim_Fund!$AH:$AH,Dim_Fund!$U:$U,$A118,Dim_Fund!$AH:$AH,"&gt;0")))</f>
        <v/>
      </c>
      <c r="G118" s="31" t="str">
        <f aca="false">IF($A118="","",IF($D118=0,"",ROUND(($F118-$E118)*60,0)))</f>
        <v/>
      </c>
      <c r="H118" s="22" t="str">
        <f aca="false">IF($A118="","",$E118)</f>
        <v/>
      </c>
      <c r="I118" s="4" t="str">
        <f aca="false">IF($A118="","",IF($D118&gt;=4,"HIGH — "&amp;$D118&amp;" funds share this feed",IF($D118&gt;=2,"Medium — "&amp;$D118&amp;" funds","Single fund")))</f>
        <v/>
      </c>
      <c r="J118" s="29" t="str">
        <f aca="false">IF($A118="","",COUNTIFS(Dim_Fund!$U:$U,$A118,Dim_Fund!$BC:$BC,1))</f>
        <v/>
      </c>
      <c r="K118" s="32" t="str">
        <f aca="false">IF($A118="","",IF(COUNTA(Dim_Fund!$A:$A)&lt;=1,"",$D118/(COUNTA(Dim_Fund!$A:$A)-1)))</f>
        <v/>
      </c>
      <c r="L118" s="29" t="str">
        <f aca="false">IF($A118="","",COUNTIFS(Fact_Milestone!$B:$B,$A118,Fact_Milestone!$I:$I,"?*"))</f>
        <v/>
      </c>
      <c r="M118" s="29" t="str">
        <f aca="false">IF($A118="","",COUNTIFS(Fact_Milestone!$B:$B,$A118,Fact_Milestone!$I:$I,"No"))</f>
        <v/>
      </c>
      <c r="N118" s="33" t="str">
        <f aca="false">IF($A118="","",ROUND(SUMIFS(Fact_Milestone!$L:$L,Fact_Milestone!$B:$B,$A118)/60,2))</f>
        <v/>
      </c>
      <c r="O118" s="29" t="str">
        <f aca="false">IF($A118="","",COUNTIFS(Fact_Work!$AL:$AL,$A118,Fact_Work!$AI:$AI,"Yes",Fact_Work!$BB:$BB,"No"))</f>
        <v/>
      </c>
    </row>
    <row r="119" customFormat="false" ht="15" hidden="false" customHeight="true" outlineLevel="0" collapsed="false">
      <c r="D119" s="4" t="str">
        <f aca="false">IF($A119="","",COUNTIF(Dim_Fund!$U:$U,$A119))</f>
        <v/>
      </c>
      <c r="E119" s="22" t="str">
        <f aca="false">IF($A119="","",IF($D119=0,"",_xlfn.MINIFS(Dim_Fund!$AH:$AH,Dim_Fund!$U:$U,$A119,Dim_Fund!$AH:$AH,"&gt;0")))</f>
        <v/>
      </c>
      <c r="F119" s="22" t="str">
        <f aca="false">IF($A119="","",IF($D119=0,"",_xlfn.MAXIFS(Dim_Fund!$AH:$AH,Dim_Fund!$U:$U,$A119,Dim_Fund!$AH:$AH,"&gt;0")))</f>
        <v/>
      </c>
      <c r="G119" s="31" t="str">
        <f aca="false">IF($A119="","",IF($D119=0,"",ROUND(($F119-$E119)*60,0)))</f>
        <v/>
      </c>
      <c r="H119" s="22" t="str">
        <f aca="false">IF($A119="","",$E119)</f>
        <v/>
      </c>
      <c r="I119" s="4" t="str">
        <f aca="false">IF($A119="","",IF($D119&gt;=4,"HIGH — "&amp;$D119&amp;" funds share this feed",IF($D119&gt;=2,"Medium — "&amp;$D119&amp;" funds","Single fund")))</f>
        <v/>
      </c>
      <c r="J119" s="29" t="str">
        <f aca="false">IF($A119="","",COUNTIFS(Dim_Fund!$U:$U,$A119,Dim_Fund!$BC:$BC,1))</f>
        <v/>
      </c>
      <c r="K119" s="32" t="str">
        <f aca="false">IF($A119="","",IF(COUNTA(Dim_Fund!$A:$A)&lt;=1,"",$D119/(COUNTA(Dim_Fund!$A:$A)-1)))</f>
        <v/>
      </c>
      <c r="L119" s="29" t="str">
        <f aca="false">IF($A119="","",COUNTIFS(Fact_Milestone!$B:$B,$A119,Fact_Milestone!$I:$I,"?*"))</f>
        <v/>
      </c>
      <c r="M119" s="29" t="str">
        <f aca="false">IF($A119="","",COUNTIFS(Fact_Milestone!$B:$B,$A119,Fact_Milestone!$I:$I,"No"))</f>
        <v/>
      </c>
      <c r="N119" s="33" t="str">
        <f aca="false">IF($A119="","",ROUND(SUMIFS(Fact_Milestone!$L:$L,Fact_Milestone!$B:$B,$A119)/60,2))</f>
        <v/>
      </c>
      <c r="O119" s="29" t="str">
        <f aca="false">IF($A119="","",COUNTIFS(Fact_Work!$AL:$AL,$A119,Fact_Work!$AI:$AI,"Yes",Fact_Work!$BB:$BB,"No"))</f>
        <v/>
      </c>
    </row>
    <row r="120" customFormat="false" ht="15" hidden="false" customHeight="true" outlineLevel="0" collapsed="false">
      <c r="D120" s="4" t="str">
        <f aca="false">IF($A120="","",COUNTIF(Dim_Fund!$U:$U,$A120))</f>
        <v/>
      </c>
      <c r="E120" s="22" t="str">
        <f aca="false">IF($A120="","",IF($D120=0,"",_xlfn.MINIFS(Dim_Fund!$AH:$AH,Dim_Fund!$U:$U,$A120,Dim_Fund!$AH:$AH,"&gt;0")))</f>
        <v/>
      </c>
      <c r="F120" s="22" t="str">
        <f aca="false">IF($A120="","",IF($D120=0,"",_xlfn.MAXIFS(Dim_Fund!$AH:$AH,Dim_Fund!$U:$U,$A120,Dim_Fund!$AH:$AH,"&gt;0")))</f>
        <v/>
      </c>
      <c r="G120" s="31" t="str">
        <f aca="false">IF($A120="","",IF($D120=0,"",ROUND(($F120-$E120)*60,0)))</f>
        <v/>
      </c>
      <c r="H120" s="22" t="str">
        <f aca="false">IF($A120="","",$E120)</f>
        <v/>
      </c>
      <c r="I120" s="4" t="str">
        <f aca="false">IF($A120="","",IF($D120&gt;=4,"HIGH — "&amp;$D120&amp;" funds share this feed",IF($D120&gt;=2,"Medium — "&amp;$D120&amp;" funds","Single fund")))</f>
        <v/>
      </c>
      <c r="J120" s="29" t="str">
        <f aca="false">IF($A120="","",COUNTIFS(Dim_Fund!$U:$U,$A120,Dim_Fund!$BC:$BC,1))</f>
        <v/>
      </c>
      <c r="K120" s="32" t="str">
        <f aca="false">IF($A120="","",IF(COUNTA(Dim_Fund!$A:$A)&lt;=1,"",$D120/(COUNTA(Dim_Fund!$A:$A)-1)))</f>
        <v/>
      </c>
      <c r="L120" s="29" t="str">
        <f aca="false">IF($A120="","",COUNTIFS(Fact_Milestone!$B:$B,$A120,Fact_Milestone!$I:$I,"?*"))</f>
        <v/>
      </c>
      <c r="M120" s="29" t="str">
        <f aca="false">IF($A120="","",COUNTIFS(Fact_Milestone!$B:$B,$A120,Fact_Milestone!$I:$I,"No"))</f>
        <v/>
      </c>
      <c r="N120" s="33" t="str">
        <f aca="false">IF($A120="","",ROUND(SUMIFS(Fact_Milestone!$L:$L,Fact_Milestone!$B:$B,$A120)/60,2))</f>
        <v/>
      </c>
      <c r="O120" s="29" t="str">
        <f aca="false">IF($A120="","",COUNTIFS(Fact_Work!$AL:$AL,$A120,Fact_Work!$AI:$AI,"Yes",Fact_Work!$BB:$BB,"No"))</f>
        <v/>
      </c>
    </row>
    <row r="121" customFormat="false" ht="15" hidden="false" customHeight="true" outlineLevel="0" collapsed="false">
      <c r="D121" s="4" t="str">
        <f aca="false">IF($A121="","",COUNTIF(Dim_Fund!$U:$U,$A121))</f>
        <v/>
      </c>
      <c r="E121" s="22" t="str">
        <f aca="false">IF($A121="","",IF($D121=0,"",_xlfn.MINIFS(Dim_Fund!$AH:$AH,Dim_Fund!$U:$U,$A121,Dim_Fund!$AH:$AH,"&gt;0")))</f>
        <v/>
      </c>
      <c r="F121" s="22" t="str">
        <f aca="false">IF($A121="","",IF($D121=0,"",_xlfn.MAXIFS(Dim_Fund!$AH:$AH,Dim_Fund!$U:$U,$A121,Dim_Fund!$AH:$AH,"&gt;0")))</f>
        <v/>
      </c>
      <c r="G121" s="31" t="str">
        <f aca="false">IF($A121="","",IF($D121=0,"",ROUND(($F121-$E121)*60,0)))</f>
        <v/>
      </c>
      <c r="H121" s="22" t="str">
        <f aca="false">IF($A121="","",$E121)</f>
        <v/>
      </c>
      <c r="I121" s="4" t="str">
        <f aca="false">IF($A121="","",IF($D121&gt;=4,"HIGH — "&amp;$D121&amp;" funds share this feed",IF($D121&gt;=2,"Medium — "&amp;$D121&amp;" funds","Single fund")))</f>
        <v/>
      </c>
      <c r="J121" s="29" t="str">
        <f aca="false">IF($A121="","",COUNTIFS(Dim_Fund!$U:$U,$A121,Dim_Fund!$BC:$BC,1))</f>
        <v/>
      </c>
      <c r="K121" s="32" t="str">
        <f aca="false">IF($A121="","",IF(COUNTA(Dim_Fund!$A:$A)&lt;=1,"",$D121/(COUNTA(Dim_Fund!$A:$A)-1)))</f>
        <v/>
      </c>
      <c r="L121" s="29" t="str">
        <f aca="false">IF($A121="","",COUNTIFS(Fact_Milestone!$B:$B,$A121,Fact_Milestone!$I:$I,"?*"))</f>
        <v/>
      </c>
      <c r="M121" s="29" t="str">
        <f aca="false">IF($A121="","",COUNTIFS(Fact_Milestone!$B:$B,$A121,Fact_Milestone!$I:$I,"No"))</f>
        <v/>
      </c>
      <c r="N121" s="33" t="str">
        <f aca="false">IF($A121="","",ROUND(SUMIFS(Fact_Milestone!$L:$L,Fact_Milestone!$B:$B,$A121)/60,2))</f>
        <v/>
      </c>
      <c r="O121" s="29" t="str">
        <f aca="false">IF($A121="","",COUNTIFS(Fact_Work!$AL:$AL,$A121,Fact_Work!$AI:$AI,"Yes",Fact_Work!$BB:$BB,"No"))</f>
        <v/>
      </c>
    </row>
    <row r="122" customFormat="false" ht="15" hidden="false" customHeight="true" outlineLevel="0" collapsed="false">
      <c r="D122" s="4" t="str">
        <f aca="false">IF($A122="","",COUNTIF(Dim_Fund!$U:$U,$A122))</f>
        <v/>
      </c>
      <c r="E122" s="22" t="str">
        <f aca="false">IF($A122="","",IF($D122=0,"",_xlfn.MINIFS(Dim_Fund!$AH:$AH,Dim_Fund!$U:$U,$A122,Dim_Fund!$AH:$AH,"&gt;0")))</f>
        <v/>
      </c>
      <c r="F122" s="22" t="str">
        <f aca="false">IF($A122="","",IF($D122=0,"",_xlfn.MAXIFS(Dim_Fund!$AH:$AH,Dim_Fund!$U:$U,$A122,Dim_Fund!$AH:$AH,"&gt;0")))</f>
        <v/>
      </c>
      <c r="G122" s="31" t="str">
        <f aca="false">IF($A122="","",IF($D122=0,"",ROUND(($F122-$E122)*60,0)))</f>
        <v/>
      </c>
      <c r="H122" s="22" t="str">
        <f aca="false">IF($A122="","",$E122)</f>
        <v/>
      </c>
      <c r="I122" s="4" t="str">
        <f aca="false">IF($A122="","",IF($D122&gt;=4,"HIGH — "&amp;$D122&amp;" funds share this feed",IF($D122&gt;=2,"Medium — "&amp;$D122&amp;" funds","Single fund")))</f>
        <v/>
      </c>
      <c r="J122" s="29" t="str">
        <f aca="false">IF($A122="","",COUNTIFS(Dim_Fund!$U:$U,$A122,Dim_Fund!$BC:$BC,1))</f>
        <v/>
      </c>
      <c r="K122" s="32" t="str">
        <f aca="false">IF($A122="","",IF(COUNTA(Dim_Fund!$A:$A)&lt;=1,"",$D122/(COUNTA(Dim_Fund!$A:$A)-1)))</f>
        <v/>
      </c>
      <c r="L122" s="29" t="str">
        <f aca="false">IF($A122="","",COUNTIFS(Fact_Milestone!$B:$B,$A122,Fact_Milestone!$I:$I,"?*"))</f>
        <v/>
      </c>
      <c r="M122" s="29" t="str">
        <f aca="false">IF($A122="","",COUNTIFS(Fact_Milestone!$B:$B,$A122,Fact_Milestone!$I:$I,"No"))</f>
        <v/>
      </c>
      <c r="N122" s="33" t="str">
        <f aca="false">IF($A122="","",ROUND(SUMIFS(Fact_Milestone!$L:$L,Fact_Milestone!$B:$B,$A122)/60,2))</f>
        <v/>
      </c>
      <c r="O122" s="29" t="str">
        <f aca="false">IF($A122="","",COUNTIFS(Fact_Work!$AL:$AL,$A122,Fact_Work!$AI:$AI,"Yes",Fact_Work!$BB:$BB,"No"))</f>
        <v/>
      </c>
    </row>
    <row r="123" customFormat="false" ht="15" hidden="false" customHeight="true" outlineLevel="0" collapsed="false">
      <c r="D123" s="4" t="str">
        <f aca="false">IF($A123="","",COUNTIF(Dim_Fund!$U:$U,$A123))</f>
        <v/>
      </c>
      <c r="E123" s="22" t="str">
        <f aca="false">IF($A123="","",IF($D123=0,"",_xlfn.MINIFS(Dim_Fund!$AH:$AH,Dim_Fund!$U:$U,$A123,Dim_Fund!$AH:$AH,"&gt;0")))</f>
        <v/>
      </c>
      <c r="F123" s="22" t="str">
        <f aca="false">IF($A123="","",IF($D123=0,"",_xlfn.MAXIFS(Dim_Fund!$AH:$AH,Dim_Fund!$U:$U,$A123,Dim_Fund!$AH:$AH,"&gt;0")))</f>
        <v/>
      </c>
      <c r="G123" s="31" t="str">
        <f aca="false">IF($A123="","",IF($D123=0,"",ROUND(($F123-$E123)*60,0)))</f>
        <v/>
      </c>
      <c r="H123" s="22" t="str">
        <f aca="false">IF($A123="","",$E123)</f>
        <v/>
      </c>
      <c r="I123" s="4" t="str">
        <f aca="false">IF($A123="","",IF($D123&gt;=4,"HIGH — "&amp;$D123&amp;" funds share this feed",IF($D123&gt;=2,"Medium — "&amp;$D123&amp;" funds","Single fund")))</f>
        <v/>
      </c>
      <c r="J123" s="29" t="str">
        <f aca="false">IF($A123="","",COUNTIFS(Dim_Fund!$U:$U,$A123,Dim_Fund!$BC:$BC,1))</f>
        <v/>
      </c>
      <c r="K123" s="32" t="str">
        <f aca="false">IF($A123="","",IF(COUNTA(Dim_Fund!$A:$A)&lt;=1,"",$D123/(COUNTA(Dim_Fund!$A:$A)-1)))</f>
        <v/>
      </c>
      <c r="L123" s="29" t="str">
        <f aca="false">IF($A123="","",COUNTIFS(Fact_Milestone!$B:$B,$A123,Fact_Milestone!$I:$I,"?*"))</f>
        <v/>
      </c>
      <c r="M123" s="29" t="str">
        <f aca="false">IF($A123="","",COUNTIFS(Fact_Milestone!$B:$B,$A123,Fact_Milestone!$I:$I,"No"))</f>
        <v/>
      </c>
      <c r="N123" s="33" t="str">
        <f aca="false">IF($A123="","",ROUND(SUMIFS(Fact_Milestone!$L:$L,Fact_Milestone!$B:$B,$A123)/60,2))</f>
        <v/>
      </c>
      <c r="O123" s="29" t="str">
        <f aca="false">IF($A123="","",COUNTIFS(Fact_Work!$AL:$AL,$A123,Fact_Work!$AI:$AI,"Yes",Fact_Work!$BB:$BB,"No"))</f>
        <v/>
      </c>
    </row>
    <row r="124" customFormat="false" ht="15" hidden="false" customHeight="true" outlineLevel="0" collapsed="false">
      <c r="D124" s="4" t="str">
        <f aca="false">IF($A124="","",COUNTIF(Dim_Fund!$U:$U,$A124))</f>
        <v/>
      </c>
      <c r="E124" s="22" t="str">
        <f aca="false">IF($A124="","",IF($D124=0,"",_xlfn.MINIFS(Dim_Fund!$AH:$AH,Dim_Fund!$U:$U,$A124,Dim_Fund!$AH:$AH,"&gt;0")))</f>
        <v/>
      </c>
      <c r="F124" s="22" t="str">
        <f aca="false">IF($A124="","",IF($D124=0,"",_xlfn.MAXIFS(Dim_Fund!$AH:$AH,Dim_Fund!$U:$U,$A124,Dim_Fund!$AH:$AH,"&gt;0")))</f>
        <v/>
      </c>
      <c r="G124" s="31" t="str">
        <f aca="false">IF($A124="","",IF($D124=0,"",ROUND(($F124-$E124)*60,0)))</f>
        <v/>
      </c>
      <c r="H124" s="22" t="str">
        <f aca="false">IF($A124="","",$E124)</f>
        <v/>
      </c>
      <c r="I124" s="4" t="str">
        <f aca="false">IF($A124="","",IF($D124&gt;=4,"HIGH — "&amp;$D124&amp;" funds share this feed",IF($D124&gt;=2,"Medium — "&amp;$D124&amp;" funds","Single fund")))</f>
        <v/>
      </c>
      <c r="J124" s="29" t="str">
        <f aca="false">IF($A124="","",COUNTIFS(Dim_Fund!$U:$U,$A124,Dim_Fund!$BC:$BC,1))</f>
        <v/>
      </c>
      <c r="K124" s="32" t="str">
        <f aca="false">IF($A124="","",IF(COUNTA(Dim_Fund!$A:$A)&lt;=1,"",$D124/(COUNTA(Dim_Fund!$A:$A)-1)))</f>
        <v/>
      </c>
      <c r="L124" s="29" t="str">
        <f aca="false">IF($A124="","",COUNTIFS(Fact_Milestone!$B:$B,$A124,Fact_Milestone!$I:$I,"?*"))</f>
        <v/>
      </c>
      <c r="M124" s="29" t="str">
        <f aca="false">IF($A124="","",COUNTIFS(Fact_Milestone!$B:$B,$A124,Fact_Milestone!$I:$I,"No"))</f>
        <v/>
      </c>
      <c r="N124" s="33" t="str">
        <f aca="false">IF($A124="","",ROUND(SUMIFS(Fact_Milestone!$L:$L,Fact_Milestone!$B:$B,$A124)/60,2))</f>
        <v/>
      </c>
      <c r="O124" s="29" t="str">
        <f aca="false">IF($A124="","",COUNTIFS(Fact_Work!$AL:$AL,$A124,Fact_Work!$AI:$AI,"Yes",Fact_Work!$BB:$BB,"No"))</f>
        <v/>
      </c>
    </row>
    <row r="125" customFormat="false" ht="15" hidden="false" customHeight="true" outlineLevel="0" collapsed="false">
      <c r="D125" s="4" t="str">
        <f aca="false">IF($A125="","",COUNTIF(Dim_Fund!$U:$U,$A125))</f>
        <v/>
      </c>
      <c r="E125" s="22" t="str">
        <f aca="false">IF($A125="","",IF($D125=0,"",_xlfn.MINIFS(Dim_Fund!$AH:$AH,Dim_Fund!$U:$U,$A125,Dim_Fund!$AH:$AH,"&gt;0")))</f>
        <v/>
      </c>
      <c r="F125" s="22" t="str">
        <f aca="false">IF($A125="","",IF($D125=0,"",_xlfn.MAXIFS(Dim_Fund!$AH:$AH,Dim_Fund!$U:$U,$A125,Dim_Fund!$AH:$AH,"&gt;0")))</f>
        <v/>
      </c>
      <c r="G125" s="31" t="str">
        <f aca="false">IF($A125="","",IF($D125=0,"",ROUND(($F125-$E125)*60,0)))</f>
        <v/>
      </c>
      <c r="H125" s="22" t="str">
        <f aca="false">IF($A125="","",$E125)</f>
        <v/>
      </c>
      <c r="I125" s="4" t="str">
        <f aca="false">IF($A125="","",IF($D125&gt;=4,"HIGH — "&amp;$D125&amp;" funds share this feed",IF($D125&gt;=2,"Medium — "&amp;$D125&amp;" funds","Single fund")))</f>
        <v/>
      </c>
      <c r="J125" s="29" t="str">
        <f aca="false">IF($A125="","",COUNTIFS(Dim_Fund!$U:$U,$A125,Dim_Fund!$BC:$BC,1))</f>
        <v/>
      </c>
      <c r="K125" s="32" t="str">
        <f aca="false">IF($A125="","",IF(COUNTA(Dim_Fund!$A:$A)&lt;=1,"",$D125/(COUNTA(Dim_Fund!$A:$A)-1)))</f>
        <v/>
      </c>
      <c r="L125" s="29" t="str">
        <f aca="false">IF($A125="","",COUNTIFS(Fact_Milestone!$B:$B,$A125,Fact_Milestone!$I:$I,"?*"))</f>
        <v/>
      </c>
      <c r="M125" s="29" t="str">
        <f aca="false">IF($A125="","",COUNTIFS(Fact_Milestone!$B:$B,$A125,Fact_Milestone!$I:$I,"No"))</f>
        <v/>
      </c>
      <c r="N125" s="33" t="str">
        <f aca="false">IF($A125="","",ROUND(SUMIFS(Fact_Milestone!$L:$L,Fact_Milestone!$B:$B,$A125)/60,2))</f>
        <v/>
      </c>
      <c r="O125" s="29" t="str">
        <f aca="false">IF($A125="","",COUNTIFS(Fact_Work!$AL:$AL,$A125,Fact_Work!$AI:$AI,"Yes",Fact_Work!$BB:$BB,"No"))</f>
        <v/>
      </c>
    </row>
    <row r="126" customFormat="false" ht="15" hidden="false" customHeight="true" outlineLevel="0" collapsed="false">
      <c r="D126" s="4" t="str">
        <f aca="false">IF($A126="","",COUNTIF(Dim_Fund!$U:$U,$A126))</f>
        <v/>
      </c>
      <c r="E126" s="22" t="str">
        <f aca="false">IF($A126="","",IF($D126=0,"",_xlfn.MINIFS(Dim_Fund!$AH:$AH,Dim_Fund!$U:$U,$A126,Dim_Fund!$AH:$AH,"&gt;0")))</f>
        <v/>
      </c>
      <c r="F126" s="22" t="str">
        <f aca="false">IF($A126="","",IF($D126=0,"",_xlfn.MAXIFS(Dim_Fund!$AH:$AH,Dim_Fund!$U:$U,$A126,Dim_Fund!$AH:$AH,"&gt;0")))</f>
        <v/>
      </c>
      <c r="G126" s="31" t="str">
        <f aca="false">IF($A126="","",IF($D126=0,"",ROUND(($F126-$E126)*60,0)))</f>
        <v/>
      </c>
      <c r="H126" s="22" t="str">
        <f aca="false">IF($A126="","",$E126)</f>
        <v/>
      </c>
      <c r="I126" s="4" t="str">
        <f aca="false">IF($A126="","",IF($D126&gt;=4,"HIGH — "&amp;$D126&amp;" funds share this feed",IF($D126&gt;=2,"Medium — "&amp;$D126&amp;" funds","Single fund")))</f>
        <v/>
      </c>
      <c r="J126" s="29" t="str">
        <f aca="false">IF($A126="","",COUNTIFS(Dim_Fund!$U:$U,$A126,Dim_Fund!$BC:$BC,1))</f>
        <v/>
      </c>
      <c r="K126" s="32" t="str">
        <f aca="false">IF($A126="","",IF(COUNTA(Dim_Fund!$A:$A)&lt;=1,"",$D126/(COUNTA(Dim_Fund!$A:$A)-1)))</f>
        <v/>
      </c>
      <c r="L126" s="29" t="str">
        <f aca="false">IF($A126="","",COUNTIFS(Fact_Milestone!$B:$B,$A126,Fact_Milestone!$I:$I,"?*"))</f>
        <v/>
      </c>
      <c r="M126" s="29" t="str">
        <f aca="false">IF($A126="","",COUNTIFS(Fact_Milestone!$B:$B,$A126,Fact_Milestone!$I:$I,"No"))</f>
        <v/>
      </c>
      <c r="N126" s="33" t="str">
        <f aca="false">IF($A126="","",ROUND(SUMIFS(Fact_Milestone!$L:$L,Fact_Milestone!$B:$B,$A126)/60,2))</f>
        <v/>
      </c>
      <c r="O126" s="29" t="str">
        <f aca="false">IF($A126="","",COUNTIFS(Fact_Work!$AL:$AL,$A126,Fact_Work!$AI:$AI,"Yes",Fact_Work!$BB:$BB,"No"))</f>
        <v/>
      </c>
    </row>
    <row r="127" customFormat="false" ht="15" hidden="false" customHeight="true" outlineLevel="0" collapsed="false">
      <c r="D127" s="4" t="str">
        <f aca="false">IF($A127="","",COUNTIF(Dim_Fund!$U:$U,$A127))</f>
        <v/>
      </c>
      <c r="E127" s="22" t="str">
        <f aca="false">IF($A127="","",IF($D127=0,"",_xlfn.MINIFS(Dim_Fund!$AH:$AH,Dim_Fund!$U:$U,$A127,Dim_Fund!$AH:$AH,"&gt;0")))</f>
        <v/>
      </c>
      <c r="F127" s="22" t="str">
        <f aca="false">IF($A127="","",IF($D127=0,"",_xlfn.MAXIFS(Dim_Fund!$AH:$AH,Dim_Fund!$U:$U,$A127,Dim_Fund!$AH:$AH,"&gt;0")))</f>
        <v/>
      </c>
      <c r="G127" s="31" t="str">
        <f aca="false">IF($A127="","",IF($D127=0,"",ROUND(($F127-$E127)*60,0)))</f>
        <v/>
      </c>
      <c r="H127" s="22" t="str">
        <f aca="false">IF($A127="","",$E127)</f>
        <v/>
      </c>
      <c r="I127" s="4" t="str">
        <f aca="false">IF($A127="","",IF($D127&gt;=4,"HIGH — "&amp;$D127&amp;" funds share this feed",IF($D127&gt;=2,"Medium — "&amp;$D127&amp;" funds","Single fund")))</f>
        <v/>
      </c>
      <c r="J127" s="29" t="str">
        <f aca="false">IF($A127="","",COUNTIFS(Dim_Fund!$U:$U,$A127,Dim_Fund!$BC:$BC,1))</f>
        <v/>
      </c>
      <c r="K127" s="32" t="str">
        <f aca="false">IF($A127="","",IF(COUNTA(Dim_Fund!$A:$A)&lt;=1,"",$D127/(COUNTA(Dim_Fund!$A:$A)-1)))</f>
        <v/>
      </c>
      <c r="L127" s="29" t="str">
        <f aca="false">IF($A127="","",COUNTIFS(Fact_Milestone!$B:$B,$A127,Fact_Milestone!$I:$I,"?*"))</f>
        <v/>
      </c>
      <c r="M127" s="29" t="str">
        <f aca="false">IF($A127="","",COUNTIFS(Fact_Milestone!$B:$B,$A127,Fact_Milestone!$I:$I,"No"))</f>
        <v/>
      </c>
      <c r="N127" s="33" t="str">
        <f aca="false">IF($A127="","",ROUND(SUMIFS(Fact_Milestone!$L:$L,Fact_Milestone!$B:$B,$A127)/60,2))</f>
        <v/>
      </c>
      <c r="O127" s="29" t="str">
        <f aca="false">IF($A127="","",COUNTIFS(Fact_Work!$AL:$AL,$A127,Fact_Work!$AI:$AI,"Yes",Fact_Work!$BB:$BB,"No"))</f>
        <v/>
      </c>
    </row>
    <row r="128" customFormat="false" ht="15" hidden="false" customHeight="true" outlineLevel="0" collapsed="false">
      <c r="D128" s="4" t="str">
        <f aca="false">IF($A128="","",COUNTIF(Dim_Fund!$U:$U,$A128))</f>
        <v/>
      </c>
      <c r="E128" s="22" t="str">
        <f aca="false">IF($A128="","",IF($D128=0,"",_xlfn.MINIFS(Dim_Fund!$AH:$AH,Dim_Fund!$U:$U,$A128,Dim_Fund!$AH:$AH,"&gt;0")))</f>
        <v/>
      </c>
      <c r="F128" s="22" t="str">
        <f aca="false">IF($A128="","",IF($D128=0,"",_xlfn.MAXIFS(Dim_Fund!$AH:$AH,Dim_Fund!$U:$U,$A128,Dim_Fund!$AH:$AH,"&gt;0")))</f>
        <v/>
      </c>
      <c r="G128" s="31" t="str">
        <f aca="false">IF($A128="","",IF($D128=0,"",ROUND(($F128-$E128)*60,0)))</f>
        <v/>
      </c>
      <c r="H128" s="22" t="str">
        <f aca="false">IF($A128="","",$E128)</f>
        <v/>
      </c>
      <c r="I128" s="4" t="str">
        <f aca="false">IF($A128="","",IF($D128&gt;=4,"HIGH — "&amp;$D128&amp;" funds share this feed",IF($D128&gt;=2,"Medium — "&amp;$D128&amp;" funds","Single fund")))</f>
        <v/>
      </c>
      <c r="J128" s="29" t="str">
        <f aca="false">IF($A128="","",COUNTIFS(Dim_Fund!$U:$U,$A128,Dim_Fund!$BC:$BC,1))</f>
        <v/>
      </c>
      <c r="K128" s="32" t="str">
        <f aca="false">IF($A128="","",IF(COUNTA(Dim_Fund!$A:$A)&lt;=1,"",$D128/(COUNTA(Dim_Fund!$A:$A)-1)))</f>
        <v/>
      </c>
      <c r="L128" s="29" t="str">
        <f aca="false">IF($A128="","",COUNTIFS(Fact_Milestone!$B:$B,$A128,Fact_Milestone!$I:$I,"?*"))</f>
        <v/>
      </c>
      <c r="M128" s="29" t="str">
        <f aca="false">IF($A128="","",COUNTIFS(Fact_Milestone!$B:$B,$A128,Fact_Milestone!$I:$I,"No"))</f>
        <v/>
      </c>
      <c r="N128" s="33" t="str">
        <f aca="false">IF($A128="","",ROUND(SUMIFS(Fact_Milestone!$L:$L,Fact_Milestone!$B:$B,$A128)/60,2))</f>
        <v/>
      </c>
      <c r="O128" s="29" t="str">
        <f aca="false">IF($A128="","",COUNTIFS(Fact_Work!$AL:$AL,$A128,Fact_Work!$AI:$AI,"Yes",Fact_Work!$BB:$BB,"No"))</f>
        <v/>
      </c>
    </row>
    <row r="129" customFormat="false" ht="15" hidden="false" customHeight="true" outlineLevel="0" collapsed="false">
      <c r="D129" s="4" t="str">
        <f aca="false">IF($A129="","",COUNTIF(Dim_Fund!$U:$U,$A129))</f>
        <v/>
      </c>
      <c r="E129" s="22" t="str">
        <f aca="false">IF($A129="","",IF($D129=0,"",_xlfn.MINIFS(Dim_Fund!$AH:$AH,Dim_Fund!$U:$U,$A129,Dim_Fund!$AH:$AH,"&gt;0")))</f>
        <v/>
      </c>
      <c r="F129" s="22" t="str">
        <f aca="false">IF($A129="","",IF($D129=0,"",_xlfn.MAXIFS(Dim_Fund!$AH:$AH,Dim_Fund!$U:$U,$A129,Dim_Fund!$AH:$AH,"&gt;0")))</f>
        <v/>
      </c>
      <c r="G129" s="31" t="str">
        <f aca="false">IF($A129="","",IF($D129=0,"",ROUND(($F129-$E129)*60,0)))</f>
        <v/>
      </c>
      <c r="H129" s="22" t="str">
        <f aca="false">IF($A129="","",$E129)</f>
        <v/>
      </c>
      <c r="I129" s="4" t="str">
        <f aca="false">IF($A129="","",IF($D129&gt;=4,"HIGH — "&amp;$D129&amp;" funds share this feed",IF($D129&gt;=2,"Medium — "&amp;$D129&amp;" funds","Single fund")))</f>
        <v/>
      </c>
      <c r="J129" s="29" t="str">
        <f aca="false">IF($A129="","",COUNTIFS(Dim_Fund!$U:$U,$A129,Dim_Fund!$BC:$BC,1))</f>
        <v/>
      </c>
      <c r="K129" s="32" t="str">
        <f aca="false">IF($A129="","",IF(COUNTA(Dim_Fund!$A:$A)&lt;=1,"",$D129/(COUNTA(Dim_Fund!$A:$A)-1)))</f>
        <v/>
      </c>
      <c r="L129" s="29" t="str">
        <f aca="false">IF($A129="","",COUNTIFS(Fact_Milestone!$B:$B,$A129,Fact_Milestone!$I:$I,"?*"))</f>
        <v/>
      </c>
      <c r="M129" s="29" t="str">
        <f aca="false">IF($A129="","",COUNTIFS(Fact_Milestone!$B:$B,$A129,Fact_Milestone!$I:$I,"No"))</f>
        <v/>
      </c>
      <c r="N129" s="33" t="str">
        <f aca="false">IF($A129="","",ROUND(SUMIFS(Fact_Milestone!$L:$L,Fact_Milestone!$B:$B,$A129)/60,2))</f>
        <v/>
      </c>
      <c r="O129" s="29" t="str">
        <f aca="false">IF($A129="","",COUNTIFS(Fact_Work!$AL:$AL,$A129,Fact_Work!$AI:$AI,"Yes",Fact_Work!$BB:$BB,"No"))</f>
        <v/>
      </c>
    </row>
    <row r="130" customFormat="false" ht="15" hidden="false" customHeight="true" outlineLevel="0" collapsed="false">
      <c r="D130" s="4" t="str">
        <f aca="false">IF($A130="","",COUNTIF(Dim_Fund!$U:$U,$A130))</f>
        <v/>
      </c>
      <c r="E130" s="22" t="str">
        <f aca="false">IF($A130="","",IF($D130=0,"",_xlfn.MINIFS(Dim_Fund!$AH:$AH,Dim_Fund!$U:$U,$A130,Dim_Fund!$AH:$AH,"&gt;0")))</f>
        <v/>
      </c>
      <c r="F130" s="22" t="str">
        <f aca="false">IF($A130="","",IF($D130=0,"",_xlfn.MAXIFS(Dim_Fund!$AH:$AH,Dim_Fund!$U:$U,$A130,Dim_Fund!$AH:$AH,"&gt;0")))</f>
        <v/>
      </c>
      <c r="G130" s="31" t="str">
        <f aca="false">IF($A130="","",IF($D130=0,"",ROUND(($F130-$E130)*60,0)))</f>
        <v/>
      </c>
      <c r="H130" s="22" t="str">
        <f aca="false">IF($A130="","",$E130)</f>
        <v/>
      </c>
      <c r="I130" s="4" t="str">
        <f aca="false">IF($A130="","",IF($D130&gt;=4,"HIGH — "&amp;$D130&amp;" funds share this feed",IF($D130&gt;=2,"Medium — "&amp;$D130&amp;" funds","Single fund")))</f>
        <v/>
      </c>
      <c r="J130" s="29" t="str">
        <f aca="false">IF($A130="","",COUNTIFS(Dim_Fund!$U:$U,$A130,Dim_Fund!$BC:$BC,1))</f>
        <v/>
      </c>
      <c r="K130" s="32" t="str">
        <f aca="false">IF($A130="","",IF(COUNTA(Dim_Fund!$A:$A)&lt;=1,"",$D130/(COUNTA(Dim_Fund!$A:$A)-1)))</f>
        <v/>
      </c>
      <c r="L130" s="29" t="str">
        <f aca="false">IF($A130="","",COUNTIFS(Fact_Milestone!$B:$B,$A130,Fact_Milestone!$I:$I,"?*"))</f>
        <v/>
      </c>
      <c r="M130" s="29" t="str">
        <f aca="false">IF($A130="","",COUNTIFS(Fact_Milestone!$B:$B,$A130,Fact_Milestone!$I:$I,"No"))</f>
        <v/>
      </c>
      <c r="N130" s="33" t="str">
        <f aca="false">IF($A130="","",ROUND(SUMIFS(Fact_Milestone!$L:$L,Fact_Milestone!$B:$B,$A130)/60,2))</f>
        <v/>
      </c>
      <c r="O130" s="29" t="str">
        <f aca="false">IF($A130="","",COUNTIFS(Fact_Work!$AL:$AL,$A130,Fact_Work!$AI:$AI,"Yes",Fact_Work!$BB:$BB,"No"))</f>
        <v/>
      </c>
    </row>
    <row r="131" customFormat="false" ht="15" hidden="false" customHeight="true" outlineLevel="0" collapsed="false">
      <c r="D131" s="4" t="str">
        <f aca="false">IF($A131="","",COUNTIF(Dim_Fund!$U:$U,$A131))</f>
        <v/>
      </c>
      <c r="E131" s="22" t="str">
        <f aca="false">IF($A131="","",IF($D131=0,"",_xlfn.MINIFS(Dim_Fund!$AH:$AH,Dim_Fund!$U:$U,$A131,Dim_Fund!$AH:$AH,"&gt;0")))</f>
        <v/>
      </c>
      <c r="F131" s="22" t="str">
        <f aca="false">IF($A131="","",IF($D131=0,"",_xlfn.MAXIFS(Dim_Fund!$AH:$AH,Dim_Fund!$U:$U,$A131,Dim_Fund!$AH:$AH,"&gt;0")))</f>
        <v/>
      </c>
      <c r="G131" s="31" t="str">
        <f aca="false">IF($A131="","",IF($D131=0,"",ROUND(($F131-$E131)*60,0)))</f>
        <v/>
      </c>
      <c r="H131" s="22" t="str">
        <f aca="false">IF($A131="","",$E131)</f>
        <v/>
      </c>
      <c r="I131" s="4" t="str">
        <f aca="false">IF($A131="","",IF($D131&gt;=4,"HIGH — "&amp;$D131&amp;" funds share this feed",IF($D131&gt;=2,"Medium — "&amp;$D131&amp;" funds","Single fund")))</f>
        <v/>
      </c>
      <c r="J131" s="29" t="str">
        <f aca="false">IF($A131="","",COUNTIFS(Dim_Fund!$U:$U,$A131,Dim_Fund!$BC:$BC,1))</f>
        <v/>
      </c>
      <c r="K131" s="32" t="str">
        <f aca="false">IF($A131="","",IF(COUNTA(Dim_Fund!$A:$A)&lt;=1,"",$D131/(COUNTA(Dim_Fund!$A:$A)-1)))</f>
        <v/>
      </c>
      <c r="L131" s="29" t="str">
        <f aca="false">IF($A131="","",COUNTIFS(Fact_Milestone!$B:$B,$A131,Fact_Milestone!$I:$I,"?*"))</f>
        <v/>
      </c>
      <c r="M131" s="29" t="str">
        <f aca="false">IF($A131="","",COUNTIFS(Fact_Milestone!$B:$B,$A131,Fact_Milestone!$I:$I,"No"))</f>
        <v/>
      </c>
      <c r="N131" s="33" t="str">
        <f aca="false">IF($A131="","",ROUND(SUMIFS(Fact_Milestone!$L:$L,Fact_Milestone!$B:$B,$A131)/60,2))</f>
        <v/>
      </c>
      <c r="O131" s="29" t="str">
        <f aca="false">IF($A131="","",COUNTIFS(Fact_Work!$AL:$AL,$A131,Fact_Work!$AI:$AI,"Yes",Fact_Work!$BB:$BB,"No"))</f>
        <v/>
      </c>
    </row>
    <row r="132" customFormat="false" ht="15" hidden="false" customHeight="true" outlineLevel="0" collapsed="false">
      <c r="D132" s="4" t="str">
        <f aca="false">IF($A132="","",COUNTIF(Dim_Fund!$U:$U,$A132))</f>
        <v/>
      </c>
      <c r="E132" s="22" t="str">
        <f aca="false">IF($A132="","",IF($D132=0,"",_xlfn.MINIFS(Dim_Fund!$AH:$AH,Dim_Fund!$U:$U,$A132,Dim_Fund!$AH:$AH,"&gt;0")))</f>
        <v/>
      </c>
      <c r="F132" s="22" t="str">
        <f aca="false">IF($A132="","",IF($D132=0,"",_xlfn.MAXIFS(Dim_Fund!$AH:$AH,Dim_Fund!$U:$U,$A132,Dim_Fund!$AH:$AH,"&gt;0")))</f>
        <v/>
      </c>
      <c r="G132" s="31" t="str">
        <f aca="false">IF($A132="","",IF($D132=0,"",ROUND(($F132-$E132)*60,0)))</f>
        <v/>
      </c>
      <c r="H132" s="22" t="str">
        <f aca="false">IF($A132="","",$E132)</f>
        <v/>
      </c>
      <c r="I132" s="4" t="str">
        <f aca="false">IF($A132="","",IF($D132&gt;=4,"HIGH — "&amp;$D132&amp;" funds share this feed",IF($D132&gt;=2,"Medium — "&amp;$D132&amp;" funds","Single fund")))</f>
        <v/>
      </c>
      <c r="J132" s="29" t="str">
        <f aca="false">IF($A132="","",COUNTIFS(Dim_Fund!$U:$U,$A132,Dim_Fund!$BC:$BC,1))</f>
        <v/>
      </c>
      <c r="K132" s="32" t="str">
        <f aca="false">IF($A132="","",IF(COUNTA(Dim_Fund!$A:$A)&lt;=1,"",$D132/(COUNTA(Dim_Fund!$A:$A)-1)))</f>
        <v/>
      </c>
      <c r="L132" s="29" t="str">
        <f aca="false">IF($A132="","",COUNTIFS(Fact_Milestone!$B:$B,$A132,Fact_Milestone!$I:$I,"?*"))</f>
        <v/>
      </c>
      <c r="M132" s="29" t="str">
        <f aca="false">IF($A132="","",COUNTIFS(Fact_Milestone!$B:$B,$A132,Fact_Milestone!$I:$I,"No"))</f>
        <v/>
      </c>
      <c r="N132" s="33" t="str">
        <f aca="false">IF($A132="","",ROUND(SUMIFS(Fact_Milestone!$L:$L,Fact_Milestone!$B:$B,$A132)/60,2))</f>
        <v/>
      </c>
      <c r="O132" s="29" t="str">
        <f aca="false">IF($A132="","",COUNTIFS(Fact_Work!$AL:$AL,$A132,Fact_Work!$AI:$AI,"Yes",Fact_Work!$BB:$BB,"No"))</f>
        <v/>
      </c>
    </row>
    <row r="133" customFormat="false" ht="15" hidden="false" customHeight="true" outlineLevel="0" collapsed="false">
      <c r="D133" s="4" t="str">
        <f aca="false">IF($A133="","",COUNTIF(Dim_Fund!$U:$U,$A133))</f>
        <v/>
      </c>
      <c r="E133" s="22" t="str">
        <f aca="false">IF($A133="","",IF($D133=0,"",_xlfn.MINIFS(Dim_Fund!$AH:$AH,Dim_Fund!$U:$U,$A133,Dim_Fund!$AH:$AH,"&gt;0")))</f>
        <v/>
      </c>
      <c r="F133" s="22" t="str">
        <f aca="false">IF($A133="","",IF($D133=0,"",_xlfn.MAXIFS(Dim_Fund!$AH:$AH,Dim_Fund!$U:$U,$A133,Dim_Fund!$AH:$AH,"&gt;0")))</f>
        <v/>
      </c>
      <c r="G133" s="31" t="str">
        <f aca="false">IF($A133="","",IF($D133=0,"",ROUND(($F133-$E133)*60,0)))</f>
        <v/>
      </c>
      <c r="H133" s="22" t="str">
        <f aca="false">IF($A133="","",$E133)</f>
        <v/>
      </c>
      <c r="I133" s="4" t="str">
        <f aca="false">IF($A133="","",IF($D133&gt;=4,"HIGH — "&amp;$D133&amp;" funds share this feed",IF($D133&gt;=2,"Medium — "&amp;$D133&amp;" funds","Single fund")))</f>
        <v/>
      </c>
      <c r="J133" s="29" t="str">
        <f aca="false">IF($A133="","",COUNTIFS(Dim_Fund!$U:$U,$A133,Dim_Fund!$BC:$BC,1))</f>
        <v/>
      </c>
      <c r="K133" s="32" t="str">
        <f aca="false">IF($A133="","",IF(COUNTA(Dim_Fund!$A:$A)&lt;=1,"",$D133/(COUNTA(Dim_Fund!$A:$A)-1)))</f>
        <v/>
      </c>
      <c r="L133" s="29" t="str">
        <f aca="false">IF($A133="","",COUNTIFS(Fact_Milestone!$B:$B,$A133,Fact_Milestone!$I:$I,"?*"))</f>
        <v/>
      </c>
      <c r="M133" s="29" t="str">
        <f aca="false">IF($A133="","",COUNTIFS(Fact_Milestone!$B:$B,$A133,Fact_Milestone!$I:$I,"No"))</f>
        <v/>
      </c>
      <c r="N133" s="33" t="str">
        <f aca="false">IF($A133="","",ROUND(SUMIFS(Fact_Milestone!$L:$L,Fact_Milestone!$B:$B,$A133)/60,2))</f>
        <v/>
      </c>
      <c r="O133" s="29" t="str">
        <f aca="false">IF($A133="","",COUNTIFS(Fact_Work!$AL:$AL,$A133,Fact_Work!$AI:$AI,"Yes",Fact_Work!$BB:$BB,"No"))</f>
        <v/>
      </c>
    </row>
    <row r="134" customFormat="false" ht="15" hidden="false" customHeight="true" outlineLevel="0" collapsed="false">
      <c r="D134" s="4" t="str">
        <f aca="false">IF($A134="","",COUNTIF(Dim_Fund!$U:$U,$A134))</f>
        <v/>
      </c>
      <c r="E134" s="22" t="str">
        <f aca="false">IF($A134="","",IF($D134=0,"",_xlfn.MINIFS(Dim_Fund!$AH:$AH,Dim_Fund!$U:$U,$A134,Dim_Fund!$AH:$AH,"&gt;0")))</f>
        <v/>
      </c>
      <c r="F134" s="22" t="str">
        <f aca="false">IF($A134="","",IF($D134=0,"",_xlfn.MAXIFS(Dim_Fund!$AH:$AH,Dim_Fund!$U:$U,$A134,Dim_Fund!$AH:$AH,"&gt;0")))</f>
        <v/>
      </c>
      <c r="G134" s="31" t="str">
        <f aca="false">IF($A134="","",IF($D134=0,"",ROUND(($F134-$E134)*60,0)))</f>
        <v/>
      </c>
      <c r="H134" s="22" t="str">
        <f aca="false">IF($A134="","",$E134)</f>
        <v/>
      </c>
      <c r="I134" s="4" t="str">
        <f aca="false">IF($A134="","",IF($D134&gt;=4,"HIGH — "&amp;$D134&amp;" funds share this feed",IF($D134&gt;=2,"Medium — "&amp;$D134&amp;" funds","Single fund")))</f>
        <v/>
      </c>
      <c r="J134" s="29" t="str">
        <f aca="false">IF($A134="","",COUNTIFS(Dim_Fund!$U:$U,$A134,Dim_Fund!$BC:$BC,1))</f>
        <v/>
      </c>
      <c r="K134" s="32" t="str">
        <f aca="false">IF($A134="","",IF(COUNTA(Dim_Fund!$A:$A)&lt;=1,"",$D134/(COUNTA(Dim_Fund!$A:$A)-1)))</f>
        <v/>
      </c>
      <c r="L134" s="29" t="str">
        <f aca="false">IF($A134="","",COUNTIFS(Fact_Milestone!$B:$B,$A134,Fact_Milestone!$I:$I,"?*"))</f>
        <v/>
      </c>
      <c r="M134" s="29" t="str">
        <f aca="false">IF($A134="","",COUNTIFS(Fact_Milestone!$B:$B,$A134,Fact_Milestone!$I:$I,"No"))</f>
        <v/>
      </c>
      <c r="N134" s="33" t="str">
        <f aca="false">IF($A134="","",ROUND(SUMIFS(Fact_Milestone!$L:$L,Fact_Milestone!$B:$B,$A134)/60,2))</f>
        <v/>
      </c>
      <c r="O134" s="29" t="str">
        <f aca="false">IF($A134="","",COUNTIFS(Fact_Work!$AL:$AL,$A134,Fact_Work!$AI:$AI,"Yes",Fact_Work!$BB:$BB,"No"))</f>
        <v/>
      </c>
    </row>
    <row r="135" customFormat="false" ht="15" hidden="false" customHeight="true" outlineLevel="0" collapsed="false">
      <c r="D135" s="4" t="str">
        <f aca="false">IF($A135="","",COUNTIF(Dim_Fund!$U:$U,$A135))</f>
        <v/>
      </c>
      <c r="E135" s="22" t="str">
        <f aca="false">IF($A135="","",IF($D135=0,"",_xlfn.MINIFS(Dim_Fund!$AH:$AH,Dim_Fund!$U:$U,$A135,Dim_Fund!$AH:$AH,"&gt;0")))</f>
        <v/>
      </c>
      <c r="F135" s="22" t="str">
        <f aca="false">IF($A135="","",IF($D135=0,"",_xlfn.MAXIFS(Dim_Fund!$AH:$AH,Dim_Fund!$U:$U,$A135,Dim_Fund!$AH:$AH,"&gt;0")))</f>
        <v/>
      </c>
      <c r="G135" s="31" t="str">
        <f aca="false">IF($A135="","",IF($D135=0,"",ROUND(($F135-$E135)*60,0)))</f>
        <v/>
      </c>
      <c r="H135" s="22" t="str">
        <f aca="false">IF($A135="","",$E135)</f>
        <v/>
      </c>
      <c r="I135" s="4" t="str">
        <f aca="false">IF($A135="","",IF($D135&gt;=4,"HIGH — "&amp;$D135&amp;" funds share this feed",IF($D135&gt;=2,"Medium — "&amp;$D135&amp;" funds","Single fund")))</f>
        <v/>
      </c>
      <c r="J135" s="29" t="str">
        <f aca="false">IF($A135="","",COUNTIFS(Dim_Fund!$U:$U,$A135,Dim_Fund!$BC:$BC,1))</f>
        <v/>
      </c>
      <c r="K135" s="32" t="str">
        <f aca="false">IF($A135="","",IF(COUNTA(Dim_Fund!$A:$A)&lt;=1,"",$D135/(COUNTA(Dim_Fund!$A:$A)-1)))</f>
        <v/>
      </c>
      <c r="L135" s="29" t="str">
        <f aca="false">IF($A135="","",COUNTIFS(Fact_Milestone!$B:$B,$A135,Fact_Milestone!$I:$I,"?*"))</f>
        <v/>
      </c>
      <c r="M135" s="29" t="str">
        <f aca="false">IF($A135="","",COUNTIFS(Fact_Milestone!$B:$B,$A135,Fact_Milestone!$I:$I,"No"))</f>
        <v/>
      </c>
      <c r="N135" s="33" t="str">
        <f aca="false">IF($A135="","",ROUND(SUMIFS(Fact_Milestone!$L:$L,Fact_Milestone!$B:$B,$A135)/60,2))</f>
        <v/>
      </c>
      <c r="O135" s="29" t="str">
        <f aca="false">IF($A135="","",COUNTIFS(Fact_Work!$AL:$AL,$A135,Fact_Work!$AI:$AI,"Yes",Fact_Work!$BB:$BB,"No"))</f>
        <v/>
      </c>
    </row>
    <row r="136" customFormat="false" ht="15" hidden="false" customHeight="true" outlineLevel="0" collapsed="false">
      <c r="D136" s="4" t="str">
        <f aca="false">IF($A136="","",COUNTIF(Dim_Fund!$U:$U,$A136))</f>
        <v/>
      </c>
      <c r="E136" s="22" t="str">
        <f aca="false">IF($A136="","",IF($D136=0,"",_xlfn.MINIFS(Dim_Fund!$AH:$AH,Dim_Fund!$U:$U,$A136,Dim_Fund!$AH:$AH,"&gt;0")))</f>
        <v/>
      </c>
      <c r="F136" s="22" t="str">
        <f aca="false">IF($A136="","",IF($D136=0,"",_xlfn.MAXIFS(Dim_Fund!$AH:$AH,Dim_Fund!$U:$U,$A136,Dim_Fund!$AH:$AH,"&gt;0")))</f>
        <v/>
      </c>
      <c r="G136" s="31" t="str">
        <f aca="false">IF($A136="","",IF($D136=0,"",ROUND(($F136-$E136)*60,0)))</f>
        <v/>
      </c>
      <c r="H136" s="22" t="str">
        <f aca="false">IF($A136="","",$E136)</f>
        <v/>
      </c>
      <c r="I136" s="4" t="str">
        <f aca="false">IF($A136="","",IF($D136&gt;=4,"HIGH — "&amp;$D136&amp;" funds share this feed",IF($D136&gt;=2,"Medium — "&amp;$D136&amp;" funds","Single fund")))</f>
        <v/>
      </c>
      <c r="J136" s="29" t="str">
        <f aca="false">IF($A136="","",COUNTIFS(Dim_Fund!$U:$U,$A136,Dim_Fund!$BC:$BC,1))</f>
        <v/>
      </c>
      <c r="K136" s="32" t="str">
        <f aca="false">IF($A136="","",IF(COUNTA(Dim_Fund!$A:$A)&lt;=1,"",$D136/(COUNTA(Dim_Fund!$A:$A)-1)))</f>
        <v/>
      </c>
      <c r="L136" s="29" t="str">
        <f aca="false">IF($A136="","",COUNTIFS(Fact_Milestone!$B:$B,$A136,Fact_Milestone!$I:$I,"?*"))</f>
        <v/>
      </c>
      <c r="M136" s="29" t="str">
        <f aca="false">IF($A136="","",COUNTIFS(Fact_Milestone!$B:$B,$A136,Fact_Milestone!$I:$I,"No"))</f>
        <v/>
      </c>
      <c r="N136" s="33" t="str">
        <f aca="false">IF($A136="","",ROUND(SUMIFS(Fact_Milestone!$L:$L,Fact_Milestone!$B:$B,$A136)/60,2))</f>
        <v/>
      </c>
      <c r="O136" s="29" t="str">
        <f aca="false">IF($A136="","",COUNTIFS(Fact_Work!$AL:$AL,$A136,Fact_Work!$AI:$AI,"Yes",Fact_Work!$BB:$BB,"No"))</f>
        <v/>
      </c>
    </row>
    <row r="137" customFormat="false" ht="15" hidden="false" customHeight="true" outlineLevel="0" collapsed="false">
      <c r="D137" s="4" t="str">
        <f aca="false">IF($A137="","",COUNTIF(Dim_Fund!$U:$U,$A137))</f>
        <v/>
      </c>
      <c r="E137" s="22" t="str">
        <f aca="false">IF($A137="","",IF($D137=0,"",_xlfn.MINIFS(Dim_Fund!$AH:$AH,Dim_Fund!$U:$U,$A137,Dim_Fund!$AH:$AH,"&gt;0")))</f>
        <v/>
      </c>
      <c r="F137" s="22" t="str">
        <f aca="false">IF($A137="","",IF($D137=0,"",_xlfn.MAXIFS(Dim_Fund!$AH:$AH,Dim_Fund!$U:$U,$A137,Dim_Fund!$AH:$AH,"&gt;0")))</f>
        <v/>
      </c>
      <c r="G137" s="31" t="str">
        <f aca="false">IF($A137="","",IF($D137=0,"",ROUND(($F137-$E137)*60,0)))</f>
        <v/>
      </c>
      <c r="H137" s="22" t="str">
        <f aca="false">IF($A137="","",$E137)</f>
        <v/>
      </c>
      <c r="I137" s="4" t="str">
        <f aca="false">IF($A137="","",IF($D137&gt;=4,"HIGH — "&amp;$D137&amp;" funds share this feed",IF($D137&gt;=2,"Medium — "&amp;$D137&amp;" funds","Single fund")))</f>
        <v/>
      </c>
      <c r="J137" s="29" t="str">
        <f aca="false">IF($A137="","",COUNTIFS(Dim_Fund!$U:$U,$A137,Dim_Fund!$BC:$BC,1))</f>
        <v/>
      </c>
      <c r="K137" s="32" t="str">
        <f aca="false">IF($A137="","",IF(COUNTA(Dim_Fund!$A:$A)&lt;=1,"",$D137/(COUNTA(Dim_Fund!$A:$A)-1)))</f>
        <v/>
      </c>
      <c r="L137" s="29" t="str">
        <f aca="false">IF($A137="","",COUNTIFS(Fact_Milestone!$B:$B,$A137,Fact_Milestone!$I:$I,"?*"))</f>
        <v/>
      </c>
      <c r="M137" s="29" t="str">
        <f aca="false">IF($A137="","",COUNTIFS(Fact_Milestone!$B:$B,$A137,Fact_Milestone!$I:$I,"No"))</f>
        <v/>
      </c>
      <c r="N137" s="33" t="str">
        <f aca="false">IF($A137="","",ROUND(SUMIFS(Fact_Milestone!$L:$L,Fact_Milestone!$B:$B,$A137)/60,2))</f>
        <v/>
      </c>
      <c r="O137" s="29" t="str">
        <f aca="false">IF($A137="","",COUNTIFS(Fact_Work!$AL:$AL,$A137,Fact_Work!$AI:$AI,"Yes",Fact_Work!$BB:$BB,"No"))</f>
        <v/>
      </c>
    </row>
    <row r="138" customFormat="false" ht="15" hidden="false" customHeight="true" outlineLevel="0" collapsed="false">
      <c r="D138" s="4" t="str">
        <f aca="false">IF($A138="","",COUNTIF(Dim_Fund!$U:$U,$A138))</f>
        <v/>
      </c>
      <c r="E138" s="22" t="str">
        <f aca="false">IF($A138="","",IF($D138=0,"",_xlfn.MINIFS(Dim_Fund!$AH:$AH,Dim_Fund!$U:$U,$A138,Dim_Fund!$AH:$AH,"&gt;0")))</f>
        <v/>
      </c>
      <c r="F138" s="22" t="str">
        <f aca="false">IF($A138="","",IF($D138=0,"",_xlfn.MAXIFS(Dim_Fund!$AH:$AH,Dim_Fund!$U:$U,$A138,Dim_Fund!$AH:$AH,"&gt;0")))</f>
        <v/>
      </c>
      <c r="G138" s="31" t="str">
        <f aca="false">IF($A138="","",IF($D138=0,"",ROUND(($F138-$E138)*60,0)))</f>
        <v/>
      </c>
      <c r="H138" s="22" t="str">
        <f aca="false">IF($A138="","",$E138)</f>
        <v/>
      </c>
      <c r="I138" s="4" t="str">
        <f aca="false">IF($A138="","",IF($D138&gt;=4,"HIGH — "&amp;$D138&amp;" funds share this feed",IF($D138&gt;=2,"Medium — "&amp;$D138&amp;" funds","Single fund")))</f>
        <v/>
      </c>
      <c r="J138" s="29" t="str">
        <f aca="false">IF($A138="","",COUNTIFS(Dim_Fund!$U:$U,$A138,Dim_Fund!$BC:$BC,1))</f>
        <v/>
      </c>
      <c r="K138" s="32" t="str">
        <f aca="false">IF($A138="","",IF(COUNTA(Dim_Fund!$A:$A)&lt;=1,"",$D138/(COUNTA(Dim_Fund!$A:$A)-1)))</f>
        <v/>
      </c>
      <c r="L138" s="29" t="str">
        <f aca="false">IF($A138="","",COUNTIFS(Fact_Milestone!$B:$B,$A138,Fact_Milestone!$I:$I,"?*"))</f>
        <v/>
      </c>
      <c r="M138" s="29" t="str">
        <f aca="false">IF($A138="","",COUNTIFS(Fact_Milestone!$B:$B,$A138,Fact_Milestone!$I:$I,"No"))</f>
        <v/>
      </c>
      <c r="N138" s="33" t="str">
        <f aca="false">IF($A138="","",ROUND(SUMIFS(Fact_Milestone!$L:$L,Fact_Milestone!$B:$B,$A138)/60,2))</f>
        <v/>
      </c>
      <c r="O138" s="29" t="str">
        <f aca="false">IF($A138="","",COUNTIFS(Fact_Work!$AL:$AL,$A138,Fact_Work!$AI:$AI,"Yes",Fact_Work!$BB:$BB,"No"))</f>
        <v/>
      </c>
    </row>
    <row r="139" customFormat="false" ht="15" hidden="false" customHeight="true" outlineLevel="0" collapsed="false">
      <c r="D139" s="4" t="str">
        <f aca="false">IF($A139="","",COUNTIF(Dim_Fund!$U:$U,$A139))</f>
        <v/>
      </c>
      <c r="E139" s="22" t="str">
        <f aca="false">IF($A139="","",IF($D139=0,"",_xlfn.MINIFS(Dim_Fund!$AH:$AH,Dim_Fund!$U:$U,$A139,Dim_Fund!$AH:$AH,"&gt;0")))</f>
        <v/>
      </c>
      <c r="F139" s="22" t="str">
        <f aca="false">IF($A139="","",IF($D139=0,"",_xlfn.MAXIFS(Dim_Fund!$AH:$AH,Dim_Fund!$U:$U,$A139,Dim_Fund!$AH:$AH,"&gt;0")))</f>
        <v/>
      </c>
      <c r="G139" s="31" t="str">
        <f aca="false">IF($A139="","",IF($D139=0,"",ROUND(($F139-$E139)*60,0)))</f>
        <v/>
      </c>
      <c r="H139" s="22" t="str">
        <f aca="false">IF($A139="","",$E139)</f>
        <v/>
      </c>
      <c r="I139" s="4" t="str">
        <f aca="false">IF($A139="","",IF($D139&gt;=4,"HIGH — "&amp;$D139&amp;" funds share this feed",IF($D139&gt;=2,"Medium — "&amp;$D139&amp;" funds","Single fund")))</f>
        <v/>
      </c>
      <c r="J139" s="29" t="str">
        <f aca="false">IF($A139="","",COUNTIFS(Dim_Fund!$U:$U,$A139,Dim_Fund!$BC:$BC,1))</f>
        <v/>
      </c>
      <c r="K139" s="32" t="str">
        <f aca="false">IF($A139="","",IF(COUNTA(Dim_Fund!$A:$A)&lt;=1,"",$D139/(COUNTA(Dim_Fund!$A:$A)-1)))</f>
        <v/>
      </c>
      <c r="L139" s="29" t="str">
        <f aca="false">IF($A139="","",COUNTIFS(Fact_Milestone!$B:$B,$A139,Fact_Milestone!$I:$I,"?*"))</f>
        <v/>
      </c>
      <c r="M139" s="29" t="str">
        <f aca="false">IF($A139="","",COUNTIFS(Fact_Milestone!$B:$B,$A139,Fact_Milestone!$I:$I,"No"))</f>
        <v/>
      </c>
      <c r="N139" s="33" t="str">
        <f aca="false">IF($A139="","",ROUND(SUMIFS(Fact_Milestone!$L:$L,Fact_Milestone!$B:$B,$A139)/60,2))</f>
        <v/>
      </c>
      <c r="O139" s="29" t="str">
        <f aca="false">IF($A139="","",COUNTIFS(Fact_Work!$AL:$AL,$A139,Fact_Work!$AI:$AI,"Yes",Fact_Work!$BB:$BB,"No"))</f>
        <v/>
      </c>
    </row>
    <row r="140" customFormat="false" ht="15" hidden="false" customHeight="true" outlineLevel="0" collapsed="false">
      <c r="D140" s="4" t="str">
        <f aca="false">IF($A140="","",COUNTIF(Dim_Fund!$U:$U,$A140))</f>
        <v/>
      </c>
      <c r="E140" s="22" t="str">
        <f aca="false">IF($A140="","",IF($D140=0,"",_xlfn.MINIFS(Dim_Fund!$AH:$AH,Dim_Fund!$U:$U,$A140,Dim_Fund!$AH:$AH,"&gt;0")))</f>
        <v/>
      </c>
      <c r="F140" s="22" t="str">
        <f aca="false">IF($A140="","",IF($D140=0,"",_xlfn.MAXIFS(Dim_Fund!$AH:$AH,Dim_Fund!$U:$U,$A140,Dim_Fund!$AH:$AH,"&gt;0")))</f>
        <v/>
      </c>
      <c r="G140" s="31" t="str">
        <f aca="false">IF($A140="","",IF($D140=0,"",ROUND(($F140-$E140)*60,0)))</f>
        <v/>
      </c>
      <c r="H140" s="22" t="str">
        <f aca="false">IF($A140="","",$E140)</f>
        <v/>
      </c>
      <c r="I140" s="4" t="str">
        <f aca="false">IF($A140="","",IF($D140&gt;=4,"HIGH — "&amp;$D140&amp;" funds share this feed",IF($D140&gt;=2,"Medium — "&amp;$D140&amp;" funds","Single fund")))</f>
        <v/>
      </c>
      <c r="J140" s="29" t="str">
        <f aca="false">IF($A140="","",COUNTIFS(Dim_Fund!$U:$U,$A140,Dim_Fund!$BC:$BC,1))</f>
        <v/>
      </c>
      <c r="K140" s="32" t="str">
        <f aca="false">IF($A140="","",IF(COUNTA(Dim_Fund!$A:$A)&lt;=1,"",$D140/(COUNTA(Dim_Fund!$A:$A)-1)))</f>
        <v/>
      </c>
      <c r="L140" s="29" t="str">
        <f aca="false">IF($A140="","",COUNTIFS(Fact_Milestone!$B:$B,$A140,Fact_Milestone!$I:$I,"?*"))</f>
        <v/>
      </c>
      <c r="M140" s="29" t="str">
        <f aca="false">IF($A140="","",COUNTIFS(Fact_Milestone!$B:$B,$A140,Fact_Milestone!$I:$I,"No"))</f>
        <v/>
      </c>
      <c r="N140" s="33" t="str">
        <f aca="false">IF($A140="","",ROUND(SUMIFS(Fact_Milestone!$L:$L,Fact_Milestone!$B:$B,$A140)/60,2))</f>
        <v/>
      </c>
      <c r="O140" s="29" t="str">
        <f aca="false">IF($A140="","",COUNTIFS(Fact_Work!$AL:$AL,$A140,Fact_Work!$AI:$AI,"Yes",Fact_Work!$BB:$BB,"No"))</f>
        <v/>
      </c>
    </row>
    <row r="141" customFormat="false" ht="15" hidden="false" customHeight="true" outlineLevel="0" collapsed="false">
      <c r="D141" s="4" t="str">
        <f aca="false">IF($A141="","",COUNTIF(Dim_Fund!$U:$U,$A141))</f>
        <v/>
      </c>
      <c r="E141" s="22" t="str">
        <f aca="false">IF($A141="","",IF($D141=0,"",_xlfn.MINIFS(Dim_Fund!$AH:$AH,Dim_Fund!$U:$U,$A141,Dim_Fund!$AH:$AH,"&gt;0")))</f>
        <v/>
      </c>
      <c r="F141" s="22" t="str">
        <f aca="false">IF($A141="","",IF($D141=0,"",_xlfn.MAXIFS(Dim_Fund!$AH:$AH,Dim_Fund!$U:$U,$A141,Dim_Fund!$AH:$AH,"&gt;0")))</f>
        <v/>
      </c>
      <c r="G141" s="31" t="str">
        <f aca="false">IF($A141="","",IF($D141=0,"",ROUND(($F141-$E141)*60,0)))</f>
        <v/>
      </c>
      <c r="H141" s="22" t="str">
        <f aca="false">IF($A141="","",$E141)</f>
        <v/>
      </c>
      <c r="I141" s="4" t="str">
        <f aca="false">IF($A141="","",IF($D141&gt;=4,"HIGH — "&amp;$D141&amp;" funds share this feed",IF($D141&gt;=2,"Medium — "&amp;$D141&amp;" funds","Single fund")))</f>
        <v/>
      </c>
      <c r="J141" s="29" t="str">
        <f aca="false">IF($A141="","",COUNTIFS(Dim_Fund!$U:$U,$A141,Dim_Fund!$BC:$BC,1))</f>
        <v/>
      </c>
      <c r="K141" s="32" t="str">
        <f aca="false">IF($A141="","",IF(COUNTA(Dim_Fund!$A:$A)&lt;=1,"",$D141/(COUNTA(Dim_Fund!$A:$A)-1)))</f>
        <v/>
      </c>
      <c r="L141" s="29" t="str">
        <f aca="false">IF($A141="","",COUNTIFS(Fact_Milestone!$B:$B,$A141,Fact_Milestone!$I:$I,"?*"))</f>
        <v/>
      </c>
      <c r="M141" s="29" t="str">
        <f aca="false">IF($A141="","",COUNTIFS(Fact_Milestone!$B:$B,$A141,Fact_Milestone!$I:$I,"No"))</f>
        <v/>
      </c>
      <c r="N141" s="33" t="str">
        <f aca="false">IF($A141="","",ROUND(SUMIFS(Fact_Milestone!$L:$L,Fact_Milestone!$B:$B,$A141)/60,2))</f>
        <v/>
      </c>
      <c r="O141" s="29" t="str">
        <f aca="false">IF($A141="","",COUNTIFS(Fact_Work!$AL:$AL,$A141,Fact_Work!$AI:$AI,"Yes",Fact_Work!$BB:$BB,"No"))</f>
        <v/>
      </c>
    </row>
    <row r="142" customFormat="false" ht="15" hidden="false" customHeight="true" outlineLevel="0" collapsed="false">
      <c r="D142" s="4" t="str">
        <f aca="false">IF($A142="","",COUNTIF(Dim_Fund!$U:$U,$A142))</f>
        <v/>
      </c>
      <c r="E142" s="22" t="str">
        <f aca="false">IF($A142="","",IF($D142=0,"",_xlfn.MINIFS(Dim_Fund!$AH:$AH,Dim_Fund!$U:$U,$A142,Dim_Fund!$AH:$AH,"&gt;0")))</f>
        <v/>
      </c>
      <c r="F142" s="22" t="str">
        <f aca="false">IF($A142="","",IF($D142=0,"",_xlfn.MAXIFS(Dim_Fund!$AH:$AH,Dim_Fund!$U:$U,$A142,Dim_Fund!$AH:$AH,"&gt;0")))</f>
        <v/>
      </c>
      <c r="G142" s="31" t="str">
        <f aca="false">IF($A142="","",IF($D142=0,"",ROUND(($F142-$E142)*60,0)))</f>
        <v/>
      </c>
      <c r="H142" s="22" t="str">
        <f aca="false">IF($A142="","",$E142)</f>
        <v/>
      </c>
      <c r="I142" s="4" t="str">
        <f aca="false">IF($A142="","",IF($D142&gt;=4,"HIGH — "&amp;$D142&amp;" funds share this feed",IF($D142&gt;=2,"Medium — "&amp;$D142&amp;" funds","Single fund")))</f>
        <v/>
      </c>
      <c r="J142" s="29" t="str">
        <f aca="false">IF($A142="","",COUNTIFS(Dim_Fund!$U:$U,$A142,Dim_Fund!$BC:$BC,1))</f>
        <v/>
      </c>
      <c r="K142" s="32" t="str">
        <f aca="false">IF($A142="","",IF(COUNTA(Dim_Fund!$A:$A)&lt;=1,"",$D142/(COUNTA(Dim_Fund!$A:$A)-1)))</f>
        <v/>
      </c>
      <c r="L142" s="29" t="str">
        <f aca="false">IF($A142="","",COUNTIFS(Fact_Milestone!$B:$B,$A142,Fact_Milestone!$I:$I,"?*"))</f>
        <v/>
      </c>
      <c r="M142" s="29" t="str">
        <f aca="false">IF($A142="","",COUNTIFS(Fact_Milestone!$B:$B,$A142,Fact_Milestone!$I:$I,"No"))</f>
        <v/>
      </c>
      <c r="N142" s="33" t="str">
        <f aca="false">IF($A142="","",ROUND(SUMIFS(Fact_Milestone!$L:$L,Fact_Milestone!$B:$B,$A142)/60,2))</f>
        <v/>
      </c>
      <c r="O142" s="29" t="str">
        <f aca="false">IF($A142="","",COUNTIFS(Fact_Work!$AL:$AL,$A142,Fact_Work!$AI:$AI,"Yes",Fact_Work!$BB:$BB,"No"))</f>
        <v/>
      </c>
    </row>
    <row r="143" customFormat="false" ht="15" hidden="false" customHeight="true" outlineLevel="0" collapsed="false">
      <c r="D143" s="4" t="str">
        <f aca="false">IF($A143="","",COUNTIF(Dim_Fund!$U:$U,$A143))</f>
        <v/>
      </c>
      <c r="E143" s="22" t="str">
        <f aca="false">IF($A143="","",IF($D143=0,"",_xlfn.MINIFS(Dim_Fund!$AH:$AH,Dim_Fund!$U:$U,$A143,Dim_Fund!$AH:$AH,"&gt;0")))</f>
        <v/>
      </c>
      <c r="F143" s="22" t="str">
        <f aca="false">IF($A143="","",IF($D143=0,"",_xlfn.MAXIFS(Dim_Fund!$AH:$AH,Dim_Fund!$U:$U,$A143,Dim_Fund!$AH:$AH,"&gt;0")))</f>
        <v/>
      </c>
      <c r="G143" s="31" t="str">
        <f aca="false">IF($A143="","",IF($D143=0,"",ROUND(($F143-$E143)*60,0)))</f>
        <v/>
      </c>
      <c r="H143" s="22" t="str">
        <f aca="false">IF($A143="","",$E143)</f>
        <v/>
      </c>
      <c r="I143" s="4" t="str">
        <f aca="false">IF($A143="","",IF($D143&gt;=4,"HIGH — "&amp;$D143&amp;" funds share this feed",IF($D143&gt;=2,"Medium — "&amp;$D143&amp;" funds","Single fund")))</f>
        <v/>
      </c>
      <c r="J143" s="29" t="str">
        <f aca="false">IF($A143="","",COUNTIFS(Dim_Fund!$U:$U,$A143,Dim_Fund!$BC:$BC,1))</f>
        <v/>
      </c>
      <c r="K143" s="32" t="str">
        <f aca="false">IF($A143="","",IF(COUNTA(Dim_Fund!$A:$A)&lt;=1,"",$D143/(COUNTA(Dim_Fund!$A:$A)-1)))</f>
        <v/>
      </c>
      <c r="L143" s="29" t="str">
        <f aca="false">IF($A143="","",COUNTIFS(Fact_Milestone!$B:$B,$A143,Fact_Milestone!$I:$I,"?*"))</f>
        <v/>
      </c>
      <c r="M143" s="29" t="str">
        <f aca="false">IF($A143="","",COUNTIFS(Fact_Milestone!$B:$B,$A143,Fact_Milestone!$I:$I,"No"))</f>
        <v/>
      </c>
      <c r="N143" s="33" t="str">
        <f aca="false">IF($A143="","",ROUND(SUMIFS(Fact_Milestone!$L:$L,Fact_Milestone!$B:$B,$A143)/60,2))</f>
        <v/>
      </c>
      <c r="O143" s="29" t="str">
        <f aca="false">IF($A143="","",COUNTIFS(Fact_Work!$AL:$AL,$A143,Fact_Work!$AI:$AI,"Yes",Fact_Work!$BB:$BB,"No"))</f>
        <v/>
      </c>
    </row>
    <row r="144" customFormat="false" ht="15" hidden="false" customHeight="true" outlineLevel="0" collapsed="false">
      <c r="D144" s="4" t="str">
        <f aca="false">IF($A144="","",COUNTIF(Dim_Fund!$U:$U,$A144))</f>
        <v/>
      </c>
      <c r="E144" s="22" t="str">
        <f aca="false">IF($A144="","",IF($D144=0,"",_xlfn.MINIFS(Dim_Fund!$AH:$AH,Dim_Fund!$U:$U,$A144,Dim_Fund!$AH:$AH,"&gt;0")))</f>
        <v/>
      </c>
      <c r="F144" s="22" t="str">
        <f aca="false">IF($A144="","",IF($D144=0,"",_xlfn.MAXIFS(Dim_Fund!$AH:$AH,Dim_Fund!$U:$U,$A144,Dim_Fund!$AH:$AH,"&gt;0")))</f>
        <v/>
      </c>
      <c r="G144" s="31" t="str">
        <f aca="false">IF($A144="","",IF($D144=0,"",ROUND(($F144-$E144)*60,0)))</f>
        <v/>
      </c>
      <c r="H144" s="22" t="str">
        <f aca="false">IF($A144="","",$E144)</f>
        <v/>
      </c>
      <c r="I144" s="4" t="str">
        <f aca="false">IF($A144="","",IF($D144&gt;=4,"HIGH — "&amp;$D144&amp;" funds share this feed",IF($D144&gt;=2,"Medium — "&amp;$D144&amp;" funds","Single fund")))</f>
        <v/>
      </c>
      <c r="J144" s="29" t="str">
        <f aca="false">IF($A144="","",COUNTIFS(Dim_Fund!$U:$U,$A144,Dim_Fund!$BC:$BC,1))</f>
        <v/>
      </c>
      <c r="K144" s="32" t="str">
        <f aca="false">IF($A144="","",IF(COUNTA(Dim_Fund!$A:$A)&lt;=1,"",$D144/(COUNTA(Dim_Fund!$A:$A)-1)))</f>
        <v/>
      </c>
      <c r="L144" s="29" t="str">
        <f aca="false">IF($A144="","",COUNTIFS(Fact_Milestone!$B:$B,$A144,Fact_Milestone!$I:$I,"?*"))</f>
        <v/>
      </c>
      <c r="M144" s="29" t="str">
        <f aca="false">IF($A144="","",COUNTIFS(Fact_Milestone!$B:$B,$A144,Fact_Milestone!$I:$I,"No"))</f>
        <v/>
      </c>
      <c r="N144" s="33" t="str">
        <f aca="false">IF($A144="","",ROUND(SUMIFS(Fact_Milestone!$L:$L,Fact_Milestone!$B:$B,$A144)/60,2))</f>
        <v/>
      </c>
      <c r="O144" s="29" t="str">
        <f aca="false">IF($A144="","",COUNTIFS(Fact_Work!$AL:$AL,$A144,Fact_Work!$AI:$AI,"Yes",Fact_Work!$BB:$BB,"No"))</f>
        <v/>
      </c>
    </row>
    <row r="145" customFormat="false" ht="15" hidden="false" customHeight="true" outlineLevel="0" collapsed="false">
      <c r="D145" s="4" t="str">
        <f aca="false">IF($A145="","",COUNTIF(Dim_Fund!$U:$U,$A145))</f>
        <v/>
      </c>
      <c r="E145" s="22" t="str">
        <f aca="false">IF($A145="","",IF($D145=0,"",_xlfn.MINIFS(Dim_Fund!$AH:$AH,Dim_Fund!$U:$U,$A145,Dim_Fund!$AH:$AH,"&gt;0")))</f>
        <v/>
      </c>
      <c r="F145" s="22" t="str">
        <f aca="false">IF($A145="","",IF($D145=0,"",_xlfn.MAXIFS(Dim_Fund!$AH:$AH,Dim_Fund!$U:$U,$A145,Dim_Fund!$AH:$AH,"&gt;0")))</f>
        <v/>
      </c>
      <c r="G145" s="31" t="str">
        <f aca="false">IF($A145="","",IF($D145=0,"",ROUND(($F145-$E145)*60,0)))</f>
        <v/>
      </c>
      <c r="H145" s="22" t="str">
        <f aca="false">IF($A145="","",$E145)</f>
        <v/>
      </c>
      <c r="I145" s="4" t="str">
        <f aca="false">IF($A145="","",IF($D145&gt;=4,"HIGH — "&amp;$D145&amp;" funds share this feed",IF($D145&gt;=2,"Medium — "&amp;$D145&amp;" funds","Single fund")))</f>
        <v/>
      </c>
      <c r="J145" s="29" t="str">
        <f aca="false">IF($A145="","",COUNTIFS(Dim_Fund!$U:$U,$A145,Dim_Fund!$BC:$BC,1))</f>
        <v/>
      </c>
      <c r="K145" s="32" t="str">
        <f aca="false">IF($A145="","",IF(COUNTA(Dim_Fund!$A:$A)&lt;=1,"",$D145/(COUNTA(Dim_Fund!$A:$A)-1)))</f>
        <v/>
      </c>
      <c r="L145" s="29" t="str">
        <f aca="false">IF($A145="","",COUNTIFS(Fact_Milestone!$B:$B,$A145,Fact_Milestone!$I:$I,"?*"))</f>
        <v/>
      </c>
      <c r="M145" s="29" t="str">
        <f aca="false">IF($A145="","",COUNTIFS(Fact_Milestone!$B:$B,$A145,Fact_Milestone!$I:$I,"No"))</f>
        <v/>
      </c>
      <c r="N145" s="33" t="str">
        <f aca="false">IF($A145="","",ROUND(SUMIFS(Fact_Milestone!$L:$L,Fact_Milestone!$B:$B,$A145)/60,2))</f>
        <v/>
      </c>
      <c r="O145" s="29" t="str">
        <f aca="false">IF($A145="","",COUNTIFS(Fact_Work!$AL:$AL,$A145,Fact_Work!$AI:$AI,"Yes",Fact_Work!$BB:$BB,"No"))</f>
        <v/>
      </c>
    </row>
    <row r="146" customFormat="false" ht="15" hidden="false" customHeight="true" outlineLevel="0" collapsed="false">
      <c r="D146" s="4" t="str">
        <f aca="false">IF($A146="","",COUNTIF(Dim_Fund!$U:$U,$A146))</f>
        <v/>
      </c>
      <c r="E146" s="22" t="str">
        <f aca="false">IF($A146="","",IF($D146=0,"",_xlfn.MINIFS(Dim_Fund!$AH:$AH,Dim_Fund!$U:$U,$A146,Dim_Fund!$AH:$AH,"&gt;0")))</f>
        <v/>
      </c>
      <c r="F146" s="22" t="str">
        <f aca="false">IF($A146="","",IF($D146=0,"",_xlfn.MAXIFS(Dim_Fund!$AH:$AH,Dim_Fund!$U:$U,$A146,Dim_Fund!$AH:$AH,"&gt;0")))</f>
        <v/>
      </c>
      <c r="G146" s="31" t="str">
        <f aca="false">IF($A146="","",IF($D146=0,"",ROUND(($F146-$E146)*60,0)))</f>
        <v/>
      </c>
      <c r="H146" s="22" t="str">
        <f aca="false">IF($A146="","",$E146)</f>
        <v/>
      </c>
      <c r="I146" s="4" t="str">
        <f aca="false">IF($A146="","",IF($D146&gt;=4,"HIGH — "&amp;$D146&amp;" funds share this feed",IF($D146&gt;=2,"Medium — "&amp;$D146&amp;" funds","Single fund")))</f>
        <v/>
      </c>
      <c r="J146" s="29" t="str">
        <f aca="false">IF($A146="","",COUNTIFS(Dim_Fund!$U:$U,$A146,Dim_Fund!$BC:$BC,1))</f>
        <v/>
      </c>
      <c r="K146" s="32" t="str">
        <f aca="false">IF($A146="","",IF(COUNTA(Dim_Fund!$A:$A)&lt;=1,"",$D146/(COUNTA(Dim_Fund!$A:$A)-1)))</f>
        <v/>
      </c>
      <c r="L146" s="29" t="str">
        <f aca="false">IF($A146="","",COUNTIFS(Fact_Milestone!$B:$B,$A146,Fact_Milestone!$I:$I,"?*"))</f>
        <v/>
      </c>
      <c r="M146" s="29" t="str">
        <f aca="false">IF($A146="","",COUNTIFS(Fact_Milestone!$B:$B,$A146,Fact_Milestone!$I:$I,"No"))</f>
        <v/>
      </c>
      <c r="N146" s="33" t="str">
        <f aca="false">IF($A146="","",ROUND(SUMIFS(Fact_Milestone!$L:$L,Fact_Milestone!$B:$B,$A146)/60,2))</f>
        <v/>
      </c>
      <c r="O146" s="29" t="str">
        <f aca="false">IF($A146="","",COUNTIFS(Fact_Work!$AL:$AL,$A146,Fact_Work!$AI:$AI,"Yes",Fact_Work!$BB:$BB,"No"))</f>
        <v/>
      </c>
    </row>
    <row r="147" customFormat="false" ht="15" hidden="false" customHeight="true" outlineLevel="0" collapsed="false">
      <c r="D147" s="4" t="str">
        <f aca="false">IF($A147="","",COUNTIF(Dim_Fund!$U:$U,$A147))</f>
        <v/>
      </c>
      <c r="E147" s="22" t="str">
        <f aca="false">IF($A147="","",IF($D147=0,"",_xlfn.MINIFS(Dim_Fund!$AH:$AH,Dim_Fund!$U:$U,$A147,Dim_Fund!$AH:$AH,"&gt;0")))</f>
        <v/>
      </c>
      <c r="F147" s="22" t="str">
        <f aca="false">IF($A147="","",IF($D147=0,"",_xlfn.MAXIFS(Dim_Fund!$AH:$AH,Dim_Fund!$U:$U,$A147,Dim_Fund!$AH:$AH,"&gt;0")))</f>
        <v/>
      </c>
      <c r="G147" s="31" t="str">
        <f aca="false">IF($A147="","",IF($D147=0,"",ROUND(($F147-$E147)*60,0)))</f>
        <v/>
      </c>
      <c r="H147" s="22" t="str">
        <f aca="false">IF($A147="","",$E147)</f>
        <v/>
      </c>
      <c r="I147" s="4" t="str">
        <f aca="false">IF($A147="","",IF($D147&gt;=4,"HIGH — "&amp;$D147&amp;" funds share this feed",IF($D147&gt;=2,"Medium — "&amp;$D147&amp;" funds","Single fund")))</f>
        <v/>
      </c>
      <c r="J147" s="29" t="str">
        <f aca="false">IF($A147="","",COUNTIFS(Dim_Fund!$U:$U,$A147,Dim_Fund!$BC:$BC,1))</f>
        <v/>
      </c>
      <c r="K147" s="32" t="str">
        <f aca="false">IF($A147="","",IF(COUNTA(Dim_Fund!$A:$A)&lt;=1,"",$D147/(COUNTA(Dim_Fund!$A:$A)-1)))</f>
        <v/>
      </c>
      <c r="L147" s="29" t="str">
        <f aca="false">IF($A147="","",COUNTIFS(Fact_Milestone!$B:$B,$A147,Fact_Milestone!$I:$I,"?*"))</f>
        <v/>
      </c>
      <c r="M147" s="29" t="str">
        <f aca="false">IF($A147="","",COUNTIFS(Fact_Milestone!$B:$B,$A147,Fact_Milestone!$I:$I,"No"))</f>
        <v/>
      </c>
      <c r="N147" s="33" t="str">
        <f aca="false">IF($A147="","",ROUND(SUMIFS(Fact_Milestone!$L:$L,Fact_Milestone!$B:$B,$A147)/60,2))</f>
        <v/>
      </c>
      <c r="O147" s="29" t="str">
        <f aca="false">IF($A147="","",COUNTIFS(Fact_Work!$AL:$AL,$A147,Fact_Work!$AI:$AI,"Yes",Fact_Work!$BB:$BB,"No"))</f>
        <v/>
      </c>
    </row>
    <row r="148" customFormat="false" ht="15" hidden="false" customHeight="true" outlineLevel="0" collapsed="false">
      <c r="D148" s="4" t="str">
        <f aca="false">IF($A148="","",COUNTIF(Dim_Fund!$U:$U,$A148))</f>
        <v/>
      </c>
      <c r="E148" s="22" t="str">
        <f aca="false">IF($A148="","",IF($D148=0,"",_xlfn.MINIFS(Dim_Fund!$AH:$AH,Dim_Fund!$U:$U,$A148,Dim_Fund!$AH:$AH,"&gt;0")))</f>
        <v/>
      </c>
      <c r="F148" s="22" t="str">
        <f aca="false">IF($A148="","",IF($D148=0,"",_xlfn.MAXIFS(Dim_Fund!$AH:$AH,Dim_Fund!$U:$U,$A148,Dim_Fund!$AH:$AH,"&gt;0")))</f>
        <v/>
      </c>
      <c r="G148" s="31" t="str">
        <f aca="false">IF($A148="","",IF($D148=0,"",ROUND(($F148-$E148)*60,0)))</f>
        <v/>
      </c>
      <c r="H148" s="22" t="str">
        <f aca="false">IF($A148="","",$E148)</f>
        <v/>
      </c>
      <c r="I148" s="4" t="str">
        <f aca="false">IF($A148="","",IF($D148&gt;=4,"HIGH — "&amp;$D148&amp;" funds share this feed",IF($D148&gt;=2,"Medium — "&amp;$D148&amp;" funds","Single fund")))</f>
        <v/>
      </c>
      <c r="J148" s="29" t="str">
        <f aca="false">IF($A148="","",COUNTIFS(Dim_Fund!$U:$U,$A148,Dim_Fund!$BC:$BC,1))</f>
        <v/>
      </c>
      <c r="K148" s="32" t="str">
        <f aca="false">IF($A148="","",IF(COUNTA(Dim_Fund!$A:$A)&lt;=1,"",$D148/(COUNTA(Dim_Fund!$A:$A)-1)))</f>
        <v/>
      </c>
      <c r="L148" s="29" t="str">
        <f aca="false">IF($A148="","",COUNTIFS(Fact_Milestone!$B:$B,$A148,Fact_Milestone!$I:$I,"?*"))</f>
        <v/>
      </c>
      <c r="M148" s="29" t="str">
        <f aca="false">IF($A148="","",COUNTIFS(Fact_Milestone!$B:$B,$A148,Fact_Milestone!$I:$I,"No"))</f>
        <v/>
      </c>
      <c r="N148" s="33" t="str">
        <f aca="false">IF($A148="","",ROUND(SUMIFS(Fact_Milestone!$L:$L,Fact_Milestone!$B:$B,$A148)/60,2))</f>
        <v/>
      </c>
      <c r="O148" s="29" t="str">
        <f aca="false">IF($A148="","",COUNTIFS(Fact_Work!$AL:$AL,$A148,Fact_Work!$AI:$AI,"Yes",Fact_Work!$BB:$BB,"No"))</f>
        <v/>
      </c>
    </row>
    <row r="149" customFormat="false" ht="15" hidden="false" customHeight="true" outlineLevel="0" collapsed="false">
      <c r="D149" s="4" t="str">
        <f aca="false">IF($A149="","",COUNTIF(Dim_Fund!$U:$U,$A149))</f>
        <v/>
      </c>
      <c r="E149" s="22" t="str">
        <f aca="false">IF($A149="","",IF($D149=0,"",_xlfn.MINIFS(Dim_Fund!$AH:$AH,Dim_Fund!$U:$U,$A149,Dim_Fund!$AH:$AH,"&gt;0")))</f>
        <v/>
      </c>
      <c r="F149" s="22" t="str">
        <f aca="false">IF($A149="","",IF($D149=0,"",_xlfn.MAXIFS(Dim_Fund!$AH:$AH,Dim_Fund!$U:$U,$A149,Dim_Fund!$AH:$AH,"&gt;0")))</f>
        <v/>
      </c>
      <c r="G149" s="31" t="str">
        <f aca="false">IF($A149="","",IF($D149=0,"",ROUND(($F149-$E149)*60,0)))</f>
        <v/>
      </c>
      <c r="H149" s="22" t="str">
        <f aca="false">IF($A149="","",$E149)</f>
        <v/>
      </c>
      <c r="I149" s="4" t="str">
        <f aca="false">IF($A149="","",IF($D149&gt;=4,"HIGH — "&amp;$D149&amp;" funds share this feed",IF($D149&gt;=2,"Medium — "&amp;$D149&amp;" funds","Single fund")))</f>
        <v/>
      </c>
      <c r="J149" s="29" t="str">
        <f aca="false">IF($A149="","",COUNTIFS(Dim_Fund!$U:$U,$A149,Dim_Fund!$BC:$BC,1))</f>
        <v/>
      </c>
      <c r="K149" s="32" t="str">
        <f aca="false">IF($A149="","",IF(COUNTA(Dim_Fund!$A:$A)&lt;=1,"",$D149/(COUNTA(Dim_Fund!$A:$A)-1)))</f>
        <v/>
      </c>
      <c r="L149" s="29" t="str">
        <f aca="false">IF($A149="","",COUNTIFS(Fact_Milestone!$B:$B,$A149,Fact_Milestone!$I:$I,"?*"))</f>
        <v/>
      </c>
      <c r="M149" s="29" t="str">
        <f aca="false">IF($A149="","",COUNTIFS(Fact_Milestone!$B:$B,$A149,Fact_Milestone!$I:$I,"No"))</f>
        <v/>
      </c>
      <c r="N149" s="33" t="str">
        <f aca="false">IF($A149="","",ROUND(SUMIFS(Fact_Milestone!$L:$L,Fact_Milestone!$B:$B,$A149)/60,2))</f>
        <v/>
      </c>
      <c r="O149" s="29" t="str">
        <f aca="false">IF($A149="","",COUNTIFS(Fact_Work!$AL:$AL,$A149,Fact_Work!$AI:$AI,"Yes",Fact_Work!$BB:$BB,"No"))</f>
        <v/>
      </c>
    </row>
    <row r="150" customFormat="false" ht="15" hidden="false" customHeight="true" outlineLevel="0" collapsed="false">
      <c r="D150" s="4" t="str">
        <f aca="false">IF($A150="","",COUNTIF(Dim_Fund!$U:$U,$A150))</f>
        <v/>
      </c>
      <c r="E150" s="22" t="str">
        <f aca="false">IF($A150="","",IF($D150=0,"",_xlfn.MINIFS(Dim_Fund!$AH:$AH,Dim_Fund!$U:$U,$A150,Dim_Fund!$AH:$AH,"&gt;0")))</f>
        <v/>
      </c>
      <c r="F150" s="22" t="str">
        <f aca="false">IF($A150="","",IF($D150=0,"",_xlfn.MAXIFS(Dim_Fund!$AH:$AH,Dim_Fund!$U:$U,$A150,Dim_Fund!$AH:$AH,"&gt;0")))</f>
        <v/>
      </c>
      <c r="G150" s="31" t="str">
        <f aca="false">IF($A150="","",IF($D150=0,"",ROUND(($F150-$E150)*60,0)))</f>
        <v/>
      </c>
      <c r="H150" s="22" t="str">
        <f aca="false">IF($A150="","",$E150)</f>
        <v/>
      </c>
      <c r="I150" s="4" t="str">
        <f aca="false">IF($A150="","",IF($D150&gt;=4,"HIGH — "&amp;$D150&amp;" funds share this feed",IF($D150&gt;=2,"Medium — "&amp;$D150&amp;" funds","Single fund")))</f>
        <v/>
      </c>
      <c r="J150" s="29" t="str">
        <f aca="false">IF($A150="","",COUNTIFS(Dim_Fund!$U:$U,$A150,Dim_Fund!$BC:$BC,1))</f>
        <v/>
      </c>
      <c r="K150" s="32" t="str">
        <f aca="false">IF($A150="","",IF(COUNTA(Dim_Fund!$A:$A)&lt;=1,"",$D150/(COUNTA(Dim_Fund!$A:$A)-1)))</f>
        <v/>
      </c>
      <c r="L150" s="29" t="str">
        <f aca="false">IF($A150="","",COUNTIFS(Fact_Milestone!$B:$B,$A150,Fact_Milestone!$I:$I,"?*"))</f>
        <v/>
      </c>
      <c r="M150" s="29" t="str">
        <f aca="false">IF($A150="","",COUNTIFS(Fact_Milestone!$B:$B,$A150,Fact_Milestone!$I:$I,"No"))</f>
        <v/>
      </c>
      <c r="N150" s="33" t="str">
        <f aca="false">IF($A150="","",ROUND(SUMIFS(Fact_Milestone!$L:$L,Fact_Milestone!$B:$B,$A150)/60,2))</f>
        <v/>
      </c>
      <c r="O150" s="29" t="str">
        <f aca="false">IF($A150="","",COUNTIFS(Fact_Work!$AL:$AL,$A150,Fact_Work!$AI:$AI,"Yes",Fact_Work!$BB:$BB,"No"))</f>
        <v/>
      </c>
    </row>
    <row r="151" customFormat="false" ht="15" hidden="false" customHeight="true" outlineLevel="0" collapsed="false">
      <c r="D151" s="4" t="str">
        <f aca="false">IF($A151="","",COUNTIF(Dim_Fund!$U:$U,$A151))</f>
        <v/>
      </c>
      <c r="E151" s="22" t="str">
        <f aca="false">IF($A151="","",IF($D151=0,"",_xlfn.MINIFS(Dim_Fund!$AH:$AH,Dim_Fund!$U:$U,$A151,Dim_Fund!$AH:$AH,"&gt;0")))</f>
        <v/>
      </c>
      <c r="F151" s="22" t="str">
        <f aca="false">IF($A151="","",IF($D151=0,"",_xlfn.MAXIFS(Dim_Fund!$AH:$AH,Dim_Fund!$U:$U,$A151,Dim_Fund!$AH:$AH,"&gt;0")))</f>
        <v/>
      </c>
      <c r="G151" s="31" t="str">
        <f aca="false">IF($A151="","",IF($D151=0,"",ROUND(($F151-$E151)*60,0)))</f>
        <v/>
      </c>
      <c r="H151" s="22" t="str">
        <f aca="false">IF($A151="","",$E151)</f>
        <v/>
      </c>
      <c r="I151" s="4" t="str">
        <f aca="false">IF($A151="","",IF($D151&gt;=4,"HIGH — "&amp;$D151&amp;" funds share this feed",IF($D151&gt;=2,"Medium — "&amp;$D151&amp;" funds","Single fund")))</f>
        <v/>
      </c>
      <c r="J151" s="29" t="str">
        <f aca="false">IF($A151="","",COUNTIFS(Dim_Fund!$U:$U,$A151,Dim_Fund!$BC:$BC,1))</f>
        <v/>
      </c>
      <c r="K151" s="32" t="str">
        <f aca="false">IF($A151="","",IF(COUNTA(Dim_Fund!$A:$A)&lt;=1,"",$D151/(COUNTA(Dim_Fund!$A:$A)-1)))</f>
        <v/>
      </c>
      <c r="L151" s="29" t="str">
        <f aca="false">IF($A151="","",COUNTIFS(Fact_Milestone!$B:$B,$A151,Fact_Milestone!$I:$I,"?*"))</f>
        <v/>
      </c>
      <c r="M151" s="29" t="str">
        <f aca="false">IF($A151="","",COUNTIFS(Fact_Milestone!$B:$B,$A151,Fact_Milestone!$I:$I,"No"))</f>
        <v/>
      </c>
      <c r="N151" s="33" t="str">
        <f aca="false">IF($A151="","",ROUND(SUMIFS(Fact_Milestone!$L:$L,Fact_Milestone!$B:$B,$A151)/60,2))</f>
        <v/>
      </c>
      <c r="O151" s="29" t="str">
        <f aca="false">IF($A151="","",COUNTIFS(Fact_Work!$AL:$AL,$A151,Fact_Work!$AI:$AI,"Yes",Fact_Work!$BB:$BB,"No"))</f>
        <v/>
      </c>
    </row>
    <row r="152" customFormat="false" ht="15" hidden="false" customHeight="true" outlineLevel="0" collapsed="false">
      <c r="D152" s="4" t="str">
        <f aca="false">IF($A152="","",COUNTIF(Dim_Fund!$U:$U,$A152))</f>
        <v/>
      </c>
      <c r="E152" s="22" t="str">
        <f aca="false">IF($A152="","",IF($D152=0,"",_xlfn.MINIFS(Dim_Fund!$AH:$AH,Dim_Fund!$U:$U,$A152,Dim_Fund!$AH:$AH,"&gt;0")))</f>
        <v/>
      </c>
      <c r="F152" s="22" t="str">
        <f aca="false">IF($A152="","",IF($D152=0,"",_xlfn.MAXIFS(Dim_Fund!$AH:$AH,Dim_Fund!$U:$U,$A152,Dim_Fund!$AH:$AH,"&gt;0")))</f>
        <v/>
      </c>
      <c r="G152" s="31" t="str">
        <f aca="false">IF($A152="","",IF($D152=0,"",ROUND(($F152-$E152)*60,0)))</f>
        <v/>
      </c>
      <c r="H152" s="22" t="str">
        <f aca="false">IF($A152="","",$E152)</f>
        <v/>
      </c>
      <c r="I152" s="4" t="str">
        <f aca="false">IF($A152="","",IF($D152&gt;=4,"HIGH — "&amp;$D152&amp;" funds share this feed",IF($D152&gt;=2,"Medium — "&amp;$D152&amp;" funds","Single fund")))</f>
        <v/>
      </c>
      <c r="J152" s="29" t="str">
        <f aca="false">IF($A152="","",COUNTIFS(Dim_Fund!$U:$U,$A152,Dim_Fund!$BC:$BC,1))</f>
        <v/>
      </c>
      <c r="K152" s="32" t="str">
        <f aca="false">IF($A152="","",IF(COUNTA(Dim_Fund!$A:$A)&lt;=1,"",$D152/(COUNTA(Dim_Fund!$A:$A)-1)))</f>
        <v/>
      </c>
      <c r="L152" s="29" t="str">
        <f aca="false">IF($A152="","",COUNTIFS(Fact_Milestone!$B:$B,$A152,Fact_Milestone!$I:$I,"?*"))</f>
        <v/>
      </c>
      <c r="M152" s="29" t="str">
        <f aca="false">IF($A152="","",COUNTIFS(Fact_Milestone!$B:$B,$A152,Fact_Milestone!$I:$I,"No"))</f>
        <v/>
      </c>
      <c r="N152" s="33" t="str">
        <f aca="false">IF($A152="","",ROUND(SUMIFS(Fact_Milestone!$L:$L,Fact_Milestone!$B:$B,$A152)/60,2))</f>
        <v/>
      </c>
      <c r="O152" s="29" t="str">
        <f aca="false">IF($A152="","",COUNTIFS(Fact_Work!$AL:$AL,$A152,Fact_Work!$AI:$AI,"Yes",Fact_Work!$BB:$BB,"No"))</f>
        <v/>
      </c>
    </row>
    <row r="153" customFormat="false" ht="15" hidden="false" customHeight="true" outlineLevel="0" collapsed="false">
      <c r="D153" s="4" t="str">
        <f aca="false">IF($A153="","",COUNTIF(Dim_Fund!$U:$U,$A153))</f>
        <v/>
      </c>
      <c r="E153" s="22" t="str">
        <f aca="false">IF($A153="","",IF($D153=0,"",_xlfn.MINIFS(Dim_Fund!$AH:$AH,Dim_Fund!$U:$U,$A153,Dim_Fund!$AH:$AH,"&gt;0")))</f>
        <v/>
      </c>
      <c r="F153" s="22" t="str">
        <f aca="false">IF($A153="","",IF($D153=0,"",_xlfn.MAXIFS(Dim_Fund!$AH:$AH,Dim_Fund!$U:$U,$A153,Dim_Fund!$AH:$AH,"&gt;0")))</f>
        <v/>
      </c>
      <c r="G153" s="31" t="str">
        <f aca="false">IF($A153="","",IF($D153=0,"",ROUND(($F153-$E153)*60,0)))</f>
        <v/>
      </c>
      <c r="H153" s="22" t="str">
        <f aca="false">IF($A153="","",$E153)</f>
        <v/>
      </c>
      <c r="I153" s="4" t="str">
        <f aca="false">IF($A153="","",IF($D153&gt;=4,"HIGH — "&amp;$D153&amp;" funds share this feed",IF($D153&gt;=2,"Medium — "&amp;$D153&amp;" funds","Single fund")))</f>
        <v/>
      </c>
      <c r="J153" s="29" t="str">
        <f aca="false">IF($A153="","",COUNTIFS(Dim_Fund!$U:$U,$A153,Dim_Fund!$BC:$BC,1))</f>
        <v/>
      </c>
      <c r="K153" s="32" t="str">
        <f aca="false">IF($A153="","",IF(COUNTA(Dim_Fund!$A:$A)&lt;=1,"",$D153/(COUNTA(Dim_Fund!$A:$A)-1)))</f>
        <v/>
      </c>
      <c r="L153" s="29" t="str">
        <f aca="false">IF($A153="","",COUNTIFS(Fact_Milestone!$B:$B,$A153,Fact_Milestone!$I:$I,"?*"))</f>
        <v/>
      </c>
      <c r="M153" s="29" t="str">
        <f aca="false">IF($A153="","",COUNTIFS(Fact_Milestone!$B:$B,$A153,Fact_Milestone!$I:$I,"No"))</f>
        <v/>
      </c>
      <c r="N153" s="33" t="str">
        <f aca="false">IF($A153="","",ROUND(SUMIFS(Fact_Milestone!$L:$L,Fact_Milestone!$B:$B,$A153)/60,2))</f>
        <v/>
      </c>
      <c r="O153" s="29" t="str">
        <f aca="false">IF($A153="","",COUNTIFS(Fact_Work!$AL:$AL,$A153,Fact_Work!$AI:$AI,"Yes",Fact_Work!$BB:$BB,"No"))</f>
        <v/>
      </c>
    </row>
    <row r="154" customFormat="false" ht="15" hidden="false" customHeight="true" outlineLevel="0" collapsed="false">
      <c r="D154" s="4" t="str">
        <f aca="false">IF($A154="","",COUNTIF(Dim_Fund!$U:$U,$A154))</f>
        <v/>
      </c>
      <c r="E154" s="22" t="str">
        <f aca="false">IF($A154="","",IF($D154=0,"",_xlfn.MINIFS(Dim_Fund!$AH:$AH,Dim_Fund!$U:$U,$A154,Dim_Fund!$AH:$AH,"&gt;0")))</f>
        <v/>
      </c>
      <c r="F154" s="22" t="str">
        <f aca="false">IF($A154="","",IF($D154=0,"",_xlfn.MAXIFS(Dim_Fund!$AH:$AH,Dim_Fund!$U:$U,$A154,Dim_Fund!$AH:$AH,"&gt;0")))</f>
        <v/>
      </c>
      <c r="G154" s="31" t="str">
        <f aca="false">IF($A154="","",IF($D154=0,"",ROUND(($F154-$E154)*60,0)))</f>
        <v/>
      </c>
      <c r="H154" s="22" t="str">
        <f aca="false">IF($A154="","",$E154)</f>
        <v/>
      </c>
      <c r="I154" s="4" t="str">
        <f aca="false">IF($A154="","",IF($D154&gt;=4,"HIGH — "&amp;$D154&amp;" funds share this feed",IF($D154&gt;=2,"Medium — "&amp;$D154&amp;" funds","Single fund")))</f>
        <v/>
      </c>
      <c r="J154" s="29" t="str">
        <f aca="false">IF($A154="","",COUNTIFS(Dim_Fund!$U:$U,$A154,Dim_Fund!$BC:$BC,1))</f>
        <v/>
      </c>
      <c r="K154" s="32" t="str">
        <f aca="false">IF($A154="","",IF(COUNTA(Dim_Fund!$A:$A)&lt;=1,"",$D154/(COUNTA(Dim_Fund!$A:$A)-1)))</f>
        <v/>
      </c>
      <c r="L154" s="29" t="str">
        <f aca="false">IF($A154="","",COUNTIFS(Fact_Milestone!$B:$B,$A154,Fact_Milestone!$I:$I,"?*"))</f>
        <v/>
      </c>
      <c r="M154" s="29" t="str">
        <f aca="false">IF($A154="","",COUNTIFS(Fact_Milestone!$B:$B,$A154,Fact_Milestone!$I:$I,"No"))</f>
        <v/>
      </c>
      <c r="N154" s="33" t="str">
        <f aca="false">IF($A154="","",ROUND(SUMIFS(Fact_Milestone!$L:$L,Fact_Milestone!$B:$B,$A154)/60,2))</f>
        <v/>
      </c>
      <c r="O154" s="29" t="str">
        <f aca="false">IF($A154="","",COUNTIFS(Fact_Work!$AL:$AL,$A154,Fact_Work!$AI:$AI,"Yes",Fact_Work!$BB:$BB,"No"))</f>
        <v/>
      </c>
    </row>
    <row r="155" customFormat="false" ht="15" hidden="false" customHeight="true" outlineLevel="0" collapsed="false">
      <c r="D155" s="4" t="str">
        <f aca="false">IF($A155="","",COUNTIF(Dim_Fund!$U:$U,$A155))</f>
        <v/>
      </c>
      <c r="E155" s="22" t="str">
        <f aca="false">IF($A155="","",IF($D155=0,"",_xlfn.MINIFS(Dim_Fund!$AH:$AH,Dim_Fund!$U:$U,$A155,Dim_Fund!$AH:$AH,"&gt;0")))</f>
        <v/>
      </c>
      <c r="F155" s="22" t="str">
        <f aca="false">IF($A155="","",IF($D155=0,"",_xlfn.MAXIFS(Dim_Fund!$AH:$AH,Dim_Fund!$U:$U,$A155,Dim_Fund!$AH:$AH,"&gt;0")))</f>
        <v/>
      </c>
      <c r="G155" s="31" t="str">
        <f aca="false">IF($A155="","",IF($D155=0,"",ROUND(($F155-$E155)*60,0)))</f>
        <v/>
      </c>
      <c r="H155" s="22" t="str">
        <f aca="false">IF($A155="","",$E155)</f>
        <v/>
      </c>
      <c r="I155" s="4" t="str">
        <f aca="false">IF($A155="","",IF($D155&gt;=4,"HIGH — "&amp;$D155&amp;" funds share this feed",IF($D155&gt;=2,"Medium — "&amp;$D155&amp;" funds","Single fund")))</f>
        <v/>
      </c>
      <c r="J155" s="29" t="str">
        <f aca="false">IF($A155="","",COUNTIFS(Dim_Fund!$U:$U,$A155,Dim_Fund!$BC:$BC,1))</f>
        <v/>
      </c>
      <c r="K155" s="32" t="str">
        <f aca="false">IF($A155="","",IF(COUNTA(Dim_Fund!$A:$A)&lt;=1,"",$D155/(COUNTA(Dim_Fund!$A:$A)-1)))</f>
        <v/>
      </c>
      <c r="L155" s="29" t="str">
        <f aca="false">IF($A155="","",COUNTIFS(Fact_Milestone!$B:$B,$A155,Fact_Milestone!$I:$I,"?*"))</f>
        <v/>
      </c>
      <c r="M155" s="29" t="str">
        <f aca="false">IF($A155="","",COUNTIFS(Fact_Milestone!$B:$B,$A155,Fact_Milestone!$I:$I,"No"))</f>
        <v/>
      </c>
      <c r="N155" s="33" t="str">
        <f aca="false">IF($A155="","",ROUND(SUMIFS(Fact_Milestone!$L:$L,Fact_Milestone!$B:$B,$A155)/60,2))</f>
        <v/>
      </c>
      <c r="O155" s="29" t="str">
        <f aca="false">IF($A155="","",COUNTIFS(Fact_Work!$AL:$AL,$A155,Fact_Work!$AI:$AI,"Yes",Fact_Work!$BB:$BB,"No"))</f>
        <v/>
      </c>
    </row>
    <row r="156" customFormat="false" ht="15" hidden="false" customHeight="true" outlineLevel="0" collapsed="false">
      <c r="D156" s="4" t="str">
        <f aca="false">IF($A156="","",COUNTIF(Dim_Fund!$U:$U,$A156))</f>
        <v/>
      </c>
      <c r="E156" s="22" t="str">
        <f aca="false">IF($A156="","",IF($D156=0,"",_xlfn.MINIFS(Dim_Fund!$AH:$AH,Dim_Fund!$U:$U,$A156,Dim_Fund!$AH:$AH,"&gt;0")))</f>
        <v/>
      </c>
      <c r="F156" s="22" t="str">
        <f aca="false">IF($A156="","",IF($D156=0,"",_xlfn.MAXIFS(Dim_Fund!$AH:$AH,Dim_Fund!$U:$U,$A156,Dim_Fund!$AH:$AH,"&gt;0")))</f>
        <v/>
      </c>
      <c r="G156" s="31" t="str">
        <f aca="false">IF($A156="","",IF($D156=0,"",ROUND(($F156-$E156)*60,0)))</f>
        <v/>
      </c>
      <c r="H156" s="22" t="str">
        <f aca="false">IF($A156="","",$E156)</f>
        <v/>
      </c>
      <c r="I156" s="4" t="str">
        <f aca="false">IF($A156="","",IF($D156&gt;=4,"HIGH — "&amp;$D156&amp;" funds share this feed",IF($D156&gt;=2,"Medium — "&amp;$D156&amp;" funds","Single fund")))</f>
        <v/>
      </c>
      <c r="J156" s="29" t="str">
        <f aca="false">IF($A156="","",COUNTIFS(Dim_Fund!$U:$U,$A156,Dim_Fund!$BC:$BC,1))</f>
        <v/>
      </c>
      <c r="K156" s="32" t="str">
        <f aca="false">IF($A156="","",IF(COUNTA(Dim_Fund!$A:$A)&lt;=1,"",$D156/(COUNTA(Dim_Fund!$A:$A)-1)))</f>
        <v/>
      </c>
      <c r="L156" s="29" t="str">
        <f aca="false">IF($A156="","",COUNTIFS(Fact_Milestone!$B:$B,$A156,Fact_Milestone!$I:$I,"?*"))</f>
        <v/>
      </c>
      <c r="M156" s="29" t="str">
        <f aca="false">IF($A156="","",COUNTIFS(Fact_Milestone!$B:$B,$A156,Fact_Milestone!$I:$I,"No"))</f>
        <v/>
      </c>
      <c r="N156" s="33" t="str">
        <f aca="false">IF($A156="","",ROUND(SUMIFS(Fact_Milestone!$L:$L,Fact_Milestone!$B:$B,$A156)/60,2))</f>
        <v/>
      </c>
      <c r="O156" s="29" t="str">
        <f aca="false">IF($A156="","",COUNTIFS(Fact_Work!$AL:$AL,$A156,Fact_Work!$AI:$AI,"Yes",Fact_Work!$BB:$BB,"No"))</f>
        <v/>
      </c>
    </row>
    <row r="157" customFormat="false" ht="15" hidden="false" customHeight="true" outlineLevel="0" collapsed="false">
      <c r="D157" s="4" t="str">
        <f aca="false">IF($A157="","",COUNTIF(Dim_Fund!$U:$U,$A157))</f>
        <v/>
      </c>
      <c r="E157" s="22" t="str">
        <f aca="false">IF($A157="","",IF($D157=0,"",_xlfn.MINIFS(Dim_Fund!$AH:$AH,Dim_Fund!$U:$U,$A157,Dim_Fund!$AH:$AH,"&gt;0")))</f>
        <v/>
      </c>
      <c r="F157" s="22" t="str">
        <f aca="false">IF($A157="","",IF($D157=0,"",_xlfn.MAXIFS(Dim_Fund!$AH:$AH,Dim_Fund!$U:$U,$A157,Dim_Fund!$AH:$AH,"&gt;0")))</f>
        <v/>
      </c>
      <c r="G157" s="31" t="str">
        <f aca="false">IF($A157="","",IF($D157=0,"",ROUND(($F157-$E157)*60,0)))</f>
        <v/>
      </c>
      <c r="H157" s="22" t="str">
        <f aca="false">IF($A157="","",$E157)</f>
        <v/>
      </c>
      <c r="I157" s="4" t="str">
        <f aca="false">IF($A157="","",IF($D157&gt;=4,"HIGH — "&amp;$D157&amp;" funds share this feed",IF($D157&gt;=2,"Medium — "&amp;$D157&amp;" funds","Single fund")))</f>
        <v/>
      </c>
      <c r="J157" s="29" t="str">
        <f aca="false">IF($A157="","",COUNTIFS(Dim_Fund!$U:$U,$A157,Dim_Fund!$BC:$BC,1))</f>
        <v/>
      </c>
      <c r="K157" s="32" t="str">
        <f aca="false">IF($A157="","",IF(COUNTA(Dim_Fund!$A:$A)&lt;=1,"",$D157/(COUNTA(Dim_Fund!$A:$A)-1)))</f>
        <v/>
      </c>
      <c r="L157" s="29" t="str">
        <f aca="false">IF($A157="","",COUNTIFS(Fact_Milestone!$B:$B,$A157,Fact_Milestone!$I:$I,"?*"))</f>
        <v/>
      </c>
      <c r="M157" s="29" t="str">
        <f aca="false">IF($A157="","",COUNTIFS(Fact_Milestone!$B:$B,$A157,Fact_Milestone!$I:$I,"No"))</f>
        <v/>
      </c>
      <c r="N157" s="33" t="str">
        <f aca="false">IF($A157="","",ROUND(SUMIFS(Fact_Milestone!$L:$L,Fact_Milestone!$B:$B,$A157)/60,2))</f>
        <v/>
      </c>
      <c r="O157" s="29" t="str">
        <f aca="false">IF($A157="","",COUNTIFS(Fact_Work!$AL:$AL,$A157,Fact_Work!$AI:$AI,"Yes",Fact_Work!$BB:$BB,"No"))</f>
        <v/>
      </c>
    </row>
    <row r="158" customFormat="false" ht="15" hidden="false" customHeight="true" outlineLevel="0" collapsed="false">
      <c r="D158" s="4" t="str">
        <f aca="false">IF($A158="","",COUNTIF(Dim_Fund!$U:$U,$A158))</f>
        <v/>
      </c>
      <c r="E158" s="22" t="str">
        <f aca="false">IF($A158="","",IF($D158=0,"",_xlfn.MINIFS(Dim_Fund!$AH:$AH,Dim_Fund!$U:$U,$A158,Dim_Fund!$AH:$AH,"&gt;0")))</f>
        <v/>
      </c>
      <c r="F158" s="22" t="str">
        <f aca="false">IF($A158="","",IF($D158=0,"",_xlfn.MAXIFS(Dim_Fund!$AH:$AH,Dim_Fund!$U:$U,$A158,Dim_Fund!$AH:$AH,"&gt;0")))</f>
        <v/>
      </c>
      <c r="G158" s="31" t="str">
        <f aca="false">IF($A158="","",IF($D158=0,"",ROUND(($F158-$E158)*60,0)))</f>
        <v/>
      </c>
      <c r="H158" s="22" t="str">
        <f aca="false">IF($A158="","",$E158)</f>
        <v/>
      </c>
      <c r="I158" s="4" t="str">
        <f aca="false">IF($A158="","",IF($D158&gt;=4,"HIGH — "&amp;$D158&amp;" funds share this feed",IF($D158&gt;=2,"Medium — "&amp;$D158&amp;" funds","Single fund")))</f>
        <v/>
      </c>
      <c r="J158" s="29" t="str">
        <f aca="false">IF($A158="","",COUNTIFS(Dim_Fund!$U:$U,$A158,Dim_Fund!$BC:$BC,1))</f>
        <v/>
      </c>
      <c r="K158" s="32" t="str">
        <f aca="false">IF($A158="","",IF(COUNTA(Dim_Fund!$A:$A)&lt;=1,"",$D158/(COUNTA(Dim_Fund!$A:$A)-1)))</f>
        <v/>
      </c>
      <c r="L158" s="29" t="str">
        <f aca="false">IF($A158="","",COUNTIFS(Fact_Milestone!$B:$B,$A158,Fact_Milestone!$I:$I,"?*"))</f>
        <v/>
      </c>
      <c r="M158" s="29" t="str">
        <f aca="false">IF($A158="","",COUNTIFS(Fact_Milestone!$B:$B,$A158,Fact_Milestone!$I:$I,"No"))</f>
        <v/>
      </c>
      <c r="N158" s="33" t="str">
        <f aca="false">IF($A158="","",ROUND(SUMIFS(Fact_Milestone!$L:$L,Fact_Milestone!$B:$B,$A158)/60,2))</f>
        <v/>
      </c>
      <c r="O158" s="29" t="str">
        <f aca="false">IF($A158="","",COUNTIFS(Fact_Work!$AL:$AL,$A158,Fact_Work!$AI:$AI,"Yes",Fact_Work!$BB:$BB,"No"))</f>
        <v/>
      </c>
    </row>
    <row r="159" customFormat="false" ht="15" hidden="false" customHeight="true" outlineLevel="0" collapsed="false">
      <c r="D159" s="4" t="str">
        <f aca="false">IF($A159="","",COUNTIF(Dim_Fund!$U:$U,$A159))</f>
        <v/>
      </c>
      <c r="E159" s="22" t="str">
        <f aca="false">IF($A159="","",IF($D159=0,"",_xlfn.MINIFS(Dim_Fund!$AH:$AH,Dim_Fund!$U:$U,$A159,Dim_Fund!$AH:$AH,"&gt;0")))</f>
        <v/>
      </c>
      <c r="F159" s="22" t="str">
        <f aca="false">IF($A159="","",IF($D159=0,"",_xlfn.MAXIFS(Dim_Fund!$AH:$AH,Dim_Fund!$U:$U,$A159,Dim_Fund!$AH:$AH,"&gt;0")))</f>
        <v/>
      </c>
      <c r="G159" s="31" t="str">
        <f aca="false">IF($A159="","",IF($D159=0,"",ROUND(($F159-$E159)*60,0)))</f>
        <v/>
      </c>
      <c r="H159" s="22" t="str">
        <f aca="false">IF($A159="","",$E159)</f>
        <v/>
      </c>
      <c r="I159" s="4" t="str">
        <f aca="false">IF($A159="","",IF($D159&gt;=4,"HIGH — "&amp;$D159&amp;" funds share this feed",IF($D159&gt;=2,"Medium — "&amp;$D159&amp;" funds","Single fund")))</f>
        <v/>
      </c>
      <c r="J159" s="29" t="str">
        <f aca="false">IF($A159="","",COUNTIFS(Dim_Fund!$U:$U,$A159,Dim_Fund!$BC:$BC,1))</f>
        <v/>
      </c>
      <c r="K159" s="32" t="str">
        <f aca="false">IF($A159="","",IF(COUNTA(Dim_Fund!$A:$A)&lt;=1,"",$D159/(COUNTA(Dim_Fund!$A:$A)-1)))</f>
        <v/>
      </c>
      <c r="L159" s="29" t="str">
        <f aca="false">IF($A159="","",COUNTIFS(Fact_Milestone!$B:$B,$A159,Fact_Milestone!$I:$I,"?*"))</f>
        <v/>
      </c>
      <c r="M159" s="29" t="str">
        <f aca="false">IF($A159="","",COUNTIFS(Fact_Milestone!$B:$B,$A159,Fact_Milestone!$I:$I,"No"))</f>
        <v/>
      </c>
      <c r="N159" s="33" t="str">
        <f aca="false">IF($A159="","",ROUND(SUMIFS(Fact_Milestone!$L:$L,Fact_Milestone!$B:$B,$A159)/60,2))</f>
        <v/>
      </c>
      <c r="O159" s="29" t="str">
        <f aca="false">IF($A159="","",COUNTIFS(Fact_Work!$AL:$AL,$A159,Fact_Work!$AI:$AI,"Yes",Fact_Work!$BB:$BB,"No"))</f>
        <v/>
      </c>
    </row>
    <row r="160" customFormat="false" ht="15" hidden="false" customHeight="true" outlineLevel="0" collapsed="false">
      <c r="D160" s="4" t="str">
        <f aca="false">IF($A160="","",COUNTIF(Dim_Fund!$U:$U,$A160))</f>
        <v/>
      </c>
      <c r="E160" s="22" t="str">
        <f aca="false">IF($A160="","",IF($D160=0,"",_xlfn.MINIFS(Dim_Fund!$AH:$AH,Dim_Fund!$U:$U,$A160,Dim_Fund!$AH:$AH,"&gt;0")))</f>
        <v/>
      </c>
      <c r="F160" s="22" t="str">
        <f aca="false">IF($A160="","",IF($D160=0,"",_xlfn.MAXIFS(Dim_Fund!$AH:$AH,Dim_Fund!$U:$U,$A160,Dim_Fund!$AH:$AH,"&gt;0")))</f>
        <v/>
      </c>
      <c r="G160" s="31" t="str">
        <f aca="false">IF($A160="","",IF($D160=0,"",ROUND(($F160-$E160)*60,0)))</f>
        <v/>
      </c>
      <c r="H160" s="22" t="str">
        <f aca="false">IF($A160="","",$E160)</f>
        <v/>
      </c>
      <c r="I160" s="4" t="str">
        <f aca="false">IF($A160="","",IF($D160&gt;=4,"HIGH — "&amp;$D160&amp;" funds share this feed",IF($D160&gt;=2,"Medium — "&amp;$D160&amp;" funds","Single fund")))</f>
        <v/>
      </c>
      <c r="J160" s="29" t="str">
        <f aca="false">IF($A160="","",COUNTIFS(Dim_Fund!$U:$U,$A160,Dim_Fund!$BC:$BC,1))</f>
        <v/>
      </c>
      <c r="K160" s="32" t="str">
        <f aca="false">IF($A160="","",IF(COUNTA(Dim_Fund!$A:$A)&lt;=1,"",$D160/(COUNTA(Dim_Fund!$A:$A)-1)))</f>
        <v/>
      </c>
      <c r="L160" s="29" t="str">
        <f aca="false">IF($A160="","",COUNTIFS(Fact_Milestone!$B:$B,$A160,Fact_Milestone!$I:$I,"?*"))</f>
        <v/>
      </c>
      <c r="M160" s="29" t="str">
        <f aca="false">IF($A160="","",COUNTIFS(Fact_Milestone!$B:$B,$A160,Fact_Milestone!$I:$I,"No"))</f>
        <v/>
      </c>
      <c r="N160" s="33" t="str">
        <f aca="false">IF($A160="","",ROUND(SUMIFS(Fact_Milestone!$L:$L,Fact_Milestone!$B:$B,$A160)/60,2))</f>
        <v/>
      </c>
      <c r="O160" s="29" t="str">
        <f aca="false">IF($A160="","",COUNTIFS(Fact_Work!$AL:$AL,$A160,Fact_Work!$AI:$AI,"Yes",Fact_Work!$BB:$BB,"No"))</f>
        <v/>
      </c>
    </row>
    <row r="161" customFormat="false" ht="15" hidden="false" customHeight="true" outlineLevel="0" collapsed="false">
      <c r="D161" s="4" t="str">
        <f aca="false">IF($A161="","",COUNTIF(Dim_Fund!$U:$U,$A161))</f>
        <v/>
      </c>
      <c r="E161" s="22" t="str">
        <f aca="false">IF($A161="","",IF($D161=0,"",_xlfn.MINIFS(Dim_Fund!$AH:$AH,Dim_Fund!$U:$U,$A161,Dim_Fund!$AH:$AH,"&gt;0")))</f>
        <v/>
      </c>
      <c r="F161" s="22" t="str">
        <f aca="false">IF($A161="","",IF($D161=0,"",_xlfn.MAXIFS(Dim_Fund!$AH:$AH,Dim_Fund!$U:$U,$A161,Dim_Fund!$AH:$AH,"&gt;0")))</f>
        <v/>
      </c>
      <c r="G161" s="31" t="str">
        <f aca="false">IF($A161="","",IF($D161=0,"",ROUND(($F161-$E161)*60,0)))</f>
        <v/>
      </c>
      <c r="H161" s="22" t="str">
        <f aca="false">IF($A161="","",$E161)</f>
        <v/>
      </c>
      <c r="I161" s="4" t="str">
        <f aca="false">IF($A161="","",IF($D161&gt;=4,"HIGH — "&amp;$D161&amp;" funds share this feed",IF($D161&gt;=2,"Medium — "&amp;$D161&amp;" funds","Single fund")))</f>
        <v/>
      </c>
      <c r="J161" s="29" t="str">
        <f aca="false">IF($A161="","",COUNTIFS(Dim_Fund!$U:$U,$A161,Dim_Fund!$BC:$BC,1))</f>
        <v/>
      </c>
      <c r="K161" s="32" t="str">
        <f aca="false">IF($A161="","",IF(COUNTA(Dim_Fund!$A:$A)&lt;=1,"",$D161/(COUNTA(Dim_Fund!$A:$A)-1)))</f>
        <v/>
      </c>
      <c r="L161" s="29" t="str">
        <f aca="false">IF($A161="","",COUNTIFS(Fact_Milestone!$B:$B,$A161,Fact_Milestone!$I:$I,"?*"))</f>
        <v/>
      </c>
      <c r="M161" s="29" t="str">
        <f aca="false">IF($A161="","",COUNTIFS(Fact_Milestone!$B:$B,$A161,Fact_Milestone!$I:$I,"No"))</f>
        <v/>
      </c>
      <c r="N161" s="33" t="str">
        <f aca="false">IF($A161="","",ROUND(SUMIFS(Fact_Milestone!$L:$L,Fact_Milestone!$B:$B,$A161)/60,2))</f>
        <v/>
      </c>
      <c r="O161" s="29" t="str">
        <f aca="false">IF($A161="","",COUNTIFS(Fact_Work!$AL:$AL,$A161,Fact_Work!$AI:$AI,"Yes",Fact_Work!$BB:$BB,"No"))</f>
        <v/>
      </c>
    </row>
    <row r="162" customFormat="false" ht="15" hidden="false" customHeight="true" outlineLevel="0" collapsed="false">
      <c r="D162" s="4" t="str">
        <f aca="false">IF($A162="","",COUNTIF(Dim_Fund!$U:$U,$A162))</f>
        <v/>
      </c>
      <c r="E162" s="22" t="str">
        <f aca="false">IF($A162="","",IF($D162=0,"",_xlfn.MINIFS(Dim_Fund!$AH:$AH,Dim_Fund!$U:$U,$A162,Dim_Fund!$AH:$AH,"&gt;0")))</f>
        <v/>
      </c>
      <c r="F162" s="22" t="str">
        <f aca="false">IF($A162="","",IF($D162=0,"",_xlfn.MAXIFS(Dim_Fund!$AH:$AH,Dim_Fund!$U:$U,$A162,Dim_Fund!$AH:$AH,"&gt;0")))</f>
        <v/>
      </c>
      <c r="G162" s="31" t="str">
        <f aca="false">IF($A162="","",IF($D162=0,"",ROUND(($F162-$E162)*60,0)))</f>
        <v/>
      </c>
      <c r="H162" s="22" t="str">
        <f aca="false">IF($A162="","",$E162)</f>
        <v/>
      </c>
      <c r="I162" s="4" t="str">
        <f aca="false">IF($A162="","",IF($D162&gt;=4,"HIGH — "&amp;$D162&amp;" funds share this feed",IF($D162&gt;=2,"Medium — "&amp;$D162&amp;" funds","Single fund")))</f>
        <v/>
      </c>
      <c r="J162" s="29" t="str">
        <f aca="false">IF($A162="","",COUNTIFS(Dim_Fund!$U:$U,$A162,Dim_Fund!$BC:$BC,1))</f>
        <v/>
      </c>
      <c r="K162" s="32" t="str">
        <f aca="false">IF($A162="","",IF(COUNTA(Dim_Fund!$A:$A)&lt;=1,"",$D162/(COUNTA(Dim_Fund!$A:$A)-1)))</f>
        <v/>
      </c>
      <c r="L162" s="29" t="str">
        <f aca="false">IF($A162="","",COUNTIFS(Fact_Milestone!$B:$B,$A162,Fact_Milestone!$I:$I,"?*"))</f>
        <v/>
      </c>
      <c r="M162" s="29" t="str">
        <f aca="false">IF($A162="","",COUNTIFS(Fact_Milestone!$B:$B,$A162,Fact_Milestone!$I:$I,"No"))</f>
        <v/>
      </c>
      <c r="N162" s="33" t="str">
        <f aca="false">IF($A162="","",ROUND(SUMIFS(Fact_Milestone!$L:$L,Fact_Milestone!$B:$B,$A162)/60,2))</f>
        <v/>
      </c>
      <c r="O162" s="29" t="str">
        <f aca="false">IF($A162="","",COUNTIFS(Fact_Work!$AL:$AL,$A162,Fact_Work!$AI:$AI,"Yes",Fact_Work!$BB:$BB,"No"))</f>
        <v/>
      </c>
    </row>
    <row r="163" customFormat="false" ht="15" hidden="false" customHeight="true" outlineLevel="0" collapsed="false">
      <c r="D163" s="4" t="str">
        <f aca="false">IF($A163="","",COUNTIF(Dim_Fund!$U:$U,$A163))</f>
        <v/>
      </c>
      <c r="E163" s="22" t="str">
        <f aca="false">IF($A163="","",IF($D163=0,"",_xlfn.MINIFS(Dim_Fund!$AH:$AH,Dim_Fund!$U:$U,$A163,Dim_Fund!$AH:$AH,"&gt;0")))</f>
        <v/>
      </c>
      <c r="F163" s="22" t="str">
        <f aca="false">IF($A163="","",IF($D163=0,"",_xlfn.MAXIFS(Dim_Fund!$AH:$AH,Dim_Fund!$U:$U,$A163,Dim_Fund!$AH:$AH,"&gt;0")))</f>
        <v/>
      </c>
      <c r="G163" s="31" t="str">
        <f aca="false">IF($A163="","",IF($D163=0,"",ROUND(($F163-$E163)*60,0)))</f>
        <v/>
      </c>
      <c r="H163" s="22" t="str">
        <f aca="false">IF($A163="","",$E163)</f>
        <v/>
      </c>
      <c r="I163" s="4" t="str">
        <f aca="false">IF($A163="","",IF($D163&gt;=4,"HIGH — "&amp;$D163&amp;" funds share this feed",IF($D163&gt;=2,"Medium — "&amp;$D163&amp;" funds","Single fund")))</f>
        <v/>
      </c>
      <c r="J163" s="29" t="str">
        <f aca="false">IF($A163="","",COUNTIFS(Dim_Fund!$U:$U,$A163,Dim_Fund!$BC:$BC,1))</f>
        <v/>
      </c>
      <c r="K163" s="32" t="str">
        <f aca="false">IF($A163="","",IF(COUNTA(Dim_Fund!$A:$A)&lt;=1,"",$D163/(COUNTA(Dim_Fund!$A:$A)-1)))</f>
        <v/>
      </c>
      <c r="L163" s="29" t="str">
        <f aca="false">IF($A163="","",COUNTIFS(Fact_Milestone!$B:$B,$A163,Fact_Milestone!$I:$I,"?*"))</f>
        <v/>
      </c>
      <c r="M163" s="29" t="str">
        <f aca="false">IF($A163="","",COUNTIFS(Fact_Milestone!$B:$B,$A163,Fact_Milestone!$I:$I,"No"))</f>
        <v/>
      </c>
      <c r="N163" s="33" t="str">
        <f aca="false">IF($A163="","",ROUND(SUMIFS(Fact_Milestone!$L:$L,Fact_Milestone!$B:$B,$A163)/60,2))</f>
        <v/>
      </c>
      <c r="O163" s="29" t="str">
        <f aca="false">IF($A163="","",COUNTIFS(Fact_Work!$AL:$AL,$A163,Fact_Work!$AI:$AI,"Yes",Fact_Work!$BB:$BB,"No"))</f>
        <v/>
      </c>
    </row>
    <row r="164" customFormat="false" ht="15" hidden="false" customHeight="true" outlineLevel="0" collapsed="false">
      <c r="D164" s="4" t="str">
        <f aca="false">IF($A164="","",COUNTIF(Dim_Fund!$U:$U,$A164))</f>
        <v/>
      </c>
      <c r="E164" s="22" t="str">
        <f aca="false">IF($A164="","",IF($D164=0,"",_xlfn.MINIFS(Dim_Fund!$AH:$AH,Dim_Fund!$U:$U,$A164,Dim_Fund!$AH:$AH,"&gt;0")))</f>
        <v/>
      </c>
      <c r="F164" s="22" t="str">
        <f aca="false">IF($A164="","",IF($D164=0,"",_xlfn.MAXIFS(Dim_Fund!$AH:$AH,Dim_Fund!$U:$U,$A164,Dim_Fund!$AH:$AH,"&gt;0")))</f>
        <v/>
      </c>
      <c r="G164" s="31" t="str">
        <f aca="false">IF($A164="","",IF($D164=0,"",ROUND(($F164-$E164)*60,0)))</f>
        <v/>
      </c>
      <c r="H164" s="22" t="str">
        <f aca="false">IF($A164="","",$E164)</f>
        <v/>
      </c>
      <c r="I164" s="4" t="str">
        <f aca="false">IF($A164="","",IF($D164&gt;=4,"HIGH — "&amp;$D164&amp;" funds share this feed",IF($D164&gt;=2,"Medium — "&amp;$D164&amp;" funds","Single fund")))</f>
        <v/>
      </c>
      <c r="J164" s="29" t="str">
        <f aca="false">IF($A164="","",COUNTIFS(Dim_Fund!$U:$U,$A164,Dim_Fund!$BC:$BC,1))</f>
        <v/>
      </c>
      <c r="K164" s="32" t="str">
        <f aca="false">IF($A164="","",IF(COUNTA(Dim_Fund!$A:$A)&lt;=1,"",$D164/(COUNTA(Dim_Fund!$A:$A)-1)))</f>
        <v/>
      </c>
      <c r="L164" s="29" t="str">
        <f aca="false">IF($A164="","",COUNTIFS(Fact_Milestone!$B:$B,$A164,Fact_Milestone!$I:$I,"?*"))</f>
        <v/>
      </c>
      <c r="M164" s="29" t="str">
        <f aca="false">IF($A164="","",COUNTIFS(Fact_Milestone!$B:$B,$A164,Fact_Milestone!$I:$I,"No"))</f>
        <v/>
      </c>
      <c r="N164" s="33" t="str">
        <f aca="false">IF($A164="","",ROUND(SUMIFS(Fact_Milestone!$L:$L,Fact_Milestone!$B:$B,$A164)/60,2))</f>
        <v/>
      </c>
      <c r="O164" s="29" t="str">
        <f aca="false">IF($A164="","",COUNTIFS(Fact_Work!$AL:$AL,$A164,Fact_Work!$AI:$AI,"Yes",Fact_Work!$BB:$BB,"No"))</f>
        <v/>
      </c>
    </row>
    <row r="165" customFormat="false" ht="15" hidden="false" customHeight="true" outlineLevel="0" collapsed="false">
      <c r="D165" s="4" t="str">
        <f aca="false">IF($A165="","",COUNTIF(Dim_Fund!$U:$U,$A165))</f>
        <v/>
      </c>
      <c r="E165" s="22" t="str">
        <f aca="false">IF($A165="","",IF($D165=0,"",_xlfn.MINIFS(Dim_Fund!$AH:$AH,Dim_Fund!$U:$U,$A165,Dim_Fund!$AH:$AH,"&gt;0")))</f>
        <v/>
      </c>
      <c r="F165" s="22" t="str">
        <f aca="false">IF($A165="","",IF($D165=0,"",_xlfn.MAXIFS(Dim_Fund!$AH:$AH,Dim_Fund!$U:$U,$A165,Dim_Fund!$AH:$AH,"&gt;0")))</f>
        <v/>
      </c>
      <c r="G165" s="31" t="str">
        <f aca="false">IF($A165="","",IF($D165=0,"",ROUND(($F165-$E165)*60,0)))</f>
        <v/>
      </c>
      <c r="H165" s="22" t="str">
        <f aca="false">IF($A165="","",$E165)</f>
        <v/>
      </c>
      <c r="I165" s="4" t="str">
        <f aca="false">IF($A165="","",IF($D165&gt;=4,"HIGH — "&amp;$D165&amp;" funds share this feed",IF($D165&gt;=2,"Medium — "&amp;$D165&amp;" funds","Single fund")))</f>
        <v/>
      </c>
      <c r="J165" s="29" t="str">
        <f aca="false">IF($A165="","",COUNTIFS(Dim_Fund!$U:$U,$A165,Dim_Fund!$BC:$BC,1))</f>
        <v/>
      </c>
      <c r="K165" s="32" t="str">
        <f aca="false">IF($A165="","",IF(COUNTA(Dim_Fund!$A:$A)&lt;=1,"",$D165/(COUNTA(Dim_Fund!$A:$A)-1)))</f>
        <v/>
      </c>
      <c r="L165" s="29" t="str">
        <f aca="false">IF($A165="","",COUNTIFS(Fact_Milestone!$B:$B,$A165,Fact_Milestone!$I:$I,"?*"))</f>
        <v/>
      </c>
      <c r="M165" s="29" t="str">
        <f aca="false">IF($A165="","",COUNTIFS(Fact_Milestone!$B:$B,$A165,Fact_Milestone!$I:$I,"No"))</f>
        <v/>
      </c>
      <c r="N165" s="33" t="str">
        <f aca="false">IF($A165="","",ROUND(SUMIFS(Fact_Milestone!$L:$L,Fact_Milestone!$B:$B,$A165)/60,2))</f>
        <v/>
      </c>
      <c r="O165" s="29" t="str">
        <f aca="false">IF($A165="","",COUNTIFS(Fact_Work!$AL:$AL,$A165,Fact_Work!$AI:$AI,"Yes",Fact_Work!$BB:$BB,"No"))</f>
        <v/>
      </c>
    </row>
    <row r="166" customFormat="false" ht="15" hidden="false" customHeight="true" outlineLevel="0" collapsed="false">
      <c r="D166" s="4" t="str">
        <f aca="false">IF($A166="","",COUNTIF(Dim_Fund!$U:$U,$A166))</f>
        <v/>
      </c>
      <c r="E166" s="22" t="str">
        <f aca="false">IF($A166="","",IF($D166=0,"",_xlfn.MINIFS(Dim_Fund!$AH:$AH,Dim_Fund!$U:$U,$A166,Dim_Fund!$AH:$AH,"&gt;0")))</f>
        <v/>
      </c>
      <c r="F166" s="22" t="str">
        <f aca="false">IF($A166="","",IF($D166=0,"",_xlfn.MAXIFS(Dim_Fund!$AH:$AH,Dim_Fund!$U:$U,$A166,Dim_Fund!$AH:$AH,"&gt;0")))</f>
        <v/>
      </c>
      <c r="G166" s="31" t="str">
        <f aca="false">IF($A166="","",IF($D166=0,"",ROUND(($F166-$E166)*60,0)))</f>
        <v/>
      </c>
      <c r="H166" s="22" t="str">
        <f aca="false">IF($A166="","",$E166)</f>
        <v/>
      </c>
      <c r="I166" s="4" t="str">
        <f aca="false">IF($A166="","",IF($D166&gt;=4,"HIGH — "&amp;$D166&amp;" funds share this feed",IF($D166&gt;=2,"Medium — "&amp;$D166&amp;" funds","Single fund")))</f>
        <v/>
      </c>
      <c r="J166" s="29" t="str">
        <f aca="false">IF($A166="","",COUNTIFS(Dim_Fund!$U:$U,$A166,Dim_Fund!$BC:$BC,1))</f>
        <v/>
      </c>
      <c r="K166" s="32" t="str">
        <f aca="false">IF($A166="","",IF(COUNTA(Dim_Fund!$A:$A)&lt;=1,"",$D166/(COUNTA(Dim_Fund!$A:$A)-1)))</f>
        <v/>
      </c>
      <c r="L166" s="29" t="str">
        <f aca="false">IF($A166="","",COUNTIFS(Fact_Milestone!$B:$B,$A166,Fact_Milestone!$I:$I,"?*"))</f>
        <v/>
      </c>
      <c r="M166" s="29" t="str">
        <f aca="false">IF($A166="","",COUNTIFS(Fact_Milestone!$B:$B,$A166,Fact_Milestone!$I:$I,"No"))</f>
        <v/>
      </c>
      <c r="N166" s="33" t="str">
        <f aca="false">IF($A166="","",ROUND(SUMIFS(Fact_Milestone!$L:$L,Fact_Milestone!$B:$B,$A166)/60,2))</f>
        <v/>
      </c>
      <c r="O166" s="29" t="str">
        <f aca="false">IF($A166="","",COUNTIFS(Fact_Work!$AL:$AL,$A166,Fact_Work!$AI:$AI,"Yes",Fact_Work!$BB:$BB,"No"))</f>
        <v/>
      </c>
    </row>
    <row r="167" customFormat="false" ht="15" hidden="false" customHeight="true" outlineLevel="0" collapsed="false">
      <c r="D167" s="4" t="str">
        <f aca="false">IF($A167="","",COUNTIF(Dim_Fund!$U:$U,$A167))</f>
        <v/>
      </c>
      <c r="E167" s="22" t="str">
        <f aca="false">IF($A167="","",IF($D167=0,"",_xlfn.MINIFS(Dim_Fund!$AH:$AH,Dim_Fund!$U:$U,$A167,Dim_Fund!$AH:$AH,"&gt;0")))</f>
        <v/>
      </c>
      <c r="F167" s="22" t="str">
        <f aca="false">IF($A167="","",IF($D167=0,"",_xlfn.MAXIFS(Dim_Fund!$AH:$AH,Dim_Fund!$U:$U,$A167,Dim_Fund!$AH:$AH,"&gt;0")))</f>
        <v/>
      </c>
      <c r="G167" s="31" t="str">
        <f aca="false">IF($A167="","",IF($D167=0,"",ROUND(($F167-$E167)*60,0)))</f>
        <v/>
      </c>
      <c r="H167" s="22" t="str">
        <f aca="false">IF($A167="","",$E167)</f>
        <v/>
      </c>
      <c r="I167" s="4" t="str">
        <f aca="false">IF($A167="","",IF($D167&gt;=4,"HIGH — "&amp;$D167&amp;" funds share this feed",IF($D167&gt;=2,"Medium — "&amp;$D167&amp;" funds","Single fund")))</f>
        <v/>
      </c>
      <c r="J167" s="29" t="str">
        <f aca="false">IF($A167="","",COUNTIFS(Dim_Fund!$U:$U,$A167,Dim_Fund!$BC:$BC,1))</f>
        <v/>
      </c>
      <c r="K167" s="32" t="str">
        <f aca="false">IF($A167="","",IF(COUNTA(Dim_Fund!$A:$A)&lt;=1,"",$D167/(COUNTA(Dim_Fund!$A:$A)-1)))</f>
        <v/>
      </c>
      <c r="L167" s="29" t="str">
        <f aca="false">IF($A167="","",COUNTIFS(Fact_Milestone!$B:$B,$A167,Fact_Milestone!$I:$I,"?*"))</f>
        <v/>
      </c>
      <c r="M167" s="29" t="str">
        <f aca="false">IF($A167="","",COUNTIFS(Fact_Milestone!$B:$B,$A167,Fact_Milestone!$I:$I,"No"))</f>
        <v/>
      </c>
      <c r="N167" s="33" t="str">
        <f aca="false">IF($A167="","",ROUND(SUMIFS(Fact_Milestone!$L:$L,Fact_Milestone!$B:$B,$A167)/60,2))</f>
        <v/>
      </c>
      <c r="O167" s="29" t="str">
        <f aca="false">IF($A167="","",COUNTIFS(Fact_Work!$AL:$AL,$A167,Fact_Work!$AI:$AI,"Yes",Fact_Work!$BB:$BB,"No"))</f>
        <v/>
      </c>
    </row>
    <row r="168" customFormat="false" ht="15" hidden="false" customHeight="true" outlineLevel="0" collapsed="false">
      <c r="D168" s="4" t="str">
        <f aca="false">IF($A168="","",COUNTIF(Dim_Fund!$U:$U,$A168))</f>
        <v/>
      </c>
      <c r="E168" s="22" t="str">
        <f aca="false">IF($A168="","",IF($D168=0,"",_xlfn.MINIFS(Dim_Fund!$AH:$AH,Dim_Fund!$U:$U,$A168,Dim_Fund!$AH:$AH,"&gt;0")))</f>
        <v/>
      </c>
      <c r="F168" s="22" t="str">
        <f aca="false">IF($A168="","",IF($D168=0,"",_xlfn.MAXIFS(Dim_Fund!$AH:$AH,Dim_Fund!$U:$U,$A168,Dim_Fund!$AH:$AH,"&gt;0")))</f>
        <v/>
      </c>
      <c r="G168" s="31" t="str">
        <f aca="false">IF($A168="","",IF($D168=0,"",ROUND(($F168-$E168)*60,0)))</f>
        <v/>
      </c>
      <c r="H168" s="22" t="str">
        <f aca="false">IF($A168="","",$E168)</f>
        <v/>
      </c>
      <c r="I168" s="4" t="str">
        <f aca="false">IF($A168="","",IF($D168&gt;=4,"HIGH — "&amp;$D168&amp;" funds share this feed",IF($D168&gt;=2,"Medium — "&amp;$D168&amp;" funds","Single fund")))</f>
        <v/>
      </c>
      <c r="J168" s="29" t="str">
        <f aca="false">IF($A168="","",COUNTIFS(Dim_Fund!$U:$U,$A168,Dim_Fund!$BC:$BC,1))</f>
        <v/>
      </c>
      <c r="K168" s="32" t="str">
        <f aca="false">IF($A168="","",IF(COUNTA(Dim_Fund!$A:$A)&lt;=1,"",$D168/(COUNTA(Dim_Fund!$A:$A)-1)))</f>
        <v/>
      </c>
      <c r="L168" s="29" t="str">
        <f aca="false">IF($A168="","",COUNTIFS(Fact_Milestone!$B:$B,$A168,Fact_Milestone!$I:$I,"?*"))</f>
        <v/>
      </c>
      <c r="M168" s="29" t="str">
        <f aca="false">IF($A168="","",COUNTIFS(Fact_Milestone!$B:$B,$A168,Fact_Milestone!$I:$I,"No"))</f>
        <v/>
      </c>
      <c r="N168" s="33" t="str">
        <f aca="false">IF($A168="","",ROUND(SUMIFS(Fact_Milestone!$L:$L,Fact_Milestone!$B:$B,$A168)/60,2))</f>
        <v/>
      </c>
      <c r="O168" s="29" t="str">
        <f aca="false">IF($A168="","",COUNTIFS(Fact_Work!$AL:$AL,$A168,Fact_Work!$AI:$AI,"Yes",Fact_Work!$BB:$BB,"No"))</f>
        <v/>
      </c>
    </row>
    <row r="169" customFormat="false" ht="15" hidden="false" customHeight="true" outlineLevel="0" collapsed="false">
      <c r="D169" s="4" t="str">
        <f aca="false">IF($A169="","",COUNTIF(Dim_Fund!$U:$U,$A169))</f>
        <v/>
      </c>
      <c r="E169" s="22" t="str">
        <f aca="false">IF($A169="","",IF($D169=0,"",_xlfn.MINIFS(Dim_Fund!$AH:$AH,Dim_Fund!$U:$U,$A169,Dim_Fund!$AH:$AH,"&gt;0")))</f>
        <v/>
      </c>
      <c r="F169" s="22" t="str">
        <f aca="false">IF($A169="","",IF($D169=0,"",_xlfn.MAXIFS(Dim_Fund!$AH:$AH,Dim_Fund!$U:$U,$A169,Dim_Fund!$AH:$AH,"&gt;0")))</f>
        <v/>
      </c>
      <c r="G169" s="31" t="str">
        <f aca="false">IF($A169="","",IF($D169=0,"",ROUND(($F169-$E169)*60,0)))</f>
        <v/>
      </c>
      <c r="H169" s="22" t="str">
        <f aca="false">IF($A169="","",$E169)</f>
        <v/>
      </c>
      <c r="I169" s="4" t="str">
        <f aca="false">IF($A169="","",IF($D169&gt;=4,"HIGH — "&amp;$D169&amp;" funds share this feed",IF($D169&gt;=2,"Medium — "&amp;$D169&amp;" funds","Single fund")))</f>
        <v/>
      </c>
      <c r="J169" s="29" t="str">
        <f aca="false">IF($A169="","",COUNTIFS(Dim_Fund!$U:$U,$A169,Dim_Fund!$BC:$BC,1))</f>
        <v/>
      </c>
      <c r="K169" s="32" t="str">
        <f aca="false">IF($A169="","",IF(COUNTA(Dim_Fund!$A:$A)&lt;=1,"",$D169/(COUNTA(Dim_Fund!$A:$A)-1)))</f>
        <v/>
      </c>
      <c r="L169" s="29" t="str">
        <f aca="false">IF($A169="","",COUNTIFS(Fact_Milestone!$B:$B,$A169,Fact_Milestone!$I:$I,"?*"))</f>
        <v/>
      </c>
      <c r="M169" s="29" t="str">
        <f aca="false">IF($A169="","",COUNTIFS(Fact_Milestone!$B:$B,$A169,Fact_Milestone!$I:$I,"No"))</f>
        <v/>
      </c>
      <c r="N169" s="33" t="str">
        <f aca="false">IF($A169="","",ROUND(SUMIFS(Fact_Milestone!$L:$L,Fact_Milestone!$B:$B,$A169)/60,2))</f>
        <v/>
      </c>
      <c r="O169" s="29" t="str">
        <f aca="false">IF($A169="","",COUNTIFS(Fact_Work!$AL:$AL,$A169,Fact_Work!$AI:$AI,"Yes",Fact_Work!$BB:$BB,"No"))</f>
        <v/>
      </c>
    </row>
    <row r="170" customFormat="false" ht="15" hidden="false" customHeight="true" outlineLevel="0" collapsed="false">
      <c r="D170" s="4" t="str">
        <f aca="false">IF($A170="","",COUNTIF(Dim_Fund!$U:$U,$A170))</f>
        <v/>
      </c>
      <c r="E170" s="22" t="str">
        <f aca="false">IF($A170="","",IF($D170=0,"",_xlfn.MINIFS(Dim_Fund!$AH:$AH,Dim_Fund!$U:$U,$A170,Dim_Fund!$AH:$AH,"&gt;0")))</f>
        <v/>
      </c>
      <c r="F170" s="22" t="str">
        <f aca="false">IF($A170="","",IF($D170=0,"",_xlfn.MAXIFS(Dim_Fund!$AH:$AH,Dim_Fund!$U:$U,$A170,Dim_Fund!$AH:$AH,"&gt;0")))</f>
        <v/>
      </c>
      <c r="G170" s="31" t="str">
        <f aca="false">IF($A170="","",IF($D170=0,"",ROUND(($F170-$E170)*60,0)))</f>
        <v/>
      </c>
      <c r="H170" s="22" t="str">
        <f aca="false">IF($A170="","",$E170)</f>
        <v/>
      </c>
      <c r="I170" s="4" t="str">
        <f aca="false">IF($A170="","",IF($D170&gt;=4,"HIGH — "&amp;$D170&amp;" funds share this feed",IF($D170&gt;=2,"Medium — "&amp;$D170&amp;" funds","Single fund")))</f>
        <v/>
      </c>
      <c r="J170" s="29" t="str">
        <f aca="false">IF($A170="","",COUNTIFS(Dim_Fund!$U:$U,$A170,Dim_Fund!$BC:$BC,1))</f>
        <v/>
      </c>
      <c r="K170" s="32" t="str">
        <f aca="false">IF($A170="","",IF(COUNTA(Dim_Fund!$A:$A)&lt;=1,"",$D170/(COUNTA(Dim_Fund!$A:$A)-1)))</f>
        <v/>
      </c>
      <c r="L170" s="29" t="str">
        <f aca="false">IF($A170="","",COUNTIFS(Fact_Milestone!$B:$B,$A170,Fact_Milestone!$I:$I,"?*"))</f>
        <v/>
      </c>
      <c r="M170" s="29" t="str">
        <f aca="false">IF($A170="","",COUNTIFS(Fact_Milestone!$B:$B,$A170,Fact_Milestone!$I:$I,"No"))</f>
        <v/>
      </c>
      <c r="N170" s="33" t="str">
        <f aca="false">IF($A170="","",ROUND(SUMIFS(Fact_Milestone!$L:$L,Fact_Milestone!$B:$B,$A170)/60,2))</f>
        <v/>
      </c>
      <c r="O170" s="29" t="str">
        <f aca="false">IF($A170="","",COUNTIFS(Fact_Work!$AL:$AL,$A170,Fact_Work!$AI:$AI,"Yes",Fact_Work!$BB:$BB,"No"))</f>
        <v/>
      </c>
    </row>
    <row r="171" customFormat="false" ht="15" hidden="false" customHeight="true" outlineLevel="0" collapsed="false">
      <c r="D171" s="4" t="str">
        <f aca="false">IF($A171="","",COUNTIF(Dim_Fund!$U:$U,$A171))</f>
        <v/>
      </c>
      <c r="E171" s="22" t="str">
        <f aca="false">IF($A171="","",IF($D171=0,"",_xlfn.MINIFS(Dim_Fund!$AH:$AH,Dim_Fund!$U:$U,$A171,Dim_Fund!$AH:$AH,"&gt;0")))</f>
        <v/>
      </c>
      <c r="F171" s="22" t="str">
        <f aca="false">IF($A171="","",IF($D171=0,"",_xlfn.MAXIFS(Dim_Fund!$AH:$AH,Dim_Fund!$U:$U,$A171,Dim_Fund!$AH:$AH,"&gt;0")))</f>
        <v/>
      </c>
      <c r="G171" s="31" t="str">
        <f aca="false">IF($A171="","",IF($D171=0,"",ROUND(($F171-$E171)*60,0)))</f>
        <v/>
      </c>
      <c r="H171" s="22" t="str">
        <f aca="false">IF($A171="","",$E171)</f>
        <v/>
      </c>
      <c r="I171" s="4" t="str">
        <f aca="false">IF($A171="","",IF($D171&gt;=4,"HIGH — "&amp;$D171&amp;" funds share this feed",IF($D171&gt;=2,"Medium — "&amp;$D171&amp;" funds","Single fund")))</f>
        <v/>
      </c>
      <c r="J171" s="29" t="str">
        <f aca="false">IF($A171="","",COUNTIFS(Dim_Fund!$U:$U,$A171,Dim_Fund!$BC:$BC,1))</f>
        <v/>
      </c>
      <c r="K171" s="32" t="str">
        <f aca="false">IF($A171="","",IF(COUNTA(Dim_Fund!$A:$A)&lt;=1,"",$D171/(COUNTA(Dim_Fund!$A:$A)-1)))</f>
        <v/>
      </c>
      <c r="L171" s="29" t="str">
        <f aca="false">IF($A171="","",COUNTIFS(Fact_Milestone!$B:$B,$A171,Fact_Milestone!$I:$I,"?*"))</f>
        <v/>
      </c>
      <c r="M171" s="29" t="str">
        <f aca="false">IF($A171="","",COUNTIFS(Fact_Milestone!$B:$B,$A171,Fact_Milestone!$I:$I,"No"))</f>
        <v/>
      </c>
      <c r="N171" s="33" t="str">
        <f aca="false">IF($A171="","",ROUND(SUMIFS(Fact_Milestone!$L:$L,Fact_Milestone!$B:$B,$A171)/60,2))</f>
        <v/>
      </c>
      <c r="O171" s="29" t="str">
        <f aca="false">IF($A171="","",COUNTIFS(Fact_Work!$AL:$AL,$A171,Fact_Work!$AI:$AI,"Yes",Fact_Work!$BB:$BB,"No"))</f>
        <v/>
      </c>
    </row>
    <row r="172" customFormat="false" ht="15" hidden="false" customHeight="true" outlineLevel="0" collapsed="false">
      <c r="D172" s="4" t="str">
        <f aca="false">IF($A172="","",COUNTIF(Dim_Fund!$U:$U,$A172))</f>
        <v/>
      </c>
      <c r="E172" s="22" t="str">
        <f aca="false">IF($A172="","",IF($D172=0,"",_xlfn.MINIFS(Dim_Fund!$AH:$AH,Dim_Fund!$U:$U,$A172,Dim_Fund!$AH:$AH,"&gt;0")))</f>
        <v/>
      </c>
      <c r="F172" s="22" t="str">
        <f aca="false">IF($A172="","",IF($D172=0,"",_xlfn.MAXIFS(Dim_Fund!$AH:$AH,Dim_Fund!$U:$U,$A172,Dim_Fund!$AH:$AH,"&gt;0")))</f>
        <v/>
      </c>
      <c r="G172" s="31" t="str">
        <f aca="false">IF($A172="","",IF($D172=0,"",ROUND(($F172-$E172)*60,0)))</f>
        <v/>
      </c>
      <c r="H172" s="22" t="str">
        <f aca="false">IF($A172="","",$E172)</f>
        <v/>
      </c>
      <c r="I172" s="4" t="str">
        <f aca="false">IF($A172="","",IF($D172&gt;=4,"HIGH — "&amp;$D172&amp;" funds share this feed",IF($D172&gt;=2,"Medium — "&amp;$D172&amp;" funds","Single fund")))</f>
        <v/>
      </c>
      <c r="J172" s="29" t="str">
        <f aca="false">IF($A172="","",COUNTIFS(Dim_Fund!$U:$U,$A172,Dim_Fund!$BC:$BC,1))</f>
        <v/>
      </c>
      <c r="K172" s="32" t="str">
        <f aca="false">IF($A172="","",IF(COUNTA(Dim_Fund!$A:$A)&lt;=1,"",$D172/(COUNTA(Dim_Fund!$A:$A)-1)))</f>
        <v/>
      </c>
      <c r="L172" s="29" t="str">
        <f aca="false">IF($A172="","",COUNTIFS(Fact_Milestone!$B:$B,$A172,Fact_Milestone!$I:$I,"?*"))</f>
        <v/>
      </c>
      <c r="M172" s="29" t="str">
        <f aca="false">IF($A172="","",COUNTIFS(Fact_Milestone!$B:$B,$A172,Fact_Milestone!$I:$I,"No"))</f>
        <v/>
      </c>
      <c r="N172" s="33" t="str">
        <f aca="false">IF($A172="","",ROUND(SUMIFS(Fact_Milestone!$L:$L,Fact_Milestone!$B:$B,$A172)/60,2))</f>
        <v/>
      </c>
      <c r="O172" s="29" t="str">
        <f aca="false">IF($A172="","",COUNTIFS(Fact_Work!$AL:$AL,$A172,Fact_Work!$AI:$AI,"Yes",Fact_Work!$BB:$BB,"No"))</f>
        <v/>
      </c>
    </row>
    <row r="173" customFormat="false" ht="15" hidden="false" customHeight="true" outlineLevel="0" collapsed="false">
      <c r="D173" s="4" t="str">
        <f aca="false">IF($A173="","",COUNTIF(Dim_Fund!$U:$U,$A173))</f>
        <v/>
      </c>
      <c r="E173" s="22" t="str">
        <f aca="false">IF($A173="","",IF($D173=0,"",_xlfn.MINIFS(Dim_Fund!$AH:$AH,Dim_Fund!$U:$U,$A173,Dim_Fund!$AH:$AH,"&gt;0")))</f>
        <v/>
      </c>
      <c r="F173" s="22" t="str">
        <f aca="false">IF($A173="","",IF($D173=0,"",_xlfn.MAXIFS(Dim_Fund!$AH:$AH,Dim_Fund!$U:$U,$A173,Dim_Fund!$AH:$AH,"&gt;0")))</f>
        <v/>
      </c>
      <c r="G173" s="31" t="str">
        <f aca="false">IF($A173="","",IF($D173=0,"",ROUND(($F173-$E173)*60,0)))</f>
        <v/>
      </c>
      <c r="H173" s="22" t="str">
        <f aca="false">IF($A173="","",$E173)</f>
        <v/>
      </c>
      <c r="I173" s="4" t="str">
        <f aca="false">IF($A173="","",IF($D173&gt;=4,"HIGH — "&amp;$D173&amp;" funds share this feed",IF($D173&gt;=2,"Medium — "&amp;$D173&amp;" funds","Single fund")))</f>
        <v/>
      </c>
      <c r="J173" s="29" t="str">
        <f aca="false">IF($A173="","",COUNTIFS(Dim_Fund!$U:$U,$A173,Dim_Fund!$BC:$BC,1))</f>
        <v/>
      </c>
      <c r="K173" s="32" t="str">
        <f aca="false">IF($A173="","",IF(COUNTA(Dim_Fund!$A:$A)&lt;=1,"",$D173/(COUNTA(Dim_Fund!$A:$A)-1)))</f>
        <v/>
      </c>
      <c r="L173" s="29" t="str">
        <f aca="false">IF($A173="","",COUNTIFS(Fact_Milestone!$B:$B,$A173,Fact_Milestone!$I:$I,"?*"))</f>
        <v/>
      </c>
      <c r="M173" s="29" t="str">
        <f aca="false">IF($A173="","",COUNTIFS(Fact_Milestone!$B:$B,$A173,Fact_Milestone!$I:$I,"No"))</f>
        <v/>
      </c>
      <c r="N173" s="33" t="str">
        <f aca="false">IF($A173="","",ROUND(SUMIFS(Fact_Milestone!$L:$L,Fact_Milestone!$B:$B,$A173)/60,2))</f>
        <v/>
      </c>
      <c r="O173" s="29" t="str">
        <f aca="false">IF($A173="","",COUNTIFS(Fact_Work!$AL:$AL,$A173,Fact_Work!$AI:$AI,"Yes",Fact_Work!$BB:$BB,"No"))</f>
        <v/>
      </c>
    </row>
    <row r="174" customFormat="false" ht="15" hidden="false" customHeight="true" outlineLevel="0" collapsed="false">
      <c r="D174" s="4" t="str">
        <f aca="false">IF($A174="","",COUNTIF(Dim_Fund!$U:$U,$A174))</f>
        <v/>
      </c>
      <c r="E174" s="22" t="str">
        <f aca="false">IF($A174="","",IF($D174=0,"",_xlfn.MINIFS(Dim_Fund!$AH:$AH,Dim_Fund!$U:$U,$A174,Dim_Fund!$AH:$AH,"&gt;0")))</f>
        <v/>
      </c>
      <c r="F174" s="22" t="str">
        <f aca="false">IF($A174="","",IF($D174=0,"",_xlfn.MAXIFS(Dim_Fund!$AH:$AH,Dim_Fund!$U:$U,$A174,Dim_Fund!$AH:$AH,"&gt;0")))</f>
        <v/>
      </c>
      <c r="G174" s="31" t="str">
        <f aca="false">IF($A174="","",IF($D174=0,"",ROUND(($F174-$E174)*60,0)))</f>
        <v/>
      </c>
      <c r="H174" s="22" t="str">
        <f aca="false">IF($A174="","",$E174)</f>
        <v/>
      </c>
      <c r="I174" s="4" t="str">
        <f aca="false">IF($A174="","",IF($D174&gt;=4,"HIGH — "&amp;$D174&amp;" funds share this feed",IF($D174&gt;=2,"Medium — "&amp;$D174&amp;" funds","Single fund")))</f>
        <v/>
      </c>
      <c r="J174" s="29" t="str">
        <f aca="false">IF($A174="","",COUNTIFS(Dim_Fund!$U:$U,$A174,Dim_Fund!$BC:$BC,1))</f>
        <v/>
      </c>
      <c r="K174" s="32" t="str">
        <f aca="false">IF($A174="","",IF(COUNTA(Dim_Fund!$A:$A)&lt;=1,"",$D174/(COUNTA(Dim_Fund!$A:$A)-1)))</f>
        <v/>
      </c>
      <c r="L174" s="29" t="str">
        <f aca="false">IF($A174="","",COUNTIFS(Fact_Milestone!$B:$B,$A174,Fact_Milestone!$I:$I,"?*"))</f>
        <v/>
      </c>
      <c r="M174" s="29" t="str">
        <f aca="false">IF($A174="","",COUNTIFS(Fact_Milestone!$B:$B,$A174,Fact_Milestone!$I:$I,"No"))</f>
        <v/>
      </c>
      <c r="N174" s="33" t="str">
        <f aca="false">IF($A174="","",ROUND(SUMIFS(Fact_Milestone!$L:$L,Fact_Milestone!$B:$B,$A174)/60,2))</f>
        <v/>
      </c>
      <c r="O174" s="29" t="str">
        <f aca="false">IF($A174="","",COUNTIFS(Fact_Work!$AL:$AL,$A174,Fact_Work!$AI:$AI,"Yes",Fact_Work!$BB:$BB,"No"))</f>
        <v/>
      </c>
    </row>
    <row r="175" customFormat="false" ht="15" hidden="false" customHeight="true" outlineLevel="0" collapsed="false">
      <c r="D175" s="4" t="str">
        <f aca="false">IF($A175="","",COUNTIF(Dim_Fund!$U:$U,$A175))</f>
        <v/>
      </c>
      <c r="E175" s="22" t="str">
        <f aca="false">IF($A175="","",IF($D175=0,"",_xlfn.MINIFS(Dim_Fund!$AH:$AH,Dim_Fund!$U:$U,$A175,Dim_Fund!$AH:$AH,"&gt;0")))</f>
        <v/>
      </c>
      <c r="F175" s="22" t="str">
        <f aca="false">IF($A175="","",IF($D175=0,"",_xlfn.MAXIFS(Dim_Fund!$AH:$AH,Dim_Fund!$U:$U,$A175,Dim_Fund!$AH:$AH,"&gt;0")))</f>
        <v/>
      </c>
      <c r="G175" s="31" t="str">
        <f aca="false">IF($A175="","",IF($D175=0,"",ROUND(($F175-$E175)*60,0)))</f>
        <v/>
      </c>
      <c r="H175" s="22" t="str">
        <f aca="false">IF($A175="","",$E175)</f>
        <v/>
      </c>
      <c r="I175" s="4" t="str">
        <f aca="false">IF($A175="","",IF($D175&gt;=4,"HIGH — "&amp;$D175&amp;" funds share this feed",IF($D175&gt;=2,"Medium — "&amp;$D175&amp;" funds","Single fund")))</f>
        <v/>
      </c>
      <c r="J175" s="29" t="str">
        <f aca="false">IF($A175="","",COUNTIFS(Dim_Fund!$U:$U,$A175,Dim_Fund!$BC:$BC,1))</f>
        <v/>
      </c>
      <c r="K175" s="32" t="str">
        <f aca="false">IF($A175="","",IF(COUNTA(Dim_Fund!$A:$A)&lt;=1,"",$D175/(COUNTA(Dim_Fund!$A:$A)-1)))</f>
        <v/>
      </c>
      <c r="L175" s="29" t="str">
        <f aca="false">IF($A175="","",COUNTIFS(Fact_Milestone!$B:$B,$A175,Fact_Milestone!$I:$I,"?*"))</f>
        <v/>
      </c>
      <c r="M175" s="29" t="str">
        <f aca="false">IF($A175="","",COUNTIFS(Fact_Milestone!$B:$B,$A175,Fact_Milestone!$I:$I,"No"))</f>
        <v/>
      </c>
      <c r="N175" s="33" t="str">
        <f aca="false">IF($A175="","",ROUND(SUMIFS(Fact_Milestone!$L:$L,Fact_Milestone!$B:$B,$A175)/60,2))</f>
        <v/>
      </c>
      <c r="O175" s="29" t="str">
        <f aca="false">IF($A175="","",COUNTIFS(Fact_Work!$AL:$AL,$A175,Fact_Work!$AI:$AI,"Yes",Fact_Work!$BB:$BB,"No"))</f>
        <v/>
      </c>
    </row>
    <row r="176" customFormat="false" ht="15" hidden="false" customHeight="true" outlineLevel="0" collapsed="false">
      <c r="D176" s="4" t="str">
        <f aca="false">IF($A176="","",COUNTIF(Dim_Fund!$U:$U,$A176))</f>
        <v/>
      </c>
      <c r="E176" s="22" t="str">
        <f aca="false">IF($A176="","",IF($D176=0,"",_xlfn.MINIFS(Dim_Fund!$AH:$AH,Dim_Fund!$U:$U,$A176,Dim_Fund!$AH:$AH,"&gt;0")))</f>
        <v/>
      </c>
      <c r="F176" s="22" t="str">
        <f aca="false">IF($A176="","",IF($D176=0,"",_xlfn.MAXIFS(Dim_Fund!$AH:$AH,Dim_Fund!$U:$U,$A176,Dim_Fund!$AH:$AH,"&gt;0")))</f>
        <v/>
      </c>
      <c r="G176" s="31" t="str">
        <f aca="false">IF($A176="","",IF($D176=0,"",ROUND(($F176-$E176)*60,0)))</f>
        <v/>
      </c>
      <c r="H176" s="22" t="str">
        <f aca="false">IF($A176="","",$E176)</f>
        <v/>
      </c>
      <c r="I176" s="4" t="str">
        <f aca="false">IF($A176="","",IF($D176&gt;=4,"HIGH — "&amp;$D176&amp;" funds share this feed",IF($D176&gt;=2,"Medium — "&amp;$D176&amp;" funds","Single fund")))</f>
        <v/>
      </c>
      <c r="J176" s="29" t="str">
        <f aca="false">IF($A176="","",COUNTIFS(Dim_Fund!$U:$U,$A176,Dim_Fund!$BC:$BC,1))</f>
        <v/>
      </c>
      <c r="K176" s="32" t="str">
        <f aca="false">IF($A176="","",IF(COUNTA(Dim_Fund!$A:$A)&lt;=1,"",$D176/(COUNTA(Dim_Fund!$A:$A)-1)))</f>
        <v/>
      </c>
      <c r="L176" s="29" t="str">
        <f aca="false">IF($A176="","",COUNTIFS(Fact_Milestone!$B:$B,$A176,Fact_Milestone!$I:$I,"?*"))</f>
        <v/>
      </c>
      <c r="M176" s="29" t="str">
        <f aca="false">IF($A176="","",COUNTIFS(Fact_Milestone!$B:$B,$A176,Fact_Milestone!$I:$I,"No"))</f>
        <v/>
      </c>
      <c r="N176" s="33" t="str">
        <f aca="false">IF($A176="","",ROUND(SUMIFS(Fact_Milestone!$L:$L,Fact_Milestone!$B:$B,$A176)/60,2))</f>
        <v/>
      </c>
      <c r="O176" s="29" t="str">
        <f aca="false">IF($A176="","",COUNTIFS(Fact_Work!$AL:$AL,$A176,Fact_Work!$AI:$AI,"Yes",Fact_Work!$BB:$BB,"No"))</f>
        <v/>
      </c>
    </row>
    <row r="177" customFormat="false" ht="15" hidden="false" customHeight="true" outlineLevel="0" collapsed="false">
      <c r="D177" s="4" t="str">
        <f aca="false">IF($A177="","",COUNTIF(Dim_Fund!$U:$U,$A177))</f>
        <v/>
      </c>
      <c r="E177" s="22" t="str">
        <f aca="false">IF($A177="","",IF($D177=0,"",_xlfn.MINIFS(Dim_Fund!$AH:$AH,Dim_Fund!$U:$U,$A177,Dim_Fund!$AH:$AH,"&gt;0")))</f>
        <v/>
      </c>
      <c r="F177" s="22" t="str">
        <f aca="false">IF($A177="","",IF($D177=0,"",_xlfn.MAXIFS(Dim_Fund!$AH:$AH,Dim_Fund!$U:$U,$A177,Dim_Fund!$AH:$AH,"&gt;0")))</f>
        <v/>
      </c>
      <c r="G177" s="31" t="str">
        <f aca="false">IF($A177="","",IF($D177=0,"",ROUND(($F177-$E177)*60,0)))</f>
        <v/>
      </c>
      <c r="H177" s="22" t="str">
        <f aca="false">IF($A177="","",$E177)</f>
        <v/>
      </c>
      <c r="I177" s="4" t="str">
        <f aca="false">IF($A177="","",IF($D177&gt;=4,"HIGH — "&amp;$D177&amp;" funds share this feed",IF($D177&gt;=2,"Medium — "&amp;$D177&amp;" funds","Single fund")))</f>
        <v/>
      </c>
      <c r="J177" s="29" t="str">
        <f aca="false">IF($A177="","",COUNTIFS(Dim_Fund!$U:$U,$A177,Dim_Fund!$BC:$BC,1))</f>
        <v/>
      </c>
      <c r="K177" s="32" t="str">
        <f aca="false">IF($A177="","",IF(COUNTA(Dim_Fund!$A:$A)&lt;=1,"",$D177/(COUNTA(Dim_Fund!$A:$A)-1)))</f>
        <v/>
      </c>
      <c r="L177" s="29" t="str">
        <f aca="false">IF($A177="","",COUNTIFS(Fact_Milestone!$B:$B,$A177,Fact_Milestone!$I:$I,"?*"))</f>
        <v/>
      </c>
      <c r="M177" s="29" t="str">
        <f aca="false">IF($A177="","",COUNTIFS(Fact_Milestone!$B:$B,$A177,Fact_Milestone!$I:$I,"No"))</f>
        <v/>
      </c>
      <c r="N177" s="33" t="str">
        <f aca="false">IF($A177="","",ROUND(SUMIFS(Fact_Milestone!$L:$L,Fact_Milestone!$B:$B,$A177)/60,2))</f>
        <v/>
      </c>
      <c r="O177" s="29" t="str">
        <f aca="false">IF($A177="","",COUNTIFS(Fact_Work!$AL:$AL,$A177,Fact_Work!$AI:$AI,"Yes",Fact_Work!$BB:$BB,"No"))</f>
        <v/>
      </c>
    </row>
    <row r="178" customFormat="false" ht="15" hidden="false" customHeight="true" outlineLevel="0" collapsed="false">
      <c r="D178" s="4" t="str">
        <f aca="false">IF($A178="","",COUNTIF(Dim_Fund!$U:$U,$A178))</f>
        <v/>
      </c>
      <c r="E178" s="22" t="str">
        <f aca="false">IF($A178="","",IF($D178=0,"",_xlfn.MINIFS(Dim_Fund!$AH:$AH,Dim_Fund!$U:$U,$A178,Dim_Fund!$AH:$AH,"&gt;0")))</f>
        <v/>
      </c>
      <c r="F178" s="22" t="str">
        <f aca="false">IF($A178="","",IF($D178=0,"",_xlfn.MAXIFS(Dim_Fund!$AH:$AH,Dim_Fund!$U:$U,$A178,Dim_Fund!$AH:$AH,"&gt;0")))</f>
        <v/>
      </c>
      <c r="G178" s="31" t="str">
        <f aca="false">IF($A178="","",IF($D178=0,"",ROUND(($F178-$E178)*60,0)))</f>
        <v/>
      </c>
      <c r="H178" s="22" t="str">
        <f aca="false">IF($A178="","",$E178)</f>
        <v/>
      </c>
      <c r="I178" s="4" t="str">
        <f aca="false">IF($A178="","",IF($D178&gt;=4,"HIGH — "&amp;$D178&amp;" funds share this feed",IF($D178&gt;=2,"Medium — "&amp;$D178&amp;" funds","Single fund")))</f>
        <v/>
      </c>
      <c r="J178" s="29" t="str">
        <f aca="false">IF($A178="","",COUNTIFS(Dim_Fund!$U:$U,$A178,Dim_Fund!$BC:$BC,1))</f>
        <v/>
      </c>
      <c r="K178" s="32" t="str">
        <f aca="false">IF($A178="","",IF(COUNTA(Dim_Fund!$A:$A)&lt;=1,"",$D178/(COUNTA(Dim_Fund!$A:$A)-1)))</f>
        <v/>
      </c>
      <c r="L178" s="29" t="str">
        <f aca="false">IF($A178="","",COUNTIFS(Fact_Milestone!$B:$B,$A178,Fact_Milestone!$I:$I,"?*"))</f>
        <v/>
      </c>
      <c r="M178" s="29" t="str">
        <f aca="false">IF($A178="","",COUNTIFS(Fact_Milestone!$B:$B,$A178,Fact_Milestone!$I:$I,"No"))</f>
        <v/>
      </c>
      <c r="N178" s="33" t="str">
        <f aca="false">IF($A178="","",ROUND(SUMIFS(Fact_Milestone!$L:$L,Fact_Milestone!$B:$B,$A178)/60,2))</f>
        <v/>
      </c>
      <c r="O178" s="29" t="str">
        <f aca="false">IF($A178="","",COUNTIFS(Fact_Work!$AL:$AL,$A178,Fact_Work!$AI:$AI,"Yes",Fact_Work!$BB:$BB,"No"))</f>
        <v/>
      </c>
    </row>
    <row r="179" customFormat="false" ht="15" hidden="false" customHeight="true" outlineLevel="0" collapsed="false">
      <c r="D179" s="4" t="str">
        <f aca="false">IF($A179="","",COUNTIF(Dim_Fund!$U:$U,$A179))</f>
        <v/>
      </c>
      <c r="E179" s="22" t="str">
        <f aca="false">IF($A179="","",IF($D179=0,"",_xlfn.MINIFS(Dim_Fund!$AH:$AH,Dim_Fund!$U:$U,$A179,Dim_Fund!$AH:$AH,"&gt;0")))</f>
        <v/>
      </c>
      <c r="F179" s="22" t="str">
        <f aca="false">IF($A179="","",IF($D179=0,"",_xlfn.MAXIFS(Dim_Fund!$AH:$AH,Dim_Fund!$U:$U,$A179,Dim_Fund!$AH:$AH,"&gt;0")))</f>
        <v/>
      </c>
      <c r="G179" s="31" t="str">
        <f aca="false">IF($A179="","",IF($D179=0,"",ROUND(($F179-$E179)*60,0)))</f>
        <v/>
      </c>
      <c r="H179" s="22" t="str">
        <f aca="false">IF($A179="","",$E179)</f>
        <v/>
      </c>
      <c r="I179" s="4" t="str">
        <f aca="false">IF($A179="","",IF($D179&gt;=4,"HIGH — "&amp;$D179&amp;" funds share this feed",IF($D179&gt;=2,"Medium — "&amp;$D179&amp;" funds","Single fund")))</f>
        <v/>
      </c>
      <c r="J179" s="29" t="str">
        <f aca="false">IF($A179="","",COUNTIFS(Dim_Fund!$U:$U,$A179,Dim_Fund!$BC:$BC,1))</f>
        <v/>
      </c>
      <c r="K179" s="32" t="str">
        <f aca="false">IF($A179="","",IF(COUNTA(Dim_Fund!$A:$A)&lt;=1,"",$D179/(COUNTA(Dim_Fund!$A:$A)-1)))</f>
        <v/>
      </c>
      <c r="L179" s="29" t="str">
        <f aca="false">IF($A179="","",COUNTIFS(Fact_Milestone!$B:$B,$A179,Fact_Milestone!$I:$I,"?*"))</f>
        <v/>
      </c>
      <c r="M179" s="29" t="str">
        <f aca="false">IF($A179="","",COUNTIFS(Fact_Milestone!$B:$B,$A179,Fact_Milestone!$I:$I,"No"))</f>
        <v/>
      </c>
      <c r="N179" s="33" t="str">
        <f aca="false">IF($A179="","",ROUND(SUMIFS(Fact_Milestone!$L:$L,Fact_Milestone!$B:$B,$A179)/60,2))</f>
        <v/>
      </c>
      <c r="O179" s="29" t="str">
        <f aca="false">IF($A179="","",COUNTIFS(Fact_Work!$AL:$AL,$A179,Fact_Work!$AI:$AI,"Yes",Fact_Work!$BB:$BB,"No"))</f>
        <v/>
      </c>
    </row>
    <row r="180" customFormat="false" ht="15" hidden="false" customHeight="true" outlineLevel="0" collapsed="false">
      <c r="D180" s="4" t="str">
        <f aca="false">IF($A180="","",COUNTIF(Dim_Fund!$U:$U,$A180))</f>
        <v/>
      </c>
      <c r="E180" s="22" t="str">
        <f aca="false">IF($A180="","",IF($D180=0,"",_xlfn.MINIFS(Dim_Fund!$AH:$AH,Dim_Fund!$U:$U,$A180,Dim_Fund!$AH:$AH,"&gt;0")))</f>
        <v/>
      </c>
      <c r="F180" s="22" t="str">
        <f aca="false">IF($A180="","",IF($D180=0,"",_xlfn.MAXIFS(Dim_Fund!$AH:$AH,Dim_Fund!$U:$U,$A180,Dim_Fund!$AH:$AH,"&gt;0")))</f>
        <v/>
      </c>
      <c r="G180" s="31" t="str">
        <f aca="false">IF($A180="","",IF($D180=0,"",ROUND(($F180-$E180)*60,0)))</f>
        <v/>
      </c>
      <c r="H180" s="22" t="str">
        <f aca="false">IF($A180="","",$E180)</f>
        <v/>
      </c>
      <c r="I180" s="4" t="str">
        <f aca="false">IF($A180="","",IF($D180&gt;=4,"HIGH — "&amp;$D180&amp;" funds share this feed",IF($D180&gt;=2,"Medium — "&amp;$D180&amp;" funds","Single fund")))</f>
        <v/>
      </c>
      <c r="J180" s="29" t="str">
        <f aca="false">IF($A180="","",COUNTIFS(Dim_Fund!$U:$U,$A180,Dim_Fund!$BC:$BC,1))</f>
        <v/>
      </c>
      <c r="K180" s="32" t="str">
        <f aca="false">IF($A180="","",IF(COUNTA(Dim_Fund!$A:$A)&lt;=1,"",$D180/(COUNTA(Dim_Fund!$A:$A)-1)))</f>
        <v/>
      </c>
      <c r="L180" s="29" t="str">
        <f aca="false">IF($A180="","",COUNTIFS(Fact_Milestone!$B:$B,$A180,Fact_Milestone!$I:$I,"?*"))</f>
        <v/>
      </c>
      <c r="M180" s="29" t="str">
        <f aca="false">IF($A180="","",COUNTIFS(Fact_Milestone!$B:$B,$A180,Fact_Milestone!$I:$I,"No"))</f>
        <v/>
      </c>
      <c r="N180" s="33" t="str">
        <f aca="false">IF($A180="","",ROUND(SUMIFS(Fact_Milestone!$L:$L,Fact_Milestone!$B:$B,$A180)/60,2))</f>
        <v/>
      </c>
      <c r="O180" s="29" t="str">
        <f aca="false">IF($A180="","",COUNTIFS(Fact_Work!$AL:$AL,$A180,Fact_Work!$AI:$AI,"Yes",Fact_Work!$BB:$BB,"No"))</f>
        <v/>
      </c>
    </row>
    <row r="181" customFormat="false" ht="15" hidden="false" customHeight="true" outlineLevel="0" collapsed="false">
      <c r="D181" s="4" t="str">
        <f aca="false">IF($A181="","",COUNTIF(Dim_Fund!$U:$U,$A181))</f>
        <v/>
      </c>
      <c r="E181" s="22" t="str">
        <f aca="false">IF($A181="","",IF($D181=0,"",_xlfn.MINIFS(Dim_Fund!$AH:$AH,Dim_Fund!$U:$U,$A181,Dim_Fund!$AH:$AH,"&gt;0")))</f>
        <v/>
      </c>
      <c r="F181" s="22" t="str">
        <f aca="false">IF($A181="","",IF($D181=0,"",_xlfn.MAXIFS(Dim_Fund!$AH:$AH,Dim_Fund!$U:$U,$A181,Dim_Fund!$AH:$AH,"&gt;0")))</f>
        <v/>
      </c>
      <c r="G181" s="31" t="str">
        <f aca="false">IF($A181="","",IF($D181=0,"",ROUND(($F181-$E181)*60,0)))</f>
        <v/>
      </c>
      <c r="H181" s="22" t="str">
        <f aca="false">IF($A181="","",$E181)</f>
        <v/>
      </c>
      <c r="I181" s="4" t="str">
        <f aca="false">IF($A181="","",IF($D181&gt;=4,"HIGH — "&amp;$D181&amp;" funds share this feed",IF($D181&gt;=2,"Medium — "&amp;$D181&amp;" funds","Single fund")))</f>
        <v/>
      </c>
      <c r="J181" s="29" t="str">
        <f aca="false">IF($A181="","",COUNTIFS(Dim_Fund!$U:$U,$A181,Dim_Fund!$BC:$BC,1))</f>
        <v/>
      </c>
      <c r="K181" s="32" t="str">
        <f aca="false">IF($A181="","",IF(COUNTA(Dim_Fund!$A:$A)&lt;=1,"",$D181/(COUNTA(Dim_Fund!$A:$A)-1)))</f>
        <v/>
      </c>
      <c r="L181" s="29" t="str">
        <f aca="false">IF($A181="","",COUNTIFS(Fact_Milestone!$B:$B,$A181,Fact_Milestone!$I:$I,"?*"))</f>
        <v/>
      </c>
      <c r="M181" s="29" t="str">
        <f aca="false">IF($A181="","",COUNTIFS(Fact_Milestone!$B:$B,$A181,Fact_Milestone!$I:$I,"No"))</f>
        <v/>
      </c>
      <c r="N181" s="33" t="str">
        <f aca="false">IF($A181="","",ROUND(SUMIFS(Fact_Milestone!$L:$L,Fact_Milestone!$B:$B,$A181)/60,2))</f>
        <v/>
      </c>
      <c r="O181" s="29" t="str">
        <f aca="false">IF($A181="","",COUNTIFS(Fact_Work!$AL:$AL,$A181,Fact_Work!$AI:$AI,"Yes",Fact_Work!$BB:$BB,"No"))</f>
        <v/>
      </c>
    </row>
    <row r="182" customFormat="false" ht="15" hidden="false" customHeight="true" outlineLevel="0" collapsed="false">
      <c r="D182" s="4" t="str">
        <f aca="false">IF($A182="","",COUNTIF(Dim_Fund!$U:$U,$A182))</f>
        <v/>
      </c>
      <c r="E182" s="22" t="str">
        <f aca="false">IF($A182="","",IF($D182=0,"",_xlfn.MINIFS(Dim_Fund!$AH:$AH,Dim_Fund!$U:$U,$A182,Dim_Fund!$AH:$AH,"&gt;0")))</f>
        <v/>
      </c>
      <c r="F182" s="22" t="str">
        <f aca="false">IF($A182="","",IF($D182=0,"",_xlfn.MAXIFS(Dim_Fund!$AH:$AH,Dim_Fund!$U:$U,$A182,Dim_Fund!$AH:$AH,"&gt;0")))</f>
        <v/>
      </c>
      <c r="G182" s="31" t="str">
        <f aca="false">IF($A182="","",IF($D182=0,"",ROUND(($F182-$E182)*60,0)))</f>
        <v/>
      </c>
      <c r="H182" s="22" t="str">
        <f aca="false">IF($A182="","",$E182)</f>
        <v/>
      </c>
      <c r="I182" s="4" t="str">
        <f aca="false">IF($A182="","",IF($D182&gt;=4,"HIGH — "&amp;$D182&amp;" funds share this feed",IF($D182&gt;=2,"Medium — "&amp;$D182&amp;" funds","Single fund")))</f>
        <v/>
      </c>
      <c r="J182" s="29" t="str">
        <f aca="false">IF($A182="","",COUNTIFS(Dim_Fund!$U:$U,$A182,Dim_Fund!$BC:$BC,1))</f>
        <v/>
      </c>
      <c r="K182" s="32" t="str">
        <f aca="false">IF($A182="","",IF(COUNTA(Dim_Fund!$A:$A)&lt;=1,"",$D182/(COUNTA(Dim_Fund!$A:$A)-1)))</f>
        <v/>
      </c>
      <c r="L182" s="29" t="str">
        <f aca="false">IF($A182="","",COUNTIFS(Fact_Milestone!$B:$B,$A182,Fact_Milestone!$I:$I,"?*"))</f>
        <v/>
      </c>
      <c r="M182" s="29" t="str">
        <f aca="false">IF($A182="","",COUNTIFS(Fact_Milestone!$B:$B,$A182,Fact_Milestone!$I:$I,"No"))</f>
        <v/>
      </c>
      <c r="N182" s="33" t="str">
        <f aca="false">IF($A182="","",ROUND(SUMIFS(Fact_Milestone!$L:$L,Fact_Milestone!$B:$B,$A182)/60,2))</f>
        <v/>
      </c>
      <c r="O182" s="29" t="str">
        <f aca="false">IF($A182="","",COUNTIFS(Fact_Work!$AL:$AL,$A182,Fact_Work!$AI:$AI,"Yes",Fact_Work!$BB:$BB,"No"))</f>
        <v/>
      </c>
    </row>
    <row r="183" customFormat="false" ht="15" hidden="false" customHeight="true" outlineLevel="0" collapsed="false">
      <c r="D183" s="4" t="str">
        <f aca="false">IF($A183="","",COUNTIF(Dim_Fund!$U:$U,$A183))</f>
        <v/>
      </c>
      <c r="E183" s="22" t="str">
        <f aca="false">IF($A183="","",IF($D183=0,"",_xlfn.MINIFS(Dim_Fund!$AH:$AH,Dim_Fund!$U:$U,$A183,Dim_Fund!$AH:$AH,"&gt;0")))</f>
        <v/>
      </c>
      <c r="F183" s="22" t="str">
        <f aca="false">IF($A183="","",IF($D183=0,"",_xlfn.MAXIFS(Dim_Fund!$AH:$AH,Dim_Fund!$U:$U,$A183,Dim_Fund!$AH:$AH,"&gt;0")))</f>
        <v/>
      </c>
      <c r="G183" s="31" t="str">
        <f aca="false">IF($A183="","",IF($D183=0,"",ROUND(($F183-$E183)*60,0)))</f>
        <v/>
      </c>
      <c r="H183" s="22" t="str">
        <f aca="false">IF($A183="","",$E183)</f>
        <v/>
      </c>
      <c r="I183" s="4" t="str">
        <f aca="false">IF($A183="","",IF($D183&gt;=4,"HIGH — "&amp;$D183&amp;" funds share this feed",IF($D183&gt;=2,"Medium — "&amp;$D183&amp;" funds","Single fund")))</f>
        <v/>
      </c>
      <c r="J183" s="29" t="str">
        <f aca="false">IF($A183="","",COUNTIFS(Dim_Fund!$U:$U,$A183,Dim_Fund!$BC:$BC,1))</f>
        <v/>
      </c>
      <c r="K183" s="32" t="str">
        <f aca="false">IF($A183="","",IF(COUNTA(Dim_Fund!$A:$A)&lt;=1,"",$D183/(COUNTA(Dim_Fund!$A:$A)-1)))</f>
        <v/>
      </c>
      <c r="L183" s="29" t="str">
        <f aca="false">IF($A183="","",COUNTIFS(Fact_Milestone!$B:$B,$A183,Fact_Milestone!$I:$I,"?*"))</f>
        <v/>
      </c>
      <c r="M183" s="29" t="str">
        <f aca="false">IF($A183="","",COUNTIFS(Fact_Milestone!$B:$B,$A183,Fact_Milestone!$I:$I,"No"))</f>
        <v/>
      </c>
      <c r="N183" s="33" t="str">
        <f aca="false">IF($A183="","",ROUND(SUMIFS(Fact_Milestone!$L:$L,Fact_Milestone!$B:$B,$A183)/60,2))</f>
        <v/>
      </c>
      <c r="O183" s="29" t="str">
        <f aca="false">IF($A183="","",COUNTIFS(Fact_Work!$AL:$AL,$A183,Fact_Work!$AI:$AI,"Yes",Fact_Work!$BB:$BB,"No"))</f>
        <v/>
      </c>
    </row>
    <row r="184" customFormat="false" ht="15" hidden="false" customHeight="true" outlineLevel="0" collapsed="false">
      <c r="D184" s="4" t="str">
        <f aca="false">IF($A184="","",COUNTIF(Dim_Fund!$U:$U,$A184))</f>
        <v/>
      </c>
      <c r="E184" s="22" t="str">
        <f aca="false">IF($A184="","",IF($D184=0,"",_xlfn.MINIFS(Dim_Fund!$AH:$AH,Dim_Fund!$U:$U,$A184,Dim_Fund!$AH:$AH,"&gt;0")))</f>
        <v/>
      </c>
      <c r="F184" s="22" t="str">
        <f aca="false">IF($A184="","",IF($D184=0,"",_xlfn.MAXIFS(Dim_Fund!$AH:$AH,Dim_Fund!$U:$U,$A184,Dim_Fund!$AH:$AH,"&gt;0")))</f>
        <v/>
      </c>
      <c r="G184" s="31" t="str">
        <f aca="false">IF($A184="","",IF($D184=0,"",ROUND(($F184-$E184)*60,0)))</f>
        <v/>
      </c>
      <c r="H184" s="22" t="str">
        <f aca="false">IF($A184="","",$E184)</f>
        <v/>
      </c>
      <c r="I184" s="4" t="str">
        <f aca="false">IF($A184="","",IF($D184&gt;=4,"HIGH — "&amp;$D184&amp;" funds share this feed",IF($D184&gt;=2,"Medium — "&amp;$D184&amp;" funds","Single fund")))</f>
        <v/>
      </c>
      <c r="J184" s="29" t="str">
        <f aca="false">IF($A184="","",COUNTIFS(Dim_Fund!$U:$U,$A184,Dim_Fund!$BC:$BC,1))</f>
        <v/>
      </c>
      <c r="K184" s="32" t="str">
        <f aca="false">IF($A184="","",IF(COUNTA(Dim_Fund!$A:$A)&lt;=1,"",$D184/(COUNTA(Dim_Fund!$A:$A)-1)))</f>
        <v/>
      </c>
      <c r="L184" s="29" t="str">
        <f aca="false">IF($A184="","",COUNTIFS(Fact_Milestone!$B:$B,$A184,Fact_Milestone!$I:$I,"?*"))</f>
        <v/>
      </c>
      <c r="M184" s="29" t="str">
        <f aca="false">IF($A184="","",COUNTIFS(Fact_Milestone!$B:$B,$A184,Fact_Milestone!$I:$I,"No"))</f>
        <v/>
      </c>
      <c r="N184" s="33" t="str">
        <f aca="false">IF($A184="","",ROUND(SUMIFS(Fact_Milestone!$L:$L,Fact_Milestone!$B:$B,$A184)/60,2))</f>
        <v/>
      </c>
      <c r="O184" s="29" t="str">
        <f aca="false">IF($A184="","",COUNTIFS(Fact_Work!$AL:$AL,$A184,Fact_Work!$AI:$AI,"Yes",Fact_Work!$BB:$BB,"No"))</f>
        <v/>
      </c>
    </row>
    <row r="185" customFormat="false" ht="15" hidden="false" customHeight="true" outlineLevel="0" collapsed="false">
      <c r="D185" s="4" t="str">
        <f aca="false">IF($A185="","",COUNTIF(Dim_Fund!$U:$U,$A185))</f>
        <v/>
      </c>
      <c r="E185" s="22" t="str">
        <f aca="false">IF($A185="","",IF($D185=0,"",_xlfn.MINIFS(Dim_Fund!$AH:$AH,Dim_Fund!$U:$U,$A185,Dim_Fund!$AH:$AH,"&gt;0")))</f>
        <v/>
      </c>
      <c r="F185" s="22" t="str">
        <f aca="false">IF($A185="","",IF($D185=0,"",_xlfn.MAXIFS(Dim_Fund!$AH:$AH,Dim_Fund!$U:$U,$A185,Dim_Fund!$AH:$AH,"&gt;0")))</f>
        <v/>
      </c>
      <c r="G185" s="31" t="str">
        <f aca="false">IF($A185="","",IF($D185=0,"",ROUND(($F185-$E185)*60,0)))</f>
        <v/>
      </c>
      <c r="H185" s="22" t="str">
        <f aca="false">IF($A185="","",$E185)</f>
        <v/>
      </c>
      <c r="I185" s="4" t="str">
        <f aca="false">IF($A185="","",IF($D185&gt;=4,"HIGH — "&amp;$D185&amp;" funds share this feed",IF($D185&gt;=2,"Medium — "&amp;$D185&amp;" funds","Single fund")))</f>
        <v/>
      </c>
      <c r="J185" s="29" t="str">
        <f aca="false">IF($A185="","",COUNTIFS(Dim_Fund!$U:$U,$A185,Dim_Fund!$BC:$BC,1))</f>
        <v/>
      </c>
      <c r="K185" s="32" t="str">
        <f aca="false">IF($A185="","",IF(COUNTA(Dim_Fund!$A:$A)&lt;=1,"",$D185/(COUNTA(Dim_Fund!$A:$A)-1)))</f>
        <v/>
      </c>
      <c r="L185" s="29" t="str">
        <f aca="false">IF($A185="","",COUNTIFS(Fact_Milestone!$B:$B,$A185,Fact_Milestone!$I:$I,"?*"))</f>
        <v/>
      </c>
      <c r="M185" s="29" t="str">
        <f aca="false">IF($A185="","",COUNTIFS(Fact_Milestone!$B:$B,$A185,Fact_Milestone!$I:$I,"No"))</f>
        <v/>
      </c>
      <c r="N185" s="33" t="str">
        <f aca="false">IF($A185="","",ROUND(SUMIFS(Fact_Milestone!$L:$L,Fact_Milestone!$B:$B,$A185)/60,2))</f>
        <v/>
      </c>
      <c r="O185" s="29" t="str">
        <f aca="false">IF($A185="","",COUNTIFS(Fact_Work!$AL:$AL,$A185,Fact_Work!$AI:$AI,"Yes",Fact_Work!$BB:$BB,"No"))</f>
        <v/>
      </c>
    </row>
    <row r="186" customFormat="false" ht="15" hidden="false" customHeight="true" outlineLevel="0" collapsed="false">
      <c r="D186" s="4" t="str">
        <f aca="false">IF($A186="","",COUNTIF(Dim_Fund!$U:$U,$A186))</f>
        <v/>
      </c>
      <c r="E186" s="22" t="str">
        <f aca="false">IF($A186="","",IF($D186=0,"",_xlfn.MINIFS(Dim_Fund!$AH:$AH,Dim_Fund!$U:$U,$A186,Dim_Fund!$AH:$AH,"&gt;0")))</f>
        <v/>
      </c>
      <c r="F186" s="22" t="str">
        <f aca="false">IF($A186="","",IF($D186=0,"",_xlfn.MAXIFS(Dim_Fund!$AH:$AH,Dim_Fund!$U:$U,$A186,Dim_Fund!$AH:$AH,"&gt;0")))</f>
        <v/>
      </c>
      <c r="G186" s="31" t="str">
        <f aca="false">IF($A186="","",IF($D186=0,"",ROUND(($F186-$E186)*60,0)))</f>
        <v/>
      </c>
      <c r="H186" s="22" t="str">
        <f aca="false">IF($A186="","",$E186)</f>
        <v/>
      </c>
      <c r="I186" s="4" t="str">
        <f aca="false">IF($A186="","",IF($D186&gt;=4,"HIGH — "&amp;$D186&amp;" funds share this feed",IF($D186&gt;=2,"Medium — "&amp;$D186&amp;" funds","Single fund")))</f>
        <v/>
      </c>
      <c r="J186" s="29" t="str">
        <f aca="false">IF($A186="","",COUNTIFS(Dim_Fund!$U:$U,$A186,Dim_Fund!$BC:$BC,1))</f>
        <v/>
      </c>
      <c r="K186" s="32" t="str">
        <f aca="false">IF($A186="","",IF(COUNTA(Dim_Fund!$A:$A)&lt;=1,"",$D186/(COUNTA(Dim_Fund!$A:$A)-1)))</f>
        <v/>
      </c>
      <c r="L186" s="29" t="str">
        <f aca="false">IF($A186="","",COUNTIFS(Fact_Milestone!$B:$B,$A186,Fact_Milestone!$I:$I,"?*"))</f>
        <v/>
      </c>
      <c r="M186" s="29" t="str">
        <f aca="false">IF($A186="","",COUNTIFS(Fact_Milestone!$B:$B,$A186,Fact_Milestone!$I:$I,"No"))</f>
        <v/>
      </c>
      <c r="N186" s="33" t="str">
        <f aca="false">IF($A186="","",ROUND(SUMIFS(Fact_Milestone!$L:$L,Fact_Milestone!$B:$B,$A186)/60,2))</f>
        <v/>
      </c>
      <c r="O186" s="29" t="str">
        <f aca="false">IF($A186="","",COUNTIFS(Fact_Work!$AL:$AL,$A186,Fact_Work!$AI:$AI,"Yes",Fact_Work!$BB:$BB,"No"))</f>
        <v/>
      </c>
    </row>
    <row r="187" customFormat="false" ht="15" hidden="false" customHeight="true" outlineLevel="0" collapsed="false">
      <c r="D187" s="4" t="str">
        <f aca="false">IF($A187="","",COUNTIF(Dim_Fund!$U:$U,$A187))</f>
        <v/>
      </c>
      <c r="E187" s="22" t="str">
        <f aca="false">IF($A187="","",IF($D187=0,"",_xlfn.MINIFS(Dim_Fund!$AH:$AH,Dim_Fund!$U:$U,$A187,Dim_Fund!$AH:$AH,"&gt;0")))</f>
        <v/>
      </c>
      <c r="F187" s="22" t="str">
        <f aca="false">IF($A187="","",IF($D187=0,"",_xlfn.MAXIFS(Dim_Fund!$AH:$AH,Dim_Fund!$U:$U,$A187,Dim_Fund!$AH:$AH,"&gt;0")))</f>
        <v/>
      </c>
      <c r="G187" s="31" t="str">
        <f aca="false">IF($A187="","",IF($D187=0,"",ROUND(($F187-$E187)*60,0)))</f>
        <v/>
      </c>
      <c r="H187" s="22" t="str">
        <f aca="false">IF($A187="","",$E187)</f>
        <v/>
      </c>
      <c r="I187" s="4" t="str">
        <f aca="false">IF($A187="","",IF($D187&gt;=4,"HIGH — "&amp;$D187&amp;" funds share this feed",IF($D187&gt;=2,"Medium — "&amp;$D187&amp;" funds","Single fund")))</f>
        <v/>
      </c>
      <c r="J187" s="29" t="str">
        <f aca="false">IF($A187="","",COUNTIFS(Dim_Fund!$U:$U,$A187,Dim_Fund!$BC:$BC,1))</f>
        <v/>
      </c>
      <c r="K187" s="32" t="str">
        <f aca="false">IF($A187="","",IF(COUNTA(Dim_Fund!$A:$A)&lt;=1,"",$D187/(COUNTA(Dim_Fund!$A:$A)-1)))</f>
        <v/>
      </c>
      <c r="L187" s="29" t="str">
        <f aca="false">IF($A187="","",COUNTIFS(Fact_Milestone!$B:$B,$A187,Fact_Milestone!$I:$I,"?*"))</f>
        <v/>
      </c>
      <c r="M187" s="29" t="str">
        <f aca="false">IF($A187="","",COUNTIFS(Fact_Milestone!$B:$B,$A187,Fact_Milestone!$I:$I,"No"))</f>
        <v/>
      </c>
      <c r="N187" s="33" t="str">
        <f aca="false">IF($A187="","",ROUND(SUMIFS(Fact_Milestone!$L:$L,Fact_Milestone!$B:$B,$A187)/60,2))</f>
        <v/>
      </c>
      <c r="O187" s="29" t="str">
        <f aca="false">IF($A187="","",COUNTIFS(Fact_Work!$AL:$AL,$A187,Fact_Work!$AI:$AI,"Yes",Fact_Work!$BB:$BB,"No"))</f>
        <v/>
      </c>
    </row>
    <row r="188" customFormat="false" ht="15" hidden="false" customHeight="true" outlineLevel="0" collapsed="false">
      <c r="D188" s="4" t="str">
        <f aca="false">IF($A188="","",COUNTIF(Dim_Fund!$U:$U,$A188))</f>
        <v/>
      </c>
      <c r="E188" s="22" t="str">
        <f aca="false">IF($A188="","",IF($D188=0,"",_xlfn.MINIFS(Dim_Fund!$AH:$AH,Dim_Fund!$U:$U,$A188,Dim_Fund!$AH:$AH,"&gt;0")))</f>
        <v/>
      </c>
      <c r="F188" s="22" t="str">
        <f aca="false">IF($A188="","",IF($D188=0,"",_xlfn.MAXIFS(Dim_Fund!$AH:$AH,Dim_Fund!$U:$U,$A188,Dim_Fund!$AH:$AH,"&gt;0")))</f>
        <v/>
      </c>
      <c r="G188" s="31" t="str">
        <f aca="false">IF($A188="","",IF($D188=0,"",ROUND(($F188-$E188)*60,0)))</f>
        <v/>
      </c>
      <c r="H188" s="22" t="str">
        <f aca="false">IF($A188="","",$E188)</f>
        <v/>
      </c>
      <c r="I188" s="4" t="str">
        <f aca="false">IF($A188="","",IF($D188&gt;=4,"HIGH — "&amp;$D188&amp;" funds share this feed",IF($D188&gt;=2,"Medium — "&amp;$D188&amp;" funds","Single fund")))</f>
        <v/>
      </c>
      <c r="J188" s="29" t="str">
        <f aca="false">IF($A188="","",COUNTIFS(Dim_Fund!$U:$U,$A188,Dim_Fund!$BC:$BC,1))</f>
        <v/>
      </c>
      <c r="K188" s="32" t="str">
        <f aca="false">IF($A188="","",IF(COUNTA(Dim_Fund!$A:$A)&lt;=1,"",$D188/(COUNTA(Dim_Fund!$A:$A)-1)))</f>
        <v/>
      </c>
      <c r="L188" s="29" t="str">
        <f aca="false">IF($A188="","",COUNTIFS(Fact_Milestone!$B:$B,$A188,Fact_Milestone!$I:$I,"?*"))</f>
        <v/>
      </c>
      <c r="M188" s="29" t="str">
        <f aca="false">IF($A188="","",COUNTIFS(Fact_Milestone!$B:$B,$A188,Fact_Milestone!$I:$I,"No"))</f>
        <v/>
      </c>
      <c r="N188" s="33" t="str">
        <f aca="false">IF($A188="","",ROUND(SUMIFS(Fact_Milestone!$L:$L,Fact_Milestone!$B:$B,$A188)/60,2))</f>
        <v/>
      </c>
      <c r="O188" s="29" t="str">
        <f aca="false">IF($A188="","",COUNTIFS(Fact_Work!$AL:$AL,$A188,Fact_Work!$AI:$AI,"Yes",Fact_Work!$BB:$BB,"No"))</f>
        <v/>
      </c>
    </row>
    <row r="189" customFormat="false" ht="15" hidden="false" customHeight="true" outlineLevel="0" collapsed="false">
      <c r="D189" s="4" t="str">
        <f aca="false">IF($A189="","",COUNTIF(Dim_Fund!$U:$U,$A189))</f>
        <v/>
      </c>
      <c r="E189" s="22" t="str">
        <f aca="false">IF($A189="","",IF($D189=0,"",_xlfn.MINIFS(Dim_Fund!$AH:$AH,Dim_Fund!$U:$U,$A189,Dim_Fund!$AH:$AH,"&gt;0")))</f>
        <v/>
      </c>
      <c r="F189" s="22" t="str">
        <f aca="false">IF($A189="","",IF($D189=0,"",_xlfn.MAXIFS(Dim_Fund!$AH:$AH,Dim_Fund!$U:$U,$A189,Dim_Fund!$AH:$AH,"&gt;0")))</f>
        <v/>
      </c>
      <c r="G189" s="31" t="str">
        <f aca="false">IF($A189="","",IF($D189=0,"",ROUND(($F189-$E189)*60,0)))</f>
        <v/>
      </c>
      <c r="H189" s="22" t="str">
        <f aca="false">IF($A189="","",$E189)</f>
        <v/>
      </c>
      <c r="I189" s="4" t="str">
        <f aca="false">IF($A189="","",IF($D189&gt;=4,"HIGH — "&amp;$D189&amp;" funds share this feed",IF($D189&gt;=2,"Medium — "&amp;$D189&amp;" funds","Single fund")))</f>
        <v/>
      </c>
      <c r="J189" s="29" t="str">
        <f aca="false">IF($A189="","",COUNTIFS(Dim_Fund!$U:$U,$A189,Dim_Fund!$BC:$BC,1))</f>
        <v/>
      </c>
      <c r="K189" s="32" t="str">
        <f aca="false">IF($A189="","",IF(COUNTA(Dim_Fund!$A:$A)&lt;=1,"",$D189/(COUNTA(Dim_Fund!$A:$A)-1)))</f>
        <v/>
      </c>
      <c r="L189" s="29" t="str">
        <f aca="false">IF($A189="","",COUNTIFS(Fact_Milestone!$B:$B,$A189,Fact_Milestone!$I:$I,"?*"))</f>
        <v/>
      </c>
      <c r="M189" s="29" t="str">
        <f aca="false">IF($A189="","",COUNTIFS(Fact_Milestone!$B:$B,$A189,Fact_Milestone!$I:$I,"No"))</f>
        <v/>
      </c>
      <c r="N189" s="33" t="str">
        <f aca="false">IF($A189="","",ROUND(SUMIFS(Fact_Milestone!$L:$L,Fact_Milestone!$B:$B,$A189)/60,2))</f>
        <v/>
      </c>
      <c r="O189" s="29" t="str">
        <f aca="false">IF($A189="","",COUNTIFS(Fact_Work!$AL:$AL,$A189,Fact_Work!$AI:$AI,"Yes",Fact_Work!$BB:$BB,"No"))</f>
        <v/>
      </c>
    </row>
    <row r="190" customFormat="false" ht="15" hidden="false" customHeight="true" outlineLevel="0" collapsed="false">
      <c r="D190" s="4" t="str">
        <f aca="false">IF($A190="","",COUNTIF(Dim_Fund!$U:$U,$A190))</f>
        <v/>
      </c>
      <c r="E190" s="22" t="str">
        <f aca="false">IF($A190="","",IF($D190=0,"",_xlfn.MINIFS(Dim_Fund!$AH:$AH,Dim_Fund!$U:$U,$A190,Dim_Fund!$AH:$AH,"&gt;0")))</f>
        <v/>
      </c>
      <c r="F190" s="22" t="str">
        <f aca="false">IF($A190="","",IF($D190=0,"",_xlfn.MAXIFS(Dim_Fund!$AH:$AH,Dim_Fund!$U:$U,$A190,Dim_Fund!$AH:$AH,"&gt;0")))</f>
        <v/>
      </c>
      <c r="G190" s="31" t="str">
        <f aca="false">IF($A190="","",IF($D190=0,"",ROUND(($F190-$E190)*60,0)))</f>
        <v/>
      </c>
      <c r="H190" s="22" t="str">
        <f aca="false">IF($A190="","",$E190)</f>
        <v/>
      </c>
      <c r="I190" s="4" t="str">
        <f aca="false">IF($A190="","",IF($D190&gt;=4,"HIGH — "&amp;$D190&amp;" funds share this feed",IF($D190&gt;=2,"Medium — "&amp;$D190&amp;" funds","Single fund")))</f>
        <v/>
      </c>
      <c r="J190" s="29" t="str">
        <f aca="false">IF($A190="","",COUNTIFS(Dim_Fund!$U:$U,$A190,Dim_Fund!$BC:$BC,1))</f>
        <v/>
      </c>
      <c r="K190" s="32" t="str">
        <f aca="false">IF($A190="","",IF(COUNTA(Dim_Fund!$A:$A)&lt;=1,"",$D190/(COUNTA(Dim_Fund!$A:$A)-1)))</f>
        <v/>
      </c>
      <c r="L190" s="29" t="str">
        <f aca="false">IF($A190="","",COUNTIFS(Fact_Milestone!$B:$B,$A190,Fact_Milestone!$I:$I,"?*"))</f>
        <v/>
      </c>
      <c r="M190" s="29" t="str">
        <f aca="false">IF($A190="","",COUNTIFS(Fact_Milestone!$B:$B,$A190,Fact_Milestone!$I:$I,"No"))</f>
        <v/>
      </c>
      <c r="N190" s="33" t="str">
        <f aca="false">IF($A190="","",ROUND(SUMIFS(Fact_Milestone!$L:$L,Fact_Milestone!$B:$B,$A190)/60,2))</f>
        <v/>
      </c>
      <c r="O190" s="29" t="str">
        <f aca="false">IF($A190="","",COUNTIFS(Fact_Work!$AL:$AL,$A190,Fact_Work!$AI:$AI,"Yes",Fact_Work!$BB:$BB,"No"))</f>
        <v/>
      </c>
    </row>
    <row r="191" customFormat="false" ht="15" hidden="false" customHeight="true" outlineLevel="0" collapsed="false">
      <c r="D191" s="4" t="str">
        <f aca="false">IF($A191="","",COUNTIF(Dim_Fund!$U:$U,$A191))</f>
        <v/>
      </c>
      <c r="E191" s="22" t="str">
        <f aca="false">IF($A191="","",IF($D191=0,"",_xlfn.MINIFS(Dim_Fund!$AH:$AH,Dim_Fund!$U:$U,$A191,Dim_Fund!$AH:$AH,"&gt;0")))</f>
        <v/>
      </c>
      <c r="F191" s="22" t="str">
        <f aca="false">IF($A191="","",IF($D191=0,"",_xlfn.MAXIFS(Dim_Fund!$AH:$AH,Dim_Fund!$U:$U,$A191,Dim_Fund!$AH:$AH,"&gt;0")))</f>
        <v/>
      </c>
      <c r="G191" s="31" t="str">
        <f aca="false">IF($A191="","",IF($D191=0,"",ROUND(($F191-$E191)*60,0)))</f>
        <v/>
      </c>
      <c r="H191" s="22" t="str">
        <f aca="false">IF($A191="","",$E191)</f>
        <v/>
      </c>
      <c r="I191" s="4" t="str">
        <f aca="false">IF($A191="","",IF($D191&gt;=4,"HIGH — "&amp;$D191&amp;" funds share this feed",IF($D191&gt;=2,"Medium — "&amp;$D191&amp;" funds","Single fund")))</f>
        <v/>
      </c>
      <c r="J191" s="29" t="str">
        <f aca="false">IF($A191="","",COUNTIFS(Dim_Fund!$U:$U,$A191,Dim_Fund!$BC:$BC,1))</f>
        <v/>
      </c>
      <c r="K191" s="32" t="str">
        <f aca="false">IF($A191="","",IF(COUNTA(Dim_Fund!$A:$A)&lt;=1,"",$D191/(COUNTA(Dim_Fund!$A:$A)-1)))</f>
        <v/>
      </c>
      <c r="L191" s="29" t="str">
        <f aca="false">IF($A191="","",COUNTIFS(Fact_Milestone!$B:$B,$A191,Fact_Milestone!$I:$I,"?*"))</f>
        <v/>
      </c>
      <c r="M191" s="29" t="str">
        <f aca="false">IF($A191="","",COUNTIFS(Fact_Milestone!$B:$B,$A191,Fact_Milestone!$I:$I,"No"))</f>
        <v/>
      </c>
      <c r="N191" s="33" t="str">
        <f aca="false">IF($A191="","",ROUND(SUMIFS(Fact_Milestone!$L:$L,Fact_Milestone!$B:$B,$A191)/60,2))</f>
        <v/>
      </c>
      <c r="O191" s="29" t="str">
        <f aca="false">IF($A191="","",COUNTIFS(Fact_Work!$AL:$AL,$A191,Fact_Work!$AI:$AI,"Yes",Fact_Work!$BB:$BB,"No"))</f>
        <v/>
      </c>
    </row>
    <row r="192" customFormat="false" ht="15" hidden="false" customHeight="true" outlineLevel="0" collapsed="false">
      <c r="D192" s="4" t="str">
        <f aca="false">IF($A192="","",COUNTIF(Dim_Fund!$U:$U,$A192))</f>
        <v/>
      </c>
      <c r="E192" s="22" t="str">
        <f aca="false">IF($A192="","",IF($D192=0,"",_xlfn.MINIFS(Dim_Fund!$AH:$AH,Dim_Fund!$U:$U,$A192,Dim_Fund!$AH:$AH,"&gt;0")))</f>
        <v/>
      </c>
      <c r="F192" s="22" t="str">
        <f aca="false">IF($A192="","",IF($D192=0,"",_xlfn.MAXIFS(Dim_Fund!$AH:$AH,Dim_Fund!$U:$U,$A192,Dim_Fund!$AH:$AH,"&gt;0")))</f>
        <v/>
      </c>
      <c r="G192" s="31" t="str">
        <f aca="false">IF($A192="","",IF($D192=0,"",ROUND(($F192-$E192)*60,0)))</f>
        <v/>
      </c>
      <c r="H192" s="22" t="str">
        <f aca="false">IF($A192="","",$E192)</f>
        <v/>
      </c>
      <c r="I192" s="4" t="str">
        <f aca="false">IF($A192="","",IF($D192&gt;=4,"HIGH — "&amp;$D192&amp;" funds share this feed",IF($D192&gt;=2,"Medium — "&amp;$D192&amp;" funds","Single fund")))</f>
        <v/>
      </c>
      <c r="J192" s="29" t="str">
        <f aca="false">IF($A192="","",COUNTIFS(Dim_Fund!$U:$U,$A192,Dim_Fund!$BC:$BC,1))</f>
        <v/>
      </c>
      <c r="K192" s="32" t="str">
        <f aca="false">IF($A192="","",IF(COUNTA(Dim_Fund!$A:$A)&lt;=1,"",$D192/(COUNTA(Dim_Fund!$A:$A)-1)))</f>
        <v/>
      </c>
      <c r="L192" s="29" t="str">
        <f aca="false">IF($A192="","",COUNTIFS(Fact_Milestone!$B:$B,$A192,Fact_Milestone!$I:$I,"?*"))</f>
        <v/>
      </c>
      <c r="M192" s="29" t="str">
        <f aca="false">IF($A192="","",COUNTIFS(Fact_Milestone!$B:$B,$A192,Fact_Milestone!$I:$I,"No"))</f>
        <v/>
      </c>
      <c r="N192" s="33" t="str">
        <f aca="false">IF($A192="","",ROUND(SUMIFS(Fact_Milestone!$L:$L,Fact_Milestone!$B:$B,$A192)/60,2))</f>
        <v/>
      </c>
      <c r="O192" s="29" t="str">
        <f aca="false">IF($A192="","",COUNTIFS(Fact_Work!$AL:$AL,$A192,Fact_Work!$AI:$AI,"Yes",Fact_Work!$BB:$BB,"No"))</f>
        <v/>
      </c>
    </row>
    <row r="193" customFormat="false" ht="15" hidden="false" customHeight="true" outlineLevel="0" collapsed="false">
      <c r="D193" s="4" t="str">
        <f aca="false">IF($A193="","",COUNTIF(Dim_Fund!$U:$U,$A193))</f>
        <v/>
      </c>
      <c r="E193" s="22" t="str">
        <f aca="false">IF($A193="","",IF($D193=0,"",_xlfn.MINIFS(Dim_Fund!$AH:$AH,Dim_Fund!$U:$U,$A193,Dim_Fund!$AH:$AH,"&gt;0")))</f>
        <v/>
      </c>
      <c r="F193" s="22" t="str">
        <f aca="false">IF($A193="","",IF($D193=0,"",_xlfn.MAXIFS(Dim_Fund!$AH:$AH,Dim_Fund!$U:$U,$A193,Dim_Fund!$AH:$AH,"&gt;0")))</f>
        <v/>
      </c>
      <c r="G193" s="31" t="str">
        <f aca="false">IF($A193="","",IF($D193=0,"",ROUND(($F193-$E193)*60,0)))</f>
        <v/>
      </c>
      <c r="H193" s="22" t="str">
        <f aca="false">IF($A193="","",$E193)</f>
        <v/>
      </c>
      <c r="I193" s="4" t="str">
        <f aca="false">IF($A193="","",IF($D193&gt;=4,"HIGH — "&amp;$D193&amp;" funds share this feed",IF($D193&gt;=2,"Medium — "&amp;$D193&amp;" funds","Single fund")))</f>
        <v/>
      </c>
      <c r="J193" s="29" t="str">
        <f aca="false">IF($A193="","",COUNTIFS(Dim_Fund!$U:$U,$A193,Dim_Fund!$BC:$BC,1))</f>
        <v/>
      </c>
      <c r="K193" s="32" t="str">
        <f aca="false">IF($A193="","",IF(COUNTA(Dim_Fund!$A:$A)&lt;=1,"",$D193/(COUNTA(Dim_Fund!$A:$A)-1)))</f>
        <v/>
      </c>
      <c r="L193" s="29" t="str">
        <f aca="false">IF($A193="","",COUNTIFS(Fact_Milestone!$B:$B,$A193,Fact_Milestone!$I:$I,"?*"))</f>
        <v/>
      </c>
      <c r="M193" s="29" t="str">
        <f aca="false">IF($A193="","",COUNTIFS(Fact_Milestone!$B:$B,$A193,Fact_Milestone!$I:$I,"No"))</f>
        <v/>
      </c>
      <c r="N193" s="33" t="str">
        <f aca="false">IF($A193="","",ROUND(SUMIFS(Fact_Milestone!$L:$L,Fact_Milestone!$B:$B,$A193)/60,2))</f>
        <v/>
      </c>
      <c r="O193" s="29" t="str">
        <f aca="false">IF($A193="","",COUNTIFS(Fact_Work!$AL:$AL,$A193,Fact_Work!$AI:$AI,"Yes",Fact_Work!$BB:$BB,"No"))</f>
        <v/>
      </c>
    </row>
    <row r="194" customFormat="false" ht="15" hidden="false" customHeight="true" outlineLevel="0" collapsed="false">
      <c r="D194" s="4" t="str">
        <f aca="false">IF($A194="","",COUNTIF(Dim_Fund!$U:$U,$A194))</f>
        <v/>
      </c>
      <c r="E194" s="22" t="str">
        <f aca="false">IF($A194="","",IF($D194=0,"",_xlfn.MINIFS(Dim_Fund!$AH:$AH,Dim_Fund!$U:$U,$A194,Dim_Fund!$AH:$AH,"&gt;0")))</f>
        <v/>
      </c>
      <c r="F194" s="22" t="str">
        <f aca="false">IF($A194="","",IF($D194=0,"",_xlfn.MAXIFS(Dim_Fund!$AH:$AH,Dim_Fund!$U:$U,$A194,Dim_Fund!$AH:$AH,"&gt;0")))</f>
        <v/>
      </c>
      <c r="G194" s="31" t="str">
        <f aca="false">IF($A194="","",IF($D194=0,"",ROUND(($F194-$E194)*60,0)))</f>
        <v/>
      </c>
      <c r="H194" s="22" t="str">
        <f aca="false">IF($A194="","",$E194)</f>
        <v/>
      </c>
      <c r="I194" s="4" t="str">
        <f aca="false">IF($A194="","",IF($D194&gt;=4,"HIGH — "&amp;$D194&amp;" funds share this feed",IF($D194&gt;=2,"Medium — "&amp;$D194&amp;" funds","Single fund")))</f>
        <v/>
      </c>
      <c r="J194" s="29" t="str">
        <f aca="false">IF($A194="","",COUNTIFS(Dim_Fund!$U:$U,$A194,Dim_Fund!$BC:$BC,1))</f>
        <v/>
      </c>
      <c r="K194" s="32" t="str">
        <f aca="false">IF($A194="","",IF(COUNTA(Dim_Fund!$A:$A)&lt;=1,"",$D194/(COUNTA(Dim_Fund!$A:$A)-1)))</f>
        <v/>
      </c>
      <c r="L194" s="29" t="str">
        <f aca="false">IF($A194="","",COUNTIFS(Fact_Milestone!$B:$B,$A194,Fact_Milestone!$I:$I,"?*"))</f>
        <v/>
      </c>
      <c r="M194" s="29" t="str">
        <f aca="false">IF($A194="","",COUNTIFS(Fact_Milestone!$B:$B,$A194,Fact_Milestone!$I:$I,"No"))</f>
        <v/>
      </c>
      <c r="N194" s="33" t="str">
        <f aca="false">IF($A194="","",ROUND(SUMIFS(Fact_Milestone!$L:$L,Fact_Milestone!$B:$B,$A194)/60,2))</f>
        <v/>
      </c>
      <c r="O194" s="29" t="str">
        <f aca="false">IF($A194="","",COUNTIFS(Fact_Work!$AL:$AL,$A194,Fact_Work!$AI:$AI,"Yes",Fact_Work!$BB:$BB,"No"))</f>
        <v/>
      </c>
    </row>
    <row r="195" customFormat="false" ht="15" hidden="false" customHeight="true" outlineLevel="0" collapsed="false">
      <c r="D195" s="4" t="str">
        <f aca="false">IF($A195="","",COUNTIF(Dim_Fund!$U:$U,$A195))</f>
        <v/>
      </c>
      <c r="E195" s="22" t="str">
        <f aca="false">IF($A195="","",IF($D195=0,"",_xlfn.MINIFS(Dim_Fund!$AH:$AH,Dim_Fund!$U:$U,$A195,Dim_Fund!$AH:$AH,"&gt;0")))</f>
        <v/>
      </c>
      <c r="F195" s="22" t="str">
        <f aca="false">IF($A195="","",IF($D195=0,"",_xlfn.MAXIFS(Dim_Fund!$AH:$AH,Dim_Fund!$U:$U,$A195,Dim_Fund!$AH:$AH,"&gt;0")))</f>
        <v/>
      </c>
      <c r="G195" s="31" t="str">
        <f aca="false">IF($A195="","",IF($D195=0,"",ROUND(($F195-$E195)*60,0)))</f>
        <v/>
      </c>
      <c r="H195" s="22" t="str">
        <f aca="false">IF($A195="","",$E195)</f>
        <v/>
      </c>
      <c r="I195" s="4" t="str">
        <f aca="false">IF($A195="","",IF($D195&gt;=4,"HIGH — "&amp;$D195&amp;" funds share this feed",IF($D195&gt;=2,"Medium — "&amp;$D195&amp;" funds","Single fund")))</f>
        <v/>
      </c>
      <c r="J195" s="29" t="str">
        <f aca="false">IF($A195="","",COUNTIFS(Dim_Fund!$U:$U,$A195,Dim_Fund!$BC:$BC,1))</f>
        <v/>
      </c>
      <c r="K195" s="32" t="str">
        <f aca="false">IF($A195="","",IF(COUNTA(Dim_Fund!$A:$A)&lt;=1,"",$D195/(COUNTA(Dim_Fund!$A:$A)-1)))</f>
        <v/>
      </c>
      <c r="L195" s="29" t="str">
        <f aca="false">IF($A195="","",COUNTIFS(Fact_Milestone!$B:$B,$A195,Fact_Milestone!$I:$I,"?*"))</f>
        <v/>
      </c>
      <c r="M195" s="29" t="str">
        <f aca="false">IF($A195="","",COUNTIFS(Fact_Milestone!$B:$B,$A195,Fact_Milestone!$I:$I,"No"))</f>
        <v/>
      </c>
      <c r="N195" s="33" t="str">
        <f aca="false">IF($A195="","",ROUND(SUMIFS(Fact_Milestone!$L:$L,Fact_Milestone!$B:$B,$A195)/60,2))</f>
        <v/>
      </c>
      <c r="O195" s="29" t="str">
        <f aca="false">IF($A195="","",COUNTIFS(Fact_Work!$AL:$AL,$A195,Fact_Work!$AI:$AI,"Yes",Fact_Work!$BB:$BB,"No"))</f>
        <v/>
      </c>
    </row>
    <row r="196" customFormat="false" ht="15" hidden="false" customHeight="true" outlineLevel="0" collapsed="false">
      <c r="D196" s="4" t="str">
        <f aca="false">IF($A196="","",COUNTIF(Dim_Fund!$U:$U,$A196))</f>
        <v/>
      </c>
      <c r="E196" s="22" t="str">
        <f aca="false">IF($A196="","",IF($D196=0,"",_xlfn.MINIFS(Dim_Fund!$AH:$AH,Dim_Fund!$U:$U,$A196,Dim_Fund!$AH:$AH,"&gt;0")))</f>
        <v/>
      </c>
      <c r="F196" s="22" t="str">
        <f aca="false">IF($A196="","",IF($D196=0,"",_xlfn.MAXIFS(Dim_Fund!$AH:$AH,Dim_Fund!$U:$U,$A196,Dim_Fund!$AH:$AH,"&gt;0")))</f>
        <v/>
      </c>
      <c r="G196" s="31" t="str">
        <f aca="false">IF($A196="","",IF($D196=0,"",ROUND(($F196-$E196)*60,0)))</f>
        <v/>
      </c>
      <c r="H196" s="22" t="str">
        <f aca="false">IF($A196="","",$E196)</f>
        <v/>
      </c>
      <c r="I196" s="4" t="str">
        <f aca="false">IF($A196="","",IF($D196&gt;=4,"HIGH — "&amp;$D196&amp;" funds share this feed",IF($D196&gt;=2,"Medium — "&amp;$D196&amp;" funds","Single fund")))</f>
        <v/>
      </c>
      <c r="J196" s="29" t="str">
        <f aca="false">IF($A196="","",COUNTIFS(Dim_Fund!$U:$U,$A196,Dim_Fund!$BC:$BC,1))</f>
        <v/>
      </c>
      <c r="K196" s="32" t="str">
        <f aca="false">IF($A196="","",IF(COUNTA(Dim_Fund!$A:$A)&lt;=1,"",$D196/(COUNTA(Dim_Fund!$A:$A)-1)))</f>
        <v/>
      </c>
      <c r="L196" s="29" t="str">
        <f aca="false">IF($A196="","",COUNTIFS(Fact_Milestone!$B:$B,$A196,Fact_Milestone!$I:$I,"?*"))</f>
        <v/>
      </c>
      <c r="M196" s="29" t="str">
        <f aca="false">IF($A196="","",COUNTIFS(Fact_Milestone!$B:$B,$A196,Fact_Milestone!$I:$I,"No"))</f>
        <v/>
      </c>
      <c r="N196" s="33" t="str">
        <f aca="false">IF($A196="","",ROUND(SUMIFS(Fact_Milestone!$L:$L,Fact_Milestone!$B:$B,$A196)/60,2))</f>
        <v/>
      </c>
      <c r="O196" s="29" t="str">
        <f aca="false">IF($A196="","",COUNTIFS(Fact_Work!$AL:$AL,$A196,Fact_Work!$AI:$AI,"Yes",Fact_Work!$BB:$BB,"No"))</f>
        <v/>
      </c>
    </row>
    <row r="197" customFormat="false" ht="15" hidden="false" customHeight="true" outlineLevel="0" collapsed="false">
      <c r="D197" s="4" t="str">
        <f aca="false">IF($A197="","",COUNTIF(Dim_Fund!$U:$U,$A197))</f>
        <v/>
      </c>
      <c r="E197" s="22" t="str">
        <f aca="false">IF($A197="","",IF($D197=0,"",_xlfn.MINIFS(Dim_Fund!$AH:$AH,Dim_Fund!$U:$U,$A197,Dim_Fund!$AH:$AH,"&gt;0")))</f>
        <v/>
      </c>
      <c r="F197" s="22" t="str">
        <f aca="false">IF($A197="","",IF($D197=0,"",_xlfn.MAXIFS(Dim_Fund!$AH:$AH,Dim_Fund!$U:$U,$A197,Dim_Fund!$AH:$AH,"&gt;0")))</f>
        <v/>
      </c>
      <c r="G197" s="31" t="str">
        <f aca="false">IF($A197="","",IF($D197=0,"",ROUND(($F197-$E197)*60,0)))</f>
        <v/>
      </c>
      <c r="H197" s="22" t="str">
        <f aca="false">IF($A197="","",$E197)</f>
        <v/>
      </c>
      <c r="I197" s="4" t="str">
        <f aca="false">IF($A197="","",IF($D197&gt;=4,"HIGH — "&amp;$D197&amp;" funds share this feed",IF($D197&gt;=2,"Medium — "&amp;$D197&amp;" funds","Single fund")))</f>
        <v/>
      </c>
      <c r="J197" s="29" t="str">
        <f aca="false">IF($A197="","",COUNTIFS(Dim_Fund!$U:$U,$A197,Dim_Fund!$BC:$BC,1))</f>
        <v/>
      </c>
      <c r="K197" s="32" t="str">
        <f aca="false">IF($A197="","",IF(COUNTA(Dim_Fund!$A:$A)&lt;=1,"",$D197/(COUNTA(Dim_Fund!$A:$A)-1)))</f>
        <v/>
      </c>
      <c r="L197" s="29" t="str">
        <f aca="false">IF($A197="","",COUNTIFS(Fact_Milestone!$B:$B,$A197,Fact_Milestone!$I:$I,"?*"))</f>
        <v/>
      </c>
      <c r="M197" s="29" t="str">
        <f aca="false">IF($A197="","",COUNTIFS(Fact_Milestone!$B:$B,$A197,Fact_Milestone!$I:$I,"No"))</f>
        <v/>
      </c>
      <c r="N197" s="33" t="str">
        <f aca="false">IF($A197="","",ROUND(SUMIFS(Fact_Milestone!$L:$L,Fact_Milestone!$B:$B,$A197)/60,2))</f>
        <v/>
      </c>
      <c r="O197" s="29" t="str">
        <f aca="false">IF($A197="","",COUNTIFS(Fact_Work!$AL:$AL,$A197,Fact_Work!$AI:$AI,"Yes",Fact_Work!$BB:$BB,"No"))</f>
        <v/>
      </c>
    </row>
    <row r="198" customFormat="false" ht="15" hidden="false" customHeight="true" outlineLevel="0" collapsed="false">
      <c r="D198" s="4" t="str">
        <f aca="false">IF($A198="","",COUNTIF(Dim_Fund!$U:$U,$A198))</f>
        <v/>
      </c>
      <c r="E198" s="22" t="str">
        <f aca="false">IF($A198="","",IF($D198=0,"",_xlfn.MINIFS(Dim_Fund!$AH:$AH,Dim_Fund!$U:$U,$A198,Dim_Fund!$AH:$AH,"&gt;0")))</f>
        <v/>
      </c>
      <c r="F198" s="22" t="str">
        <f aca="false">IF($A198="","",IF($D198=0,"",_xlfn.MAXIFS(Dim_Fund!$AH:$AH,Dim_Fund!$U:$U,$A198,Dim_Fund!$AH:$AH,"&gt;0")))</f>
        <v/>
      </c>
      <c r="G198" s="31" t="str">
        <f aca="false">IF($A198="","",IF($D198=0,"",ROUND(($F198-$E198)*60,0)))</f>
        <v/>
      </c>
      <c r="H198" s="22" t="str">
        <f aca="false">IF($A198="","",$E198)</f>
        <v/>
      </c>
      <c r="I198" s="4" t="str">
        <f aca="false">IF($A198="","",IF($D198&gt;=4,"HIGH — "&amp;$D198&amp;" funds share this feed",IF($D198&gt;=2,"Medium — "&amp;$D198&amp;" funds","Single fund")))</f>
        <v/>
      </c>
      <c r="J198" s="29" t="str">
        <f aca="false">IF($A198="","",COUNTIFS(Dim_Fund!$U:$U,$A198,Dim_Fund!$BC:$BC,1))</f>
        <v/>
      </c>
      <c r="K198" s="32" t="str">
        <f aca="false">IF($A198="","",IF(COUNTA(Dim_Fund!$A:$A)&lt;=1,"",$D198/(COUNTA(Dim_Fund!$A:$A)-1)))</f>
        <v/>
      </c>
      <c r="L198" s="29" t="str">
        <f aca="false">IF($A198="","",COUNTIFS(Fact_Milestone!$B:$B,$A198,Fact_Milestone!$I:$I,"?*"))</f>
        <v/>
      </c>
      <c r="M198" s="29" t="str">
        <f aca="false">IF($A198="","",COUNTIFS(Fact_Milestone!$B:$B,$A198,Fact_Milestone!$I:$I,"No"))</f>
        <v/>
      </c>
      <c r="N198" s="33" t="str">
        <f aca="false">IF($A198="","",ROUND(SUMIFS(Fact_Milestone!$L:$L,Fact_Milestone!$B:$B,$A198)/60,2))</f>
        <v/>
      </c>
      <c r="O198" s="29" t="str">
        <f aca="false">IF($A198="","",COUNTIFS(Fact_Work!$AL:$AL,$A198,Fact_Work!$AI:$AI,"Yes",Fact_Work!$BB:$BB,"No"))</f>
        <v/>
      </c>
    </row>
    <row r="199" customFormat="false" ht="15" hidden="false" customHeight="true" outlineLevel="0" collapsed="false">
      <c r="D199" s="4" t="str">
        <f aca="false">IF($A199="","",COUNTIF(Dim_Fund!$U:$U,$A199))</f>
        <v/>
      </c>
      <c r="E199" s="22" t="str">
        <f aca="false">IF($A199="","",IF($D199=0,"",_xlfn.MINIFS(Dim_Fund!$AH:$AH,Dim_Fund!$U:$U,$A199,Dim_Fund!$AH:$AH,"&gt;0")))</f>
        <v/>
      </c>
      <c r="F199" s="22" t="str">
        <f aca="false">IF($A199="","",IF($D199=0,"",_xlfn.MAXIFS(Dim_Fund!$AH:$AH,Dim_Fund!$U:$U,$A199,Dim_Fund!$AH:$AH,"&gt;0")))</f>
        <v/>
      </c>
      <c r="G199" s="31" t="str">
        <f aca="false">IF($A199="","",IF($D199=0,"",ROUND(($F199-$E199)*60,0)))</f>
        <v/>
      </c>
      <c r="H199" s="22" t="str">
        <f aca="false">IF($A199="","",$E199)</f>
        <v/>
      </c>
      <c r="I199" s="4" t="str">
        <f aca="false">IF($A199="","",IF($D199&gt;=4,"HIGH — "&amp;$D199&amp;" funds share this feed",IF($D199&gt;=2,"Medium — "&amp;$D199&amp;" funds","Single fund")))</f>
        <v/>
      </c>
      <c r="J199" s="29" t="str">
        <f aca="false">IF($A199="","",COUNTIFS(Dim_Fund!$U:$U,$A199,Dim_Fund!$BC:$BC,1))</f>
        <v/>
      </c>
      <c r="K199" s="32" t="str">
        <f aca="false">IF($A199="","",IF(COUNTA(Dim_Fund!$A:$A)&lt;=1,"",$D199/(COUNTA(Dim_Fund!$A:$A)-1)))</f>
        <v/>
      </c>
      <c r="L199" s="29" t="str">
        <f aca="false">IF($A199="","",COUNTIFS(Fact_Milestone!$B:$B,$A199,Fact_Milestone!$I:$I,"?*"))</f>
        <v/>
      </c>
      <c r="M199" s="29" t="str">
        <f aca="false">IF($A199="","",COUNTIFS(Fact_Milestone!$B:$B,$A199,Fact_Milestone!$I:$I,"No"))</f>
        <v/>
      </c>
      <c r="N199" s="33" t="str">
        <f aca="false">IF($A199="","",ROUND(SUMIFS(Fact_Milestone!$L:$L,Fact_Milestone!$B:$B,$A199)/60,2))</f>
        <v/>
      </c>
      <c r="O199" s="29" t="str">
        <f aca="false">IF($A199="","",COUNTIFS(Fact_Work!$AL:$AL,$A199,Fact_Work!$AI:$AI,"Yes",Fact_Work!$BB:$BB,"No"))</f>
        <v/>
      </c>
    </row>
    <row r="200" customFormat="false" ht="15" hidden="false" customHeight="true" outlineLevel="0" collapsed="false">
      <c r="D200" s="4" t="str">
        <f aca="false">IF($A200="","",COUNTIF(Dim_Fund!$U:$U,$A200))</f>
        <v/>
      </c>
      <c r="E200" s="22" t="str">
        <f aca="false">IF($A200="","",IF($D200=0,"",_xlfn.MINIFS(Dim_Fund!$AH:$AH,Dim_Fund!$U:$U,$A200,Dim_Fund!$AH:$AH,"&gt;0")))</f>
        <v/>
      </c>
      <c r="F200" s="22" t="str">
        <f aca="false">IF($A200="","",IF($D200=0,"",_xlfn.MAXIFS(Dim_Fund!$AH:$AH,Dim_Fund!$U:$U,$A200,Dim_Fund!$AH:$AH,"&gt;0")))</f>
        <v/>
      </c>
      <c r="G200" s="31" t="str">
        <f aca="false">IF($A200="","",IF($D200=0,"",ROUND(($F200-$E200)*60,0)))</f>
        <v/>
      </c>
      <c r="H200" s="22" t="str">
        <f aca="false">IF($A200="","",$E200)</f>
        <v/>
      </c>
      <c r="I200" s="4" t="str">
        <f aca="false">IF($A200="","",IF($D200&gt;=4,"HIGH — "&amp;$D200&amp;" funds share this feed",IF($D200&gt;=2,"Medium — "&amp;$D200&amp;" funds","Single fund")))</f>
        <v/>
      </c>
      <c r="J200" s="29" t="str">
        <f aca="false">IF($A200="","",COUNTIFS(Dim_Fund!$U:$U,$A200,Dim_Fund!$BC:$BC,1))</f>
        <v/>
      </c>
      <c r="K200" s="32" t="str">
        <f aca="false">IF($A200="","",IF(COUNTA(Dim_Fund!$A:$A)&lt;=1,"",$D200/(COUNTA(Dim_Fund!$A:$A)-1)))</f>
        <v/>
      </c>
      <c r="L200" s="29" t="str">
        <f aca="false">IF($A200="","",COUNTIFS(Fact_Milestone!$B:$B,$A200,Fact_Milestone!$I:$I,"?*"))</f>
        <v/>
      </c>
      <c r="M200" s="29" t="str">
        <f aca="false">IF($A200="","",COUNTIFS(Fact_Milestone!$B:$B,$A200,Fact_Milestone!$I:$I,"No"))</f>
        <v/>
      </c>
      <c r="N200" s="33" t="str">
        <f aca="false">IF($A200="","",ROUND(SUMIFS(Fact_Milestone!$L:$L,Fact_Milestone!$B:$B,$A200)/60,2))</f>
        <v/>
      </c>
      <c r="O200" s="29" t="str">
        <f aca="false">IF($A200="","",COUNTIFS(Fact_Work!$AL:$AL,$A200,Fact_Work!$AI:$AI,"Yes",Fact_Work!$BB:$BB,"No"))</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3"/>
    <col collapsed="false" customWidth="true" hidden="false" outlineLevel="0" max="3" min="3" style="1" width="19"/>
    <col collapsed="false" customWidth="true" hidden="false" outlineLevel="0" max="4" min="4" style="1" width="13"/>
    <col collapsed="false" customWidth="true" hidden="false" outlineLevel="0" max="5" min="5" style="1" width="14"/>
    <col collapsed="false" customWidth="true" hidden="false" outlineLevel="0" max="7" min="6" style="1" width="19"/>
    <col collapsed="false" customWidth="true" hidden="false" outlineLevel="0" max="9" min="8" style="1" width="13"/>
    <col collapsed="false" customWidth="true" hidden="false" outlineLevel="0" max="10" min="10" style="1" width="20"/>
    <col collapsed="false" customWidth="true" hidden="false" outlineLevel="0" max="11" min="11" style="1" width="16"/>
    <col collapsed="false" customWidth="true" hidden="false" outlineLevel="0" max="12" min="12" style="0" width="11"/>
    <col collapsed="false" customWidth="true" hidden="false" outlineLevel="0" max="13" min="13" style="0" width="12"/>
  </cols>
  <sheetData>
    <row r="1" customFormat="false" ht="15" hidden="false" customHeight="true" outlineLevel="0" collapsed="false">
      <c r="A1" s="17" t="s">
        <v>371</v>
      </c>
      <c r="B1" s="17" t="s">
        <v>268</v>
      </c>
      <c r="C1" s="17" t="s">
        <v>372</v>
      </c>
      <c r="D1" s="18" t="s">
        <v>352</v>
      </c>
      <c r="E1" s="18" t="s">
        <v>354</v>
      </c>
      <c r="F1" s="18" t="s">
        <v>358</v>
      </c>
      <c r="G1" s="18" t="s">
        <v>373</v>
      </c>
      <c r="H1" s="18" t="s">
        <v>374</v>
      </c>
      <c r="I1" s="18" t="s">
        <v>375</v>
      </c>
      <c r="J1" s="18" t="s">
        <v>376</v>
      </c>
      <c r="K1" s="18" t="s">
        <v>377</v>
      </c>
      <c r="L1" s="19" t="s">
        <v>378</v>
      </c>
      <c r="M1" s="19" t="s">
        <v>379</v>
      </c>
    </row>
    <row r="2" customFormat="false" ht="15" hidden="false" customHeight="true" outlineLevel="0" collapsed="false">
      <c r="A2" s="34" t="n">
        <v>46265</v>
      </c>
      <c r="B2" s="13" t="s">
        <v>315</v>
      </c>
      <c r="C2" s="35" t="n">
        <v>46265.4604166667</v>
      </c>
      <c r="D2" s="4" t="str">
        <f aca="false">IF($A2="","",IFERROR(VLOOKUP($B2,Dim_TOP!$A:$B,2,0),""))</f>
        <v>Equity pricing group</v>
      </c>
      <c r="E2" s="36" t="n">
        <f aca="false">IF($A2="","",COUNTIFS(Fact_Work!$B:$B,$A2,Fact_Work!$AL:$AL,$B2))</f>
        <v>2</v>
      </c>
      <c r="F2" s="22" t="n">
        <f aca="false">IF($A2="","",IF(COUNTIFS(Fact_Work!$B:$B,$A2,Fact_Work!$AL:$AL,$B2,Fact_Work!$AN:$AN,"&gt;0")=0,"",_xlfn.MINIFS(Fact_Work!$AN:$AN,Fact_Work!$B:$B,$A2,Fact_Work!$AL:$AL,$B2,Fact_Work!$AN:$AN,"&gt;0")))</f>
        <v>12.4833333333333</v>
      </c>
      <c r="G2" s="37" t="n">
        <f aca="false">IF($A2="","",IF($F2="","",$A2+$F2/24))</f>
        <v>46265.5201388889</v>
      </c>
      <c r="H2" s="38" t="n">
        <f aca="false">IF($A2="","",IF($G2="","",ROUND(($C2-$G2)*1440,0)))</f>
        <v>-86</v>
      </c>
      <c r="I2" s="4" t="str">
        <f aca="false">IF($A2="","",IF($H2="","",IF($H2&lt;=0,"Yes","No")))</f>
        <v>Yes</v>
      </c>
      <c r="J2" s="4" t="n">
        <f aca="false">IF($A2="","",IF($I2="No",$E2,0))</f>
        <v>0</v>
      </c>
      <c r="K2" s="22" t="n">
        <f aca="false">IF($A2="","",IF($F2="","",FLOOR($F2,0.5)))</f>
        <v>12</v>
      </c>
      <c r="L2" s="39" t="n">
        <f aca="false">IF($A2="","",IF($H2="","",MAX(0,$H2)))</f>
        <v>0</v>
      </c>
      <c r="M2" s="29" t="n">
        <f aca="false">IF($A2="","",IF($F2="","",COUNTIFS(Fact_Work!$B:$B,$A2,Fact_Work!$AL:$AL,$B2,Fact_Work!$AI:$AI,"Yes")))</f>
        <v>1</v>
      </c>
    </row>
    <row r="3" customFormat="false" ht="15" hidden="false" customHeight="true" outlineLevel="0" collapsed="false">
      <c r="A3" s="34" t="n">
        <v>46265</v>
      </c>
      <c r="B3" s="13" t="s">
        <v>322</v>
      </c>
      <c r="C3" s="35" t="n">
        <v>46265.4840277778</v>
      </c>
      <c r="D3" s="4" t="str">
        <f aca="false">IF($A3="","",IFERROR(VLOOKUP($B3,Dim_TOP!$A:$B,2,0),""))</f>
        <v>Fixed income pricing group</v>
      </c>
      <c r="E3" s="36" t="n">
        <f aca="false">IF($A3="","",COUNTIFS(Fact_Work!$B:$B,$A3,Fact_Work!$AL:$AL,$B3))</f>
        <v>2</v>
      </c>
      <c r="F3" s="22" t="n">
        <f aca="false">IF($A3="","",IF(COUNTIFS(Fact_Work!$B:$B,$A3,Fact_Work!$AL:$AL,$B3,Fact_Work!$AN:$AN,"&gt;0")=0,"",_xlfn.MINIFS(Fact_Work!$AN:$AN,Fact_Work!$B:$B,$A3,Fact_Work!$AL:$AL,$B3,Fact_Work!$AN:$AN,"&gt;0")))</f>
        <v>12.45</v>
      </c>
      <c r="G3" s="37" t="n">
        <f aca="false">IF($A3="","",IF($F3="","",$A3+$F3/24))</f>
        <v>46265.51875</v>
      </c>
      <c r="H3" s="38" t="n">
        <f aca="false">IF($A3="","",IF($G3="","",ROUND(($C3-$G3)*1440,0)))</f>
        <v>-50</v>
      </c>
      <c r="I3" s="4" t="str">
        <f aca="false">IF($A3="","",IF($H3="","",IF($H3&lt;=0,"Yes","No")))</f>
        <v>Yes</v>
      </c>
      <c r="J3" s="4" t="n">
        <f aca="false">IF($A3="","",IF($I3="No",$E3,0))</f>
        <v>0</v>
      </c>
      <c r="K3" s="22" t="n">
        <f aca="false">IF($A3="","",IF($F3="","",FLOOR($F3,0.5)))</f>
        <v>12</v>
      </c>
      <c r="L3" s="39" t="n">
        <f aca="false">IF($A3="","",IF($H3="","",MAX(0,$H3)))</f>
        <v>0</v>
      </c>
      <c r="M3" s="29" t="n">
        <f aca="false">IF($A3="","",IF($F3="","",COUNTIFS(Fact_Work!$B:$B,$A3,Fact_Work!$AL:$AL,$B3,Fact_Work!$AI:$AI,"Yes")))</f>
        <v>0</v>
      </c>
    </row>
    <row r="4" customFormat="false" ht="15" hidden="false" customHeight="true" outlineLevel="0" collapsed="false">
      <c r="A4" s="34" t="n">
        <v>46265</v>
      </c>
      <c r="B4" s="13" t="s">
        <v>329</v>
      </c>
      <c r="C4" s="35" t="n">
        <v>46265.4986111111</v>
      </c>
      <c r="D4" s="4" t="str">
        <f aca="false">IF($A4="","",IFERROR(VLOOKUP($B4,Dim_TOP!$A:$B,2,0),""))</f>
        <v>Multi-asset pricing group</v>
      </c>
      <c r="E4" s="36" t="n">
        <f aca="false">IF($A4="","",COUNTIFS(Fact_Work!$B:$B,$A4,Fact_Work!$AL:$AL,$B4))</f>
        <v>3</v>
      </c>
      <c r="F4" s="22" t="n">
        <f aca="false">IF($A4="","",IF(COUNTIFS(Fact_Work!$B:$B,$A4,Fact_Work!$AL:$AL,$B4,Fact_Work!$AN:$AN,"&gt;0")=0,"",_xlfn.MINIFS(Fact_Work!$AN:$AN,Fact_Work!$B:$B,$A4,Fact_Work!$AL:$AL,$B4,Fact_Work!$AN:$AN,"&gt;0")))</f>
        <v>11.7166666666667</v>
      </c>
      <c r="G4" s="37" t="n">
        <f aca="false">IF($A4="","",IF($F4="","",$A4+$F4/24))</f>
        <v>46265.4881944444</v>
      </c>
      <c r="H4" s="38" t="n">
        <f aca="false">IF($A4="","",IF($G4="","",ROUND(($C4-$G4)*1440,0)))</f>
        <v>15</v>
      </c>
      <c r="I4" s="4" t="str">
        <f aca="false">IF($A4="","",IF($H4="","",IF($H4&lt;=0,"Yes","No")))</f>
        <v>No</v>
      </c>
      <c r="J4" s="36" t="n">
        <f aca="false">IF($A4="","",IF($I4="No",$E4,0))</f>
        <v>3</v>
      </c>
      <c r="K4" s="22" t="n">
        <f aca="false">IF($A4="","",IF($F4="","",FLOOR($F4,0.5)))</f>
        <v>11.5</v>
      </c>
      <c r="L4" s="39" t="n">
        <f aca="false">IF($A4="","",IF($H4="","",MAX(0,$H4)))</f>
        <v>15</v>
      </c>
      <c r="M4" s="29" t="n">
        <f aca="false">IF($A4="","",IF($F4="","",COUNTIFS(Fact_Work!$B:$B,$A4,Fact_Work!$AL:$AL,$B4,Fact_Work!$AI:$AI,"Yes")))</f>
        <v>0</v>
      </c>
    </row>
    <row r="5" customFormat="false" ht="15" hidden="false" customHeight="true" outlineLevel="0" collapsed="false">
      <c r="A5" s="34" t="n">
        <v>46265</v>
      </c>
      <c r="B5" s="13" t="s">
        <v>333</v>
      </c>
      <c r="C5" s="35" t="n">
        <v>46265.4715277778</v>
      </c>
      <c r="D5" s="4" t="str">
        <f aca="false">IF($A5="","",IFERROR(VLOOKUP($B5,Dim_TOP!$A:$B,2,0),""))</f>
        <v>Alternatives pricing group</v>
      </c>
      <c r="E5" s="36" t="n">
        <f aca="false">IF($A5="","",COUNTIFS(Fact_Work!$B:$B,$A5,Fact_Work!$AL:$AL,$B5))</f>
        <v>2</v>
      </c>
      <c r="F5" s="22" t="n">
        <f aca="false">IF($A5="","",IF(COUNTIFS(Fact_Work!$B:$B,$A5,Fact_Work!$AL:$AL,$B5,Fact_Work!$AN:$AN,"&gt;0")=0,"",_xlfn.MINIFS(Fact_Work!$AN:$AN,Fact_Work!$B:$B,$A5,Fact_Work!$AL:$AL,$B5,Fact_Work!$AN:$AN,"&gt;0")))</f>
        <v>11.6333333333333</v>
      </c>
      <c r="G5" s="37" t="n">
        <f aca="false">IF($A5="","",IF($F5="","",$A5+$F5/24))</f>
        <v>46265.4847222222</v>
      </c>
      <c r="H5" s="38" t="n">
        <f aca="false">IF($A5="","",IF($G5="","",ROUND(($C5-$G5)*1440,0)))</f>
        <v>-19</v>
      </c>
      <c r="I5" s="4" t="str">
        <f aca="false">IF($A5="","",IF($H5="","",IF($H5&lt;=0,"Yes","No")))</f>
        <v>Yes</v>
      </c>
      <c r="J5" s="4" t="n">
        <f aca="false">IF($A5="","",IF($I5="No",$E5,0))</f>
        <v>0</v>
      </c>
      <c r="K5" s="22" t="n">
        <f aca="false">IF($A5="","",IF($F5="","",FLOOR($F5,0.5)))</f>
        <v>11.5</v>
      </c>
      <c r="L5" s="39" t="n">
        <f aca="false">IF($A5="","",IF($H5="","",MAX(0,$H5)))</f>
        <v>0</v>
      </c>
      <c r="M5" s="29" t="n">
        <f aca="false">IF($A5="","",IF($F5="","",COUNTIFS(Fact_Work!$B:$B,$A5,Fact_Work!$AL:$AL,$B5,Fact_Work!$AI:$AI,"Yes")))</f>
        <v>0</v>
      </c>
    </row>
    <row r="6" customFormat="false" ht="15" hidden="false" customHeight="true" outlineLevel="0" collapsed="false">
      <c r="A6" s="34" t="n">
        <v>46266</v>
      </c>
      <c r="B6" s="13" t="s">
        <v>315</v>
      </c>
      <c r="C6" s="35" t="n">
        <v>46266.4631944444</v>
      </c>
      <c r="D6" s="4" t="str">
        <f aca="false">IF($A6="","",IFERROR(VLOOKUP($B6,Dim_TOP!$A:$B,2,0),""))</f>
        <v>Equity pricing group</v>
      </c>
      <c r="E6" s="36" t="n">
        <f aca="false">IF($A6="","",COUNTIFS(Fact_Work!$B:$B,$A6,Fact_Work!$AL:$AL,$B6))</f>
        <v>3</v>
      </c>
      <c r="F6" s="22" t="n">
        <f aca="false">IF($A6="","",IF(COUNTIFS(Fact_Work!$B:$B,$A6,Fact_Work!$AL:$AL,$B6,Fact_Work!$AN:$AN,"&gt;0")=0,"",_xlfn.MINIFS(Fact_Work!$AN:$AN,Fact_Work!$B:$B,$A6,Fact_Work!$AL:$AL,$B6,Fact_Work!$AN:$AN,"&gt;0")))</f>
        <v>11.65</v>
      </c>
      <c r="G6" s="37" t="n">
        <f aca="false">IF($A6="","",IF($F6="","",$A6+$F6/24))</f>
        <v>46266.4854166667</v>
      </c>
      <c r="H6" s="38" t="n">
        <f aca="false">IF($A6="","",IF($G6="","",ROUND(($C6-$G6)*1440,0)))</f>
        <v>-32</v>
      </c>
      <c r="I6" s="4" t="str">
        <f aca="false">IF($A6="","",IF($H6="","",IF($H6&lt;=0,"Yes","No")))</f>
        <v>Yes</v>
      </c>
      <c r="J6" s="4" t="n">
        <f aca="false">IF($A6="","",IF($I6="No",$E6,0))</f>
        <v>0</v>
      </c>
      <c r="K6" s="22" t="n">
        <f aca="false">IF($A6="","",IF($F6="","",FLOOR($F6,0.5)))</f>
        <v>11.5</v>
      </c>
      <c r="L6" s="39" t="n">
        <f aca="false">IF($A6="","",IF($H6="","",MAX(0,$H6)))</f>
        <v>0</v>
      </c>
      <c r="M6" s="29" t="n">
        <f aca="false">IF($A6="","",IF($F6="","",COUNTIFS(Fact_Work!$B:$B,$A6,Fact_Work!$AL:$AL,$B6,Fact_Work!$AI:$AI,"Yes")))</f>
        <v>2</v>
      </c>
    </row>
    <row r="7" customFormat="false" ht="15" hidden="false" customHeight="true" outlineLevel="0" collapsed="false">
      <c r="A7" s="34" t="n">
        <v>46266</v>
      </c>
      <c r="B7" s="13" t="s">
        <v>322</v>
      </c>
      <c r="C7" s="35" t="n">
        <v>46266.4861111111</v>
      </c>
      <c r="D7" s="4" t="str">
        <f aca="false">IF($A7="","",IFERROR(VLOOKUP($B7,Dim_TOP!$A:$B,2,0),""))</f>
        <v>Fixed income pricing group</v>
      </c>
      <c r="E7" s="36" t="n">
        <f aca="false">IF($A7="","",COUNTIFS(Fact_Work!$B:$B,$A7,Fact_Work!$AL:$AL,$B7))</f>
        <v>3</v>
      </c>
      <c r="F7" s="22" t="n">
        <f aca="false">IF($A7="","",IF(COUNTIFS(Fact_Work!$B:$B,$A7,Fact_Work!$AL:$AL,$B7,Fact_Work!$AN:$AN,"&gt;0")=0,"",_xlfn.MINIFS(Fact_Work!$AN:$AN,Fact_Work!$B:$B,$A7,Fact_Work!$AL:$AL,$B7,Fact_Work!$AN:$AN,"&gt;0")))</f>
        <v>12.45</v>
      </c>
      <c r="G7" s="37" t="n">
        <f aca="false">IF($A7="","",IF($F7="","",$A7+$F7/24))</f>
        <v>46266.51875</v>
      </c>
      <c r="H7" s="38" t="n">
        <f aca="false">IF($A7="","",IF($G7="","",ROUND(($C7-$G7)*1440,0)))</f>
        <v>-47</v>
      </c>
      <c r="I7" s="4" t="str">
        <f aca="false">IF($A7="","",IF($H7="","",IF($H7&lt;=0,"Yes","No")))</f>
        <v>Yes</v>
      </c>
      <c r="J7" s="4" t="n">
        <f aca="false">IF($A7="","",IF($I7="No",$E7,0))</f>
        <v>0</v>
      </c>
      <c r="K7" s="22" t="n">
        <f aca="false">IF($A7="","",IF($F7="","",FLOOR($F7,0.5)))</f>
        <v>12</v>
      </c>
      <c r="L7" s="39" t="n">
        <f aca="false">IF($A7="","",IF($H7="","",MAX(0,$H7)))</f>
        <v>0</v>
      </c>
      <c r="M7" s="29" t="n">
        <f aca="false">IF($A7="","",IF($F7="","",COUNTIFS(Fact_Work!$B:$B,$A7,Fact_Work!$AL:$AL,$B7,Fact_Work!$AI:$AI,"Yes")))</f>
        <v>0</v>
      </c>
    </row>
    <row r="8" customFormat="false" ht="15" hidden="false" customHeight="true" outlineLevel="0" collapsed="false">
      <c r="A8" s="34" t="n">
        <v>46266</v>
      </c>
      <c r="B8" s="13" t="s">
        <v>329</v>
      </c>
      <c r="C8" s="35" t="n">
        <v>46266.4631944444</v>
      </c>
      <c r="D8" s="4" t="str">
        <f aca="false">IF($A8="","",IFERROR(VLOOKUP($B8,Dim_TOP!$A:$B,2,0),""))</f>
        <v>Multi-asset pricing group</v>
      </c>
      <c r="E8" s="36" t="n">
        <f aca="false">IF($A8="","",COUNTIFS(Fact_Work!$B:$B,$A8,Fact_Work!$AL:$AL,$B8))</f>
        <v>2</v>
      </c>
      <c r="F8" s="22" t="n">
        <f aca="false">IF($A8="","",IF(COUNTIFS(Fact_Work!$B:$B,$A8,Fact_Work!$AL:$AL,$B8,Fact_Work!$AN:$AN,"&gt;0")=0,"",_xlfn.MINIFS(Fact_Work!$AN:$AN,Fact_Work!$B:$B,$A8,Fact_Work!$AL:$AL,$B8,Fact_Work!$AN:$AN,"&gt;0")))</f>
        <v>11.7166666666667</v>
      </c>
      <c r="G8" s="37" t="n">
        <f aca="false">IF($A8="","",IF($F8="","",$A8+$F8/24))</f>
        <v>46266.4881944444</v>
      </c>
      <c r="H8" s="38" t="n">
        <f aca="false">IF($A8="","",IF($G8="","",ROUND(($C8-$G8)*1440,0)))</f>
        <v>-36</v>
      </c>
      <c r="I8" s="4" t="str">
        <f aca="false">IF($A8="","",IF($H8="","",IF($H8&lt;=0,"Yes","No")))</f>
        <v>Yes</v>
      </c>
      <c r="J8" s="4" t="n">
        <f aca="false">IF($A8="","",IF($I8="No",$E8,0))</f>
        <v>0</v>
      </c>
      <c r="K8" s="22" t="n">
        <f aca="false">IF($A8="","",IF($F8="","",FLOOR($F8,0.5)))</f>
        <v>11.5</v>
      </c>
      <c r="L8" s="39" t="n">
        <f aca="false">IF($A8="","",IF($H8="","",MAX(0,$H8)))</f>
        <v>0</v>
      </c>
      <c r="M8" s="29" t="n">
        <f aca="false">IF($A8="","",IF($F8="","",COUNTIFS(Fact_Work!$B:$B,$A8,Fact_Work!$AL:$AL,$B8,Fact_Work!$AI:$AI,"Yes")))</f>
        <v>0</v>
      </c>
    </row>
    <row r="9" customFormat="false" ht="15" hidden="false" customHeight="true" outlineLevel="0" collapsed="false">
      <c r="A9" s="34" t="n">
        <v>46266</v>
      </c>
      <c r="B9" s="13" t="s">
        <v>333</v>
      </c>
      <c r="C9" s="35" t="n">
        <v>46266.5305555556</v>
      </c>
      <c r="D9" s="4" t="str">
        <f aca="false">IF($A9="","",IFERROR(VLOOKUP($B9,Dim_TOP!$A:$B,2,0),""))</f>
        <v>Alternatives pricing group</v>
      </c>
      <c r="E9" s="36" t="n">
        <f aca="false">IF($A9="","",COUNTIFS(Fact_Work!$B:$B,$A9,Fact_Work!$AL:$AL,$B9))</f>
        <v>2</v>
      </c>
      <c r="F9" s="22" t="n">
        <f aca="false">IF($A9="","",IF(COUNTIFS(Fact_Work!$B:$B,$A9,Fact_Work!$AL:$AL,$B9,Fact_Work!$AN:$AN,"&gt;0")=0,"",_xlfn.MINIFS(Fact_Work!$AN:$AN,Fact_Work!$B:$B,$A9,Fact_Work!$AL:$AL,$B9,Fact_Work!$AN:$AN,"&gt;0")))</f>
        <v>11.8166666666667</v>
      </c>
      <c r="G9" s="37" t="n">
        <f aca="false">IF($A9="","",IF($F9="","",$A9+$F9/24))</f>
        <v>46266.4923611111</v>
      </c>
      <c r="H9" s="38" t="n">
        <f aca="false">IF($A9="","",IF($G9="","",ROUND(($C9-$G9)*1440,0)))</f>
        <v>55</v>
      </c>
      <c r="I9" s="4" t="str">
        <f aca="false">IF($A9="","",IF($H9="","",IF($H9&lt;=0,"Yes","No")))</f>
        <v>No</v>
      </c>
      <c r="J9" s="36" t="n">
        <f aca="false">IF($A9="","",IF($I9="No",$E9,0))</f>
        <v>2</v>
      </c>
      <c r="K9" s="22" t="n">
        <f aca="false">IF($A9="","",IF($F9="","",FLOOR($F9,0.5)))</f>
        <v>11.5</v>
      </c>
      <c r="L9" s="39" t="n">
        <f aca="false">IF($A9="","",IF($H9="","",MAX(0,$H9)))</f>
        <v>55</v>
      </c>
      <c r="M9" s="29" t="n">
        <f aca="false">IF($A9="","",IF($F9="","",COUNTIFS(Fact_Work!$B:$B,$A9,Fact_Work!$AL:$AL,$B9,Fact_Work!$AI:$AI,"Yes")))</f>
        <v>1</v>
      </c>
    </row>
    <row r="10" customFormat="false" ht="15" hidden="false" customHeight="true" outlineLevel="0" collapsed="false">
      <c r="A10" s="34" t="n">
        <v>46267</v>
      </c>
      <c r="B10" s="13" t="s">
        <v>315</v>
      </c>
      <c r="C10" s="35" t="n">
        <v>46267.4534722222</v>
      </c>
      <c r="D10" s="4" t="str">
        <f aca="false">IF($A10="","",IFERROR(VLOOKUP($B10,Dim_TOP!$A:$B,2,0),""))</f>
        <v>Equity pricing group</v>
      </c>
      <c r="E10" s="36" t="n">
        <f aca="false">IF($A10="","",COUNTIFS(Fact_Work!$B:$B,$A10,Fact_Work!$AL:$AL,$B10))</f>
        <v>2</v>
      </c>
      <c r="F10" s="22" t="n">
        <f aca="false">IF($A10="","",IF(COUNTIFS(Fact_Work!$B:$B,$A10,Fact_Work!$AL:$AL,$B10,Fact_Work!$AN:$AN,"&gt;0")=0,"",_xlfn.MINIFS(Fact_Work!$AN:$AN,Fact_Work!$B:$B,$A10,Fact_Work!$AL:$AL,$B10,Fact_Work!$AN:$AN,"&gt;0")))</f>
        <v>12.4833333333333</v>
      </c>
      <c r="G10" s="37" t="n">
        <f aca="false">IF($A10="","",IF($F10="","",$A10+$F10/24))</f>
        <v>46267.5201388889</v>
      </c>
      <c r="H10" s="38" t="n">
        <f aca="false">IF($A10="","",IF($G10="","",ROUND(($C10-$G10)*1440,0)))</f>
        <v>-96</v>
      </c>
      <c r="I10" s="4" t="str">
        <f aca="false">IF($A10="","",IF($H10="","",IF($H10&lt;=0,"Yes","No")))</f>
        <v>Yes</v>
      </c>
      <c r="J10" s="4" t="n">
        <f aca="false">IF($A10="","",IF($I10="No",$E10,0))</f>
        <v>0</v>
      </c>
      <c r="K10" s="22" t="n">
        <f aca="false">IF($A10="","",IF($F10="","",FLOOR($F10,0.5)))</f>
        <v>12</v>
      </c>
      <c r="L10" s="39" t="n">
        <f aca="false">IF($A10="","",IF($H10="","",MAX(0,$H10)))</f>
        <v>0</v>
      </c>
      <c r="M10" s="29" t="n">
        <f aca="false">IF($A10="","",IF($F10="","",COUNTIFS(Fact_Work!$B:$B,$A10,Fact_Work!$AL:$AL,$B10,Fact_Work!$AI:$AI,"Yes")))</f>
        <v>1</v>
      </c>
    </row>
    <row r="11" customFormat="false" ht="15" hidden="false" customHeight="true" outlineLevel="0" collapsed="false">
      <c r="A11" s="34" t="n">
        <v>46267</v>
      </c>
      <c r="B11" s="13" t="s">
        <v>322</v>
      </c>
      <c r="C11" s="35" t="n">
        <v>46267.4972222222</v>
      </c>
      <c r="D11" s="4" t="str">
        <f aca="false">IF($A11="","",IFERROR(VLOOKUP($B11,Dim_TOP!$A:$B,2,0),""))</f>
        <v>Fixed income pricing group</v>
      </c>
      <c r="E11" s="36" t="n">
        <f aca="false">IF($A11="","",COUNTIFS(Fact_Work!$B:$B,$A11,Fact_Work!$AL:$AL,$B11))</f>
        <v>2</v>
      </c>
      <c r="F11" s="22" t="n">
        <f aca="false">IF($A11="","",IF(COUNTIFS(Fact_Work!$B:$B,$A11,Fact_Work!$AL:$AL,$B11,Fact_Work!$AN:$AN,"&gt;0")=0,"",_xlfn.MINIFS(Fact_Work!$AN:$AN,Fact_Work!$B:$B,$A11,Fact_Work!$AL:$AL,$B11,Fact_Work!$AN:$AN,"&gt;0")))</f>
        <v>12.45</v>
      </c>
      <c r="G11" s="37" t="n">
        <f aca="false">IF($A11="","",IF($F11="","",$A11+$F11/24))</f>
        <v>46267.51875</v>
      </c>
      <c r="H11" s="38" t="n">
        <f aca="false">IF($A11="","",IF($G11="","",ROUND(($C11-$G11)*1440,0)))</f>
        <v>-31</v>
      </c>
      <c r="I11" s="4" t="str">
        <f aca="false">IF($A11="","",IF($H11="","",IF($H11&lt;=0,"Yes","No")))</f>
        <v>Yes</v>
      </c>
      <c r="J11" s="4" t="n">
        <f aca="false">IF($A11="","",IF($I11="No",$E11,0))</f>
        <v>0</v>
      </c>
      <c r="K11" s="22" t="n">
        <f aca="false">IF($A11="","",IF($F11="","",FLOOR($F11,0.5)))</f>
        <v>12</v>
      </c>
      <c r="L11" s="39" t="n">
        <f aca="false">IF($A11="","",IF($H11="","",MAX(0,$H11)))</f>
        <v>0</v>
      </c>
      <c r="M11" s="29" t="n">
        <f aca="false">IF($A11="","",IF($F11="","",COUNTIFS(Fact_Work!$B:$B,$A11,Fact_Work!$AL:$AL,$B11,Fact_Work!$AI:$AI,"Yes")))</f>
        <v>0</v>
      </c>
    </row>
    <row r="12" customFormat="false" ht="15" hidden="false" customHeight="true" outlineLevel="0" collapsed="false">
      <c r="A12" s="34" t="n">
        <v>46267</v>
      </c>
      <c r="B12" s="13" t="s">
        <v>329</v>
      </c>
      <c r="C12" s="35" t="n">
        <v>46267.4465277778</v>
      </c>
      <c r="D12" s="4" t="str">
        <f aca="false">IF($A12="","",IFERROR(VLOOKUP($B12,Dim_TOP!$A:$B,2,0),""))</f>
        <v>Multi-asset pricing group</v>
      </c>
      <c r="E12" s="36" t="n">
        <f aca="false">IF($A12="","",COUNTIFS(Fact_Work!$B:$B,$A12,Fact_Work!$AL:$AL,$B12))</f>
        <v>2</v>
      </c>
      <c r="F12" s="22" t="n">
        <f aca="false">IF($A12="","",IF(COUNTIFS(Fact_Work!$B:$B,$A12,Fact_Work!$AL:$AL,$B12,Fact_Work!$AN:$AN,"&gt;0")=0,"",_xlfn.MINIFS(Fact_Work!$AN:$AN,Fact_Work!$B:$B,$A12,Fact_Work!$AL:$AL,$B12,Fact_Work!$AN:$AN,"&gt;0")))</f>
        <v>11.7166666666667</v>
      </c>
      <c r="G12" s="37" t="n">
        <f aca="false">IF($A12="","",IF($F12="","",$A12+$F12/24))</f>
        <v>46267.4881944444</v>
      </c>
      <c r="H12" s="38" t="n">
        <f aca="false">IF($A12="","",IF($G12="","",ROUND(($C12-$G12)*1440,0)))</f>
        <v>-60</v>
      </c>
      <c r="I12" s="4" t="str">
        <f aca="false">IF($A12="","",IF($H12="","",IF($H12&lt;=0,"Yes","No")))</f>
        <v>Yes</v>
      </c>
      <c r="J12" s="4" t="n">
        <f aca="false">IF($A12="","",IF($I12="No",$E12,0))</f>
        <v>0</v>
      </c>
      <c r="K12" s="22" t="n">
        <f aca="false">IF($A12="","",IF($F12="","",FLOOR($F12,0.5)))</f>
        <v>11.5</v>
      </c>
      <c r="L12" s="39" t="n">
        <f aca="false">IF($A12="","",IF($H12="","",MAX(0,$H12)))</f>
        <v>0</v>
      </c>
      <c r="M12" s="29" t="n">
        <f aca="false">IF($A12="","",IF($F12="","",COUNTIFS(Fact_Work!$B:$B,$A12,Fact_Work!$AL:$AL,$B12,Fact_Work!$AI:$AI,"Yes")))</f>
        <v>0</v>
      </c>
    </row>
    <row r="13" customFormat="false" ht="15" hidden="false" customHeight="true" outlineLevel="0" collapsed="false">
      <c r="A13" s="34" t="n">
        <v>46267</v>
      </c>
      <c r="B13" s="13" t="s">
        <v>333</v>
      </c>
      <c r="C13" s="35" t="n">
        <v>46267.46875</v>
      </c>
      <c r="D13" s="4" t="str">
        <f aca="false">IF($A13="","",IFERROR(VLOOKUP($B13,Dim_TOP!$A:$B,2,0),""))</f>
        <v>Alternatives pricing group</v>
      </c>
      <c r="E13" s="36" t="n">
        <f aca="false">IF($A13="","",COUNTIFS(Fact_Work!$B:$B,$A13,Fact_Work!$AL:$AL,$B13))</f>
        <v>1</v>
      </c>
      <c r="F13" s="22" t="n">
        <f aca="false">IF($A13="","",IF(COUNTIFS(Fact_Work!$B:$B,$A13,Fact_Work!$AL:$AL,$B13,Fact_Work!$AN:$AN,"&gt;0")=0,"",_xlfn.MINIFS(Fact_Work!$AN:$AN,Fact_Work!$B:$B,$A13,Fact_Work!$AL:$AL,$B13,Fact_Work!$AN:$AN,"&gt;0")))</f>
        <v>12.6666666666667</v>
      </c>
      <c r="G13" s="37" t="n">
        <f aca="false">IF($A13="","",IF($F13="","",$A13+$F13/24))</f>
        <v>46267.5277777778</v>
      </c>
      <c r="H13" s="38" t="n">
        <f aca="false">IF($A13="","",IF($G13="","",ROUND(($C13-$G13)*1440,0)))</f>
        <v>-85</v>
      </c>
      <c r="I13" s="4" t="str">
        <f aca="false">IF($A13="","",IF($H13="","",IF($H13&lt;=0,"Yes","No")))</f>
        <v>Yes</v>
      </c>
      <c r="J13" s="4" t="n">
        <f aca="false">IF($A13="","",IF($I13="No",$E13,0))</f>
        <v>0</v>
      </c>
      <c r="K13" s="22" t="n">
        <f aca="false">IF($A13="","",IF($F13="","",FLOOR($F13,0.5)))</f>
        <v>12.5</v>
      </c>
      <c r="L13" s="39" t="n">
        <f aca="false">IF($A13="","",IF($H13="","",MAX(0,$H13)))</f>
        <v>0</v>
      </c>
      <c r="M13" s="29" t="n">
        <f aca="false">IF($A13="","",IF($F13="","",COUNTIFS(Fact_Work!$B:$B,$A13,Fact_Work!$AL:$AL,$B13,Fact_Work!$AI:$AI,"Yes")))</f>
        <v>1</v>
      </c>
    </row>
    <row r="14" customFormat="false" ht="15" hidden="false" customHeight="true" outlineLevel="0" collapsed="false">
      <c r="D14" s="4" t="str">
        <f aca="false">IF($A14="","",IFERROR(VLOOKUP($B14,Dim_TOP!$A:$B,2,0),""))</f>
        <v/>
      </c>
      <c r="E14" s="36" t="str">
        <f aca="false">IF($A14="","",COUNTIFS(Fact_Work!$B:$B,$A14,Fact_Work!$AL:$AL,$B14))</f>
        <v/>
      </c>
      <c r="F14" s="22" t="str">
        <f aca="false">IF($A14="","",IF(COUNTIFS(Fact_Work!$B:$B,$A14,Fact_Work!$AL:$AL,$B14,Fact_Work!$AN:$AN,"&gt;0")=0,"",_xlfn.MINIFS(Fact_Work!$AN:$AN,Fact_Work!$B:$B,$A14,Fact_Work!$AL:$AL,$B14,Fact_Work!$AN:$AN,"&gt;0")))</f>
        <v/>
      </c>
      <c r="G14" s="37" t="str">
        <f aca="false">IF($A14="","",IF($F14="","",$A14+$F14/24))</f>
        <v/>
      </c>
      <c r="H14" s="38" t="str">
        <f aca="false">IF($A14="","",IF($G14="","",ROUND(($C14-$G14)*1440,0)))</f>
        <v/>
      </c>
      <c r="I14" s="4" t="str">
        <f aca="false">IF($A14="","",IF($H14="","",IF($H14&lt;=0,"Yes","No")))</f>
        <v/>
      </c>
      <c r="J14" s="4" t="str">
        <f aca="false">IF($A14="","",IF($I14="No",$E14,0))</f>
        <v/>
      </c>
      <c r="K14" s="22" t="str">
        <f aca="false">IF($A14="","",IF($F14="","",FLOOR($F14,0.5)))</f>
        <v/>
      </c>
      <c r="L14" s="39" t="str">
        <f aca="false">IF($A14="","",IF($H14="","",MAX(0,$H14)))</f>
        <v/>
      </c>
      <c r="M14" s="29" t="str">
        <f aca="false">IF($A14="","",IF($F14="","",COUNTIFS(Fact_Work!$B:$B,$A14,Fact_Work!$AL:$AL,$B14,Fact_Work!$AI:$AI,"Yes")))</f>
        <v/>
      </c>
    </row>
    <row r="15" customFormat="false" ht="15" hidden="false" customHeight="true" outlineLevel="0" collapsed="false">
      <c r="D15" s="4" t="str">
        <f aca="false">IF($A15="","",IFERROR(VLOOKUP($B15,Dim_TOP!$A:$B,2,0),""))</f>
        <v/>
      </c>
      <c r="E15" s="36" t="str">
        <f aca="false">IF($A15="","",COUNTIFS(Fact_Work!$B:$B,$A15,Fact_Work!$AL:$AL,$B15))</f>
        <v/>
      </c>
      <c r="F15" s="22" t="str">
        <f aca="false">IF($A15="","",IF(COUNTIFS(Fact_Work!$B:$B,$A15,Fact_Work!$AL:$AL,$B15,Fact_Work!$AN:$AN,"&gt;0")=0,"",_xlfn.MINIFS(Fact_Work!$AN:$AN,Fact_Work!$B:$B,$A15,Fact_Work!$AL:$AL,$B15,Fact_Work!$AN:$AN,"&gt;0")))</f>
        <v/>
      </c>
      <c r="G15" s="37" t="str">
        <f aca="false">IF($A15="","",IF($F15="","",$A15+$F15/24))</f>
        <v/>
      </c>
      <c r="H15" s="38" t="str">
        <f aca="false">IF($A15="","",IF($G15="","",ROUND(($C15-$G15)*1440,0)))</f>
        <v/>
      </c>
      <c r="I15" s="4" t="str">
        <f aca="false">IF($A15="","",IF($H15="","",IF($H15&lt;=0,"Yes","No")))</f>
        <v/>
      </c>
      <c r="J15" s="4" t="str">
        <f aca="false">IF($A15="","",IF($I15="No",$E15,0))</f>
        <v/>
      </c>
      <c r="K15" s="22" t="str">
        <f aca="false">IF($A15="","",IF($F15="","",FLOOR($F15,0.5)))</f>
        <v/>
      </c>
      <c r="L15" s="39" t="str">
        <f aca="false">IF($A15="","",IF($H15="","",MAX(0,$H15)))</f>
        <v/>
      </c>
      <c r="M15" s="29" t="str">
        <f aca="false">IF($A15="","",IF($F15="","",COUNTIFS(Fact_Work!$B:$B,$A15,Fact_Work!$AL:$AL,$B15,Fact_Work!$AI:$AI,"Yes")))</f>
        <v/>
      </c>
    </row>
    <row r="16" customFormat="false" ht="15" hidden="false" customHeight="true" outlineLevel="0" collapsed="false">
      <c r="D16" s="4" t="str">
        <f aca="false">IF($A16="","",IFERROR(VLOOKUP($B16,Dim_TOP!$A:$B,2,0),""))</f>
        <v/>
      </c>
      <c r="E16" s="36" t="str">
        <f aca="false">IF($A16="","",COUNTIFS(Fact_Work!$B:$B,$A16,Fact_Work!$AL:$AL,$B16))</f>
        <v/>
      </c>
      <c r="F16" s="22" t="str">
        <f aca="false">IF($A16="","",IF(COUNTIFS(Fact_Work!$B:$B,$A16,Fact_Work!$AL:$AL,$B16,Fact_Work!$AN:$AN,"&gt;0")=0,"",_xlfn.MINIFS(Fact_Work!$AN:$AN,Fact_Work!$B:$B,$A16,Fact_Work!$AL:$AL,$B16,Fact_Work!$AN:$AN,"&gt;0")))</f>
        <v/>
      </c>
      <c r="G16" s="37" t="str">
        <f aca="false">IF($A16="","",IF($F16="","",$A16+$F16/24))</f>
        <v/>
      </c>
      <c r="H16" s="38" t="str">
        <f aca="false">IF($A16="","",IF($G16="","",ROUND(($C16-$G16)*1440,0)))</f>
        <v/>
      </c>
      <c r="I16" s="4" t="str">
        <f aca="false">IF($A16="","",IF($H16="","",IF($H16&lt;=0,"Yes","No")))</f>
        <v/>
      </c>
      <c r="J16" s="4" t="str">
        <f aca="false">IF($A16="","",IF($I16="No",$E16,0))</f>
        <v/>
      </c>
      <c r="K16" s="22" t="str">
        <f aca="false">IF($A16="","",IF($F16="","",FLOOR($F16,0.5)))</f>
        <v/>
      </c>
      <c r="L16" s="39" t="str">
        <f aca="false">IF($A16="","",IF($H16="","",MAX(0,$H16)))</f>
        <v/>
      </c>
      <c r="M16" s="29" t="str">
        <f aca="false">IF($A16="","",IF($F16="","",COUNTIFS(Fact_Work!$B:$B,$A16,Fact_Work!$AL:$AL,$B16,Fact_Work!$AI:$AI,"Yes")))</f>
        <v/>
      </c>
    </row>
    <row r="17" customFormat="false" ht="15" hidden="false" customHeight="true" outlineLevel="0" collapsed="false">
      <c r="D17" s="4" t="str">
        <f aca="false">IF($A17="","",IFERROR(VLOOKUP($B17,Dim_TOP!$A:$B,2,0),""))</f>
        <v/>
      </c>
      <c r="E17" s="36" t="str">
        <f aca="false">IF($A17="","",COUNTIFS(Fact_Work!$B:$B,$A17,Fact_Work!$AL:$AL,$B17))</f>
        <v/>
      </c>
      <c r="F17" s="22" t="str">
        <f aca="false">IF($A17="","",IF(COUNTIFS(Fact_Work!$B:$B,$A17,Fact_Work!$AL:$AL,$B17,Fact_Work!$AN:$AN,"&gt;0")=0,"",_xlfn.MINIFS(Fact_Work!$AN:$AN,Fact_Work!$B:$B,$A17,Fact_Work!$AL:$AL,$B17,Fact_Work!$AN:$AN,"&gt;0")))</f>
        <v/>
      </c>
      <c r="G17" s="37" t="str">
        <f aca="false">IF($A17="","",IF($F17="","",$A17+$F17/24))</f>
        <v/>
      </c>
      <c r="H17" s="38" t="str">
        <f aca="false">IF($A17="","",IF($G17="","",ROUND(($C17-$G17)*1440,0)))</f>
        <v/>
      </c>
      <c r="I17" s="4" t="str">
        <f aca="false">IF($A17="","",IF($H17="","",IF($H17&lt;=0,"Yes","No")))</f>
        <v/>
      </c>
      <c r="J17" s="4" t="str">
        <f aca="false">IF($A17="","",IF($I17="No",$E17,0))</f>
        <v/>
      </c>
      <c r="K17" s="22" t="str">
        <f aca="false">IF($A17="","",IF($F17="","",FLOOR($F17,0.5)))</f>
        <v/>
      </c>
      <c r="L17" s="39" t="str">
        <f aca="false">IF($A17="","",IF($H17="","",MAX(0,$H17)))</f>
        <v/>
      </c>
      <c r="M17" s="29" t="str">
        <f aca="false">IF($A17="","",IF($F17="","",COUNTIFS(Fact_Work!$B:$B,$A17,Fact_Work!$AL:$AL,$B17,Fact_Work!$AI:$AI,"Yes")))</f>
        <v/>
      </c>
    </row>
    <row r="18" customFormat="false" ht="15" hidden="false" customHeight="true" outlineLevel="0" collapsed="false">
      <c r="D18" s="4" t="str">
        <f aca="false">IF($A18="","",IFERROR(VLOOKUP($B18,Dim_TOP!$A:$B,2,0),""))</f>
        <v/>
      </c>
      <c r="E18" s="36" t="str">
        <f aca="false">IF($A18="","",COUNTIFS(Fact_Work!$B:$B,$A18,Fact_Work!$AL:$AL,$B18))</f>
        <v/>
      </c>
      <c r="F18" s="22" t="str">
        <f aca="false">IF($A18="","",IF(COUNTIFS(Fact_Work!$B:$B,$A18,Fact_Work!$AL:$AL,$B18,Fact_Work!$AN:$AN,"&gt;0")=0,"",_xlfn.MINIFS(Fact_Work!$AN:$AN,Fact_Work!$B:$B,$A18,Fact_Work!$AL:$AL,$B18,Fact_Work!$AN:$AN,"&gt;0")))</f>
        <v/>
      </c>
      <c r="G18" s="37" t="str">
        <f aca="false">IF($A18="","",IF($F18="","",$A18+$F18/24))</f>
        <v/>
      </c>
      <c r="H18" s="38" t="str">
        <f aca="false">IF($A18="","",IF($G18="","",ROUND(($C18-$G18)*1440,0)))</f>
        <v/>
      </c>
      <c r="I18" s="4" t="str">
        <f aca="false">IF($A18="","",IF($H18="","",IF($H18&lt;=0,"Yes","No")))</f>
        <v/>
      </c>
      <c r="J18" s="4" t="str">
        <f aca="false">IF($A18="","",IF($I18="No",$E18,0))</f>
        <v/>
      </c>
      <c r="K18" s="22" t="str">
        <f aca="false">IF($A18="","",IF($F18="","",FLOOR($F18,0.5)))</f>
        <v/>
      </c>
      <c r="L18" s="39" t="str">
        <f aca="false">IF($A18="","",IF($H18="","",MAX(0,$H18)))</f>
        <v/>
      </c>
      <c r="M18" s="29" t="str">
        <f aca="false">IF($A18="","",IF($F18="","",COUNTIFS(Fact_Work!$B:$B,$A18,Fact_Work!$AL:$AL,$B18,Fact_Work!$AI:$AI,"Yes")))</f>
        <v/>
      </c>
    </row>
    <row r="19" customFormat="false" ht="15" hidden="false" customHeight="true" outlineLevel="0" collapsed="false">
      <c r="D19" s="4" t="str">
        <f aca="false">IF($A19="","",IFERROR(VLOOKUP($B19,Dim_TOP!$A:$B,2,0),""))</f>
        <v/>
      </c>
      <c r="E19" s="36" t="str">
        <f aca="false">IF($A19="","",COUNTIFS(Fact_Work!$B:$B,$A19,Fact_Work!$AL:$AL,$B19))</f>
        <v/>
      </c>
      <c r="F19" s="22" t="str">
        <f aca="false">IF($A19="","",IF(COUNTIFS(Fact_Work!$B:$B,$A19,Fact_Work!$AL:$AL,$B19,Fact_Work!$AN:$AN,"&gt;0")=0,"",_xlfn.MINIFS(Fact_Work!$AN:$AN,Fact_Work!$B:$B,$A19,Fact_Work!$AL:$AL,$B19,Fact_Work!$AN:$AN,"&gt;0")))</f>
        <v/>
      </c>
      <c r="G19" s="37" t="str">
        <f aca="false">IF($A19="","",IF($F19="","",$A19+$F19/24))</f>
        <v/>
      </c>
      <c r="H19" s="38" t="str">
        <f aca="false">IF($A19="","",IF($G19="","",ROUND(($C19-$G19)*1440,0)))</f>
        <v/>
      </c>
      <c r="I19" s="4" t="str">
        <f aca="false">IF($A19="","",IF($H19="","",IF($H19&lt;=0,"Yes","No")))</f>
        <v/>
      </c>
      <c r="J19" s="4" t="str">
        <f aca="false">IF($A19="","",IF($I19="No",$E19,0))</f>
        <v/>
      </c>
      <c r="K19" s="22" t="str">
        <f aca="false">IF($A19="","",IF($F19="","",FLOOR($F19,0.5)))</f>
        <v/>
      </c>
      <c r="L19" s="39" t="str">
        <f aca="false">IF($A19="","",IF($H19="","",MAX(0,$H19)))</f>
        <v/>
      </c>
      <c r="M19" s="29" t="str">
        <f aca="false">IF($A19="","",IF($F19="","",COUNTIFS(Fact_Work!$B:$B,$A19,Fact_Work!$AL:$AL,$B19,Fact_Work!$AI:$AI,"Yes")))</f>
        <v/>
      </c>
    </row>
    <row r="20" customFormat="false" ht="15" hidden="false" customHeight="true" outlineLevel="0" collapsed="false">
      <c r="D20" s="4" t="str">
        <f aca="false">IF($A20="","",IFERROR(VLOOKUP($B20,Dim_TOP!$A:$B,2,0),""))</f>
        <v/>
      </c>
      <c r="E20" s="36" t="str">
        <f aca="false">IF($A20="","",COUNTIFS(Fact_Work!$B:$B,$A20,Fact_Work!$AL:$AL,$B20))</f>
        <v/>
      </c>
      <c r="F20" s="22" t="str">
        <f aca="false">IF($A20="","",IF(COUNTIFS(Fact_Work!$B:$B,$A20,Fact_Work!$AL:$AL,$B20,Fact_Work!$AN:$AN,"&gt;0")=0,"",_xlfn.MINIFS(Fact_Work!$AN:$AN,Fact_Work!$B:$B,$A20,Fact_Work!$AL:$AL,$B20,Fact_Work!$AN:$AN,"&gt;0")))</f>
        <v/>
      </c>
      <c r="G20" s="37" t="str">
        <f aca="false">IF($A20="","",IF($F20="","",$A20+$F20/24))</f>
        <v/>
      </c>
      <c r="H20" s="38" t="str">
        <f aca="false">IF($A20="","",IF($G20="","",ROUND(($C20-$G20)*1440,0)))</f>
        <v/>
      </c>
      <c r="I20" s="4" t="str">
        <f aca="false">IF($A20="","",IF($H20="","",IF($H20&lt;=0,"Yes","No")))</f>
        <v/>
      </c>
      <c r="J20" s="4" t="str">
        <f aca="false">IF($A20="","",IF($I20="No",$E20,0))</f>
        <v/>
      </c>
      <c r="K20" s="22" t="str">
        <f aca="false">IF($A20="","",IF($F20="","",FLOOR($F20,0.5)))</f>
        <v/>
      </c>
      <c r="L20" s="39" t="str">
        <f aca="false">IF($A20="","",IF($H20="","",MAX(0,$H20)))</f>
        <v/>
      </c>
      <c r="M20" s="29" t="str">
        <f aca="false">IF($A20="","",IF($F20="","",COUNTIFS(Fact_Work!$B:$B,$A20,Fact_Work!$AL:$AL,$B20,Fact_Work!$AI:$AI,"Yes")))</f>
        <v/>
      </c>
    </row>
    <row r="21" customFormat="false" ht="15" hidden="false" customHeight="true" outlineLevel="0" collapsed="false">
      <c r="D21" s="4" t="str">
        <f aca="false">IF($A21="","",IFERROR(VLOOKUP($B21,Dim_TOP!$A:$B,2,0),""))</f>
        <v/>
      </c>
      <c r="E21" s="36" t="str">
        <f aca="false">IF($A21="","",COUNTIFS(Fact_Work!$B:$B,$A21,Fact_Work!$AL:$AL,$B21))</f>
        <v/>
      </c>
      <c r="F21" s="22" t="str">
        <f aca="false">IF($A21="","",IF(COUNTIFS(Fact_Work!$B:$B,$A21,Fact_Work!$AL:$AL,$B21,Fact_Work!$AN:$AN,"&gt;0")=0,"",_xlfn.MINIFS(Fact_Work!$AN:$AN,Fact_Work!$B:$B,$A21,Fact_Work!$AL:$AL,$B21,Fact_Work!$AN:$AN,"&gt;0")))</f>
        <v/>
      </c>
      <c r="G21" s="37" t="str">
        <f aca="false">IF($A21="","",IF($F21="","",$A21+$F21/24))</f>
        <v/>
      </c>
      <c r="H21" s="38" t="str">
        <f aca="false">IF($A21="","",IF($G21="","",ROUND(($C21-$G21)*1440,0)))</f>
        <v/>
      </c>
      <c r="I21" s="4" t="str">
        <f aca="false">IF($A21="","",IF($H21="","",IF($H21&lt;=0,"Yes","No")))</f>
        <v/>
      </c>
      <c r="J21" s="4" t="str">
        <f aca="false">IF($A21="","",IF($I21="No",$E21,0))</f>
        <v/>
      </c>
      <c r="K21" s="22" t="str">
        <f aca="false">IF($A21="","",IF($F21="","",FLOOR($F21,0.5)))</f>
        <v/>
      </c>
      <c r="L21" s="39" t="str">
        <f aca="false">IF($A21="","",IF($H21="","",MAX(0,$H21)))</f>
        <v/>
      </c>
      <c r="M21" s="29" t="str">
        <f aca="false">IF($A21="","",IF($F21="","",COUNTIFS(Fact_Work!$B:$B,$A21,Fact_Work!$AL:$AL,$B21,Fact_Work!$AI:$AI,"Yes")))</f>
        <v/>
      </c>
    </row>
    <row r="22" customFormat="false" ht="15" hidden="false" customHeight="true" outlineLevel="0" collapsed="false">
      <c r="D22" s="4" t="str">
        <f aca="false">IF($A22="","",IFERROR(VLOOKUP($B22,Dim_TOP!$A:$B,2,0),""))</f>
        <v/>
      </c>
      <c r="E22" s="36" t="str">
        <f aca="false">IF($A22="","",COUNTIFS(Fact_Work!$B:$B,$A22,Fact_Work!$AL:$AL,$B22))</f>
        <v/>
      </c>
      <c r="F22" s="22" t="str">
        <f aca="false">IF($A22="","",IF(COUNTIFS(Fact_Work!$B:$B,$A22,Fact_Work!$AL:$AL,$B22,Fact_Work!$AN:$AN,"&gt;0")=0,"",_xlfn.MINIFS(Fact_Work!$AN:$AN,Fact_Work!$B:$B,$A22,Fact_Work!$AL:$AL,$B22,Fact_Work!$AN:$AN,"&gt;0")))</f>
        <v/>
      </c>
      <c r="G22" s="37" t="str">
        <f aca="false">IF($A22="","",IF($F22="","",$A22+$F22/24))</f>
        <v/>
      </c>
      <c r="H22" s="38" t="str">
        <f aca="false">IF($A22="","",IF($G22="","",ROUND(($C22-$G22)*1440,0)))</f>
        <v/>
      </c>
      <c r="I22" s="4" t="str">
        <f aca="false">IF($A22="","",IF($H22="","",IF($H22&lt;=0,"Yes","No")))</f>
        <v/>
      </c>
      <c r="J22" s="4" t="str">
        <f aca="false">IF($A22="","",IF($I22="No",$E22,0))</f>
        <v/>
      </c>
      <c r="K22" s="22" t="str">
        <f aca="false">IF($A22="","",IF($F22="","",FLOOR($F22,0.5)))</f>
        <v/>
      </c>
      <c r="L22" s="39" t="str">
        <f aca="false">IF($A22="","",IF($H22="","",MAX(0,$H22)))</f>
        <v/>
      </c>
      <c r="M22" s="29" t="str">
        <f aca="false">IF($A22="","",IF($F22="","",COUNTIFS(Fact_Work!$B:$B,$A22,Fact_Work!$AL:$AL,$B22,Fact_Work!$AI:$AI,"Yes")))</f>
        <v/>
      </c>
    </row>
    <row r="23" customFormat="false" ht="15" hidden="false" customHeight="true" outlineLevel="0" collapsed="false">
      <c r="D23" s="4" t="str">
        <f aca="false">IF($A23="","",IFERROR(VLOOKUP($B23,Dim_TOP!$A:$B,2,0),""))</f>
        <v/>
      </c>
      <c r="E23" s="36" t="str">
        <f aca="false">IF($A23="","",COUNTIFS(Fact_Work!$B:$B,$A23,Fact_Work!$AL:$AL,$B23))</f>
        <v/>
      </c>
      <c r="F23" s="22" t="str">
        <f aca="false">IF($A23="","",IF(COUNTIFS(Fact_Work!$B:$B,$A23,Fact_Work!$AL:$AL,$B23,Fact_Work!$AN:$AN,"&gt;0")=0,"",_xlfn.MINIFS(Fact_Work!$AN:$AN,Fact_Work!$B:$B,$A23,Fact_Work!$AL:$AL,$B23,Fact_Work!$AN:$AN,"&gt;0")))</f>
        <v/>
      </c>
      <c r="G23" s="37" t="str">
        <f aca="false">IF($A23="","",IF($F23="","",$A23+$F23/24))</f>
        <v/>
      </c>
      <c r="H23" s="38" t="str">
        <f aca="false">IF($A23="","",IF($G23="","",ROUND(($C23-$G23)*1440,0)))</f>
        <v/>
      </c>
      <c r="I23" s="4" t="str">
        <f aca="false">IF($A23="","",IF($H23="","",IF($H23&lt;=0,"Yes","No")))</f>
        <v/>
      </c>
      <c r="J23" s="4" t="str">
        <f aca="false">IF($A23="","",IF($I23="No",$E23,0))</f>
        <v/>
      </c>
      <c r="K23" s="22" t="str">
        <f aca="false">IF($A23="","",IF($F23="","",FLOOR($F23,0.5)))</f>
        <v/>
      </c>
      <c r="L23" s="39" t="str">
        <f aca="false">IF($A23="","",IF($H23="","",MAX(0,$H23)))</f>
        <v/>
      </c>
      <c r="M23" s="29" t="str">
        <f aca="false">IF($A23="","",IF($F23="","",COUNTIFS(Fact_Work!$B:$B,$A23,Fact_Work!$AL:$AL,$B23,Fact_Work!$AI:$AI,"Yes")))</f>
        <v/>
      </c>
    </row>
    <row r="24" customFormat="false" ht="15" hidden="false" customHeight="true" outlineLevel="0" collapsed="false">
      <c r="D24" s="4" t="str">
        <f aca="false">IF($A24="","",IFERROR(VLOOKUP($B24,Dim_TOP!$A:$B,2,0),""))</f>
        <v/>
      </c>
      <c r="E24" s="36" t="str">
        <f aca="false">IF($A24="","",COUNTIFS(Fact_Work!$B:$B,$A24,Fact_Work!$AL:$AL,$B24))</f>
        <v/>
      </c>
      <c r="F24" s="22" t="str">
        <f aca="false">IF($A24="","",IF(COUNTIFS(Fact_Work!$B:$B,$A24,Fact_Work!$AL:$AL,$B24,Fact_Work!$AN:$AN,"&gt;0")=0,"",_xlfn.MINIFS(Fact_Work!$AN:$AN,Fact_Work!$B:$B,$A24,Fact_Work!$AL:$AL,$B24,Fact_Work!$AN:$AN,"&gt;0")))</f>
        <v/>
      </c>
      <c r="G24" s="37" t="str">
        <f aca="false">IF($A24="","",IF($F24="","",$A24+$F24/24))</f>
        <v/>
      </c>
      <c r="H24" s="38" t="str">
        <f aca="false">IF($A24="","",IF($G24="","",ROUND(($C24-$G24)*1440,0)))</f>
        <v/>
      </c>
      <c r="I24" s="4" t="str">
        <f aca="false">IF($A24="","",IF($H24="","",IF($H24&lt;=0,"Yes","No")))</f>
        <v/>
      </c>
      <c r="J24" s="4" t="str">
        <f aca="false">IF($A24="","",IF($I24="No",$E24,0))</f>
        <v/>
      </c>
      <c r="K24" s="22" t="str">
        <f aca="false">IF($A24="","",IF($F24="","",FLOOR($F24,0.5)))</f>
        <v/>
      </c>
      <c r="L24" s="39" t="str">
        <f aca="false">IF($A24="","",IF($H24="","",MAX(0,$H24)))</f>
        <v/>
      </c>
      <c r="M24" s="29" t="str">
        <f aca="false">IF($A24="","",IF($F24="","",COUNTIFS(Fact_Work!$B:$B,$A24,Fact_Work!$AL:$AL,$B24,Fact_Work!$AI:$AI,"Yes")))</f>
        <v/>
      </c>
    </row>
    <row r="25" customFormat="false" ht="15" hidden="false" customHeight="true" outlineLevel="0" collapsed="false">
      <c r="D25" s="4" t="str">
        <f aca="false">IF($A25="","",IFERROR(VLOOKUP($B25,Dim_TOP!$A:$B,2,0),""))</f>
        <v/>
      </c>
      <c r="E25" s="36" t="str">
        <f aca="false">IF($A25="","",COUNTIFS(Fact_Work!$B:$B,$A25,Fact_Work!$AL:$AL,$B25))</f>
        <v/>
      </c>
      <c r="F25" s="22" t="str">
        <f aca="false">IF($A25="","",IF(COUNTIFS(Fact_Work!$B:$B,$A25,Fact_Work!$AL:$AL,$B25,Fact_Work!$AN:$AN,"&gt;0")=0,"",_xlfn.MINIFS(Fact_Work!$AN:$AN,Fact_Work!$B:$B,$A25,Fact_Work!$AL:$AL,$B25,Fact_Work!$AN:$AN,"&gt;0")))</f>
        <v/>
      </c>
      <c r="G25" s="37" t="str">
        <f aca="false">IF($A25="","",IF($F25="","",$A25+$F25/24))</f>
        <v/>
      </c>
      <c r="H25" s="38" t="str">
        <f aca="false">IF($A25="","",IF($G25="","",ROUND(($C25-$G25)*1440,0)))</f>
        <v/>
      </c>
      <c r="I25" s="4" t="str">
        <f aca="false">IF($A25="","",IF($H25="","",IF($H25&lt;=0,"Yes","No")))</f>
        <v/>
      </c>
      <c r="J25" s="4" t="str">
        <f aca="false">IF($A25="","",IF($I25="No",$E25,0))</f>
        <v/>
      </c>
      <c r="K25" s="22" t="str">
        <f aca="false">IF($A25="","",IF($F25="","",FLOOR($F25,0.5)))</f>
        <v/>
      </c>
      <c r="L25" s="39" t="str">
        <f aca="false">IF($A25="","",IF($H25="","",MAX(0,$H25)))</f>
        <v/>
      </c>
      <c r="M25" s="29" t="str">
        <f aca="false">IF($A25="","",IF($F25="","",COUNTIFS(Fact_Work!$B:$B,$A25,Fact_Work!$AL:$AL,$B25,Fact_Work!$AI:$AI,"Yes")))</f>
        <v/>
      </c>
    </row>
    <row r="26" customFormat="false" ht="15" hidden="false" customHeight="true" outlineLevel="0" collapsed="false">
      <c r="D26" s="4" t="str">
        <f aca="false">IF($A26="","",IFERROR(VLOOKUP($B26,Dim_TOP!$A:$B,2,0),""))</f>
        <v/>
      </c>
      <c r="E26" s="36" t="str">
        <f aca="false">IF($A26="","",COUNTIFS(Fact_Work!$B:$B,$A26,Fact_Work!$AL:$AL,$B26))</f>
        <v/>
      </c>
      <c r="F26" s="22" t="str">
        <f aca="false">IF($A26="","",IF(COUNTIFS(Fact_Work!$B:$B,$A26,Fact_Work!$AL:$AL,$B26,Fact_Work!$AN:$AN,"&gt;0")=0,"",_xlfn.MINIFS(Fact_Work!$AN:$AN,Fact_Work!$B:$B,$A26,Fact_Work!$AL:$AL,$B26,Fact_Work!$AN:$AN,"&gt;0")))</f>
        <v/>
      </c>
      <c r="G26" s="37" t="str">
        <f aca="false">IF($A26="","",IF($F26="","",$A26+$F26/24))</f>
        <v/>
      </c>
      <c r="H26" s="38" t="str">
        <f aca="false">IF($A26="","",IF($G26="","",ROUND(($C26-$G26)*1440,0)))</f>
        <v/>
      </c>
      <c r="I26" s="4" t="str">
        <f aca="false">IF($A26="","",IF($H26="","",IF($H26&lt;=0,"Yes","No")))</f>
        <v/>
      </c>
      <c r="J26" s="4" t="str">
        <f aca="false">IF($A26="","",IF($I26="No",$E26,0))</f>
        <v/>
      </c>
      <c r="K26" s="22" t="str">
        <f aca="false">IF($A26="","",IF($F26="","",FLOOR($F26,0.5)))</f>
        <v/>
      </c>
      <c r="L26" s="39" t="str">
        <f aca="false">IF($A26="","",IF($H26="","",MAX(0,$H26)))</f>
        <v/>
      </c>
      <c r="M26" s="29" t="str">
        <f aca="false">IF($A26="","",IF($F26="","",COUNTIFS(Fact_Work!$B:$B,$A26,Fact_Work!$AL:$AL,$B26,Fact_Work!$AI:$AI,"Yes")))</f>
        <v/>
      </c>
    </row>
    <row r="27" customFormat="false" ht="15" hidden="false" customHeight="true" outlineLevel="0" collapsed="false">
      <c r="D27" s="4" t="str">
        <f aca="false">IF($A27="","",IFERROR(VLOOKUP($B27,Dim_TOP!$A:$B,2,0),""))</f>
        <v/>
      </c>
      <c r="E27" s="36" t="str">
        <f aca="false">IF($A27="","",COUNTIFS(Fact_Work!$B:$B,$A27,Fact_Work!$AL:$AL,$B27))</f>
        <v/>
      </c>
      <c r="F27" s="22" t="str">
        <f aca="false">IF($A27="","",IF(COUNTIFS(Fact_Work!$B:$B,$A27,Fact_Work!$AL:$AL,$B27,Fact_Work!$AN:$AN,"&gt;0")=0,"",_xlfn.MINIFS(Fact_Work!$AN:$AN,Fact_Work!$B:$B,$A27,Fact_Work!$AL:$AL,$B27,Fact_Work!$AN:$AN,"&gt;0")))</f>
        <v/>
      </c>
      <c r="G27" s="37" t="str">
        <f aca="false">IF($A27="","",IF($F27="","",$A27+$F27/24))</f>
        <v/>
      </c>
      <c r="H27" s="38" t="str">
        <f aca="false">IF($A27="","",IF($G27="","",ROUND(($C27-$G27)*1440,0)))</f>
        <v/>
      </c>
      <c r="I27" s="4" t="str">
        <f aca="false">IF($A27="","",IF($H27="","",IF($H27&lt;=0,"Yes","No")))</f>
        <v/>
      </c>
      <c r="J27" s="4" t="str">
        <f aca="false">IF($A27="","",IF($I27="No",$E27,0))</f>
        <v/>
      </c>
      <c r="K27" s="22" t="str">
        <f aca="false">IF($A27="","",IF($F27="","",FLOOR($F27,0.5)))</f>
        <v/>
      </c>
      <c r="L27" s="39" t="str">
        <f aca="false">IF($A27="","",IF($H27="","",MAX(0,$H27)))</f>
        <v/>
      </c>
      <c r="M27" s="29" t="str">
        <f aca="false">IF($A27="","",IF($F27="","",COUNTIFS(Fact_Work!$B:$B,$A27,Fact_Work!$AL:$AL,$B27,Fact_Work!$AI:$AI,"Yes")))</f>
        <v/>
      </c>
    </row>
    <row r="28" customFormat="false" ht="15" hidden="false" customHeight="true" outlineLevel="0" collapsed="false">
      <c r="D28" s="4" t="str">
        <f aca="false">IF($A28="","",IFERROR(VLOOKUP($B28,Dim_TOP!$A:$B,2,0),""))</f>
        <v/>
      </c>
      <c r="E28" s="36" t="str">
        <f aca="false">IF($A28="","",COUNTIFS(Fact_Work!$B:$B,$A28,Fact_Work!$AL:$AL,$B28))</f>
        <v/>
      </c>
      <c r="F28" s="22" t="str">
        <f aca="false">IF($A28="","",IF(COUNTIFS(Fact_Work!$B:$B,$A28,Fact_Work!$AL:$AL,$B28,Fact_Work!$AN:$AN,"&gt;0")=0,"",_xlfn.MINIFS(Fact_Work!$AN:$AN,Fact_Work!$B:$B,$A28,Fact_Work!$AL:$AL,$B28,Fact_Work!$AN:$AN,"&gt;0")))</f>
        <v/>
      </c>
      <c r="G28" s="37" t="str">
        <f aca="false">IF($A28="","",IF($F28="","",$A28+$F28/24))</f>
        <v/>
      </c>
      <c r="H28" s="38" t="str">
        <f aca="false">IF($A28="","",IF($G28="","",ROUND(($C28-$G28)*1440,0)))</f>
        <v/>
      </c>
      <c r="I28" s="4" t="str">
        <f aca="false">IF($A28="","",IF($H28="","",IF($H28&lt;=0,"Yes","No")))</f>
        <v/>
      </c>
      <c r="J28" s="4" t="str">
        <f aca="false">IF($A28="","",IF($I28="No",$E28,0))</f>
        <v/>
      </c>
      <c r="K28" s="22" t="str">
        <f aca="false">IF($A28="","",IF($F28="","",FLOOR($F28,0.5)))</f>
        <v/>
      </c>
      <c r="L28" s="39" t="str">
        <f aca="false">IF($A28="","",IF($H28="","",MAX(0,$H28)))</f>
        <v/>
      </c>
      <c r="M28" s="29" t="str">
        <f aca="false">IF($A28="","",IF($F28="","",COUNTIFS(Fact_Work!$B:$B,$A28,Fact_Work!$AL:$AL,$B28,Fact_Work!$AI:$AI,"Yes")))</f>
        <v/>
      </c>
    </row>
    <row r="29" customFormat="false" ht="15" hidden="false" customHeight="true" outlineLevel="0" collapsed="false">
      <c r="D29" s="4" t="str">
        <f aca="false">IF($A29="","",IFERROR(VLOOKUP($B29,Dim_TOP!$A:$B,2,0),""))</f>
        <v/>
      </c>
      <c r="E29" s="36" t="str">
        <f aca="false">IF($A29="","",COUNTIFS(Fact_Work!$B:$B,$A29,Fact_Work!$AL:$AL,$B29))</f>
        <v/>
      </c>
      <c r="F29" s="22" t="str">
        <f aca="false">IF($A29="","",IF(COUNTIFS(Fact_Work!$B:$B,$A29,Fact_Work!$AL:$AL,$B29,Fact_Work!$AN:$AN,"&gt;0")=0,"",_xlfn.MINIFS(Fact_Work!$AN:$AN,Fact_Work!$B:$B,$A29,Fact_Work!$AL:$AL,$B29,Fact_Work!$AN:$AN,"&gt;0")))</f>
        <v/>
      </c>
      <c r="G29" s="37" t="str">
        <f aca="false">IF($A29="","",IF($F29="","",$A29+$F29/24))</f>
        <v/>
      </c>
      <c r="H29" s="38" t="str">
        <f aca="false">IF($A29="","",IF($G29="","",ROUND(($C29-$G29)*1440,0)))</f>
        <v/>
      </c>
      <c r="I29" s="4" t="str">
        <f aca="false">IF($A29="","",IF($H29="","",IF($H29&lt;=0,"Yes","No")))</f>
        <v/>
      </c>
      <c r="J29" s="4" t="str">
        <f aca="false">IF($A29="","",IF($I29="No",$E29,0))</f>
        <v/>
      </c>
      <c r="K29" s="22" t="str">
        <f aca="false">IF($A29="","",IF($F29="","",FLOOR($F29,0.5)))</f>
        <v/>
      </c>
      <c r="L29" s="39" t="str">
        <f aca="false">IF($A29="","",IF($H29="","",MAX(0,$H29)))</f>
        <v/>
      </c>
      <c r="M29" s="29" t="str">
        <f aca="false">IF($A29="","",IF($F29="","",COUNTIFS(Fact_Work!$B:$B,$A29,Fact_Work!$AL:$AL,$B29,Fact_Work!$AI:$AI,"Yes")))</f>
        <v/>
      </c>
    </row>
    <row r="30" customFormat="false" ht="15" hidden="false" customHeight="true" outlineLevel="0" collapsed="false">
      <c r="D30" s="4" t="str">
        <f aca="false">IF($A30="","",IFERROR(VLOOKUP($B30,Dim_TOP!$A:$B,2,0),""))</f>
        <v/>
      </c>
      <c r="E30" s="36" t="str">
        <f aca="false">IF($A30="","",COUNTIFS(Fact_Work!$B:$B,$A30,Fact_Work!$AL:$AL,$B30))</f>
        <v/>
      </c>
      <c r="F30" s="22" t="str">
        <f aca="false">IF($A30="","",IF(COUNTIFS(Fact_Work!$B:$B,$A30,Fact_Work!$AL:$AL,$B30,Fact_Work!$AN:$AN,"&gt;0")=0,"",_xlfn.MINIFS(Fact_Work!$AN:$AN,Fact_Work!$B:$B,$A30,Fact_Work!$AL:$AL,$B30,Fact_Work!$AN:$AN,"&gt;0")))</f>
        <v/>
      </c>
      <c r="G30" s="37" t="str">
        <f aca="false">IF($A30="","",IF($F30="","",$A30+$F30/24))</f>
        <v/>
      </c>
      <c r="H30" s="38" t="str">
        <f aca="false">IF($A30="","",IF($G30="","",ROUND(($C30-$G30)*1440,0)))</f>
        <v/>
      </c>
      <c r="I30" s="4" t="str">
        <f aca="false">IF($A30="","",IF($H30="","",IF($H30&lt;=0,"Yes","No")))</f>
        <v/>
      </c>
      <c r="J30" s="4" t="str">
        <f aca="false">IF($A30="","",IF($I30="No",$E30,0))</f>
        <v/>
      </c>
      <c r="K30" s="22" t="str">
        <f aca="false">IF($A30="","",IF($F30="","",FLOOR($F30,0.5)))</f>
        <v/>
      </c>
      <c r="L30" s="39" t="str">
        <f aca="false">IF($A30="","",IF($H30="","",MAX(0,$H30)))</f>
        <v/>
      </c>
      <c r="M30" s="29" t="str">
        <f aca="false">IF($A30="","",IF($F30="","",COUNTIFS(Fact_Work!$B:$B,$A30,Fact_Work!$AL:$AL,$B30,Fact_Work!$AI:$AI,"Yes")))</f>
        <v/>
      </c>
    </row>
    <row r="31" customFormat="false" ht="15" hidden="false" customHeight="true" outlineLevel="0" collapsed="false">
      <c r="D31" s="4" t="str">
        <f aca="false">IF($A31="","",IFERROR(VLOOKUP($B31,Dim_TOP!$A:$B,2,0),""))</f>
        <v/>
      </c>
      <c r="E31" s="36" t="str">
        <f aca="false">IF($A31="","",COUNTIFS(Fact_Work!$B:$B,$A31,Fact_Work!$AL:$AL,$B31))</f>
        <v/>
      </c>
      <c r="F31" s="22" t="str">
        <f aca="false">IF($A31="","",IF(COUNTIFS(Fact_Work!$B:$B,$A31,Fact_Work!$AL:$AL,$B31,Fact_Work!$AN:$AN,"&gt;0")=0,"",_xlfn.MINIFS(Fact_Work!$AN:$AN,Fact_Work!$B:$B,$A31,Fact_Work!$AL:$AL,$B31,Fact_Work!$AN:$AN,"&gt;0")))</f>
        <v/>
      </c>
      <c r="G31" s="37" t="str">
        <f aca="false">IF($A31="","",IF($F31="","",$A31+$F31/24))</f>
        <v/>
      </c>
      <c r="H31" s="38" t="str">
        <f aca="false">IF($A31="","",IF($G31="","",ROUND(($C31-$G31)*1440,0)))</f>
        <v/>
      </c>
      <c r="I31" s="4" t="str">
        <f aca="false">IF($A31="","",IF($H31="","",IF($H31&lt;=0,"Yes","No")))</f>
        <v/>
      </c>
      <c r="J31" s="4" t="str">
        <f aca="false">IF($A31="","",IF($I31="No",$E31,0))</f>
        <v/>
      </c>
      <c r="K31" s="22" t="str">
        <f aca="false">IF($A31="","",IF($F31="","",FLOOR($F31,0.5)))</f>
        <v/>
      </c>
      <c r="L31" s="39" t="str">
        <f aca="false">IF($A31="","",IF($H31="","",MAX(0,$H31)))</f>
        <v/>
      </c>
      <c r="M31" s="29" t="str">
        <f aca="false">IF($A31="","",IF($F31="","",COUNTIFS(Fact_Work!$B:$B,$A31,Fact_Work!$AL:$AL,$B31,Fact_Work!$AI:$AI,"Yes")))</f>
        <v/>
      </c>
    </row>
    <row r="32" customFormat="false" ht="15" hidden="false" customHeight="true" outlineLevel="0" collapsed="false">
      <c r="D32" s="4" t="str">
        <f aca="false">IF($A32="","",IFERROR(VLOOKUP($B32,Dim_TOP!$A:$B,2,0),""))</f>
        <v/>
      </c>
      <c r="E32" s="36" t="str">
        <f aca="false">IF($A32="","",COUNTIFS(Fact_Work!$B:$B,$A32,Fact_Work!$AL:$AL,$B32))</f>
        <v/>
      </c>
      <c r="F32" s="22" t="str">
        <f aca="false">IF($A32="","",IF(COUNTIFS(Fact_Work!$B:$B,$A32,Fact_Work!$AL:$AL,$B32,Fact_Work!$AN:$AN,"&gt;0")=0,"",_xlfn.MINIFS(Fact_Work!$AN:$AN,Fact_Work!$B:$B,$A32,Fact_Work!$AL:$AL,$B32,Fact_Work!$AN:$AN,"&gt;0")))</f>
        <v/>
      </c>
      <c r="G32" s="37" t="str">
        <f aca="false">IF($A32="","",IF($F32="","",$A32+$F32/24))</f>
        <v/>
      </c>
      <c r="H32" s="38" t="str">
        <f aca="false">IF($A32="","",IF($G32="","",ROUND(($C32-$G32)*1440,0)))</f>
        <v/>
      </c>
      <c r="I32" s="4" t="str">
        <f aca="false">IF($A32="","",IF($H32="","",IF($H32&lt;=0,"Yes","No")))</f>
        <v/>
      </c>
      <c r="J32" s="4" t="str">
        <f aca="false">IF($A32="","",IF($I32="No",$E32,0))</f>
        <v/>
      </c>
      <c r="K32" s="22" t="str">
        <f aca="false">IF($A32="","",IF($F32="","",FLOOR($F32,0.5)))</f>
        <v/>
      </c>
      <c r="L32" s="39" t="str">
        <f aca="false">IF($A32="","",IF($H32="","",MAX(0,$H32)))</f>
        <v/>
      </c>
      <c r="M32" s="29" t="str">
        <f aca="false">IF($A32="","",IF($F32="","",COUNTIFS(Fact_Work!$B:$B,$A32,Fact_Work!$AL:$AL,$B32,Fact_Work!$AI:$AI,"Yes")))</f>
        <v/>
      </c>
    </row>
    <row r="33" customFormat="false" ht="15" hidden="false" customHeight="true" outlineLevel="0" collapsed="false">
      <c r="D33" s="4" t="str">
        <f aca="false">IF($A33="","",IFERROR(VLOOKUP($B33,Dim_TOP!$A:$B,2,0),""))</f>
        <v/>
      </c>
      <c r="E33" s="36" t="str">
        <f aca="false">IF($A33="","",COUNTIFS(Fact_Work!$B:$B,$A33,Fact_Work!$AL:$AL,$B33))</f>
        <v/>
      </c>
      <c r="F33" s="22" t="str">
        <f aca="false">IF($A33="","",IF(COUNTIFS(Fact_Work!$B:$B,$A33,Fact_Work!$AL:$AL,$B33,Fact_Work!$AN:$AN,"&gt;0")=0,"",_xlfn.MINIFS(Fact_Work!$AN:$AN,Fact_Work!$B:$B,$A33,Fact_Work!$AL:$AL,$B33,Fact_Work!$AN:$AN,"&gt;0")))</f>
        <v/>
      </c>
      <c r="G33" s="37" t="str">
        <f aca="false">IF($A33="","",IF($F33="","",$A33+$F33/24))</f>
        <v/>
      </c>
      <c r="H33" s="38" t="str">
        <f aca="false">IF($A33="","",IF($G33="","",ROUND(($C33-$G33)*1440,0)))</f>
        <v/>
      </c>
      <c r="I33" s="4" t="str">
        <f aca="false">IF($A33="","",IF($H33="","",IF($H33&lt;=0,"Yes","No")))</f>
        <v/>
      </c>
      <c r="J33" s="4" t="str">
        <f aca="false">IF($A33="","",IF($I33="No",$E33,0))</f>
        <v/>
      </c>
      <c r="K33" s="22" t="str">
        <f aca="false">IF($A33="","",IF($F33="","",FLOOR($F33,0.5)))</f>
        <v/>
      </c>
      <c r="L33" s="39" t="str">
        <f aca="false">IF($A33="","",IF($H33="","",MAX(0,$H33)))</f>
        <v/>
      </c>
      <c r="M33" s="29" t="str">
        <f aca="false">IF($A33="","",IF($F33="","",COUNTIFS(Fact_Work!$B:$B,$A33,Fact_Work!$AL:$AL,$B33,Fact_Work!$AI:$AI,"Yes")))</f>
        <v/>
      </c>
    </row>
    <row r="34" customFormat="false" ht="15" hidden="false" customHeight="true" outlineLevel="0" collapsed="false">
      <c r="D34" s="4" t="str">
        <f aca="false">IF($A34="","",IFERROR(VLOOKUP($B34,Dim_TOP!$A:$B,2,0),""))</f>
        <v/>
      </c>
      <c r="E34" s="36" t="str">
        <f aca="false">IF($A34="","",COUNTIFS(Fact_Work!$B:$B,$A34,Fact_Work!$AL:$AL,$B34))</f>
        <v/>
      </c>
      <c r="F34" s="22" t="str">
        <f aca="false">IF($A34="","",IF(COUNTIFS(Fact_Work!$B:$B,$A34,Fact_Work!$AL:$AL,$B34,Fact_Work!$AN:$AN,"&gt;0")=0,"",_xlfn.MINIFS(Fact_Work!$AN:$AN,Fact_Work!$B:$B,$A34,Fact_Work!$AL:$AL,$B34,Fact_Work!$AN:$AN,"&gt;0")))</f>
        <v/>
      </c>
      <c r="G34" s="37" t="str">
        <f aca="false">IF($A34="","",IF($F34="","",$A34+$F34/24))</f>
        <v/>
      </c>
      <c r="H34" s="38" t="str">
        <f aca="false">IF($A34="","",IF($G34="","",ROUND(($C34-$G34)*1440,0)))</f>
        <v/>
      </c>
      <c r="I34" s="4" t="str">
        <f aca="false">IF($A34="","",IF($H34="","",IF($H34&lt;=0,"Yes","No")))</f>
        <v/>
      </c>
      <c r="J34" s="4" t="str">
        <f aca="false">IF($A34="","",IF($I34="No",$E34,0))</f>
        <v/>
      </c>
      <c r="K34" s="22" t="str">
        <f aca="false">IF($A34="","",IF($F34="","",FLOOR($F34,0.5)))</f>
        <v/>
      </c>
      <c r="L34" s="39" t="str">
        <f aca="false">IF($A34="","",IF($H34="","",MAX(0,$H34)))</f>
        <v/>
      </c>
      <c r="M34" s="29" t="str">
        <f aca="false">IF($A34="","",IF($F34="","",COUNTIFS(Fact_Work!$B:$B,$A34,Fact_Work!$AL:$AL,$B34,Fact_Work!$AI:$AI,"Yes")))</f>
        <v/>
      </c>
    </row>
    <row r="35" customFormat="false" ht="15" hidden="false" customHeight="true" outlineLevel="0" collapsed="false">
      <c r="D35" s="4" t="str">
        <f aca="false">IF($A35="","",IFERROR(VLOOKUP($B35,Dim_TOP!$A:$B,2,0),""))</f>
        <v/>
      </c>
      <c r="E35" s="36" t="str">
        <f aca="false">IF($A35="","",COUNTIFS(Fact_Work!$B:$B,$A35,Fact_Work!$AL:$AL,$B35))</f>
        <v/>
      </c>
      <c r="F35" s="22" t="str">
        <f aca="false">IF($A35="","",IF(COUNTIFS(Fact_Work!$B:$B,$A35,Fact_Work!$AL:$AL,$B35,Fact_Work!$AN:$AN,"&gt;0")=0,"",_xlfn.MINIFS(Fact_Work!$AN:$AN,Fact_Work!$B:$B,$A35,Fact_Work!$AL:$AL,$B35,Fact_Work!$AN:$AN,"&gt;0")))</f>
        <v/>
      </c>
      <c r="G35" s="37" t="str">
        <f aca="false">IF($A35="","",IF($F35="","",$A35+$F35/24))</f>
        <v/>
      </c>
      <c r="H35" s="38" t="str">
        <f aca="false">IF($A35="","",IF($G35="","",ROUND(($C35-$G35)*1440,0)))</f>
        <v/>
      </c>
      <c r="I35" s="4" t="str">
        <f aca="false">IF($A35="","",IF($H35="","",IF($H35&lt;=0,"Yes","No")))</f>
        <v/>
      </c>
      <c r="J35" s="4" t="str">
        <f aca="false">IF($A35="","",IF($I35="No",$E35,0))</f>
        <v/>
      </c>
      <c r="K35" s="22" t="str">
        <f aca="false">IF($A35="","",IF($F35="","",FLOOR($F35,0.5)))</f>
        <v/>
      </c>
      <c r="L35" s="39" t="str">
        <f aca="false">IF($A35="","",IF($H35="","",MAX(0,$H35)))</f>
        <v/>
      </c>
      <c r="M35" s="29" t="str">
        <f aca="false">IF($A35="","",IF($F35="","",COUNTIFS(Fact_Work!$B:$B,$A35,Fact_Work!$AL:$AL,$B35,Fact_Work!$AI:$AI,"Yes")))</f>
        <v/>
      </c>
    </row>
    <row r="36" customFormat="false" ht="15" hidden="false" customHeight="true" outlineLevel="0" collapsed="false">
      <c r="D36" s="4" t="str">
        <f aca="false">IF($A36="","",IFERROR(VLOOKUP($B36,Dim_TOP!$A:$B,2,0),""))</f>
        <v/>
      </c>
      <c r="E36" s="36" t="str">
        <f aca="false">IF($A36="","",COUNTIFS(Fact_Work!$B:$B,$A36,Fact_Work!$AL:$AL,$B36))</f>
        <v/>
      </c>
      <c r="F36" s="22" t="str">
        <f aca="false">IF($A36="","",IF(COUNTIFS(Fact_Work!$B:$B,$A36,Fact_Work!$AL:$AL,$B36,Fact_Work!$AN:$AN,"&gt;0")=0,"",_xlfn.MINIFS(Fact_Work!$AN:$AN,Fact_Work!$B:$B,$A36,Fact_Work!$AL:$AL,$B36,Fact_Work!$AN:$AN,"&gt;0")))</f>
        <v/>
      </c>
      <c r="G36" s="37" t="str">
        <f aca="false">IF($A36="","",IF($F36="","",$A36+$F36/24))</f>
        <v/>
      </c>
      <c r="H36" s="38" t="str">
        <f aca="false">IF($A36="","",IF($G36="","",ROUND(($C36-$G36)*1440,0)))</f>
        <v/>
      </c>
      <c r="I36" s="4" t="str">
        <f aca="false">IF($A36="","",IF($H36="","",IF($H36&lt;=0,"Yes","No")))</f>
        <v/>
      </c>
      <c r="J36" s="4" t="str">
        <f aca="false">IF($A36="","",IF($I36="No",$E36,0))</f>
        <v/>
      </c>
      <c r="K36" s="22" t="str">
        <f aca="false">IF($A36="","",IF($F36="","",FLOOR($F36,0.5)))</f>
        <v/>
      </c>
      <c r="L36" s="39" t="str">
        <f aca="false">IF($A36="","",IF($H36="","",MAX(0,$H36)))</f>
        <v/>
      </c>
      <c r="M36" s="29" t="str">
        <f aca="false">IF($A36="","",IF($F36="","",COUNTIFS(Fact_Work!$B:$B,$A36,Fact_Work!$AL:$AL,$B36,Fact_Work!$AI:$AI,"Yes")))</f>
        <v/>
      </c>
    </row>
    <row r="37" customFormat="false" ht="15" hidden="false" customHeight="true" outlineLevel="0" collapsed="false">
      <c r="D37" s="4" t="str">
        <f aca="false">IF($A37="","",IFERROR(VLOOKUP($B37,Dim_TOP!$A:$B,2,0),""))</f>
        <v/>
      </c>
      <c r="E37" s="36" t="str">
        <f aca="false">IF($A37="","",COUNTIFS(Fact_Work!$B:$B,$A37,Fact_Work!$AL:$AL,$B37))</f>
        <v/>
      </c>
      <c r="F37" s="22" t="str">
        <f aca="false">IF($A37="","",IF(COUNTIFS(Fact_Work!$B:$B,$A37,Fact_Work!$AL:$AL,$B37,Fact_Work!$AN:$AN,"&gt;0")=0,"",_xlfn.MINIFS(Fact_Work!$AN:$AN,Fact_Work!$B:$B,$A37,Fact_Work!$AL:$AL,$B37,Fact_Work!$AN:$AN,"&gt;0")))</f>
        <v/>
      </c>
      <c r="G37" s="37" t="str">
        <f aca="false">IF($A37="","",IF($F37="","",$A37+$F37/24))</f>
        <v/>
      </c>
      <c r="H37" s="38" t="str">
        <f aca="false">IF($A37="","",IF($G37="","",ROUND(($C37-$G37)*1440,0)))</f>
        <v/>
      </c>
      <c r="I37" s="4" t="str">
        <f aca="false">IF($A37="","",IF($H37="","",IF($H37&lt;=0,"Yes","No")))</f>
        <v/>
      </c>
      <c r="J37" s="4" t="str">
        <f aca="false">IF($A37="","",IF($I37="No",$E37,0))</f>
        <v/>
      </c>
      <c r="K37" s="22" t="str">
        <f aca="false">IF($A37="","",IF($F37="","",FLOOR($F37,0.5)))</f>
        <v/>
      </c>
      <c r="L37" s="39" t="str">
        <f aca="false">IF($A37="","",IF($H37="","",MAX(0,$H37)))</f>
        <v/>
      </c>
      <c r="M37" s="29" t="str">
        <f aca="false">IF($A37="","",IF($F37="","",COUNTIFS(Fact_Work!$B:$B,$A37,Fact_Work!$AL:$AL,$B37,Fact_Work!$AI:$AI,"Yes")))</f>
        <v/>
      </c>
    </row>
    <row r="38" customFormat="false" ht="15" hidden="false" customHeight="true" outlineLevel="0" collapsed="false">
      <c r="D38" s="4" t="str">
        <f aca="false">IF($A38="","",IFERROR(VLOOKUP($B38,Dim_TOP!$A:$B,2,0),""))</f>
        <v/>
      </c>
      <c r="E38" s="36" t="str">
        <f aca="false">IF($A38="","",COUNTIFS(Fact_Work!$B:$B,$A38,Fact_Work!$AL:$AL,$B38))</f>
        <v/>
      </c>
      <c r="F38" s="22" t="str">
        <f aca="false">IF($A38="","",IF(COUNTIFS(Fact_Work!$B:$B,$A38,Fact_Work!$AL:$AL,$B38,Fact_Work!$AN:$AN,"&gt;0")=0,"",_xlfn.MINIFS(Fact_Work!$AN:$AN,Fact_Work!$B:$B,$A38,Fact_Work!$AL:$AL,$B38,Fact_Work!$AN:$AN,"&gt;0")))</f>
        <v/>
      </c>
      <c r="G38" s="37" t="str">
        <f aca="false">IF($A38="","",IF($F38="","",$A38+$F38/24))</f>
        <v/>
      </c>
      <c r="H38" s="38" t="str">
        <f aca="false">IF($A38="","",IF($G38="","",ROUND(($C38-$G38)*1440,0)))</f>
        <v/>
      </c>
      <c r="I38" s="4" t="str">
        <f aca="false">IF($A38="","",IF($H38="","",IF($H38&lt;=0,"Yes","No")))</f>
        <v/>
      </c>
      <c r="J38" s="4" t="str">
        <f aca="false">IF($A38="","",IF($I38="No",$E38,0))</f>
        <v/>
      </c>
      <c r="K38" s="22" t="str">
        <f aca="false">IF($A38="","",IF($F38="","",FLOOR($F38,0.5)))</f>
        <v/>
      </c>
      <c r="L38" s="39" t="str">
        <f aca="false">IF($A38="","",IF($H38="","",MAX(0,$H38)))</f>
        <v/>
      </c>
      <c r="M38" s="29" t="str">
        <f aca="false">IF($A38="","",IF($F38="","",COUNTIFS(Fact_Work!$B:$B,$A38,Fact_Work!$AL:$AL,$B38,Fact_Work!$AI:$AI,"Yes")))</f>
        <v/>
      </c>
    </row>
    <row r="39" customFormat="false" ht="15" hidden="false" customHeight="true" outlineLevel="0" collapsed="false">
      <c r="D39" s="4" t="str">
        <f aca="false">IF($A39="","",IFERROR(VLOOKUP($B39,Dim_TOP!$A:$B,2,0),""))</f>
        <v/>
      </c>
      <c r="E39" s="36" t="str">
        <f aca="false">IF($A39="","",COUNTIFS(Fact_Work!$B:$B,$A39,Fact_Work!$AL:$AL,$B39))</f>
        <v/>
      </c>
      <c r="F39" s="22" t="str">
        <f aca="false">IF($A39="","",IF(COUNTIFS(Fact_Work!$B:$B,$A39,Fact_Work!$AL:$AL,$B39,Fact_Work!$AN:$AN,"&gt;0")=0,"",_xlfn.MINIFS(Fact_Work!$AN:$AN,Fact_Work!$B:$B,$A39,Fact_Work!$AL:$AL,$B39,Fact_Work!$AN:$AN,"&gt;0")))</f>
        <v/>
      </c>
      <c r="G39" s="37" t="str">
        <f aca="false">IF($A39="","",IF($F39="","",$A39+$F39/24))</f>
        <v/>
      </c>
      <c r="H39" s="38" t="str">
        <f aca="false">IF($A39="","",IF($G39="","",ROUND(($C39-$G39)*1440,0)))</f>
        <v/>
      </c>
      <c r="I39" s="4" t="str">
        <f aca="false">IF($A39="","",IF($H39="","",IF($H39&lt;=0,"Yes","No")))</f>
        <v/>
      </c>
      <c r="J39" s="4" t="str">
        <f aca="false">IF($A39="","",IF($I39="No",$E39,0))</f>
        <v/>
      </c>
      <c r="K39" s="22" t="str">
        <f aca="false">IF($A39="","",IF($F39="","",FLOOR($F39,0.5)))</f>
        <v/>
      </c>
      <c r="L39" s="39" t="str">
        <f aca="false">IF($A39="","",IF($H39="","",MAX(0,$H39)))</f>
        <v/>
      </c>
      <c r="M39" s="29" t="str">
        <f aca="false">IF($A39="","",IF($F39="","",COUNTIFS(Fact_Work!$B:$B,$A39,Fact_Work!$AL:$AL,$B39,Fact_Work!$AI:$AI,"Yes")))</f>
        <v/>
      </c>
    </row>
    <row r="40" customFormat="false" ht="15" hidden="false" customHeight="true" outlineLevel="0" collapsed="false">
      <c r="D40" s="4" t="str">
        <f aca="false">IF($A40="","",IFERROR(VLOOKUP($B40,Dim_TOP!$A:$B,2,0),""))</f>
        <v/>
      </c>
      <c r="E40" s="36" t="str">
        <f aca="false">IF($A40="","",COUNTIFS(Fact_Work!$B:$B,$A40,Fact_Work!$AL:$AL,$B40))</f>
        <v/>
      </c>
      <c r="F40" s="22" t="str">
        <f aca="false">IF($A40="","",IF(COUNTIFS(Fact_Work!$B:$B,$A40,Fact_Work!$AL:$AL,$B40,Fact_Work!$AN:$AN,"&gt;0")=0,"",_xlfn.MINIFS(Fact_Work!$AN:$AN,Fact_Work!$B:$B,$A40,Fact_Work!$AL:$AL,$B40,Fact_Work!$AN:$AN,"&gt;0")))</f>
        <v/>
      </c>
      <c r="G40" s="37" t="str">
        <f aca="false">IF($A40="","",IF($F40="","",$A40+$F40/24))</f>
        <v/>
      </c>
      <c r="H40" s="38" t="str">
        <f aca="false">IF($A40="","",IF($G40="","",ROUND(($C40-$G40)*1440,0)))</f>
        <v/>
      </c>
      <c r="I40" s="4" t="str">
        <f aca="false">IF($A40="","",IF($H40="","",IF($H40&lt;=0,"Yes","No")))</f>
        <v/>
      </c>
      <c r="J40" s="4" t="str">
        <f aca="false">IF($A40="","",IF($I40="No",$E40,0))</f>
        <v/>
      </c>
      <c r="K40" s="22" t="str">
        <f aca="false">IF($A40="","",IF($F40="","",FLOOR($F40,0.5)))</f>
        <v/>
      </c>
      <c r="L40" s="39" t="str">
        <f aca="false">IF($A40="","",IF($H40="","",MAX(0,$H40)))</f>
        <v/>
      </c>
      <c r="M40" s="29" t="str">
        <f aca="false">IF($A40="","",IF($F40="","",COUNTIFS(Fact_Work!$B:$B,$A40,Fact_Work!$AL:$AL,$B40,Fact_Work!$AI:$AI,"Yes")))</f>
        <v/>
      </c>
    </row>
    <row r="41" customFormat="false" ht="15" hidden="false" customHeight="true" outlineLevel="0" collapsed="false">
      <c r="D41" s="4" t="str">
        <f aca="false">IF($A41="","",IFERROR(VLOOKUP($B41,Dim_TOP!$A:$B,2,0),""))</f>
        <v/>
      </c>
      <c r="E41" s="36" t="str">
        <f aca="false">IF($A41="","",COUNTIFS(Fact_Work!$B:$B,$A41,Fact_Work!$AL:$AL,$B41))</f>
        <v/>
      </c>
      <c r="F41" s="22" t="str">
        <f aca="false">IF($A41="","",IF(COUNTIFS(Fact_Work!$B:$B,$A41,Fact_Work!$AL:$AL,$B41,Fact_Work!$AN:$AN,"&gt;0")=0,"",_xlfn.MINIFS(Fact_Work!$AN:$AN,Fact_Work!$B:$B,$A41,Fact_Work!$AL:$AL,$B41,Fact_Work!$AN:$AN,"&gt;0")))</f>
        <v/>
      </c>
      <c r="G41" s="37" t="str">
        <f aca="false">IF($A41="","",IF($F41="","",$A41+$F41/24))</f>
        <v/>
      </c>
      <c r="H41" s="38" t="str">
        <f aca="false">IF($A41="","",IF($G41="","",ROUND(($C41-$G41)*1440,0)))</f>
        <v/>
      </c>
      <c r="I41" s="4" t="str">
        <f aca="false">IF($A41="","",IF($H41="","",IF($H41&lt;=0,"Yes","No")))</f>
        <v/>
      </c>
      <c r="J41" s="4" t="str">
        <f aca="false">IF($A41="","",IF($I41="No",$E41,0))</f>
        <v/>
      </c>
      <c r="K41" s="22" t="str">
        <f aca="false">IF($A41="","",IF($F41="","",FLOOR($F41,0.5)))</f>
        <v/>
      </c>
      <c r="L41" s="39" t="str">
        <f aca="false">IF($A41="","",IF($H41="","",MAX(0,$H41)))</f>
        <v/>
      </c>
      <c r="M41" s="29" t="str">
        <f aca="false">IF($A41="","",IF($F41="","",COUNTIFS(Fact_Work!$B:$B,$A41,Fact_Work!$AL:$AL,$B41,Fact_Work!$AI:$AI,"Yes")))</f>
        <v/>
      </c>
    </row>
    <row r="42" customFormat="false" ht="15" hidden="false" customHeight="true" outlineLevel="0" collapsed="false">
      <c r="D42" s="4" t="str">
        <f aca="false">IF($A42="","",IFERROR(VLOOKUP($B42,Dim_TOP!$A:$B,2,0),""))</f>
        <v/>
      </c>
      <c r="E42" s="36" t="str">
        <f aca="false">IF($A42="","",COUNTIFS(Fact_Work!$B:$B,$A42,Fact_Work!$AL:$AL,$B42))</f>
        <v/>
      </c>
      <c r="F42" s="22" t="str">
        <f aca="false">IF($A42="","",IF(COUNTIFS(Fact_Work!$B:$B,$A42,Fact_Work!$AL:$AL,$B42,Fact_Work!$AN:$AN,"&gt;0")=0,"",_xlfn.MINIFS(Fact_Work!$AN:$AN,Fact_Work!$B:$B,$A42,Fact_Work!$AL:$AL,$B42,Fact_Work!$AN:$AN,"&gt;0")))</f>
        <v/>
      </c>
      <c r="G42" s="37" t="str">
        <f aca="false">IF($A42="","",IF($F42="","",$A42+$F42/24))</f>
        <v/>
      </c>
      <c r="H42" s="38" t="str">
        <f aca="false">IF($A42="","",IF($G42="","",ROUND(($C42-$G42)*1440,0)))</f>
        <v/>
      </c>
      <c r="I42" s="4" t="str">
        <f aca="false">IF($A42="","",IF($H42="","",IF($H42&lt;=0,"Yes","No")))</f>
        <v/>
      </c>
      <c r="J42" s="4" t="str">
        <f aca="false">IF($A42="","",IF($I42="No",$E42,0))</f>
        <v/>
      </c>
      <c r="K42" s="22" t="str">
        <f aca="false">IF($A42="","",IF($F42="","",FLOOR($F42,0.5)))</f>
        <v/>
      </c>
      <c r="L42" s="39" t="str">
        <f aca="false">IF($A42="","",IF($H42="","",MAX(0,$H42)))</f>
        <v/>
      </c>
      <c r="M42" s="29" t="str">
        <f aca="false">IF($A42="","",IF($F42="","",COUNTIFS(Fact_Work!$B:$B,$A42,Fact_Work!$AL:$AL,$B42,Fact_Work!$AI:$AI,"Yes")))</f>
        <v/>
      </c>
    </row>
    <row r="43" customFormat="false" ht="15" hidden="false" customHeight="true" outlineLevel="0" collapsed="false">
      <c r="D43" s="4" t="str">
        <f aca="false">IF($A43="","",IFERROR(VLOOKUP($B43,Dim_TOP!$A:$B,2,0),""))</f>
        <v/>
      </c>
      <c r="E43" s="36" t="str">
        <f aca="false">IF($A43="","",COUNTIFS(Fact_Work!$B:$B,$A43,Fact_Work!$AL:$AL,$B43))</f>
        <v/>
      </c>
      <c r="F43" s="22" t="str">
        <f aca="false">IF($A43="","",IF(COUNTIFS(Fact_Work!$B:$B,$A43,Fact_Work!$AL:$AL,$B43,Fact_Work!$AN:$AN,"&gt;0")=0,"",_xlfn.MINIFS(Fact_Work!$AN:$AN,Fact_Work!$B:$B,$A43,Fact_Work!$AL:$AL,$B43,Fact_Work!$AN:$AN,"&gt;0")))</f>
        <v/>
      </c>
      <c r="G43" s="37" t="str">
        <f aca="false">IF($A43="","",IF($F43="","",$A43+$F43/24))</f>
        <v/>
      </c>
      <c r="H43" s="38" t="str">
        <f aca="false">IF($A43="","",IF($G43="","",ROUND(($C43-$G43)*1440,0)))</f>
        <v/>
      </c>
      <c r="I43" s="4" t="str">
        <f aca="false">IF($A43="","",IF($H43="","",IF($H43&lt;=0,"Yes","No")))</f>
        <v/>
      </c>
      <c r="J43" s="4" t="str">
        <f aca="false">IF($A43="","",IF($I43="No",$E43,0))</f>
        <v/>
      </c>
      <c r="K43" s="22" t="str">
        <f aca="false">IF($A43="","",IF($F43="","",FLOOR($F43,0.5)))</f>
        <v/>
      </c>
      <c r="L43" s="39" t="str">
        <f aca="false">IF($A43="","",IF($H43="","",MAX(0,$H43)))</f>
        <v/>
      </c>
      <c r="M43" s="29" t="str">
        <f aca="false">IF($A43="","",IF($F43="","",COUNTIFS(Fact_Work!$B:$B,$A43,Fact_Work!$AL:$AL,$B43,Fact_Work!$AI:$AI,"Yes")))</f>
        <v/>
      </c>
    </row>
    <row r="44" customFormat="false" ht="15" hidden="false" customHeight="true" outlineLevel="0" collapsed="false">
      <c r="D44" s="4" t="str">
        <f aca="false">IF($A44="","",IFERROR(VLOOKUP($B44,Dim_TOP!$A:$B,2,0),""))</f>
        <v/>
      </c>
      <c r="E44" s="36" t="str">
        <f aca="false">IF($A44="","",COUNTIFS(Fact_Work!$B:$B,$A44,Fact_Work!$AL:$AL,$B44))</f>
        <v/>
      </c>
      <c r="F44" s="22" t="str">
        <f aca="false">IF($A44="","",IF(COUNTIFS(Fact_Work!$B:$B,$A44,Fact_Work!$AL:$AL,$B44,Fact_Work!$AN:$AN,"&gt;0")=0,"",_xlfn.MINIFS(Fact_Work!$AN:$AN,Fact_Work!$B:$B,$A44,Fact_Work!$AL:$AL,$B44,Fact_Work!$AN:$AN,"&gt;0")))</f>
        <v/>
      </c>
      <c r="G44" s="37" t="str">
        <f aca="false">IF($A44="","",IF($F44="","",$A44+$F44/24))</f>
        <v/>
      </c>
      <c r="H44" s="38" t="str">
        <f aca="false">IF($A44="","",IF($G44="","",ROUND(($C44-$G44)*1440,0)))</f>
        <v/>
      </c>
      <c r="I44" s="4" t="str">
        <f aca="false">IF($A44="","",IF($H44="","",IF($H44&lt;=0,"Yes","No")))</f>
        <v/>
      </c>
      <c r="J44" s="4" t="str">
        <f aca="false">IF($A44="","",IF($I44="No",$E44,0))</f>
        <v/>
      </c>
      <c r="K44" s="22" t="str">
        <f aca="false">IF($A44="","",IF($F44="","",FLOOR($F44,0.5)))</f>
        <v/>
      </c>
      <c r="L44" s="39" t="str">
        <f aca="false">IF($A44="","",IF($H44="","",MAX(0,$H44)))</f>
        <v/>
      </c>
      <c r="M44" s="29" t="str">
        <f aca="false">IF($A44="","",IF($F44="","",COUNTIFS(Fact_Work!$B:$B,$A44,Fact_Work!$AL:$AL,$B44,Fact_Work!$AI:$AI,"Yes")))</f>
        <v/>
      </c>
    </row>
    <row r="45" customFormat="false" ht="15" hidden="false" customHeight="true" outlineLevel="0" collapsed="false">
      <c r="D45" s="4" t="str">
        <f aca="false">IF($A45="","",IFERROR(VLOOKUP($B45,Dim_TOP!$A:$B,2,0),""))</f>
        <v/>
      </c>
      <c r="E45" s="36" t="str">
        <f aca="false">IF($A45="","",COUNTIFS(Fact_Work!$B:$B,$A45,Fact_Work!$AL:$AL,$B45))</f>
        <v/>
      </c>
      <c r="F45" s="22" t="str">
        <f aca="false">IF($A45="","",IF(COUNTIFS(Fact_Work!$B:$B,$A45,Fact_Work!$AL:$AL,$B45,Fact_Work!$AN:$AN,"&gt;0")=0,"",_xlfn.MINIFS(Fact_Work!$AN:$AN,Fact_Work!$B:$B,$A45,Fact_Work!$AL:$AL,$B45,Fact_Work!$AN:$AN,"&gt;0")))</f>
        <v/>
      </c>
      <c r="G45" s="37" t="str">
        <f aca="false">IF($A45="","",IF($F45="","",$A45+$F45/24))</f>
        <v/>
      </c>
      <c r="H45" s="38" t="str">
        <f aca="false">IF($A45="","",IF($G45="","",ROUND(($C45-$G45)*1440,0)))</f>
        <v/>
      </c>
      <c r="I45" s="4" t="str">
        <f aca="false">IF($A45="","",IF($H45="","",IF($H45&lt;=0,"Yes","No")))</f>
        <v/>
      </c>
      <c r="J45" s="4" t="str">
        <f aca="false">IF($A45="","",IF($I45="No",$E45,0))</f>
        <v/>
      </c>
      <c r="K45" s="22" t="str">
        <f aca="false">IF($A45="","",IF($F45="","",FLOOR($F45,0.5)))</f>
        <v/>
      </c>
      <c r="L45" s="39" t="str">
        <f aca="false">IF($A45="","",IF($H45="","",MAX(0,$H45)))</f>
        <v/>
      </c>
      <c r="M45" s="29" t="str">
        <f aca="false">IF($A45="","",IF($F45="","",COUNTIFS(Fact_Work!$B:$B,$A45,Fact_Work!$AL:$AL,$B45,Fact_Work!$AI:$AI,"Yes")))</f>
        <v/>
      </c>
    </row>
    <row r="46" customFormat="false" ht="15" hidden="false" customHeight="true" outlineLevel="0" collapsed="false">
      <c r="D46" s="4" t="str">
        <f aca="false">IF($A46="","",IFERROR(VLOOKUP($B46,Dim_TOP!$A:$B,2,0),""))</f>
        <v/>
      </c>
      <c r="E46" s="36" t="str">
        <f aca="false">IF($A46="","",COUNTIFS(Fact_Work!$B:$B,$A46,Fact_Work!$AL:$AL,$B46))</f>
        <v/>
      </c>
      <c r="F46" s="22" t="str">
        <f aca="false">IF($A46="","",IF(COUNTIFS(Fact_Work!$B:$B,$A46,Fact_Work!$AL:$AL,$B46,Fact_Work!$AN:$AN,"&gt;0")=0,"",_xlfn.MINIFS(Fact_Work!$AN:$AN,Fact_Work!$B:$B,$A46,Fact_Work!$AL:$AL,$B46,Fact_Work!$AN:$AN,"&gt;0")))</f>
        <v/>
      </c>
      <c r="G46" s="37" t="str">
        <f aca="false">IF($A46="","",IF($F46="","",$A46+$F46/24))</f>
        <v/>
      </c>
      <c r="H46" s="38" t="str">
        <f aca="false">IF($A46="","",IF($G46="","",ROUND(($C46-$G46)*1440,0)))</f>
        <v/>
      </c>
      <c r="I46" s="4" t="str">
        <f aca="false">IF($A46="","",IF($H46="","",IF($H46&lt;=0,"Yes","No")))</f>
        <v/>
      </c>
      <c r="J46" s="4" t="str">
        <f aca="false">IF($A46="","",IF($I46="No",$E46,0))</f>
        <v/>
      </c>
      <c r="K46" s="22" t="str">
        <f aca="false">IF($A46="","",IF($F46="","",FLOOR($F46,0.5)))</f>
        <v/>
      </c>
      <c r="L46" s="39" t="str">
        <f aca="false">IF($A46="","",IF($H46="","",MAX(0,$H46)))</f>
        <v/>
      </c>
      <c r="M46" s="29" t="str">
        <f aca="false">IF($A46="","",IF($F46="","",COUNTIFS(Fact_Work!$B:$B,$A46,Fact_Work!$AL:$AL,$B46,Fact_Work!$AI:$AI,"Yes")))</f>
        <v/>
      </c>
    </row>
    <row r="47" customFormat="false" ht="15" hidden="false" customHeight="true" outlineLevel="0" collapsed="false">
      <c r="D47" s="4" t="str">
        <f aca="false">IF($A47="","",IFERROR(VLOOKUP($B47,Dim_TOP!$A:$B,2,0),""))</f>
        <v/>
      </c>
      <c r="E47" s="36" t="str">
        <f aca="false">IF($A47="","",COUNTIFS(Fact_Work!$B:$B,$A47,Fact_Work!$AL:$AL,$B47))</f>
        <v/>
      </c>
      <c r="F47" s="22" t="str">
        <f aca="false">IF($A47="","",IF(COUNTIFS(Fact_Work!$B:$B,$A47,Fact_Work!$AL:$AL,$B47,Fact_Work!$AN:$AN,"&gt;0")=0,"",_xlfn.MINIFS(Fact_Work!$AN:$AN,Fact_Work!$B:$B,$A47,Fact_Work!$AL:$AL,$B47,Fact_Work!$AN:$AN,"&gt;0")))</f>
        <v/>
      </c>
      <c r="G47" s="37" t="str">
        <f aca="false">IF($A47="","",IF($F47="","",$A47+$F47/24))</f>
        <v/>
      </c>
      <c r="H47" s="38" t="str">
        <f aca="false">IF($A47="","",IF($G47="","",ROUND(($C47-$G47)*1440,0)))</f>
        <v/>
      </c>
      <c r="I47" s="4" t="str">
        <f aca="false">IF($A47="","",IF($H47="","",IF($H47&lt;=0,"Yes","No")))</f>
        <v/>
      </c>
      <c r="J47" s="4" t="str">
        <f aca="false">IF($A47="","",IF($I47="No",$E47,0))</f>
        <v/>
      </c>
      <c r="K47" s="22" t="str">
        <f aca="false">IF($A47="","",IF($F47="","",FLOOR($F47,0.5)))</f>
        <v/>
      </c>
      <c r="L47" s="39" t="str">
        <f aca="false">IF($A47="","",IF($H47="","",MAX(0,$H47)))</f>
        <v/>
      </c>
      <c r="M47" s="29" t="str">
        <f aca="false">IF($A47="","",IF($F47="","",COUNTIFS(Fact_Work!$B:$B,$A47,Fact_Work!$AL:$AL,$B47,Fact_Work!$AI:$AI,"Yes")))</f>
        <v/>
      </c>
    </row>
    <row r="48" customFormat="false" ht="15" hidden="false" customHeight="true" outlineLevel="0" collapsed="false">
      <c r="D48" s="4" t="str">
        <f aca="false">IF($A48="","",IFERROR(VLOOKUP($B48,Dim_TOP!$A:$B,2,0),""))</f>
        <v/>
      </c>
      <c r="E48" s="36" t="str">
        <f aca="false">IF($A48="","",COUNTIFS(Fact_Work!$B:$B,$A48,Fact_Work!$AL:$AL,$B48))</f>
        <v/>
      </c>
      <c r="F48" s="22" t="str">
        <f aca="false">IF($A48="","",IF(COUNTIFS(Fact_Work!$B:$B,$A48,Fact_Work!$AL:$AL,$B48,Fact_Work!$AN:$AN,"&gt;0")=0,"",_xlfn.MINIFS(Fact_Work!$AN:$AN,Fact_Work!$B:$B,$A48,Fact_Work!$AL:$AL,$B48,Fact_Work!$AN:$AN,"&gt;0")))</f>
        <v/>
      </c>
      <c r="G48" s="37" t="str">
        <f aca="false">IF($A48="","",IF($F48="","",$A48+$F48/24))</f>
        <v/>
      </c>
      <c r="H48" s="38" t="str">
        <f aca="false">IF($A48="","",IF($G48="","",ROUND(($C48-$G48)*1440,0)))</f>
        <v/>
      </c>
      <c r="I48" s="4" t="str">
        <f aca="false">IF($A48="","",IF($H48="","",IF($H48&lt;=0,"Yes","No")))</f>
        <v/>
      </c>
      <c r="J48" s="4" t="str">
        <f aca="false">IF($A48="","",IF($I48="No",$E48,0))</f>
        <v/>
      </c>
      <c r="K48" s="22" t="str">
        <f aca="false">IF($A48="","",IF($F48="","",FLOOR($F48,0.5)))</f>
        <v/>
      </c>
      <c r="L48" s="39" t="str">
        <f aca="false">IF($A48="","",IF($H48="","",MAX(0,$H48)))</f>
        <v/>
      </c>
      <c r="M48" s="29" t="str">
        <f aca="false">IF($A48="","",IF($F48="","",COUNTIFS(Fact_Work!$B:$B,$A48,Fact_Work!$AL:$AL,$B48,Fact_Work!$AI:$AI,"Yes")))</f>
        <v/>
      </c>
    </row>
    <row r="49" customFormat="false" ht="15" hidden="false" customHeight="true" outlineLevel="0" collapsed="false">
      <c r="D49" s="4" t="str">
        <f aca="false">IF($A49="","",IFERROR(VLOOKUP($B49,Dim_TOP!$A:$B,2,0),""))</f>
        <v/>
      </c>
      <c r="E49" s="36" t="str">
        <f aca="false">IF($A49="","",COUNTIFS(Fact_Work!$B:$B,$A49,Fact_Work!$AL:$AL,$B49))</f>
        <v/>
      </c>
      <c r="F49" s="22" t="str">
        <f aca="false">IF($A49="","",IF(COUNTIFS(Fact_Work!$B:$B,$A49,Fact_Work!$AL:$AL,$B49,Fact_Work!$AN:$AN,"&gt;0")=0,"",_xlfn.MINIFS(Fact_Work!$AN:$AN,Fact_Work!$B:$B,$A49,Fact_Work!$AL:$AL,$B49,Fact_Work!$AN:$AN,"&gt;0")))</f>
        <v/>
      </c>
      <c r="G49" s="37" t="str">
        <f aca="false">IF($A49="","",IF($F49="","",$A49+$F49/24))</f>
        <v/>
      </c>
      <c r="H49" s="38" t="str">
        <f aca="false">IF($A49="","",IF($G49="","",ROUND(($C49-$G49)*1440,0)))</f>
        <v/>
      </c>
      <c r="I49" s="4" t="str">
        <f aca="false">IF($A49="","",IF($H49="","",IF($H49&lt;=0,"Yes","No")))</f>
        <v/>
      </c>
      <c r="J49" s="4" t="str">
        <f aca="false">IF($A49="","",IF($I49="No",$E49,0))</f>
        <v/>
      </c>
      <c r="K49" s="22" t="str">
        <f aca="false">IF($A49="","",IF($F49="","",FLOOR($F49,0.5)))</f>
        <v/>
      </c>
      <c r="L49" s="39" t="str">
        <f aca="false">IF($A49="","",IF($H49="","",MAX(0,$H49)))</f>
        <v/>
      </c>
      <c r="M49" s="29" t="str">
        <f aca="false">IF($A49="","",IF($F49="","",COUNTIFS(Fact_Work!$B:$B,$A49,Fact_Work!$AL:$AL,$B49,Fact_Work!$AI:$AI,"Yes")))</f>
        <v/>
      </c>
    </row>
    <row r="50" customFormat="false" ht="15" hidden="false" customHeight="true" outlineLevel="0" collapsed="false">
      <c r="D50" s="4" t="str">
        <f aca="false">IF($A50="","",IFERROR(VLOOKUP($B50,Dim_TOP!$A:$B,2,0),""))</f>
        <v/>
      </c>
      <c r="E50" s="36" t="str">
        <f aca="false">IF($A50="","",COUNTIFS(Fact_Work!$B:$B,$A50,Fact_Work!$AL:$AL,$B50))</f>
        <v/>
      </c>
      <c r="F50" s="22" t="str">
        <f aca="false">IF($A50="","",IF(COUNTIFS(Fact_Work!$B:$B,$A50,Fact_Work!$AL:$AL,$B50,Fact_Work!$AN:$AN,"&gt;0")=0,"",_xlfn.MINIFS(Fact_Work!$AN:$AN,Fact_Work!$B:$B,$A50,Fact_Work!$AL:$AL,$B50,Fact_Work!$AN:$AN,"&gt;0")))</f>
        <v/>
      </c>
      <c r="G50" s="37" t="str">
        <f aca="false">IF($A50="","",IF($F50="","",$A50+$F50/24))</f>
        <v/>
      </c>
      <c r="H50" s="38" t="str">
        <f aca="false">IF($A50="","",IF($G50="","",ROUND(($C50-$G50)*1440,0)))</f>
        <v/>
      </c>
      <c r="I50" s="4" t="str">
        <f aca="false">IF($A50="","",IF($H50="","",IF($H50&lt;=0,"Yes","No")))</f>
        <v/>
      </c>
      <c r="J50" s="4" t="str">
        <f aca="false">IF($A50="","",IF($I50="No",$E50,0))</f>
        <v/>
      </c>
      <c r="K50" s="22" t="str">
        <f aca="false">IF($A50="","",IF($F50="","",FLOOR($F50,0.5)))</f>
        <v/>
      </c>
      <c r="L50" s="39" t="str">
        <f aca="false">IF($A50="","",IF($H50="","",MAX(0,$H50)))</f>
        <v/>
      </c>
      <c r="M50" s="29" t="str">
        <f aca="false">IF($A50="","",IF($F50="","",COUNTIFS(Fact_Work!$B:$B,$A50,Fact_Work!$AL:$AL,$B50,Fact_Work!$AI:$AI,"Yes")))</f>
        <v/>
      </c>
    </row>
    <row r="51" customFormat="false" ht="15" hidden="false" customHeight="true" outlineLevel="0" collapsed="false">
      <c r="D51" s="4" t="str">
        <f aca="false">IF($A51="","",IFERROR(VLOOKUP($B51,Dim_TOP!$A:$B,2,0),""))</f>
        <v/>
      </c>
      <c r="E51" s="36" t="str">
        <f aca="false">IF($A51="","",COUNTIFS(Fact_Work!$B:$B,$A51,Fact_Work!$AL:$AL,$B51))</f>
        <v/>
      </c>
      <c r="F51" s="22" t="str">
        <f aca="false">IF($A51="","",IF(COUNTIFS(Fact_Work!$B:$B,$A51,Fact_Work!$AL:$AL,$B51,Fact_Work!$AN:$AN,"&gt;0")=0,"",_xlfn.MINIFS(Fact_Work!$AN:$AN,Fact_Work!$B:$B,$A51,Fact_Work!$AL:$AL,$B51,Fact_Work!$AN:$AN,"&gt;0")))</f>
        <v/>
      </c>
      <c r="G51" s="37" t="str">
        <f aca="false">IF($A51="","",IF($F51="","",$A51+$F51/24))</f>
        <v/>
      </c>
      <c r="H51" s="38" t="str">
        <f aca="false">IF($A51="","",IF($G51="","",ROUND(($C51-$G51)*1440,0)))</f>
        <v/>
      </c>
      <c r="I51" s="4" t="str">
        <f aca="false">IF($A51="","",IF($H51="","",IF($H51&lt;=0,"Yes","No")))</f>
        <v/>
      </c>
      <c r="J51" s="4" t="str">
        <f aca="false">IF($A51="","",IF($I51="No",$E51,0))</f>
        <v/>
      </c>
      <c r="K51" s="22" t="str">
        <f aca="false">IF($A51="","",IF($F51="","",FLOOR($F51,0.5)))</f>
        <v/>
      </c>
      <c r="L51" s="39" t="str">
        <f aca="false">IF($A51="","",IF($H51="","",MAX(0,$H51)))</f>
        <v/>
      </c>
      <c r="M51" s="29" t="str">
        <f aca="false">IF($A51="","",IF($F51="","",COUNTIFS(Fact_Work!$B:$B,$A51,Fact_Work!$AL:$AL,$B51,Fact_Work!$AI:$AI,"Yes")))</f>
        <v/>
      </c>
    </row>
    <row r="52" customFormat="false" ht="15" hidden="false" customHeight="true" outlineLevel="0" collapsed="false">
      <c r="D52" s="4" t="str">
        <f aca="false">IF($A52="","",IFERROR(VLOOKUP($B52,Dim_TOP!$A:$B,2,0),""))</f>
        <v/>
      </c>
      <c r="E52" s="36" t="str">
        <f aca="false">IF($A52="","",COUNTIFS(Fact_Work!$B:$B,$A52,Fact_Work!$AL:$AL,$B52))</f>
        <v/>
      </c>
      <c r="F52" s="22" t="str">
        <f aca="false">IF($A52="","",IF(COUNTIFS(Fact_Work!$B:$B,$A52,Fact_Work!$AL:$AL,$B52,Fact_Work!$AN:$AN,"&gt;0")=0,"",_xlfn.MINIFS(Fact_Work!$AN:$AN,Fact_Work!$B:$B,$A52,Fact_Work!$AL:$AL,$B52,Fact_Work!$AN:$AN,"&gt;0")))</f>
        <v/>
      </c>
      <c r="G52" s="37" t="str">
        <f aca="false">IF($A52="","",IF($F52="","",$A52+$F52/24))</f>
        <v/>
      </c>
      <c r="H52" s="38" t="str">
        <f aca="false">IF($A52="","",IF($G52="","",ROUND(($C52-$G52)*1440,0)))</f>
        <v/>
      </c>
      <c r="I52" s="4" t="str">
        <f aca="false">IF($A52="","",IF($H52="","",IF($H52&lt;=0,"Yes","No")))</f>
        <v/>
      </c>
      <c r="J52" s="4" t="str">
        <f aca="false">IF($A52="","",IF($I52="No",$E52,0))</f>
        <v/>
      </c>
      <c r="K52" s="22" t="str">
        <f aca="false">IF($A52="","",IF($F52="","",FLOOR($F52,0.5)))</f>
        <v/>
      </c>
      <c r="L52" s="39" t="str">
        <f aca="false">IF($A52="","",IF($H52="","",MAX(0,$H52)))</f>
        <v/>
      </c>
      <c r="M52" s="29" t="str">
        <f aca="false">IF($A52="","",IF($F52="","",COUNTIFS(Fact_Work!$B:$B,$A52,Fact_Work!$AL:$AL,$B52,Fact_Work!$AI:$AI,"Yes")))</f>
        <v/>
      </c>
    </row>
    <row r="53" customFormat="false" ht="15" hidden="false" customHeight="true" outlineLevel="0" collapsed="false">
      <c r="D53" s="4" t="str">
        <f aca="false">IF($A53="","",IFERROR(VLOOKUP($B53,Dim_TOP!$A:$B,2,0),""))</f>
        <v/>
      </c>
      <c r="E53" s="36" t="str">
        <f aca="false">IF($A53="","",COUNTIFS(Fact_Work!$B:$B,$A53,Fact_Work!$AL:$AL,$B53))</f>
        <v/>
      </c>
      <c r="F53" s="22" t="str">
        <f aca="false">IF($A53="","",IF(COUNTIFS(Fact_Work!$B:$B,$A53,Fact_Work!$AL:$AL,$B53,Fact_Work!$AN:$AN,"&gt;0")=0,"",_xlfn.MINIFS(Fact_Work!$AN:$AN,Fact_Work!$B:$B,$A53,Fact_Work!$AL:$AL,$B53,Fact_Work!$AN:$AN,"&gt;0")))</f>
        <v/>
      </c>
      <c r="G53" s="37" t="str">
        <f aca="false">IF($A53="","",IF($F53="","",$A53+$F53/24))</f>
        <v/>
      </c>
      <c r="H53" s="38" t="str">
        <f aca="false">IF($A53="","",IF($G53="","",ROUND(($C53-$G53)*1440,0)))</f>
        <v/>
      </c>
      <c r="I53" s="4" t="str">
        <f aca="false">IF($A53="","",IF($H53="","",IF($H53&lt;=0,"Yes","No")))</f>
        <v/>
      </c>
      <c r="J53" s="4" t="str">
        <f aca="false">IF($A53="","",IF($I53="No",$E53,0))</f>
        <v/>
      </c>
      <c r="K53" s="22" t="str">
        <f aca="false">IF($A53="","",IF($F53="","",FLOOR($F53,0.5)))</f>
        <v/>
      </c>
      <c r="L53" s="39" t="str">
        <f aca="false">IF($A53="","",IF($H53="","",MAX(0,$H53)))</f>
        <v/>
      </c>
      <c r="M53" s="29" t="str">
        <f aca="false">IF($A53="","",IF($F53="","",COUNTIFS(Fact_Work!$B:$B,$A53,Fact_Work!$AL:$AL,$B53,Fact_Work!$AI:$AI,"Yes")))</f>
        <v/>
      </c>
    </row>
    <row r="54" customFormat="false" ht="15" hidden="false" customHeight="true" outlineLevel="0" collapsed="false">
      <c r="D54" s="4" t="str">
        <f aca="false">IF($A54="","",IFERROR(VLOOKUP($B54,Dim_TOP!$A:$B,2,0),""))</f>
        <v/>
      </c>
      <c r="E54" s="36" t="str">
        <f aca="false">IF($A54="","",COUNTIFS(Fact_Work!$B:$B,$A54,Fact_Work!$AL:$AL,$B54))</f>
        <v/>
      </c>
      <c r="F54" s="22" t="str">
        <f aca="false">IF($A54="","",IF(COUNTIFS(Fact_Work!$B:$B,$A54,Fact_Work!$AL:$AL,$B54,Fact_Work!$AN:$AN,"&gt;0")=0,"",_xlfn.MINIFS(Fact_Work!$AN:$AN,Fact_Work!$B:$B,$A54,Fact_Work!$AL:$AL,$B54,Fact_Work!$AN:$AN,"&gt;0")))</f>
        <v/>
      </c>
      <c r="G54" s="37" t="str">
        <f aca="false">IF($A54="","",IF($F54="","",$A54+$F54/24))</f>
        <v/>
      </c>
      <c r="H54" s="38" t="str">
        <f aca="false">IF($A54="","",IF($G54="","",ROUND(($C54-$G54)*1440,0)))</f>
        <v/>
      </c>
      <c r="I54" s="4" t="str">
        <f aca="false">IF($A54="","",IF($H54="","",IF($H54&lt;=0,"Yes","No")))</f>
        <v/>
      </c>
      <c r="J54" s="4" t="str">
        <f aca="false">IF($A54="","",IF($I54="No",$E54,0))</f>
        <v/>
      </c>
      <c r="K54" s="22" t="str">
        <f aca="false">IF($A54="","",IF($F54="","",FLOOR($F54,0.5)))</f>
        <v/>
      </c>
      <c r="L54" s="39" t="str">
        <f aca="false">IF($A54="","",IF($H54="","",MAX(0,$H54)))</f>
        <v/>
      </c>
      <c r="M54" s="29" t="str">
        <f aca="false">IF($A54="","",IF($F54="","",COUNTIFS(Fact_Work!$B:$B,$A54,Fact_Work!$AL:$AL,$B54,Fact_Work!$AI:$AI,"Yes")))</f>
        <v/>
      </c>
    </row>
    <row r="55" customFormat="false" ht="15" hidden="false" customHeight="true" outlineLevel="0" collapsed="false">
      <c r="D55" s="4" t="str">
        <f aca="false">IF($A55="","",IFERROR(VLOOKUP($B55,Dim_TOP!$A:$B,2,0),""))</f>
        <v/>
      </c>
      <c r="E55" s="36" t="str">
        <f aca="false">IF($A55="","",COUNTIFS(Fact_Work!$B:$B,$A55,Fact_Work!$AL:$AL,$B55))</f>
        <v/>
      </c>
      <c r="F55" s="22" t="str">
        <f aca="false">IF($A55="","",IF(COUNTIFS(Fact_Work!$B:$B,$A55,Fact_Work!$AL:$AL,$B55,Fact_Work!$AN:$AN,"&gt;0")=0,"",_xlfn.MINIFS(Fact_Work!$AN:$AN,Fact_Work!$B:$B,$A55,Fact_Work!$AL:$AL,$B55,Fact_Work!$AN:$AN,"&gt;0")))</f>
        <v/>
      </c>
      <c r="G55" s="37" t="str">
        <f aca="false">IF($A55="","",IF($F55="","",$A55+$F55/24))</f>
        <v/>
      </c>
      <c r="H55" s="38" t="str">
        <f aca="false">IF($A55="","",IF($G55="","",ROUND(($C55-$G55)*1440,0)))</f>
        <v/>
      </c>
      <c r="I55" s="4" t="str">
        <f aca="false">IF($A55="","",IF($H55="","",IF($H55&lt;=0,"Yes","No")))</f>
        <v/>
      </c>
      <c r="J55" s="4" t="str">
        <f aca="false">IF($A55="","",IF($I55="No",$E55,0))</f>
        <v/>
      </c>
      <c r="K55" s="22" t="str">
        <f aca="false">IF($A55="","",IF($F55="","",FLOOR($F55,0.5)))</f>
        <v/>
      </c>
      <c r="L55" s="39" t="str">
        <f aca="false">IF($A55="","",IF($H55="","",MAX(0,$H55)))</f>
        <v/>
      </c>
      <c r="M55" s="29" t="str">
        <f aca="false">IF($A55="","",IF($F55="","",COUNTIFS(Fact_Work!$B:$B,$A55,Fact_Work!$AL:$AL,$B55,Fact_Work!$AI:$AI,"Yes")))</f>
        <v/>
      </c>
    </row>
    <row r="56" customFormat="false" ht="15" hidden="false" customHeight="true" outlineLevel="0" collapsed="false">
      <c r="D56" s="4" t="str">
        <f aca="false">IF($A56="","",IFERROR(VLOOKUP($B56,Dim_TOP!$A:$B,2,0),""))</f>
        <v/>
      </c>
      <c r="E56" s="36" t="str">
        <f aca="false">IF($A56="","",COUNTIFS(Fact_Work!$B:$B,$A56,Fact_Work!$AL:$AL,$B56))</f>
        <v/>
      </c>
      <c r="F56" s="22" t="str">
        <f aca="false">IF($A56="","",IF(COUNTIFS(Fact_Work!$B:$B,$A56,Fact_Work!$AL:$AL,$B56,Fact_Work!$AN:$AN,"&gt;0")=0,"",_xlfn.MINIFS(Fact_Work!$AN:$AN,Fact_Work!$B:$B,$A56,Fact_Work!$AL:$AL,$B56,Fact_Work!$AN:$AN,"&gt;0")))</f>
        <v/>
      </c>
      <c r="G56" s="37" t="str">
        <f aca="false">IF($A56="","",IF($F56="","",$A56+$F56/24))</f>
        <v/>
      </c>
      <c r="H56" s="38" t="str">
        <f aca="false">IF($A56="","",IF($G56="","",ROUND(($C56-$G56)*1440,0)))</f>
        <v/>
      </c>
      <c r="I56" s="4" t="str">
        <f aca="false">IF($A56="","",IF($H56="","",IF($H56&lt;=0,"Yes","No")))</f>
        <v/>
      </c>
      <c r="J56" s="4" t="str">
        <f aca="false">IF($A56="","",IF($I56="No",$E56,0))</f>
        <v/>
      </c>
      <c r="K56" s="22" t="str">
        <f aca="false">IF($A56="","",IF($F56="","",FLOOR($F56,0.5)))</f>
        <v/>
      </c>
      <c r="L56" s="39" t="str">
        <f aca="false">IF($A56="","",IF($H56="","",MAX(0,$H56)))</f>
        <v/>
      </c>
      <c r="M56" s="29" t="str">
        <f aca="false">IF($A56="","",IF($F56="","",COUNTIFS(Fact_Work!$B:$B,$A56,Fact_Work!$AL:$AL,$B56,Fact_Work!$AI:$AI,"Yes")))</f>
        <v/>
      </c>
    </row>
    <row r="57" customFormat="false" ht="15" hidden="false" customHeight="true" outlineLevel="0" collapsed="false">
      <c r="D57" s="4" t="str">
        <f aca="false">IF($A57="","",IFERROR(VLOOKUP($B57,Dim_TOP!$A:$B,2,0),""))</f>
        <v/>
      </c>
      <c r="E57" s="36" t="str">
        <f aca="false">IF($A57="","",COUNTIFS(Fact_Work!$B:$B,$A57,Fact_Work!$AL:$AL,$B57))</f>
        <v/>
      </c>
      <c r="F57" s="22" t="str">
        <f aca="false">IF($A57="","",IF(COUNTIFS(Fact_Work!$B:$B,$A57,Fact_Work!$AL:$AL,$B57,Fact_Work!$AN:$AN,"&gt;0")=0,"",_xlfn.MINIFS(Fact_Work!$AN:$AN,Fact_Work!$B:$B,$A57,Fact_Work!$AL:$AL,$B57,Fact_Work!$AN:$AN,"&gt;0")))</f>
        <v/>
      </c>
      <c r="G57" s="37" t="str">
        <f aca="false">IF($A57="","",IF($F57="","",$A57+$F57/24))</f>
        <v/>
      </c>
      <c r="H57" s="38" t="str">
        <f aca="false">IF($A57="","",IF($G57="","",ROUND(($C57-$G57)*1440,0)))</f>
        <v/>
      </c>
      <c r="I57" s="4" t="str">
        <f aca="false">IF($A57="","",IF($H57="","",IF($H57&lt;=0,"Yes","No")))</f>
        <v/>
      </c>
      <c r="J57" s="4" t="str">
        <f aca="false">IF($A57="","",IF($I57="No",$E57,0))</f>
        <v/>
      </c>
      <c r="K57" s="22" t="str">
        <f aca="false">IF($A57="","",IF($F57="","",FLOOR($F57,0.5)))</f>
        <v/>
      </c>
      <c r="L57" s="39" t="str">
        <f aca="false">IF($A57="","",IF($H57="","",MAX(0,$H57)))</f>
        <v/>
      </c>
      <c r="M57" s="29" t="str">
        <f aca="false">IF($A57="","",IF($F57="","",COUNTIFS(Fact_Work!$B:$B,$A57,Fact_Work!$AL:$AL,$B57,Fact_Work!$AI:$AI,"Yes")))</f>
        <v/>
      </c>
    </row>
    <row r="58" customFormat="false" ht="15" hidden="false" customHeight="true" outlineLevel="0" collapsed="false">
      <c r="D58" s="4" t="str">
        <f aca="false">IF($A58="","",IFERROR(VLOOKUP($B58,Dim_TOP!$A:$B,2,0),""))</f>
        <v/>
      </c>
      <c r="E58" s="36" t="str">
        <f aca="false">IF($A58="","",COUNTIFS(Fact_Work!$B:$B,$A58,Fact_Work!$AL:$AL,$B58))</f>
        <v/>
      </c>
      <c r="F58" s="22" t="str">
        <f aca="false">IF($A58="","",IF(COUNTIFS(Fact_Work!$B:$B,$A58,Fact_Work!$AL:$AL,$B58,Fact_Work!$AN:$AN,"&gt;0")=0,"",_xlfn.MINIFS(Fact_Work!$AN:$AN,Fact_Work!$B:$B,$A58,Fact_Work!$AL:$AL,$B58,Fact_Work!$AN:$AN,"&gt;0")))</f>
        <v/>
      </c>
      <c r="G58" s="37" t="str">
        <f aca="false">IF($A58="","",IF($F58="","",$A58+$F58/24))</f>
        <v/>
      </c>
      <c r="H58" s="38" t="str">
        <f aca="false">IF($A58="","",IF($G58="","",ROUND(($C58-$G58)*1440,0)))</f>
        <v/>
      </c>
      <c r="I58" s="4" t="str">
        <f aca="false">IF($A58="","",IF($H58="","",IF($H58&lt;=0,"Yes","No")))</f>
        <v/>
      </c>
      <c r="J58" s="4" t="str">
        <f aca="false">IF($A58="","",IF($I58="No",$E58,0))</f>
        <v/>
      </c>
      <c r="K58" s="22" t="str">
        <f aca="false">IF($A58="","",IF($F58="","",FLOOR($F58,0.5)))</f>
        <v/>
      </c>
      <c r="L58" s="39" t="str">
        <f aca="false">IF($A58="","",IF($H58="","",MAX(0,$H58)))</f>
        <v/>
      </c>
      <c r="M58" s="29" t="str">
        <f aca="false">IF($A58="","",IF($F58="","",COUNTIFS(Fact_Work!$B:$B,$A58,Fact_Work!$AL:$AL,$B58,Fact_Work!$AI:$AI,"Yes")))</f>
        <v/>
      </c>
    </row>
    <row r="59" customFormat="false" ht="15" hidden="false" customHeight="true" outlineLevel="0" collapsed="false">
      <c r="D59" s="4" t="str">
        <f aca="false">IF($A59="","",IFERROR(VLOOKUP($B59,Dim_TOP!$A:$B,2,0),""))</f>
        <v/>
      </c>
      <c r="E59" s="36" t="str">
        <f aca="false">IF($A59="","",COUNTIFS(Fact_Work!$B:$B,$A59,Fact_Work!$AL:$AL,$B59))</f>
        <v/>
      </c>
      <c r="F59" s="22" t="str">
        <f aca="false">IF($A59="","",IF(COUNTIFS(Fact_Work!$B:$B,$A59,Fact_Work!$AL:$AL,$B59,Fact_Work!$AN:$AN,"&gt;0")=0,"",_xlfn.MINIFS(Fact_Work!$AN:$AN,Fact_Work!$B:$B,$A59,Fact_Work!$AL:$AL,$B59,Fact_Work!$AN:$AN,"&gt;0")))</f>
        <v/>
      </c>
      <c r="G59" s="37" t="str">
        <f aca="false">IF($A59="","",IF($F59="","",$A59+$F59/24))</f>
        <v/>
      </c>
      <c r="H59" s="38" t="str">
        <f aca="false">IF($A59="","",IF($G59="","",ROUND(($C59-$G59)*1440,0)))</f>
        <v/>
      </c>
      <c r="I59" s="4" t="str">
        <f aca="false">IF($A59="","",IF($H59="","",IF($H59&lt;=0,"Yes","No")))</f>
        <v/>
      </c>
      <c r="J59" s="4" t="str">
        <f aca="false">IF($A59="","",IF($I59="No",$E59,0))</f>
        <v/>
      </c>
      <c r="K59" s="22" t="str">
        <f aca="false">IF($A59="","",IF($F59="","",FLOOR($F59,0.5)))</f>
        <v/>
      </c>
      <c r="L59" s="39" t="str">
        <f aca="false">IF($A59="","",IF($H59="","",MAX(0,$H59)))</f>
        <v/>
      </c>
      <c r="M59" s="29" t="str">
        <f aca="false">IF($A59="","",IF($F59="","",COUNTIFS(Fact_Work!$B:$B,$A59,Fact_Work!$AL:$AL,$B59,Fact_Work!$AI:$AI,"Yes")))</f>
        <v/>
      </c>
    </row>
    <row r="60" customFormat="false" ht="15" hidden="false" customHeight="true" outlineLevel="0" collapsed="false">
      <c r="D60" s="4" t="str">
        <f aca="false">IF($A60="","",IFERROR(VLOOKUP($B60,Dim_TOP!$A:$B,2,0),""))</f>
        <v/>
      </c>
      <c r="E60" s="36" t="str">
        <f aca="false">IF($A60="","",COUNTIFS(Fact_Work!$B:$B,$A60,Fact_Work!$AL:$AL,$B60))</f>
        <v/>
      </c>
      <c r="F60" s="22" t="str">
        <f aca="false">IF($A60="","",IF(COUNTIFS(Fact_Work!$B:$B,$A60,Fact_Work!$AL:$AL,$B60,Fact_Work!$AN:$AN,"&gt;0")=0,"",_xlfn.MINIFS(Fact_Work!$AN:$AN,Fact_Work!$B:$B,$A60,Fact_Work!$AL:$AL,$B60,Fact_Work!$AN:$AN,"&gt;0")))</f>
        <v/>
      </c>
      <c r="G60" s="37" t="str">
        <f aca="false">IF($A60="","",IF($F60="","",$A60+$F60/24))</f>
        <v/>
      </c>
      <c r="H60" s="38" t="str">
        <f aca="false">IF($A60="","",IF($G60="","",ROUND(($C60-$G60)*1440,0)))</f>
        <v/>
      </c>
      <c r="I60" s="4" t="str">
        <f aca="false">IF($A60="","",IF($H60="","",IF($H60&lt;=0,"Yes","No")))</f>
        <v/>
      </c>
      <c r="J60" s="4" t="str">
        <f aca="false">IF($A60="","",IF($I60="No",$E60,0))</f>
        <v/>
      </c>
      <c r="K60" s="22" t="str">
        <f aca="false">IF($A60="","",IF($F60="","",FLOOR($F60,0.5)))</f>
        <v/>
      </c>
      <c r="L60" s="39" t="str">
        <f aca="false">IF($A60="","",IF($H60="","",MAX(0,$H60)))</f>
        <v/>
      </c>
      <c r="M60" s="29" t="str">
        <f aca="false">IF($A60="","",IF($F60="","",COUNTIFS(Fact_Work!$B:$B,$A60,Fact_Work!$AL:$AL,$B60,Fact_Work!$AI:$AI,"Yes")))</f>
        <v/>
      </c>
    </row>
    <row r="61" customFormat="false" ht="15" hidden="false" customHeight="true" outlineLevel="0" collapsed="false">
      <c r="D61" s="4" t="str">
        <f aca="false">IF($A61="","",IFERROR(VLOOKUP($B61,Dim_TOP!$A:$B,2,0),""))</f>
        <v/>
      </c>
      <c r="E61" s="36" t="str">
        <f aca="false">IF($A61="","",COUNTIFS(Fact_Work!$B:$B,$A61,Fact_Work!$AL:$AL,$B61))</f>
        <v/>
      </c>
      <c r="F61" s="22" t="str">
        <f aca="false">IF($A61="","",IF(COUNTIFS(Fact_Work!$B:$B,$A61,Fact_Work!$AL:$AL,$B61,Fact_Work!$AN:$AN,"&gt;0")=0,"",_xlfn.MINIFS(Fact_Work!$AN:$AN,Fact_Work!$B:$B,$A61,Fact_Work!$AL:$AL,$B61,Fact_Work!$AN:$AN,"&gt;0")))</f>
        <v/>
      </c>
      <c r="G61" s="37" t="str">
        <f aca="false">IF($A61="","",IF($F61="","",$A61+$F61/24))</f>
        <v/>
      </c>
      <c r="H61" s="38" t="str">
        <f aca="false">IF($A61="","",IF($G61="","",ROUND(($C61-$G61)*1440,0)))</f>
        <v/>
      </c>
      <c r="I61" s="4" t="str">
        <f aca="false">IF($A61="","",IF($H61="","",IF($H61&lt;=0,"Yes","No")))</f>
        <v/>
      </c>
      <c r="J61" s="4" t="str">
        <f aca="false">IF($A61="","",IF($I61="No",$E61,0))</f>
        <v/>
      </c>
      <c r="K61" s="22" t="str">
        <f aca="false">IF($A61="","",IF($F61="","",FLOOR($F61,0.5)))</f>
        <v/>
      </c>
      <c r="L61" s="39" t="str">
        <f aca="false">IF($A61="","",IF($H61="","",MAX(0,$H61)))</f>
        <v/>
      </c>
      <c r="M61" s="29" t="str">
        <f aca="false">IF($A61="","",IF($F61="","",COUNTIFS(Fact_Work!$B:$B,$A61,Fact_Work!$AL:$AL,$B61,Fact_Work!$AI:$AI,"Yes")))</f>
        <v/>
      </c>
    </row>
    <row r="62" customFormat="false" ht="15" hidden="false" customHeight="true" outlineLevel="0" collapsed="false">
      <c r="D62" s="4" t="str">
        <f aca="false">IF($A62="","",IFERROR(VLOOKUP($B62,Dim_TOP!$A:$B,2,0),""))</f>
        <v/>
      </c>
      <c r="E62" s="36" t="str">
        <f aca="false">IF($A62="","",COUNTIFS(Fact_Work!$B:$B,$A62,Fact_Work!$AL:$AL,$B62))</f>
        <v/>
      </c>
      <c r="F62" s="22" t="str">
        <f aca="false">IF($A62="","",IF(COUNTIFS(Fact_Work!$B:$B,$A62,Fact_Work!$AL:$AL,$B62,Fact_Work!$AN:$AN,"&gt;0")=0,"",_xlfn.MINIFS(Fact_Work!$AN:$AN,Fact_Work!$B:$B,$A62,Fact_Work!$AL:$AL,$B62,Fact_Work!$AN:$AN,"&gt;0")))</f>
        <v/>
      </c>
      <c r="G62" s="37" t="str">
        <f aca="false">IF($A62="","",IF($F62="","",$A62+$F62/24))</f>
        <v/>
      </c>
      <c r="H62" s="38" t="str">
        <f aca="false">IF($A62="","",IF($G62="","",ROUND(($C62-$G62)*1440,0)))</f>
        <v/>
      </c>
      <c r="I62" s="4" t="str">
        <f aca="false">IF($A62="","",IF($H62="","",IF($H62&lt;=0,"Yes","No")))</f>
        <v/>
      </c>
      <c r="J62" s="4" t="str">
        <f aca="false">IF($A62="","",IF($I62="No",$E62,0))</f>
        <v/>
      </c>
      <c r="K62" s="22" t="str">
        <f aca="false">IF($A62="","",IF($F62="","",FLOOR($F62,0.5)))</f>
        <v/>
      </c>
      <c r="L62" s="39" t="str">
        <f aca="false">IF($A62="","",IF($H62="","",MAX(0,$H62)))</f>
        <v/>
      </c>
      <c r="M62" s="29" t="str">
        <f aca="false">IF($A62="","",IF($F62="","",COUNTIFS(Fact_Work!$B:$B,$A62,Fact_Work!$AL:$AL,$B62,Fact_Work!$AI:$AI,"Yes")))</f>
        <v/>
      </c>
    </row>
    <row r="63" customFormat="false" ht="15" hidden="false" customHeight="true" outlineLevel="0" collapsed="false">
      <c r="D63" s="4" t="str">
        <f aca="false">IF($A63="","",IFERROR(VLOOKUP($B63,Dim_TOP!$A:$B,2,0),""))</f>
        <v/>
      </c>
      <c r="E63" s="36" t="str">
        <f aca="false">IF($A63="","",COUNTIFS(Fact_Work!$B:$B,$A63,Fact_Work!$AL:$AL,$B63))</f>
        <v/>
      </c>
      <c r="F63" s="22" t="str">
        <f aca="false">IF($A63="","",IF(COUNTIFS(Fact_Work!$B:$B,$A63,Fact_Work!$AL:$AL,$B63,Fact_Work!$AN:$AN,"&gt;0")=0,"",_xlfn.MINIFS(Fact_Work!$AN:$AN,Fact_Work!$B:$B,$A63,Fact_Work!$AL:$AL,$B63,Fact_Work!$AN:$AN,"&gt;0")))</f>
        <v/>
      </c>
      <c r="G63" s="37" t="str">
        <f aca="false">IF($A63="","",IF($F63="","",$A63+$F63/24))</f>
        <v/>
      </c>
      <c r="H63" s="38" t="str">
        <f aca="false">IF($A63="","",IF($G63="","",ROUND(($C63-$G63)*1440,0)))</f>
        <v/>
      </c>
      <c r="I63" s="4" t="str">
        <f aca="false">IF($A63="","",IF($H63="","",IF($H63&lt;=0,"Yes","No")))</f>
        <v/>
      </c>
      <c r="J63" s="4" t="str">
        <f aca="false">IF($A63="","",IF($I63="No",$E63,0))</f>
        <v/>
      </c>
      <c r="K63" s="22" t="str">
        <f aca="false">IF($A63="","",IF($F63="","",FLOOR($F63,0.5)))</f>
        <v/>
      </c>
      <c r="L63" s="39" t="str">
        <f aca="false">IF($A63="","",IF($H63="","",MAX(0,$H63)))</f>
        <v/>
      </c>
      <c r="M63" s="29" t="str">
        <f aca="false">IF($A63="","",IF($F63="","",COUNTIFS(Fact_Work!$B:$B,$A63,Fact_Work!$AL:$AL,$B63,Fact_Work!$AI:$AI,"Yes")))</f>
        <v/>
      </c>
    </row>
    <row r="64" customFormat="false" ht="15" hidden="false" customHeight="true" outlineLevel="0" collapsed="false">
      <c r="D64" s="4" t="str">
        <f aca="false">IF($A64="","",IFERROR(VLOOKUP($B64,Dim_TOP!$A:$B,2,0),""))</f>
        <v/>
      </c>
      <c r="E64" s="36" t="str">
        <f aca="false">IF($A64="","",COUNTIFS(Fact_Work!$B:$B,$A64,Fact_Work!$AL:$AL,$B64))</f>
        <v/>
      </c>
      <c r="F64" s="22" t="str">
        <f aca="false">IF($A64="","",IF(COUNTIFS(Fact_Work!$B:$B,$A64,Fact_Work!$AL:$AL,$B64,Fact_Work!$AN:$AN,"&gt;0")=0,"",_xlfn.MINIFS(Fact_Work!$AN:$AN,Fact_Work!$B:$B,$A64,Fact_Work!$AL:$AL,$B64,Fact_Work!$AN:$AN,"&gt;0")))</f>
        <v/>
      </c>
      <c r="G64" s="37" t="str">
        <f aca="false">IF($A64="","",IF($F64="","",$A64+$F64/24))</f>
        <v/>
      </c>
      <c r="H64" s="38" t="str">
        <f aca="false">IF($A64="","",IF($G64="","",ROUND(($C64-$G64)*1440,0)))</f>
        <v/>
      </c>
      <c r="I64" s="4" t="str">
        <f aca="false">IF($A64="","",IF($H64="","",IF($H64&lt;=0,"Yes","No")))</f>
        <v/>
      </c>
      <c r="J64" s="4" t="str">
        <f aca="false">IF($A64="","",IF($I64="No",$E64,0))</f>
        <v/>
      </c>
      <c r="K64" s="22" t="str">
        <f aca="false">IF($A64="","",IF($F64="","",FLOOR($F64,0.5)))</f>
        <v/>
      </c>
      <c r="L64" s="39" t="str">
        <f aca="false">IF($A64="","",IF($H64="","",MAX(0,$H64)))</f>
        <v/>
      </c>
      <c r="M64" s="29" t="str">
        <f aca="false">IF($A64="","",IF($F64="","",COUNTIFS(Fact_Work!$B:$B,$A64,Fact_Work!$AL:$AL,$B64,Fact_Work!$AI:$AI,"Yes")))</f>
        <v/>
      </c>
    </row>
    <row r="65" customFormat="false" ht="15" hidden="false" customHeight="true" outlineLevel="0" collapsed="false">
      <c r="D65" s="4" t="str">
        <f aca="false">IF($A65="","",IFERROR(VLOOKUP($B65,Dim_TOP!$A:$B,2,0),""))</f>
        <v/>
      </c>
      <c r="E65" s="36" t="str">
        <f aca="false">IF($A65="","",COUNTIFS(Fact_Work!$B:$B,$A65,Fact_Work!$AL:$AL,$B65))</f>
        <v/>
      </c>
      <c r="F65" s="22" t="str">
        <f aca="false">IF($A65="","",IF(COUNTIFS(Fact_Work!$B:$B,$A65,Fact_Work!$AL:$AL,$B65,Fact_Work!$AN:$AN,"&gt;0")=0,"",_xlfn.MINIFS(Fact_Work!$AN:$AN,Fact_Work!$B:$B,$A65,Fact_Work!$AL:$AL,$B65,Fact_Work!$AN:$AN,"&gt;0")))</f>
        <v/>
      </c>
      <c r="G65" s="37" t="str">
        <f aca="false">IF($A65="","",IF($F65="","",$A65+$F65/24))</f>
        <v/>
      </c>
      <c r="H65" s="38" t="str">
        <f aca="false">IF($A65="","",IF($G65="","",ROUND(($C65-$G65)*1440,0)))</f>
        <v/>
      </c>
      <c r="I65" s="4" t="str">
        <f aca="false">IF($A65="","",IF($H65="","",IF($H65&lt;=0,"Yes","No")))</f>
        <v/>
      </c>
      <c r="J65" s="4" t="str">
        <f aca="false">IF($A65="","",IF($I65="No",$E65,0))</f>
        <v/>
      </c>
      <c r="K65" s="22" t="str">
        <f aca="false">IF($A65="","",IF($F65="","",FLOOR($F65,0.5)))</f>
        <v/>
      </c>
      <c r="L65" s="39" t="str">
        <f aca="false">IF($A65="","",IF($H65="","",MAX(0,$H65)))</f>
        <v/>
      </c>
      <c r="M65" s="29" t="str">
        <f aca="false">IF($A65="","",IF($F65="","",COUNTIFS(Fact_Work!$B:$B,$A65,Fact_Work!$AL:$AL,$B65,Fact_Work!$AI:$AI,"Yes")))</f>
        <v/>
      </c>
    </row>
    <row r="66" customFormat="false" ht="15" hidden="false" customHeight="true" outlineLevel="0" collapsed="false">
      <c r="D66" s="4" t="str">
        <f aca="false">IF($A66="","",IFERROR(VLOOKUP($B66,Dim_TOP!$A:$B,2,0),""))</f>
        <v/>
      </c>
      <c r="E66" s="36" t="str">
        <f aca="false">IF($A66="","",COUNTIFS(Fact_Work!$B:$B,$A66,Fact_Work!$AL:$AL,$B66))</f>
        <v/>
      </c>
      <c r="F66" s="22" t="str">
        <f aca="false">IF($A66="","",IF(COUNTIFS(Fact_Work!$B:$B,$A66,Fact_Work!$AL:$AL,$B66,Fact_Work!$AN:$AN,"&gt;0")=0,"",_xlfn.MINIFS(Fact_Work!$AN:$AN,Fact_Work!$B:$B,$A66,Fact_Work!$AL:$AL,$B66,Fact_Work!$AN:$AN,"&gt;0")))</f>
        <v/>
      </c>
      <c r="G66" s="37" t="str">
        <f aca="false">IF($A66="","",IF($F66="","",$A66+$F66/24))</f>
        <v/>
      </c>
      <c r="H66" s="38" t="str">
        <f aca="false">IF($A66="","",IF($G66="","",ROUND(($C66-$G66)*1440,0)))</f>
        <v/>
      </c>
      <c r="I66" s="4" t="str">
        <f aca="false">IF($A66="","",IF($H66="","",IF($H66&lt;=0,"Yes","No")))</f>
        <v/>
      </c>
      <c r="J66" s="4" t="str">
        <f aca="false">IF($A66="","",IF($I66="No",$E66,0))</f>
        <v/>
      </c>
      <c r="K66" s="22" t="str">
        <f aca="false">IF($A66="","",IF($F66="","",FLOOR($F66,0.5)))</f>
        <v/>
      </c>
      <c r="L66" s="39" t="str">
        <f aca="false">IF($A66="","",IF($H66="","",MAX(0,$H66)))</f>
        <v/>
      </c>
      <c r="M66" s="29" t="str">
        <f aca="false">IF($A66="","",IF($F66="","",COUNTIFS(Fact_Work!$B:$B,$A66,Fact_Work!$AL:$AL,$B66,Fact_Work!$AI:$AI,"Yes")))</f>
        <v/>
      </c>
    </row>
    <row r="67" customFormat="false" ht="15" hidden="false" customHeight="true" outlineLevel="0" collapsed="false">
      <c r="D67" s="4" t="str">
        <f aca="false">IF($A67="","",IFERROR(VLOOKUP($B67,Dim_TOP!$A:$B,2,0),""))</f>
        <v/>
      </c>
      <c r="E67" s="36" t="str">
        <f aca="false">IF($A67="","",COUNTIFS(Fact_Work!$B:$B,$A67,Fact_Work!$AL:$AL,$B67))</f>
        <v/>
      </c>
      <c r="F67" s="22" t="str">
        <f aca="false">IF($A67="","",IF(COUNTIFS(Fact_Work!$B:$B,$A67,Fact_Work!$AL:$AL,$B67,Fact_Work!$AN:$AN,"&gt;0")=0,"",_xlfn.MINIFS(Fact_Work!$AN:$AN,Fact_Work!$B:$B,$A67,Fact_Work!$AL:$AL,$B67,Fact_Work!$AN:$AN,"&gt;0")))</f>
        <v/>
      </c>
      <c r="G67" s="37" t="str">
        <f aca="false">IF($A67="","",IF($F67="","",$A67+$F67/24))</f>
        <v/>
      </c>
      <c r="H67" s="38" t="str">
        <f aca="false">IF($A67="","",IF($G67="","",ROUND(($C67-$G67)*1440,0)))</f>
        <v/>
      </c>
      <c r="I67" s="4" t="str">
        <f aca="false">IF($A67="","",IF($H67="","",IF($H67&lt;=0,"Yes","No")))</f>
        <v/>
      </c>
      <c r="J67" s="4" t="str">
        <f aca="false">IF($A67="","",IF($I67="No",$E67,0))</f>
        <v/>
      </c>
      <c r="K67" s="22" t="str">
        <f aca="false">IF($A67="","",IF($F67="","",FLOOR($F67,0.5)))</f>
        <v/>
      </c>
      <c r="L67" s="39" t="str">
        <f aca="false">IF($A67="","",IF($H67="","",MAX(0,$H67)))</f>
        <v/>
      </c>
      <c r="M67" s="29" t="str">
        <f aca="false">IF($A67="","",IF($F67="","",COUNTIFS(Fact_Work!$B:$B,$A67,Fact_Work!$AL:$AL,$B67,Fact_Work!$AI:$AI,"Yes")))</f>
        <v/>
      </c>
    </row>
    <row r="68" customFormat="false" ht="15" hidden="false" customHeight="true" outlineLevel="0" collapsed="false">
      <c r="D68" s="4" t="str">
        <f aca="false">IF($A68="","",IFERROR(VLOOKUP($B68,Dim_TOP!$A:$B,2,0),""))</f>
        <v/>
      </c>
      <c r="E68" s="36" t="str">
        <f aca="false">IF($A68="","",COUNTIFS(Fact_Work!$B:$B,$A68,Fact_Work!$AL:$AL,$B68))</f>
        <v/>
      </c>
      <c r="F68" s="22" t="str">
        <f aca="false">IF($A68="","",IF(COUNTIFS(Fact_Work!$B:$B,$A68,Fact_Work!$AL:$AL,$B68,Fact_Work!$AN:$AN,"&gt;0")=0,"",_xlfn.MINIFS(Fact_Work!$AN:$AN,Fact_Work!$B:$B,$A68,Fact_Work!$AL:$AL,$B68,Fact_Work!$AN:$AN,"&gt;0")))</f>
        <v/>
      </c>
      <c r="G68" s="37" t="str">
        <f aca="false">IF($A68="","",IF($F68="","",$A68+$F68/24))</f>
        <v/>
      </c>
      <c r="H68" s="38" t="str">
        <f aca="false">IF($A68="","",IF($G68="","",ROUND(($C68-$G68)*1440,0)))</f>
        <v/>
      </c>
      <c r="I68" s="4" t="str">
        <f aca="false">IF($A68="","",IF($H68="","",IF($H68&lt;=0,"Yes","No")))</f>
        <v/>
      </c>
      <c r="J68" s="4" t="str">
        <f aca="false">IF($A68="","",IF($I68="No",$E68,0))</f>
        <v/>
      </c>
      <c r="K68" s="22" t="str">
        <f aca="false">IF($A68="","",IF($F68="","",FLOOR($F68,0.5)))</f>
        <v/>
      </c>
      <c r="L68" s="39" t="str">
        <f aca="false">IF($A68="","",IF($H68="","",MAX(0,$H68)))</f>
        <v/>
      </c>
      <c r="M68" s="29" t="str">
        <f aca="false">IF($A68="","",IF($F68="","",COUNTIFS(Fact_Work!$B:$B,$A68,Fact_Work!$AL:$AL,$B68,Fact_Work!$AI:$AI,"Yes")))</f>
        <v/>
      </c>
    </row>
    <row r="69" customFormat="false" ht="15" hidden="false" customHeight="true" outlineLevel="0" collapsed="false">
      <c r="D69" s="4" t="str">
        <f aca="false">IF($A69="","",IFERROR(VLOOKUP($B69,Dim_TOP!$A:$B,2,0),""))</f>
        <v/>
      </c>
      <c r="E69" s="36" t="str">
        <f aca="false">IF($A69="","",COUNTIFS(Fact_Work!$B:$B,$A69,Fact_Work!$AL:$AL,$B69))</f>
        <v/>
      </c>
      <c r="F69" s="22" t="str">
        <f aca="false">IF($A69="","",IF(COUNTIFS(Fact_Work!$B:$B,$A69,Fact_Work!$AL:$AL,$B69,Fact_Work!$AN:$AN,"&gt;0")=0,"",_xlfn.MINIFS(Fact_Work!$AN:$AN,Fact_Work!$B:$B,$A69,Fact_Work!$AL:$AL,$B69,Fact_Work!$AN:$AN,"&gt;0")))</f>
        <v/>
      </c>
      <c r="G69" s="37" t="str">
        <f aca="false">IF($A69="","",IF($F69="","",$A69+$F69/24))</f>
        <v/>
      </c>
      <c r="H69" s="38" t="str">
        <f aca="false">IF($A69="","",IF($G69="","",ROUND(($C69-$G69)*1440,0)))</f>
        <v/>
      </c>
      <c r="I69" s="4" t="str">
        <f aca="false">IF($A69="","",IF($H69="","",IF($H69&lt;=0,"Yes","No")))</f>
        <v/>
      </c>
      <c r="J69" s="4" t="str">
        <f aca="false">IF($A69="","",IF($I69="No",$E69,0))</f>
        <v/>
      </c>
      <c r="K69" s="22" t="str">
        <f aca="false">IF($A69="","",IF($F69="","",FLOOR($F69,0.5)))</f>
        <v/>
      </c>
      <c r="L69" s="39" t="str">
        <f aca="false">IF($A69="","",IF($H69="","",MAX(0,$H69)))</f>
        <v/>
      </c>
      <c r="M69" s="29" t="str">
        <f aca="false">IF($A69="","",IF($F69="","",COUNTIFS(Fact_Work!$B:$B,$A69,Fact_Work!$AL:$AL,$B69,Fact_Work!$AI:$AI,"Yes")))</f>
        <v/>
      </c>
    </row>
    <row r="70" customFormat="false" ht="15" hidden="false" customHeight="true" outlineLevel="0" collapsed="false">
      <c r="D70" s="4" t="str">
        <f aca="false">IF($A70="","",IFERROR(VLOOKUP($B70,Dim_TOP!$A:$B,2,0),""))</f>
        <v/>
      </c>
      <c r="E70" s="36" t="str">
        <f aca="false">IF($A70="","",COUNTIFS(Fact_Work!$B:$B,$A70,Fact_Work!$AL:$AL,$B70))</f>
        <v/>
      </c>
      <c r="F70" s="22" t="str">
        <f aca="false">IF($A70="","",IF(COUNTIFS(Fact_Work!$B:$B,$A70,Fact_Work!$AL:$AL,$B70,Fact_Work!$AN:$AN,"&gt;0")=0,"",_xlfn.MINIFS(Fact_Work!$AN:$AN,Fact_Work!$B:$B,$A70,Fact_Work!$AL:$AL,$B70,Fact_Work!$AN:$AN,"&gt;0")))</f>
        <v/>
      </c>
      <c r="G70" s="37" t="str">
        <f aca="false">IF($A70="","",IF($F70="","",$A70+$F70/24))</f>
        <v/>
      </c>
      <c r="H70" s="38" t="str">
        <f aca="false">IF($A70="","",IF($G70="","",ROUND(($C70-$G70)*1440,0)))</f>
        <v/>
      </c>
      <c r="I70" s="4" t="str">
        <f aca="false">IF($A70="","",IF($H70="","",IF($H70&lt;=0,"Yes","No")))</f>
        <v/>
      </c>
      <c r="J70" s="4" t="str">
        <f aca="false">IF($A70="","",IF($I70="No",$E70,0))</f>
        <v/>
      </c>
      <c r="K70" s="22" t="str">
        <f aca="false">IF($A70="","",IF($F70="","",FLOOR($F70,0.5)))</f>
        <v/>
      </c>
      <c r="L70" s="39" t="str">
        <f aca="false">IF($A70="","",IF($H70="","",MAX(0,$H70)))</f>
        <v/>
      </c>
      <c r="M70" s="29" t="str">
        <f aca="false">IF($A70="","",IF($F70="","",COUNTIFS(Fact_Work!$B:$B,$A70,Fact_Work!$AL:$AL,$B70,Fact_Work!$AI:$AI,"Yes")))</f>
        <v/>
      </c>
    </row>
    <row r="71" customFormat="false" ht="15" hidden="false" customHeight="true" outlineLevel="0" collapsed="false">
      <c r="D71" s="4" t="str">
        <f aca="false">IF($A71="","",IFERROR(VLOOKUP($B71,Dim_TOP!$A:$B,2,0),""))</f>
        <v/>
      </c>
      <c r="E71" s="36" t="str">
        <f aca="false">IF($A71="","",COUNTIFS(Fact_Work!$B:$B,$A71,Fact_Work!$AL:$AL,$B71))</f>
        <v/>
      </c>
      <c r="F71" s="22" t="str">
        <f aca="false">IF($A71="","",IF(COUNTIFS(Fact_Work!$B:$B,$A71,Fact_Work!$AL:$AL,$B71,Fact_Work!$AN:$AN,"&gt;0")=0,"",_xlfn.MINIFS(Fact_Work!$AN:$AN,Fact_Work!$B:$B,$A71,Fact_Work!$AL:$AL,$B71,Fact_Work!$AN:$AN,"&gt;0")))</f>
        <v/>
      </c>
      <c r="G71" s="37" t="str">
        <f aca="false">IF($A71="","",IF($F71="","",$A71+$F71/24))</f>
        <v/>
      </c>
      <c r="H71" s="38" t="str">
        <f aca="false">IF($A71="","",IF($G71="","",ROUND(($C71-$G71)*1440,0)))</f>
        <v/>
      </c>
      <c r="I71" s="4" t="str">
        <f aca="false">IF($A71="","",IF($H71="","",IF($H71&lt;=0,"Yes","No")))</f>
        <v/>
      </c>
      <c r="J71" s="4" t="str">
        <f aca="false">IF($A71="","",IF($I71="No",$E71,0))</f>
        <v/>
      </c>
      <c r="K71" s="22" t="str">
        <f aca="false">IF($A71="","",IF($F71="","",FLOOR($F71,0.5)))</f>
        <v/>
      </c>
      <c r="L71" s="39" t="str">
        <f aca="false">IF($A71="","",IF($H71="","",MAX(0,$H71)))</f>
        <v/>
      </c>
      <c r="M71" s="29" t="str">
        <f aca="false">IF($A71="","",IF($F71="","",COUNTIFS(Fact_Work!$B:$B,$A71,Fact_Work!$AL:$AL,$B71,Fact_Work!$AI:$AI,"Yes")))</f>
        <v/>
      </c>
    </row>
    <row r="72" customFormat="false" ht="15" hidden="false" customHeight="true" outlineLevel="0" collapsed="false">
      <c r="D72" s="4" t="str">
        <f aca="false">IF($A72="","",IFERROR(VLOOKUP($B72,Dim_TOP!$A:$B,2,0),""))</f>
        <v/>
      </c>
      <c r="E72" s="36" t="str">
        <f aca="false">IF($A72="","",COUNTIFS(Fact_Work!$B:$B,$A72,Fact_Work!$AL:$AL,$B72))</f>
        <v/>
      </c>
      <c r="F72" s="22" t="str">
        <f aca="false">IF($A72="","",IF(COUNTIFS(Fact_Work!$B:$B,$A72,Fact_Work!$AL:$AL,$B72,Fact_Work!$AN:$AN,"&gt;0")=0,"",_xlfn.MINIFS(Fact_Work!$AN:$AN,Fact_Work!$B:$B,$A72,Fact_Work!$AL:$AL,$B72,Fact_Work!$AN:$AN,"&gt;0")))</f>
        <v/>
      </c>
      <c r="G72" s="37" t="str">
        <f aca="false">IF($A72="","",IF($F72="","",$A72+$F72/24))</f>
        <v/>
      </c>
      <c r="H72" s="38" t="str">
        <f aca="false">IF($A72="","",IF($G72="","",ROUND(($C72-$G72)*1440,0)))</f>
        <v/>
      </c>
      <c r="I72" s="4" t="str">
        <f aca="false">IF($A72="","",IF($H72="","",IF($H72&lt;=0,"Yes","No")))</f>
        <v/>
      </c>
      <c r="J72" s="4" t="str">
        <f aca="false">IF($A72="","",IF($I72="No",$E72,0))</f>
        <v/>
      </c>
      <c r="K72" s="22" t="str">
        <f aca="false">IF($A72="","",IF($F72="","",FLOOR($F72,0.5)))</f>
        <v/>
      </c>
      <c r="L72" s="39" t="str">
        <f aca="false">IF($A72="","",IF($H72="","",MAX(0,$H72)))</f>
        <v/>
      </c>
      <c r="M72" s="29" t="str">
        <f aca="false">IF($A72="","",IF($F72="","",COUNTIFS(Fact_Work!$B:$B,$A72,Fact_Work!$AL:$AL,$B72,Fact_Work!$AI:$AI,"Yes")))</f>
        <v/>
      </c>
    </row>
    <row r="73" customFormat="false" ht="15" hidden="false" customHeight="true" outlineLevel="0" collapsed="false">
      <c r="D73" s="4" t="str">
        <f aca="false">IF($A73="","",IFERROR(VLOOKUP($B73,Dim_TOP!$A:$B,2,0),""))</f>
        <v/>
      </c>
      <c r="E73" s="36" t="str">
        <f aca="false">IF($A73="","",COUNTIFS(Fact_Work!$B:$B,$A73,Fact_Work!$AL:$AL,$B73))</f>
        <v/>
      </c>
      <c r="F73" s="22" t="str">
        <f aca="false">IF($A73="","",IF(COUNTIFS(Fact_Work!$B:$B,$A73,Fact_Work!$AL:$AL,$B73,Fact_Work!$AN:$AN,"&gt;0")=0,"",_xlfn.MINIFS(Fact_Work!$AN:$AN,Fact_Work!$B:$B,$A73,Fact_Work!$AL:$AL,$B73,Fact_Work!$AN:$AN,"&gt;0")))</f>
        <v/>
      </c>
      <c r="G73" s="37" t="str">
        <f aca="false">IF($A73="","",IF($F73="","",$A73+$F73/24))</f>
        <v/>
      </c>
      <c r="H73" s="38" t="str">
        <f aca="false">IF($A73="","",IF($G73="","",ROUND(($C73-$G73)*1440,0)))</f>
        <v/>
      </c>
      <c r="I73" s="4" t="str">
        <f aca="false">IF($A73="","",IF($H73="","",IF($H73&lt;=0,"Yes","No")))</f>
        <v/>
      </c>
      <c r="J73" s="4" t="str">
        <f aca="false">IF($A73="","",IF($I73="No",$E73,0))</f>
        <v/>
      </c>
      <c r="K73" s="22" t="str">
        <f aca="false">IF($A73="","",IF($F73="","",FLOOR($F73,0.5)))</f>
        <v/>
      </c>
      <c r="L73" s="39" t="str">
        <f aca="false">IF($A73="","",IF($H73="","",MAX(0,$H73)))</f>
        <v/>
      </c>
      <c r="M73" s="29" t="str">
        <f aca="false">IF($A73="","",IF($F73="","",COUNTIFS(Fact_Work!$B:$B,$A73,Fact_Work!$AL:$AL,$B73,Fact_Work!$AI:$AI,"Yes")))</f>
        <v/>
      </c>
    </row>
    <row r="74" customFormat="false" ht="15" hidden="false" customHeight="true" outlineLevel="0" collapsed="false">
      <c r="D74" s="4" t="str">
        <f aca="false">IF($A74="","",IFERROR(VLOOKUP($B74,Dim_TOP!$A:$B,2,0),""))</f>
        <v/>
      </c>
      <c r="E74" s="36" t="str">
        <f aca="false">IF($A74="","",COUNTIFS(Fact_Work!$B:$B,$A74,Fact_Work!$AL:$AL,$B74))</f>
        <v/>
      </c>
      <c r="F74" s="22" t="str">
        <f aca="false">IF($A74="","",IF(COUNTIFS(Fact_Work!$B:$B,$A74,Fact_Work!$AL:$AL,$B74,Fact_Work!$AN:$AN,"&gt;0")=0,"",_xlfn.MINIFS(Fact_Work!$AN:$AN,Fact_Work!$B:$B,$A74,Fact_Work!$AL:$AL,$B74,Fact_Work!$AN:$AN,"&gt;0")))</f>
        <v/>
      </c>
      <c r="G74" s="37" t="str">
        <f aca="false">IF($A74="","",IF($F74="","",$A74+$F74/24))</f>
        <v/>
      </c>
      <c r="H74" s="38" t="str">
        <f aca="false">IF($A74="","",IF($G74="","",ROUND(($C74-$G74)*1440,0)))</f>
        <v/>
      </c>
      <c r="I74" s="4" t="str">
        <f aca="false">IF($A74="","",IF($H74="","",IF($H74&lt;=0,"Yes","No")))</f>
        <v/>
      </c>
      <c r="J74" s="4" t="str">
        <f aca="false">IF($A74="","",IF($I74="No",$E74,0))</f>
        <v/>
      </c>
      <c r="K74" s="22" t="str">
        <f aca="false">IF($A74="","",IF($F74="","",FLOOR($F74,0.5)))</f>
        <v/>
      </c>
      <c r="L74" s="39" t="str">
        <f aca="false">IF($A74="","",IF($H74="","",MAX(0,$H74)))</f>
        <v/>
      </c>
      <c r="M74" s="29" t="str">
        <f aca="false">IF($A74="","",IF($F74="","",COUNTIFS(Fact_Work!$B:$B,$A74,Fact_Work!$AL:$AL,$B74,Fact_Work!$AI:$AI,"Yes")))</f>
        <v/>
      </c>
    </row>
    <row r="75" customFormat="false" ht="15" hidden="false" customHeight="true" outlineLevel="0" collapsed="false">
      <c r="D75" s="4" t="str">
        <f aca="false">IF($A75="","",IFERROR(VLOOKUP($B75,Dim_TOP!$A:$B,2,0),""))</f>
        <v/>
      </c>
      <c r="E75" s="36" t="str">
        <f aca="false">IF($A75="","",COUNTIFS(Fact_Work!$B:$B,$A75,Fact_Work!$AL:$AL,$B75))</f>
        <v/>
      </c>
      <c r="F75" s="22" t="str">
        <f aca="false">IF($A75="","",IF(COUNTIFS(Fact_Work!$B:$B,$A75,Fact_Work!$AL:$AL,$B75,Fact_Work!$AN:$AN,"&gt;0")=0,"",_xlfn.MINIFS(Fact_Work!$AN:$AN,Fact_Work!$B:$B,$A75,Fact_Work!$AL:$AL,$B75,Fact_Work!$AN:$AN,"&gt;0")))</f>
        <v/>
      </c>
      <c r="G75" s="37" t="str">
        <f aca="false">IF($A75="","",IF($F75="","",$A75+$F75/24))</f>
        <v/>
      </c>
      <c r="H75" s="38" t="str">
        <f aca="false">IF($A75="","",IF($G75="","",ROUND(($C75-$G75)*1440,0)))</f>
        <v/>
      </c>
      <c r="I75" s="4" t="str">
        <f aca="false">IF($A75="","",IF($H75="","",IF($H75&lt;=0,"Yes","No")))</f>
        <v/>
      </c>
      <c r="J75" s="4" t="str">
        <f aca="false">IF($A75="","",IF($I75="No",$E75,0))</f>
        <v/>
      </c>
      <c r="K75" s="22" t="str">
        <f aca="false">IF($A75="","",IF($F75="","",FLOOR($F75,0.5)))</f>
        <v/>
      </c>
      <c r="L75" s="39" t="str">
        <f aca="false">IF($A75="","",IF($H75="","",MAX(0,$H75)))</f>
        <v/>
      </c>
      <c r="M75" s="29" t="str">
        <f aca="false">IF($A75="","",IF($F75="","",COUNTIFS(Fact_Work!$B:$B,$A75,Fact_Work!$AL:$AL,$B75,Fact_Work!$AI:$AI,"Yes")))</f>
        <v/>
      </c>
    </row>
    <row r="76" customFormat="false" ht="15" hidden="false" customHeight="true" outlineLevel="0" collapsed="false">
      <c r="D76" s="4" t="str">
        <f aca="false">IF($A76="","",IFERROR(VLOOKUP($B76,Dim_TOP!$A:$B,2,0),""))</f>
        <v/>
      </c>
      <c r="E76" s="36" t="str">
        <f aca="false">IF($A76="","",COUNTIFS(Fact_Work!$B:$B,$A76,Fact_Work!$AL:$AL,$B76))</f>
        <v/>
      </c>
      <c r="F76" s="22" t="str">
        <f aca="false">IF($A76="","",IF(COUNTIFS(Fact_Work!$B:$B,$A76,Fact_Work!$AL:$AL,$B76,Fact_Work!$AN:$AN,"&gt;0")=0,"",_xlfn.MINIFS(Fact_Work!$AN:$AN,Fact_Work!$B:$B,$A76,Fact_Work!$AL:$AL,$B76,Fact_Work!$AN:$AN,"&gt;0")))</f>
        <v/>
      </c>
      <c r="G76" s="37" t="str">
        <f aca="false">IF($A76="","",IF($F76="","",$A76+$F76/24))</f>
        <v/>
      </c>
      <c r="H76" s="38" t="str">
        <f aca="false">IF($A76="","",IF($G76="","",ROUND(($C76-$G76)*1440,0)))</f>
        <v/>
      </c>
      <c r="I76" s="4" t="str">
        <f aca="false">IF($A76="","",IF($H76="","",IF($H76&lt;=0,"Yes","No")))</f>
        <v/>
      </c>
      <c r="J76" s="4" t="str">
        <f aca="false">IF($A76="","",IF($I76="No",$E76,0))</f>
        <v/>
      </c>
      <c r="K76" s="22" t="str">
        <f aca="false">IF($A76="","",IF($F76="","",FLOOR($F76,0.5)))</f>
        <v/>
      </c>
      <c r="L76" s="39" t="str">
        <f aca="false">IF($A76="","",IF($H76="","",MAX(0,$H76)))</f>
        <v/>
      </c>
      <c r="M76" s="29" t="str">
        <f aca="false">IF($A76="","",IF($F76="","",COUNTIFS(Fact_Work!$B:$B,$A76,Fact_Work!$AL:$AL,$B76,Fact_Work!$AI:$AI,"Yes")))</f>
        <v/>
      </c>
    </row>
    <row r="77" customFormat="false" ht="15" hidden="false" customHeight="true" outlineLevel="0" collapsed="false">
      <c r="D77" s="4" t="str">
        <f aca="false">IF($A77="","",IFERROR(VLOOKUP($B77,Dim_TOP!$A:$B,2,0),""))</f>
        <v/>
      </c>
      <c r="E77" s="36" t="str">
        <f aca="false">IF($A77="","",COUNTIFS(Fact_Work!$B:$B,$A77,Fact_Work!$AL:$AL,$B77))</f>
        <v/>
      </c>
      <c r="F77" s="22" t="str">
        <f aca="false">IF($A77="","",IF(COUNTIFS(Fact_Work!$B:$B,$A77,Fact_Work!$AL:$AL,$B77,Fact_Work!$AN:$AN,"&gt;0")=0,"",_xlfn.MINIFS(Fact_Work!$AN:$AN,Fact_Work!$B:$B,$A77,Fact_Work!$AL:$AL,$B77,Fact_Work!$AN:$AN,"&gt;0")))</f>
        <v/>
      </c>
      <c r="G77" s="37" t="str">
        <f aca="false">IF($A77="","",IF($F77="","",$A77+$F77/24))</f>
        <v/>
      </c>
      <c r="H77" s="38" t="str">
        <f aca="false">IF($A77="","",IF($G77="","",ROUND(($C77-$G77)*1440,0)))</f>
        <v/>
      </c>
      <c r="I77" s="4" t="str">
        <f aca="false">IF($A77="","",IF($H77="","",IF($H77&lt;=0,"Yes","No")))</f>
        <v/>
      </c>
      <c r="J77" s="4" t="str">
        <f aca="false">IF($A77="","",IF($I77="No",$E77,0))</f>
        <v/>
      </c>
      <c r="K77" s="22" t="str">
        <f aca="false">IF($A77="","",IF($F77="","",FLOOR($F77,0.5)))</f>
        <v/>
      </c>
      <c r="L77" s="39" t="str">
        <f aca="false">IF($A77="","",IF($H77="","",MAX(0,$H77)))</f>
        <v/>
      </c>
      <c r="M77" s="29" t="str">
        <f aca="false">IF($A77="","",IF($F77="","",COUNTIFS(Fact_Work!$B:$B,$A77,Fact_Work!$AL:$AL,$B77,Fact_Work!$AI:$AI,"Yes")))</f>
        <v/>
      </c>
    </row>
    <row r="78" customFormat="false" ht="15" hidden="false" customHeight="true" outlineLevel="0" collapsed="false">
      <c r="D78" s="4" t="str">
        <f aca="false">IF($A78="","",IFERROR(VLOOKUP($B78,Dim_TOP!$A:$B,2,0),""))</f>
        <v/>
      </c>
      <c r="E78" s="36" t="str">
        <f aca="false">IF($A78="","",COUNTIFS(Fact_Work!$B:$B,$A78,Fact_Work!$AL:$AL,$B78))</f>
        <v/>
      </c>
      <c r="F78" s="22" t="str">
        <f aca="false">IF($A78="","",IF(COUNTIFS(Fact_Work!$B:$B,$A78,Fact_Work!$AL:$AL,$B78,Fact_Work!$AN:$AN,"&gt;0")=0,"",_xlfn.MINIFS(Fact_Work!$AN:$AN,Fact_Work!$B:$B,$A78,Fact_Work!$AL:$AL,$B78,Fact_Work!$AN:$AN,"&gt;0")))</f>
        <v/>
      </c>
      <c r="G78" s="37" t="str">
        <f aca="false">IF($A78="","",IF($F78="","",$A78+$F78/24))</f>
        <v/>
      </c>
      <c r="H78" s="38" t="str">
        <f aca="false">IF($A78="","",IF($G78="","",ROUND(($C78-$G78)*1440,0)))</f>
        <v/>
      </c>
      <c r="I78" s="4" t="str">
        <f aca="false">IF($A78="","",IF($H78="","",IF($H78&lt;=0,"Yes","No")))</f>
        <v/>
      </c>
      <c r="J78" s="4" t="str">
        <f aca="false">IF($A78="","",IF($I78="No",$E78,0))</f>
        <v/>
      </c>
      <c r="K78" s="22" t="str">
        <f aca="false">IF($A78="","",IF($F78="","",FLOOR($F78,0.5)))</f>
        <v/>
      </c>
      <c r="L78" s="39" t="str">
        <f aca="false">IF($A78="","",IF($H78="","",MAX(0,$H78)))</f>
        <v/>
      </c>
      <c r="M78" s="29" t="str">
        <f aca="false">IF($A78="","",IF($F78="","",COUNTIFS(Fact_Work!$B:$B,$A78,Fact_Work!$AL:$AL,$B78,Fact_Work!$AI:$AI,"Yes")))</f>
        <v/>
      </c>
    </row>
    <row r="79" customFormat="false" ht="15" hidden="false" customHeight="true" outlineLevel="0" collapsed="false">
      <c r="D79" s="4" t="str">
        <f aca="false">IF($A79="","",IFERROR(VLOOKUP($B79,Dim_TOP!$A:$B,2,0),""))</f>
        <v/>
      </c>
      <c r="E79" s="36" t="str">
        <f aca="false">IF($A79="","",COUNTIFS(Fact_Work!$B:$B,$A79,Fact_Work!$AL:$AL,$B79))</f>
        <v/>
      </c>
      <c r="F79" s="22" t="str">
        <f aca="false">IF($A79="","",IF(COUNTIFS(Fact_Work!$B:$B,$A79,Fact_Work!$AL:$AL,$B79,Fact_Work!$AN:$AN,"&gt;0")=0,"",_xlfn.MINIFS(Fact_Work!$AN:$AN,Fact_Work!$B:$B,$A79,Fact_Work!$AL:$AL,$B79,Fact_Work!$AN:$AN,"&gt;0")))</f>
        <v/>
      </c>
      <c r="G79" s="37" t="str">
        <f aca="false">IF($A79="","",IF($F79="","",$A79+$F79/24))</f>
        <v/>
      </c>
      <c r="H79" s="38" t="str">
        <f aca="false">IF($A79="","",IF($G79="","",ROUND(($C79-$G79)*1440,0)))</f>
        <v/>
      </c>
      <c r="I79" s="4" t="str">
        <f aca="false">IF($A79="","",IF($H79="","",IF($H79&lt;=0,"Yes","No")))</f>
        <v/>
      </c>
      <c r="J79" s="4" t="str">
        <f aca="false">IF($A79="","",IF($I79="No",$E79,0))</f>
        <v/>
      </c>
      <c r="K79" s="22" t="str">
        <f aca="false">IF($A79="","",IF($F79="","",FLOOR($F79,0.5)))</f>
        <v/>
      </c>
      <c r="L79" s="39" t="str">
        <f aca="false">IF($A79="","",IF($H79="","",MAX(0,$H79)))</f>
        <v/>
      </c>
      <c r="M79" s="29" t="str">
        <f aca="false">IF($A79="","",IF($F79="","",COUNTIFS(Fact_Work!$B:$B,$A79,Fact_Work!$AL:$AL,$B79,Fact_Work!$AI:$AI,"Yes")))</f>
        <v/>
      </c>
    </row>
    <row r="80" customFormat="false" ht="15" hidden="false" customHeight="true" outlineLevel="0" collapsed="false">
      <c r="D80" s="4" t="str">
        <f aca="false">IF($A80="","",IFERROR(VLOOKUP($B80,Dim_TOP!$A:$B,2,0),""))</f>
        <v/>
      </c>
      <c r="E80" s="36" t="str">
        <f aca="false">IF($A80="","",COUNTIFS(Fact_Work!$B:$B,$A80,Fact_Work!$AL:$AL,$B80))</f>
        <v/>
      </c>
      <c r="F80" s="22" t="str">
        <f aca="false">IF($A80="","",IF(COUNTIFS(Fact_Work!$B:$B,$A80,Fact_Work!$AL:$AL,$B80,Fact_Work!$AN:$AN,"&gt;0")=0,"",_xlfn.MINIFS(Fact_Work!$AN:$AN,Fact_Work!$B:$B,$A80,Fact_Work!$AL:$AL,$B80,Fact_Work!$AN:$AN,"&gt;0")))</f>
        <v/>
      </c>
      <c r="G80" s="37" t="str">
        <f aca="false">IF($A80="","",IF($F80="","",$A80+$F80/24))</f>
        <v/>
      </c>
      <c r="H80" s="38" t="str">
        <f aca="false">IF($A80="","",IF($G80="","",ROUND(($C80-$G80)*1440,0)))</f>
        <v/>
      </c>
      <c r="I80" s="4" t="str">
        <f aca="false">IF($A80="","",IF($H80="","",IF($H80&lt;=0,"Yes","No")))</f>
        <v/>
      </c>
      <c r="J80" s="4" t="str">
        <f aca="false">IF($A80="","",IF($I80="No",$E80,0))</f>
        <v/>
      </c>
      <c r="K80" s="22" t="str">
        <f aca="false">IF($A80="","",IF($F80="","",FLOOR($F80,0.5)))</f>
        <v/>
      </c>
      <c r="L80" s="39" t="str">
        <f aca="false">IF($A80="","",IF($H80="","",MAX(0,$H80)))</f>
        <v/>
      </c>
      <c r="M80" s="29" t="str">
        <f aca="false">IF($A80="","",IF($F80="","",COUNTIFS(Fact_Work!$B:$B,$A80,Fact_Work!$AL:$AL,$B80,Fact_Work!$AI:$AI,"Yes")))</f>
        <v/>
      </c>
    </row>
    <row r="81" customFormat="false" ht="15" hidden="false" customHeight="true" outlineLevel="0" collapsed="false">
      <c r="D81" s="4" t="str">
        <f aca="false">IF($A81="","",IFERROR(VLOOKUP($B81,Dim_TOP!$A:$B,2,0),""))</f>
        <v/>
      </c>
      <c r="E81" s="36" t="str">
        <f aca="false">IF($A81="","",COUNTIFS(Fact_Work!$B:$B,$A81,Fact_Work!$AL:$AL,$B81))</f>
        <v/>
      </c>
      <c r="F81" s="22" t="str">
        <f aca="false">IF($A81="","",IF(COUNTIFS(Fact_Work!$B:$B,$A81,Fact_Work!$AL:$AL,$B81,Fact_Work!$AN:$AN,"&gt;0")=0,"",_xlfn.MINIFS(Fact_Work!$AN:$AN,Fact_Work!$B:$B,$A81,Fact_Work!$AL:$AL,$B81,Fact_Work!$AN:$AN,"&gt;0")))</f>
        <v/>
      </c>
      <c r="G81" s="37" t="str">
        <f aca="false">IF($A81="","",IF($F81="","",$A81+$F81/24))</f>
        <v/>
      </c>
      <c r="H81" s="38" t="str">
        <f aca="false">IF($A81="","",IF($G81="","",ROUND(($C81-$G81)*1440,0)))</f>
        <v/>
      </c>
      <c r="I81" s="4" t="str">
        <f aca="false">IF($A81="","",IF($H81="","",IF($H81&lt;=0,"Yes","No")))</f>
        <v/>
      </c>
      <c r="J81" s="4" t="str">
        <f aca="false">IF($A81="","",IF($I81="No",$E81,0))</f>
        <v/>
      </c>
      <c r="K81" s="22" t="str">
        <f aca="false">IF($A81="","",IF($F81="","",FLOOR($F81,0.5)))</f>
        <v/>
      </c>
      <c r="L81" s="39" t="str">
        <f aca="false">IF($A81="","",IF($H81="","",MAX(0,$H81)))</f>
        <v/>
      </c>
      <c r="M81" s="29" t="str">
        <f aca="false">IF($A81="","",IF($F81="","",COUNTIFS(Fact_Work!$B:$B,$A81,Fact_Work!$AL:$AL,$B81,Fact_Work!$AI:$AI,"Yes")))</f>
        <v/>
      </c>
    </row>
    <row r="82" customFormat="false" ht="15" hidden="false" customHeight="true" outlineLevel="0" collapsed="false">
      <c r="D82" s="4" t="str">
        <f aca="false">IF($A82="","",IFERROR(VLOOKUP($B82,Dim_TOP!$A:$B,2,0),""))</f>
        <v/>
      </c>
      <c r="E82" s="36" t="str">
        <f aca="false">IF($A82="","",COUNTIFS(Fact_Work!$B:$B,$A82,Fact_Work!$AL:$AL,$B82))</f>
        <v/>
      </c>
      <c r="F82" s="22" t="str">
        <f aca="false">IF($A82="","",IF(COUNTIFS(Fact_Work!$B:$B,$A82,Fact_Work!$AL:$AL,$B82,Fact_Work!$AN:$AN,"&gt;0")=0,"",_xlfn.MINIFS(Fact_Work!$AN:$AN,Fact_Work!$B:$B,$A82,Fact_Work!$AL:$AL,$B82,Fact_Work!$AN:$AN,"&gt;0")))</f>
        <v/>
      </c>
      <c r="G82" s="37" t="str">
        <f aca="false">IF($A82="","",IF($F82="","",$A82+$F82/24))</f>
        <v/>
      </c>
      <c r="H82" s="38" t="str">
        <f aca="false">IF($A82="","",IF($G82="","",ROUND(($C82-$G82)*1440,0)))</f>
        <v/>
      </c>
      <c r="I82" s="4" t="str">
        <f aca="false">IF($A82="","",IF($H82="","",IF($H82&lt;=0,"Yes","No")))</f>
        <v/>
      </c>
      <c r="J82" s="4" t="str">
        <f aca="false">IF($A82="","",IF($I82="No",$E82,0))</f>
        <v/>
      </c>
      <c r="K82" s="22" t="str">
        <f aca="false">IF($A82="","",IF($F82="","",FLOOR($F82,0.5)))</f>
        <v/>
      </c>
      <c r="L82" s="39" t="str">
        <f aca="false">IF($A82="","",IF($H82="","",MAX(0,$H82)))</f>
        <v/>
      </c>
      <c r="M82" s="29" t="str">
        <f aca="false">IF($A82="","",IF($F82="","",COUNTIFS(Fact_Work!$B:$B,$A82,Fact_Work!$AL:$AL,$B82,Fact_Work!$AI:$AI,"Yes")))</f>
        <v/>
      </c>
    </row>
    <row r="83" customFormat="false" ht="15" hidden="false" customHeight="true" outlineLevel="0" collapsed="false">
      <c r="D83" s="4" t="str">
        <f aca="false">IF($A83="","",IFERROR(VLOOKUP($B83,Dim_TOP!$A:$B,2,0),""))</f>
        <v/>
      </c>
      <c r="E83" s="36" t="str">
        <f aca="false">IF($A83="","",COUNTIFS(Fact_Work!$B:$B,$A83,Fact_Work!$AL:$AL,$B83))</f>
        <v/>
      </c>
      <c r="F83" s="22" t="str">
        <f aca="false">IF($A83="","",IF(COUNTIFS(Fact_Work!$B:$B,$A83,Fact_Work!$AL:$AL,$B83,Fact_Work!$AN:$AN,"&gt;0")=0,"",_xlfn.MINIFS(Fact_Work!$AN:$AN,Fact_Work!$B:$B,$A83,Fact_Work!$AL:$AL,$B83,Fact_Work!$AN:$AN,"&gt;0")))</f>
        <v/>
      </c>
      <c r="G83" s="37" t="str">
        <f aca="false">IF($A83="","",IF($F83="","",$A83+$F83/24))</f>
        <v/>
      </c>
      <c r="H83" s="38" t="str">
        <f aca="false">IF($A83="","",IF($G83="","",ROUND(($C83-$G83)*1440,0)))</f>
        <v/>
      </c>
      <c r="I83" s="4" t="str">
        <f aca="false">IF($A83="","",IF($H83="","",IF($H83&lt;=0,"Yes","No")))</f>
        <v/>
      </c>
      <c r="J83" s="4" t="str">
        <f aca="false">IF($A83="","",IF($I83="No",$E83,0))</f>
        <v/>
      </c>
      <c r="K83" s="22" t="str">
        <f aca="false">IF($A83="","",IF($F83="","",FLOOR($F83,0.5)))</f>
        <v/>
      </c>
      <c r="L83" s="39" t="str">
        <f aca="false">IF($A83="","",IF($H83="","",MAX(0,$H83)))</f>
        <v/>
      </c>
      <c r="M83" s="29" t="str">
        <f aca="false">IF($A83="","",IF($F83="","",COUNTIFS(Fact_Work!$B:$B,$A83,Fact_Work!$AL:$AL,$B83,Fact_Work!$AI:$AI,"Yes")))</f>
        <v/>
      </c>
    </row>
    <row r="84" customFormat="false" ht="15" hidden="false" customHeight="true" outlineLevel="0" collapsed="false">
      <c r="D84" s="4" t="str">
        <f aca="false">IF($A84="","",IFERROR(VLOOKUP($B84,Dim_TOP!$A:$B,2,0),""))</f>
        <v/>
      </c>
      <c r="E84" s="36" t="str">
        <f aca="false">IF($A84="","",COUNTIFS(Fact_Work!$B:$B,$A84,Fact_Work!$AL:$AL,$B84))</f>
        <v/>
      </c>
      <c r="F84" s="22" t="str">
        <f aca="false">IF($A84="","",IF(COUNTIFS(Fact_Work!$B:$B,$A84,Fact_Work!$AL:$AL,$B84,Fact_Work!$AN:$AN,"&gt;0")=0,"",_xlfn.MINIFS(Fact_Work!$AN:$AN,Fact_Work!$B:$B,$A84,Fact_Work!$AL:$AL,$B84,Fact_Work!$AN:$AN,"&gt;0")))</f>
        <v/>
      </c>
      <c r="G84" s="37" t="str">
        <f aca="false">IF($A84="","",IF($F84="","",$A84+$F84/24))</f>
        <v/>
      </c>
      <c r="H84" s="38" t="str">
        <f aca="false">IF($A84="","",IF($G84="","",ROUND(($C84-$G84)*1440,0)))</f>
        <v/>
      </c>
      <c r="I84" s="4" t="str">
        <f aca="false">IF($A84="","",IF($H84="","",IF($H84&lt;=0,"Yes","No")))</f>
        <v/>
      </c>
      <c r="J84" s="4" t="str">
        <f aca="false">IF($A84="","",IF($I84="No",$E84,0))</f>
        <v/>
      </c>
      <c r="K84" s="22" t="str">
        <f aca="false">IF($A84="","",IF($F84="","",FLOOR($F84,0.5)))</f>
        <v/>
      </c>
      <c r="L84" s="39" t="str">
        <f aca="false">IF($A84="","",IF($H84="","",MAX(0,$H84)))</f>
        <v/>
      </c>
      <c r="M84" s="29" t="str">
        <f aca="false">IF($A84="","",IF($F84="","",COUNTIFS(Fact_Work!$B:$B,$A84,Fact_Work!$AL:$AL,$B84,Fact_Work!$AI:$AI,"Yes")))</f>
        <v/>
      </c>
    </row>
    <row r="85" customFormat="false" ht="15" hidden="false" customHeight="true" outlineLevel="0" collapsed="false">
      <c r="D85" s="4" t="str">
        <f aca="false">IF($A85="","",IFERROR(VLOOKUP($B85,Dim_TOP!$A:$B,2,0),""))</f>
        <v/>
      </c>
      <c r="E85" s="36" t="str">
        <f aca="false">IF($A85="","",COUNTIFS(Fact_Work!$B:$B,$A85,Fact_Work!$AL:$AL,$B85))</f>
        <v/>
      </c>
      <c r="F85" s="22" t="str">
        <f aca="false">IF($A85="","",IF(COUNTIFS(Fact_Work!$B:$B,$A85,Fact_Work!$AL:$AL,$B85,Fact_Work!$AN:$AN,"&gt;0")=0,"",_xlfn.MINIFS(Fact_Work!$AN:$AN,Fact_Work!$B:$B,$A85,Fact_Work!$AL:$AL,$B85,Fact_Work!$AN:$AN,"&gt;0")))</f>
        <v/>
      </c>
      <c r="G85" s="37" t="str">
        <f aca="false">IF($A85="","",IF($F85="","",$A85+$F85/24))</f>
        <v/>
      </c>
      <c r="H85" s="38" t="str">
        <f aca="false">IF($A85="","",IF($G85="","",ROUND(($C85-$G85)*1440,0)))</f>
        <v/>
      </c>
      <c r="I85" s="4" t="str">
        <f aca="false">IF($A85="","",IF($H85="","",IF($H85&lt;=0,"Yes","No")))</f>
        <v/>
      </c>
      <c r="J85" s="4" t="str">
        <f aca="false">IF($A85="","",IF($I85="No",$E85,0))</f>
        <v/>
      </c>
      <c r="K85" s="22" t="str">
        <f aca="false">IF($A85="","",IF($F85="","",FLOOR($F85,0.5)))</f>
        <v/>
      </c>
      <c r="L85" s="39" t="str">
        <f aca="false">IF($A85="","",IF($H85="","",MAX(0,$H85)))</f>
        <v/>
      </c>
      <c r="M85" s="29" t="str">
        <f aca="false">IF($A85="","",IF($F85="","",COUNTIFS(Fact_Work!$B:$B,$A85,Fact_Work!$AL:$AL,$B85,Fact_Work!$AI:$AI,"Yes")))</f>
        <v/>
      </c>
    </row>
    <row r="86" customFormat="false" ht="15" hidden="false" customHeight="true" outlineLevel="0" collapsed="false">
      <c r="D86" s="4" t="str">
        <f aca="false">IF($A86="","",IFERROR(VLOOKUP($B86,Dim_TOP!$A:$B,2,0),""))</f>
        <v/>
      </c>
      <c r="E86" s="36" t="str">
        <f aca="false">IF($A86="","",COUNTIFS(Fact_Work!$B:$B,$A86,Fact_Work!$AL:$AL,$B86))</f>
        <v/>
      </c>
      <c r="F86" s="22" t="str">
        <f aca="false">IF($A86="","",IF(COUNTIFS(Fact_Work!$B:$B,$A86,Fact_Work!$AL:$AL,$B86,Fact_Work!$AN:$AN,"&gt;0")=0,"",_xlfn.MINIFS(Fact_Work!$AN:$AN,Fact_Work!$B:$B,$A86,Fact_Work!$AL:$AL,$B86,Fact_Work!$AN:$AN,"&gt;0")))</f>
        <v/>
      </c>
      <c r="G86" s="37" t="str">
        <f aca="false">IF($A86="","",IF($F86="","",$A86+$F86/24))</f>
        <v/>
      </c>
      <c r="H86" s="38" t="str">
        <f aca="false">IF($A86="","",IF($G86="","",ROUND(($C86-$G86)*1440,0)))</f>
        <v/>
      </c>
      <c r="I86" s="4" t="str">
        <f aca="false">IF($A86="","",IF($H86="","",IF($H86&lt;=0,"Yes","No")))</f>
        <v/>
      </c>
      <c r="J86" s="4" t="str">
        <f aca="false">IF($A86="","",IF($I86="No",$E86,0))</f>
        <v/>
      </c>
      <c r="K86" s="22" t="str">
        <f aca="false">IF($A86="","",IF($F86="","",FLOOR($F86,0.5)))</f>
        <v/>
      </c>
      <c r="L86" s="39" t="str">
        <f aca="false">IF($A86="","",IF($H86="","",MAX(0,$H86)))</f>
        <v/>
      </c>
      <c r="M86" s="29" t="str">
        <f aca="false">IF($A86="","",IF($F86="","",COUNTIFS(Fact_Work!$B:$B,$A86,Fact_Work!$AL:$AL,$B86,Fact_Work!$AI:$AI,"Yes")))</f>
        <v/>
      </c>
    </row>
    <row r="87" customFormat="false" ht="15" hidden="false" customHeight="true" outlineLevel="0" collapsed="false">
      <c r="D87" s="4" t="str">
        <f aca="false">IF($A87="","",IFERROR(VLOOKUP($B87,Dim_TOP!$A:$B,2,0),""))</f>
        <v/>
      </c>
      <c r="E87" s="36" t="str">
        <f aca="false">IF($A87="","",COUNTIFS(Fact_Work!$B:$B,$A87,Fact_Work!$AL:$AL,$B87))</f>
        <v/>
      </c>
      <c r="F87" s="22" t="str">
        <f aca="false">IF($A87="","",IF(COUNTIFS(Fact_Work!$B:$B,$A87,Fact_Work!$AL:$AL,$B87,Fact_Work!$AN:$AN,"&gt;0")=0,"",_xlfn.MINIFS(Fact_Work!$AN:$AN,Fact_Work!$B:$B,$A87,Fact_Work!$AL:$AL,$B87,Fact_Work!$AN:$AN,"&gt;0")))</f>
        <v/>
      </c>
      <c r="G87" s="37" t="str">
        <f aca="false">IF($A87="","",IF($F87="","",$A87+$F87/24))</f>
        <v/>
      </c>
      <c r="H87" s="38" t="str">
        <f aca="false">IF($A87="","",IF($G87="","",ROUND(($C87-$G87)*1440,0)))</f>
        <v/>
      </c>
      <c r="I87" s="4" t="str">
        <f aca="false">IF($A87="","",IF($H87="","",IF($H87&lt;=0,"Yes","No")))</f>
        <v/>
      </c>
      <c r="J87" s="4" t="str">
        <f aca="false">IF($A87="","",IF($I87="No",$E87,0))</f>
        <v/>
      </c>
      <c r="K87" s="22" t="str">
        <f aca="false">IF($A87="","",IF($F87="","",FLOOR($F87,0.5)))</f>
        <v/>
      </c>
      <c r="L87" s="39" t="str">
        <f aca="false">IF($A87="","",IF($H87="","",MAX(0,$H87)))</f>
        <v/>
      </c>
      <c r="M87" s="29" t="str">
        <f aca="false">IF($A87="","",IF($F87="","",COUNTIFS(Fact_Work!$B:$B,$A87,Fact_Work!$AL:$AL,$B87,Fact_Work!$AI:$AI,"Yes")))</f>
        <v/>
      </c>
    </row>
    <row r="88" customFormat="false" ht="15" hidden="false" customHeight="true" outlineLevel="0" collapsed="false">
      <c r="D88" s="4" t="str">
        <f aca="false">IF($A88="","",IFERROR(VLOOKUP($B88,Dim_TOP!$A:$B,2,0),""))</f>
        <v/>
      </c>
      <c r="E88" s="36" t="str">
        <f aca="false">IF($A88="","",COUNTIFS(Fact_Work!$B:$B,$A88,Fact_Work!$AL:$AL,$B88))</f>
        <v/>
      </c>
      <c r="F88" s="22" t="str">
        <f aca="false">IF($A88="","",IF(COUNTIFS(Fact_Work!$B:$B,$A88,Fact_Work!$AL:$AL,$B88,Fact_Work!$AN:$AN,"&gt;0")=0,"",_xlfn.MINIFS(Fact_Work!$AN:$AN,Fact_Work!$B:$B,$A88,Fact_Work!$AL:$AL,$B88,Fact_Work!$AN:$AN,"&gt;0")))</f>
        <v/>
      </c>
      <c r="G88" s="37" t="str">
        <f aca="false">IF($A88="","",IF($F88="","",$A88+$F88/24))</f>
        <v/>
      </c>
      <c r="H88" s="38" t="str">
        <f aca="false">IF($A88="","",IF($G88="","",ROUND(($C88-$G88)*1440,0)))</f>
        <v/>
      </c>
      <c r="I88" s="4" t="str">
        <f aca="false">IF($A88="","",IF($H88="","",IF($H88&lt;=0,"Yes","No")))</f>
        <v/>
      </c>
      <c r="J88" s="4" t="str">
        <f aca="false">IF($A88="","",IF($I88="No",$E88,0))</f>
        <v/>
      </c>
      <c r="K88" s="22" t="str">
        <f aca="false">IF($A88="","",IF($F88="","",FLOOR($F88,0.5)))</f>
        <v/>
      </c>
      <c r="L88" s="39" t="str">
        <f aca="false">IF($A88="","",IF($H88="","",MAX(0,$H88)))</f>
        <v/>
      </c>
      <c r="M88" s="29" t="str">
        <f aca="false">IF($A88="","",IF($F88="","",COUNTIFS(Fact_Work!$B:$B,$A88,Fact_Work!$AL:$AL,$B88,Fact_Work!$AI:$AI,"Yes")))</f>
        <v/>
      </c>
    </row>
    <row r="89" customFormat="false" ht="15" hidden="false" customHeight="true" outlineLevel="0" collapsed="false">
      <c r="D89" s="4" t="str">
        <f aca="false">IF($A89="","",IFERROR(VLOOKUP($B89,Dim_TOP!$A:$B,2,0),""))</f>
        <v/>
      </c>
      <c r="E89" s="36" t="str">
        <f aca="false">IF($A89="","",COUNTIFS(Fact_Work!$B:$B,$A89,Fact_Work!$AL:$AL,$B89))</f>
        <v/>
      </c>
      <c r="F89" s="22" t="str">
        <f aca="false">IF($A89="","",IF(COUNTIFS(Fact_Work!$B:$B,$A89,Fact_Work!$AL:$AL,$B89,Fact_Work!$AN:$AN,"&gt;0")=0,"",_xlfn.MINIFS(Fact_Work!$AN:$AN,Fact_Work!$B:$B,$A89,Fact_Work!$AL:$AL,$B89,Fact_Work!$AN:$AN,"&gt;0")))</f>
        <v/>
      </c>
      <c r="G89" s="37" t="str">
        <f aca="false">IF($A89="","",IF($F89="","",$A89+$F89/24))</f>
        <v/>
      </c>
      <c r="H89" s="38" t="str">
        <f aca="false">IF($A89="","",IF($G89="","",ROUND(($C89-$G89)*1440,0)))</f>
        <v/>
      </c>
      <c r="I89" s="4" t="str">
        <f aca="false">IF($A89="","",IF($H89="","",IF($H89&lt;=0,"Yes","No")))</f>
        <v/>
      </c>
      <c r="J89" s="4" t="str">
        <f aca="false">IF($A89="","",IF($I89="No",$E89,0))</f>
        <v/>
      </c>
      <c r="K89" s="22" t="str">
        <f aca="false">IF($A89="","",IF($F89="","",FLOOR($F89,0.5)))</f>
        <v/>
      </c>
      <c r="L89" s="39" t="str">
        <f aca="false">IF($A89="","",IF($H89="","",MAX(0,$H89)))</f>
        <v/>
      </c>
      <c r="M89" s="29" t="str">
        <f aca="false">IF($A89="","",IF($F89="","",COUNTIFS(Fact_Work!$B:$B,$A89,Fact_Work!$AL:$AL,$B89,Fact_Work!$AI:$AI,"Yes")))</f>
        <v/>
      </c>
    </row>
    <row r="90" customFormat="false" ht="15" hidden="false" customHeight="true" outlineLevel="0" collapsed="false">
      <c r="D90" s="4" t="str">
        <f aca="false">IF($A90="","",IFERROR(VLOOKUP($B90,Dim_TOP!$A:$B,2,0),""))</f>
        <v/>
      </c>
      <c r="E90" s="36" t="str">
        <f aca="false">IF($A90="","",COUNTIFS(Fact_Work!$B:$B,$A90,Fact_Work!$AL:$AL,$B90))</f>
        <v/>
      </c>
      <c r="F90" s="22" t="str">
        <f aca="false">IF($A90="","",IF(COUNTIFS(Fact_Work!$B:$B,$A90,Fact_Work!$AL:$AL,$B90,Fact_Work!$AN:$AN,"&gt;0")=0,"",_xlfn.MINIFS(Fact_Work!$AN:$AN,Fact_Work!$B:$B,$A90,Fact_Work!$AL:$AL,$B90,Fact_Work!$AN:$AN,"&gt;0")))</f>
        <v/>
      </c>
      <c r="G90" s="37" t="str">
        <f aca="false">IF($A90="","",IF($F90="","",$A90+$F90/24))</f>
        <v/>
      </c>
      <c r="H90" s="38" t="str">
        <f aca="false">IF($A90="","",IF($G90="","",ROUND(($C90-$G90)*1440,0)))</f>
        <v/>
      </c>
      <c r="I90" s="4" t="str">
        <f aca="false">IF($A90="","",IF($H90="","",IF($H90&lt;=0,"Yes","No")))</f>
        <v/>
      </c>
      <c r="J90" s="4" t="str">
        <f aca="false">IF($A90="","",IF($I90="No",$E90,0))</f>
        <v/>
      </c>
      <c r="K90" s="22" t="str">
        <f aca="false">IF($A90="","",IF($F90="","",FLOOR($F90,0.5)))</f>
        <v/>
      </c>
      <c r="L90" s="39" t="str">
        <f aca="false">IF($A90="","",IF($H90="","",MAX(0,$H90)))</f>
        <v/>
      </c>
      <c r="M90" s="29" t="str">
        <f aca="false">IF($A90="","",IF($F90="","",COUNTIFS(Fact_Work!$B:$B,$A90,Fact_Work!$AL:$AL,$B90,Fact_Work!$AI:$AI,"Yes")))</f>
        <v/>
      </c>
    </row>
    <row r="91" customFormat="false" ht="15" hidden="false" customHeight="true" outlineLevel="0" collapsed="false">
      <c r="D91" s="4" t="str">
        <f aca="false">IF($A91="","",IFERROR(VLOOKUP($B91,Dim_TOP!$A:$B,2,0),""))</f>
        <v/>
      </c>
      <c r="E91" s="36" t="str">
        <f aca="false">IF($A91="","",COUNTIFS(Fact_Work!$B:$B,$A91,Fact_Work!$AL:$AL,$B91))</f>
        <v/>
      </c>
      <c r="F91" s="22" t="str">
        <f aca="false">IF($A91="","",IF(COUNTIFS(Fact_Work!$B:$B,$A91,Fact_Work!$AL:$AL,$B91,Fact_Work!$AN:$AN,"&gt;0")=0,"",_xlfn.MINIFS(Fact_Work!$AN:$AN,Fact_Work!$B:$B,$A91,Fact_Work!$AL:$AL,$B91,Fact_Work!$AN:$AN,"&gt;0")))</f>
        <v/>
      </c>
      <c r="G91" s="37" t="str">
        <f aca="false">IF($A91="","",IF($F91="","",$A91+$F91/24))</f>
        <v/>
      </c>
      <c r="H91" s="38" t="str">
        <f aca="false">IF($A91="","",IF($G91="","",ROUND(($C91-$G91)*1440,0)))</f>
        <v/>
      </c>
      <c r="I91" s="4" t="str">
        <f aca="false">IF($A91="","",IF($H91="","",IF($H91&lt;=0,"Yes","No")))</f>
        <v/>
      </c>
      <c r="J91" s="4" t="str">
        <f aca="false">IF($A91="","",IF($I91="No",$E91,0))</f>
        <v/>
      </c>
      <c r="K91" s="22" t="str">
        <f aca="false">IF($A91="","",IF($F91="","",FLOOR($F91,0.5)))</f>
        <v/>
      </c>
      <c r="L91" s="39" t="str">
        <f aca="false">IF($A91="","",IF($H91="","",MAX(0,$H91)))</f>
        <v/>
      </c>
      <c r="M91" s="29" t="str">
        <f aca="false">IF($A91="","",IF($F91="","",COUNTIFS(Fact_Work!$B:$B,$A91,Fact_Work!$AL:$AL,$B91,Fact_Work!$AI:$AI,"Yes")))</f>
        <v/>
      </c>
    </row>
    <row r="92" customFormat="false" ht="15" hidden="false" customHeight="true" outlineLevel="0" collapsed="false">
      <c r="D92" s="4" t="str">
        <f aca="false">IF($A92="","",IFERROR(VLOOKUP($B92,Dim_TOP!$A:$B,2,0),""))</f>
        <v/>
      </c>
      <c r="E92" s="36" t="str">
        <f aca="false">IF($A92="","",COUNTIFS(Fact_Work!$B:$B,$A92,Fact_Work!$AL:$AL,$B92))</f>
        <v/>
      </c>
      <c r="F92" s="22" t="str">
        <f aca="false">IF($A92="","",IF(COUNTIFS(Fact_Work!$B:$B,$A92,Fact_Work!$AL:$AL,$B92,Fact_Work!$AN:$AN,"&gt;0")=0,"",_xlfn.MINIFS(Fact_Work!$AN:$AN,Fact_Work!$B:$B,$A92,Fact_Work!$AL:$AL,$B92,Fact_Work!$AN:$AN,"&gt;0")))</f>
        <v/>
      </c>
      <c r="G92" s="37" t="str">
        <f aca="false">IF($A92="","",IF($F92="","",$A92+$F92/24))</f>
        <v/>
      </c>
      <c r="H92" s="38" t="str">
        <f aca="false">IF($A92="","",IF($G92="","",ROUND(($C92-$G92)*1440,0)))</f>
        <v/>
      </c>
      <c r="I92" s="4" t="str">
        <f aca="false">IF($A92="","",IF($H92="","",IF($H92&lt;=0,"Yes","No")))</f>
        <v/>
      </c>
      <c r="J92" s="4" t="str">
        <f aca="false">IF($A92="","",IF($I92="No",$E92,0))</f>
        <v/>
      </c>
      <c r="K92" s="22" t="str">
        <f aca="false">IF($A92="","",IF($F92="","",FLOOR($F92,0.5)))</f>
        <v/>
      </c>
      <c r="L92" s="39" t="str">
        <f aca="false">IF($A92="","",IF($H92="","",MAX(0,$H92)))</f>
        <v/>
      </c>
      <c r="M92" s="29" t="str">
        <f aca="false">IF($A92="","",IF($F92="","",COUNTIFS(Fact_Work!$B:$B,$A92,Fact_Work!$AL:$AL,$B92,Fact_Work!$AI:$AI,"Yes")))</f>
        <v/>
      </c>
    </row>
    <row r="93" customFormat="false" ht="15" hidden="false" customHeight="true" outlineLevel="0" collapsed="false">
      <c r="D93" s="4" t="str">
        <f aca="false">IF($A93="","",IFERROR(VLOOKUP($B93,Dim_TOP!$A:$B,2,0),""))</f>
        <v/>
      </c>
      <c r="E93" s="36" t="str">
        <f aca="false">IF($A93="","",COUNTIFS(Fact_Work!$B:$B,$A93,Fact_Work!$AL:$AL,$B93))</f>
        <v/>
      </c>
      <c r="F93" s="22" t="str">
        <f aca="false">IF($A93="","",IF(COUNTIFS(Fact_Work!$B:$B,$A93,Fact_Work!$AL:$AL,$B93,Fact_Work!$AN:$AN,"&gt;0")=0,"",_xlfn.MINIFS(Fact_Work!$AN:$AN,Fact_Work!$B:$B,$A93,Fact_Work!$AL:$AL,$B93,Fact_Work!$AN:$AN,"&gt;0")))</f>
        <v/>
      </c>
      <c r="G93" s="37" t="str">
        <f aca="false">IF($A93="","",IF($F93="","",$A93+$F93/24))</f>
        <v/>
      </c>
      <c r="H93" s="38" t="str">
        <f aca="false">IF($A93="","",IF($G93="","",ROUND(($C93-$G93)*1440,0)))</f>
        <v/>
      </c>
      <c r="I93" s="4" t="str">
        <f aca="false">IF($A93="","",IF($H93="","",IF($H93&lt;=0,"Yes","No")))</f>
        <v/>
      </c>
      <c r="J93" s="4" t="str">
        <f aca="false">IF($A93="","",IF($I93="No",$E93,0))</f>
        <v/>
      </c>
      <c r="K93" s="22" t="str">
        <f aca="false">IF($A93="","",IF($F93="","",FLOOR($F93,0.5)))</f>
        <v/>
      </c>
      <c r="L93" s="39" t="str">
        <f aca="false">IF($A93="","",IF($H93="","",MAX(0,$H93)))</f>
        <v/>
      </c>
      <c r="M93" s="29" t="str">
        <f aca="false">IF($A93="","",IF($F93="","",COUNTIFS(Fact_Work!$B:$B,$A93,Fact_Work!$AL:$AL,$B93,Fact_Work!$AI:$AI,"Yes")))</f>
        <v/>
      </c>
    </row>
    <row r="94" customFormat="false" ht="15" hidden="false" customHeight="true" outlineLevel="0" collapsed="false">
      <c r="D94" s="4" t="str">
        <f aca="false">IF($A94="","",IFERROR(VLOOKUP($B94,Dim_TOP!$A:$B,2,0),""))</f>
        <v/>
      </c>
      <c r="E94" s="36" t="str">
        <f aca="false">IF($A94="","",COUNTIFS(Fact_Work!$B:$B,$A94,Fact_Work!$AL:$AL,$B94))</f>
        <v/>
      </c>
      <c r="F94" s="22" t="str">
        <f aca="false">IF($A94="","",IF(COUNTIFS(Fact_Work!$B:$B,$A94,Fact_Work!$AL:$AL,$B94,Fact_Work!$AN:$AN,"&gt;0")=0,"",_xlfn.MINIFS(Fact_Work!$AN:$AN,Fact_Work!$B:$B,$A94,Fact_Work!$AL:$AL,$B94,Fact_Work!$AN:$AN,"&gt;0")))</f>
        <v/>
      </c>
      <c r="G94" s="37" t="str">
        <f aca="false">IF($A94="","",IF($F94="","",$A94+$F94/24))</f>
        <v/>
      </c>
      <c r="H94" s="38" t="str">
        <f aca="false">IF($A94="","",IF($G94="","",ROUND(($C94-$G94)*1440,0)))</f>
        <v/>
      </c>
      <c r="I94" s="4" t="str">
        <f aca="false">IF($A94="","",IF($H94="","",IF($H94&lt;=0,"Yes","No")))</f>
        <v/>
      </c>
      <c r="J94" s="4" t="str">
        <f aca="false">IF($A94="","",IF($I94="No",$E94,0))</f>
        <v/>
      </c>
      <c r="K94" s="22" t="str">
        <f aca="false">IF($A94="","",IF($F94="","",FLOOR($F94,0.5)))</f>
        <v/>
      </c>
      <c r="L94" s="39" t="str">
        <f aca="false">IF($A94="","",IF($H94="","",MAX(0,$H94)))</f>
        <v/>
      </c>
      <c r="M94" s="29" t="str">
        <f aca="false">IF($A94="","",IF($F94="","",COUNTIFS(Fact_Work!$B:$B,$A94,Fact_Work!$AL:$AL,$B94,Fact_Work!$AI:$AI,"Yes")))</f>
        <v/>
      </c>
    </row>
    <row r="95" customFormat="false" ht="15" hidden="false" customHeight="true" outlineLevel="0" collapsed="false">
      <c r="D95" s="4" t="str">
        <f aca="false">IF($A95="","",IFERROR(VLOOKUP($B95,Dim_TOP!$A:$B,2,0),""))</f>
        <v/>
      </c>
      <c r="E95" s="36" t="str">
        <f aca="false">IF($A95="","",COUNTIFS(Fact_Work!$B:$B,$A95,Fact_Work!$AL:$AL,$B95))</f>
        <v/>
      </c>
      <c r="F95" s="22" t="str">
        <f aca="false">IF($A95="","",IF(COUNTIFS(Fact_Work!$B:$B,$A95,Fact_Work!$AL:$AL,$B95,Fact_Work!$AN:$AN,"&gt;0")=0,"",_xlfn.MINIFS(Fact_Work!$AN:$AN,Fact_Work!$B:$B,$A95,Fact_Work!$AL:$AL,$B95,Fact_Work!$AN:$AN,"&gt;0")))</f>
        <v/>
      </c>
      <c r="G95" s="37" t="str">
        <f aca="false">IF($A95="","",IF($F95="","",$A95+$F95/24))</f>
        <v/>
      </c>
      <c r="H95" s="38" t="str">
        <f aca="false">IF($A95="","",IF($G95="","",ROUND(($C95-$G95)*1440,0)))</f>
        <v/>
      </c>
      <c r="I95" s="4" t="str">
        <f aca="false">IF($A95="","",IF($H95="","",IF($H95&lt;=0,"Yes","No")))</f>
        <v/>
      </c>
      <c r="J95" s="4" t="str">
        <f aca="false">IF($A95="","",IF($I95="No",$E95,0))</f>
        <v/>
      </c>
      <c r="K95" s="22" t="str">
        <f aca="false">IF($A95="","",IF($F95="","",FLOOR($F95,0.5)))</f>
        <v/>
      </c>
      <c r="L95" s="39" t="str">
        <f aca="false">IF($A95="","",IF($H95="","",MAX(0,$H95)))</f>
        <v/>
      </c>
      <c r="M95" s="29" t="str">
        <f aca="false">IF($A95="","",IF($F95="","",COUNTIFS(Fact_Work!$B:$B,$A95,Fact_Work!$AL:$AL,$B95,Fact_Work!$AI:$AI,"Yes")))</f>
        <v/>
      </c>
    </row>
    <row r="96" customFormat="false" ht="15" hidden="false" customHeight="true" outlineLevel="0" collapsed="false">
      <c r="D96" s="4" t="str">
        <f aca="false">IF($A96="","",IFERROR(VLOOKUP($B96,Dim_TOP!$A:$B,2,0),""))</f>
        <v/>
      </c>
      <c r="E96" s="36" t="str">
        <f aca="false">IF($A96="","",COUNTIFS(Fact_Work!$B:$B,$A96,Fact_Work!$AL:$AL,$B96))</f>
        <v/>
      </c>
      <c r="F96" s="22" t="str">
        <f aca="false">IF($A96="","",IF(COUNTIFS(Fact_Work!$B:$B,$A96,Fact_Work!$AL:$AL,$B96,Fact_Work!$AN:$AN,"&gt;0")=0,"",_xlfn.MINIFS(Fact_Work!$AN:$AN,Fact_Work!$B:$B,$A96,Fact_Work!$AL:$AL,$B96,Fact_Work!$AN:$AN,"&gt;0")))</f>
        <v/>
      </c>
      <c r="G96" s="37" t="str">
        <f aca="false">IF($A96="","",IF($F96="","",$A96+$F96/24))</f>
        <v/>
      </c>
      <c r="H96" s="38" t="str">
        <f aca="false">IF($A96="","",IF($G96="","",ROUND(($C96-$G96)*1440,0)))</f>
        <v/>
      </c>
      <c r="I96" s="4" t="str">
        <f aca="false">IF($A96="","",IF($H96="","",IF($H96&lt;=0,"Yes","No")))</f>
        <v/>
      </c>
      <c r="J96" s="4" t="str">
        <f aca="false">IF($A96="","",IF($I96="No",$E96,0))</f>
        <v/>
      </c>
      <c r="K96" s="22" t="str">
        <f aca="false">IF($A96="","",IF($F96="","",FLOOR($F96,0.5)))</f>
        <v/>
      </c>
      <c r="L96" s="39" t="str">
        <f aca="false">IF($A96="","",IF($H96="","",MAX(0,$H96)))</f>
        <v/>
      </c>
      <c r="M96" s="29" t="str">
        <f aca="false">IF($A96="","",IF($F96="","",COUNTIFS(Fact_Work!$B:$B,$A96,Fact_Work!$AL:$AL,$B96,Fact_Work!$AI:$AI,"Yes")))</f>
        <v/>
      </c>
    </row>
    <row r="97" customFormat="false" ht="15" hidden="false" customHeight="true" outlineLevel="0" collapsed="false">
      <c r="D97" s="4" t="str">
        <f aca="false">IF($A97="","",IFERROR(VLOOKUP($B97,Dim_TOP!$A:$B,2,0),""))</f>
        <v/>
      </c>
      <c r="E97" s="36" t="str">
        <f aca="false">IF($A97="","",COUNTIFS(Fact_Work!$B:$B,$A97,Fact_Work!$AL:$AL,$B97))</f>
        <v/>
      </c>
      <c r="F97" s="22" t="str">
        <f aca="false">IF($A97="","",IF(COUNTIFS(Fact_Work!$B:$B,$A97,Fact_Work!$AL:$AL,$B97,Fact_Work!$AN:$AN,"&gt;0")=0,"",_xlfn.MINIFS(Fact_Work!$AN:$AN,Fact_Work!$B:$B,$A97,Fact_Work!$AL:$AL,$B97,Fact_Work!$AN:$AN,"&gt;0")))</f>
        <v/>
      </c>
      <c r="G97" s="37" t="str">
        <f aca="false">IF($A97="","",IF($F97="","",$A97+$F97/24))</f>
        <v/>
      </c>
      <c r="H97" s="38" t="str">
        <f aca="false">IF($A97="","",IF($G97="","",ROUND(($C97-$G97)*1440,0)))</f>
        <v/>
      </c>
      <c r="I97" s="4" t="str">
        <f aca="false">IF($A97="","",IF($H97="","",IF($H97&lt;=0,"Yes","No")))</f>
        <v/>
      </c>
      <c r="J97" s="4" t="str">
        <f aca="false">IF($A97="","",IF($I97="No",$E97,0))</f>
        <v/>
      </c>
      <c r="K97" s="22" t="str">
        <f aca="false">IF($A97="","",IF($F97="","",FLOOR($F97,0.5)))</f>
        <v/>
      </c>
      <c r="L97" s="39" t="str">
        <f aca="false">IF($A97="","",IF($H97="","",MAX(0,$H97)))</f>
        <v/>
      </c>
      <c r="M97" s="29" t="str">
        <f aca="false">IF($A97="","",IF($F97="","",COUNTIFS(Fact_Work!$B:$B,$A97,Fact_Work!$AL:$AL,$B97,Fact_Work!$AI:$AI,"Yes")))</f>
        <v/>
      </c>
    </row>
    <row r="98" customFormat="false" ht="15" hidden="false" customHeight="true" outlineLevel="0" collapsed="false">
      <c r="D98" s="4" t="str">
        <f aca="false">IF($A98="","",IFERROR(VLOOKUP($B98,Dim_TOP!$A:$B,2,0),""))</f>
        <v/>
      </c>
      <c r="E98" s="36" t="str">
        <f aca="false">IF($A98="","",COUNTIFS(Fact_Work!$B:$B,$A98,Fact_Work!$AL:$AL,$B98))</f>
        <v/>
      </c>
      <c r="F98" s="22" t="str">
        <f aca="false">IF($A98="","",IF(COUNTIFS(Fact_Work!$B:$B,$A98,Fact_Work!$AL:$AL,$B98,Fact_Work!$AN:$AN,"&gt;0")=0,"",_xlfn.MINIFS(Fact_Work!$AN:$AN,Fact_Work!$B:$B,$A98,Fact_Work!$AL:$AL,$B98,Fact_Work!$AN:$AN,"&gt;0")))</f>
        <v/>
      </c>
      <c r="G98" s="37" t="str">
        <f aca="false">IF($A98="","",IF($F98="","",$A98+$F98/24))</f>
        <v/>
      </c>
      <c r="H98" s="38" t="str">
        <f aca="false">IF($A98="","",IF($G98="","",ROUND(($C98-$G98)*1440,0)))</f>
        <v/>
      </c>
      <c r="I98" s="4" t="str">
        <f aca="false">IF($A98="","",IF($H98="","",IF($H98&lt;=0,"Yes","No")))</f>
        <v/>
      </c>
      <c r="J98" s="4" t="str">
        <f aca="false">IF($A98="","",IF($I98="No",$E98,0))</f>
        <v/>
      </c>
      <c r="K98" s="22" t="str">
        <f aca="false">IF($A98="","",IF($F98="","",FLOOR($F98,0.5)))</f>
        <v/>
      </c>
      <c r="L98" s="39" t="str">
        <f aca="false">IF($A98="","",IF($H98="","",MAX(0,$H98)))</f>
        <v/>
      </c>
      <c r="M98" s="29" t="str">
        <f aca="false">IF($A98="","",IF($F98="","",COUNTIFS(Fact_Work!$B:$B,$A98,Fact_Work!$AL:$AL,$B98,Fact_Work!$AI:$AI,"Yes")))</f>
        <v/>
      </c>
    </row>
    <row r="99" customFormat="false" ht="15" hidden="false" customHeight="true" outlineLevel="0" collapsed="false">
      <c r="D99" s="4" t="str">
        <f aca="false">IF($A99="","",IFERROR(VLOOKUP($B99,Dim_TOP!$A:$B,2,0),""))</f>
        <v/>
      </c>
      <c r="E99" s="36" t="str">
        <f aca="false">IF($A99="","",COUNTIFS(Fact_Work!$B:$B,$A99,Fact_Work!$AL:$AL,$B99))</f>
        <v/>
      </c>
      <c r="F99" s="22" t="str">
        <f aca="false">IF($A99="","",IF(COUNTIFS(Fact_Work!$B:$B,$A99,Fact_Work!$AL:$AL,$B99,Fact_Work!$AN:$AN,"&gt;0")=0,"",_xlfn.MINIFS(Fact_Work!$AN:$AN,Fact_Work!$B:$B,$A99,Fact_Work!$AL:$AL,$B99,Fact_Work!$AN:$AN,"&gt;0")))</f>
        <v/>
      </c>
      <c r="G99" s="37" t="str">
        <f aca="false">IF($A99="","",IF($F99="","",$A99+$F99/24))</f>
        <v/>
      </c>
      <c r="H99" s="38" t="str">
        <f aca="false">IF($A99="","",IF($G99="","",ROUND(($C99-$G99)*1440,0)))</f>
        <v/>
      </c>
      <c r="I99" s="4" t="str">
        <f aca="false">IF($A99="","",IF($H99="","",IF($H99&lt;=0,"Yes","No")))</f>
        <v/>
      </c>
      <c r="J99" s="4" t="str">
        <f aca="false">IF($A99="","",IF($I99="No",$E99,0))</f>
        <v/>
      </c>
      <c r="K99" s="22" t="str">
        <f aca="false">IF($A99="","",IF($F99="","",FLOOR($F99,0.5)))</f>
        <v/>
      </c>
      <c r="L99" s="39" t="str">
        <f aca="false">IF($A99="","",IF($H99="","",MAX(0,$H99)))</f>
        <v/>
      </c>
      <c r="M99" s="29" t="str">
        <f aca="false">IF($A99="","",IF($F99="","",COUNTIFS(Fact_Work!$B:$B,$A99,Fact_Work!$AL:$AL,$B99,Fact_Work!$AI:$AI,"Yes")))</f>
        <v/>
      </c>
    </row>
    <row r="100" customFormat="false" ht="15" hidden="false" customHeight="true" outlineLevel="0" collapsed="false">
      <c r="D100" s="4" t="str">
        <f aca="false">IF($A100="","",IFERROR(VLOOKUP($B100,Dim_TOP!$A:$B,2,0),""))</f>
        <v/>
      </c>
      <c r="E100" s="36" t="str">
        <f aca="false">IF($A100="","",COUNTIFS(Fact_Work!$B:$B,$A100,Fact_Work!$AL:$AL,$B100))</f>
        <v/>
      </c>
      <c r="F100" s="22" t="str">
        <f aca="false">IF($A100="","",IF(COUNTIFS(Fact_Work!$B:$B,$A100,Fact_Work!$AL:$AL,$B100,Fact_Work!$AN:$AN,"&gt;0")=0,"",_xlfn.MINIFS(Fact_Work!$AN:$AN,Fact_Work!$B:$B,$A100,Fact_Work!$AL:$AL,$B100,Fact_Work!$AN:$AN,"&gt;0")))</f>
        <v/>
      </c>
      <c r="G100" s="37" t="str">
        <f aca="false">IF($A100="","",IF($F100="","",$A100+$F100/24))</f>
        <v/>
      </c>
      <c r="H100" s="38" t="str">
        <f aca="false">IF($A100="","",IF($G100="","",ROUND(($C100-$G100)*1440,0)))</f>
        <v/>
      </c>
      <c r="I100" s="4" t="str">
        <f aca="false">IF($A100="","",IF($H100="","",IF($H100&lt;=0,"Yes","No")))</f>
        <v/>
      </c>
      <c r="J100" s="4" t="str">
        <f aca="false">IF($A100="","",IF($I100="No",$E100,0))</f>
        <v/>
      </c>
      <c r="K100" s="22" t="str">
        <f aca="false">IF($A100="","",IF($F100="","",FLOOR($F100,0.5)))</f>
        <v/>
      </c>
      <c r="L100" s="39" t="str">
        <f aca="false">IF($A100="","",IF($H100="","",MAX(0,$H100)))</f>
        <v/>
      </c>
      <c r="M100" s="29" t="str">
        <f aca="false">IF($A100="","",IF($F100="","",COUNTIFS(Fact_Work!$B:$B,$A100,Fact_Work!$AL:$AL,$B100,Fact_Work!$AI:$AI,"Yes")))</f>
        <v/>
      </c>
    </row>
    <row r="101" customFormat="false" ht="15" hidden="false" customHeight="true" outlineLevel="0" collapsed="false">
      <c r="D101" s="4" t="str">
        <f aca="false">IF($A101="","",IFERROR(VLOOKUP($B101,Dim_TOP!$A:$B,2,0),""))</f>
        <v/>
      </c>
      <c r="E101" s="36" t="str">
        <f aca="false">IF($A101="","",COUNTIFS(Fact_Work!$B:$B,$A101,Fact_Work!$AL:$AL,$B101))</f>
        <v/>
      </c>
      <c r="F101" s="22" t="str">
        <f aca="false">IF($A101="","",IF(COUNTIFS(Fact_Work!$B:$B,$A101,Fact_Work!$AL:$AL,$B101,Fact_Work!$AN:$AN,"&gt;0")=0,"",_xlfn.MINIFS(Fact_Work!$AN:$AN,Fact_Work!$B:$B,$A101,Fact_Work!$AL:$AL,$B101,Fact_Work!$AN:$AN,"&gt;0")))</f>
        <v/>
      </c>
      <c r="G101" s="37" t="str">
        <f aca="false">IF($A101="","",IF($F101="","",$A101+$F101/24))</f>
        <v/>
      </c>
      <c r="H101" s="38" t="str">
        <f aca="false">IF($A101="","",IF($G101="","",ROUND(($C101-$G101)*1440,0)))</f>
        <v/>
      </c>
      <c r="I101" s="4" t="str">
        <f aca="false">IF($A101="","",IF($H101="","",IF($H101&lt;=0,"Yes","No")))</f>
        <v/>
      </c>
      <c r="J101" s="4" t="str">
        <f aca="false">IF($A101="","",IF($I101="No",$E101,0))</f>
        <v/>
      </c>
      <c r="K101" s="22" t="str">
        <f aca="false">IF($A101="","",IF($F101="","",FLOOR($F101,0.5)))</f>
        <v/>
      </c>
      <c r="L101" s="39" t="str">
        <f aca="false">IF($A101="","",IF($H101="","",MAX(0,$H101)))</f>
        <v/>
      </c>
      <c r="M101" s="29" t="str">
        <f aca="false">IF($A101="","",IF($F101="","",COUNTIFS(Fact_Work!$B:$B,$A101,Fact_Work!$AL:$AL,$B101,Fact_Work!$AI:$AI,"Yes")))</f>
        <v/>
      </c>
    </row>
    <row r="102" customFormat="false" ht="15" hidden="false" customHeight="true" outlineLevel="0" collapsed="false">
      <c r="D102" s="4" t="str">
        <f aca="false">IF($A102="","",IFERROR(VLOOKUP($B102,Dim_TOP!$A:$B,2,0),""))</f>
        <v/>
      </c>
      <c r="E102" s="36" t="str">
        <f aca="false">IF($A102="","",COUNTIFS(Fact_Work!$B:$B,$A102,Fact_Work!$AL:$AL,$B102))</f>
        <v/>
      </c>
      <c r="F102" s="22" t="str">
        <f aca="false">IF($A102="","",IF(COUNTIFS(Fact_Work!$B:$B,$A102,Fact_Work!$AL:$AL,$B102,Fact_Work!$AN:$AN,"&gt;0")=0,"",_xlfn.MINIFS(Fact_Work!$AN:$AN,Fact_Work!$B:$B,$A102,Fact_Work!$AL:$AL,$B102,Fact_Work!$AN:$AN,"&gt;0")))</f>
        <v/>
      </c>
      <c r="G102" s="37" t="str">
        <f aca="false">IF($A102="","",IF($F102="","",$A102+$F102/24))</f>
        <v/>
      </c>
      <c r="H102" s="38" t="str">
        <f aca="false">IF($A102="","",IF($G102="","",ROUND(($C102-$G102)*1440,0)))</f>
        <v/>
      </c>
      <c r="I102" s="4" t="str">
        <f aca="false">IF($A102="","",IF($H102="","",IF($H102&lt;=0,"Yes","No")))</f>
        <v/>
      </c>
      <c r="J102" s="4" t="str">
        <f aca="false">IF($A102="","",IF($I102="No",$E102,0))</f>
        <v/>
      </c>
      <c r="K102" s="22" t="str">
        <f aca="false">IF($A102="","",IF($F102="","",FLOOR($F102,0.5)))</f>
        <v/>
      </c>
      <c r="L102" s="39" t="str">
        <f aca="false">IF($A102="","",IF($H102="","",MAX(0,$H102)))</f>
        <v/>
      </c>
      <c r="M102" s="29" t="str">
        <f aca="false">IF($A102="","",IF($F102="","",COUNTIFS(Fact_Work!$B:$B,$A102,Fact_Work!$AL:$AL,$B102,Fact_Work!$AI:$AI,"Yes")))</f>
        <v/>
      </c>
    </row>
    <row r="103" customFormat="false" ht="15" hidden="false" customHeight="true" outlineLevel="0" collapsed="false">
      <c r="D103" s="4" t="str">
        <f aca="false">IF($A103="","",IFERROR(VLOOKUP($B103,Dim_TOP!$A:$B,2,0),""))</f>
        <v/>
      </c>
      <c r="E103" s="36" t="str">
        <f aca="false">IF($A103="","",COUNTIFS(Fact_Work!$B:$B,$A103,Fact_Work!$AL:$AL,$B103))</f>
        <v/>
      </c>
      <c r="F103" s="22" t="str">
        <f aca="false">IF($A103="","",IF(COUNTIFS(Fact_Work!$B:$B,$A103,Fact_Work!$AL:$AL,$B103,Fact_Work!$AN:$AN,"&gt;0")=0,"",_xlfn.MINIFS(Fact_Work!$AN:$AN,Fact_Work!$B:$B,$A103,Fact_Work!$AL:$AL,$B103,Fact_Work!$AN:$AN,"&gt;0")))</f>
        <v/>
      </c>
      <c r="G103" s="37" t="str">
        <f aca="false">IF($A103="","",IF($F103="","",$A103+$F103/24))</f>
        <v/>
      </c>
      <c r="H103" s="38" t="str">
        <f aca="false">IF($A103="","",IF($G103="","",ROUND(($C103-$G103)*1440,0)))</f>
        <v/>
      </c>
      <c r="I103" s="4" t="str">
        <f aca="false">IF($A103="","",IF($H103="","",IF($H103&lt;=0,"Yes","No")))</f>
        <v/>
      </c>
      <c r="J103" s="4" t="str">
        <f aca="false">IF($A103="","",IF($I103="No",$E103,0))</f>
        <v/>
      </c>
      <c r="K103" s="22" t="str">
        <f aca="false">IF($A103="","",IF($F103="","",FLOOR($F103,0.5)))</f>
        <v/>
      </c>
      <c r="L103" s="39" t="str">
        <f aca="false">IF($A103="","",IF($H103="","",MAX(0,$H103)))</f>
        <v/>
      </c>
      <c r="M103" s="29" t="str">
        <f aca="false">IF($A103="","",IF($F103="","",COUNTIFS(Fact_Work!$B:$B,$A103,Fact_Work!$AL:$AL,$B103,Fact_Work!$AI:$AI,"Yes")))</f>
        <v/>
      </c>
    </row>
    <row r="104" customFormat="false" ht="15" hidden="false" customHeight="true" outlineLevel="0" collapsed="false">
      <c r="D104" s="4" t="str">
        <f aca="false">IF($A104="","",IFERROR(VLOOKUP($B104,Dim_TOP!$A:$B,2,0),""))</f>
        <v/>
      </c>
      <c r="E104" s="36" t="str">
        <f aca="false">IF($A104="","",COUNTIFS(Fact_Work!$B:$B,$A104,Fact_Work!$AL:$AL,$B104))</f>
        <v/>
      </c>
      <c r="F104" s="22" t="str">
        <f aca="false">IF($A104="","",IF(COUNTIFS(Fact_Work!$B:$B,$A104,Fact_Work!$AL:$AL,$B104,Fact_Work!$AN:$AN,"&gt;0")=0,"",_xlfn.MINIFS(Fact_Work!$AN:$AN,Fact_Work!$B:$B,$A104,Fact_Work!$AL:$AL,$B104,Fact_Work!$AN:$AN,"&gt;0")))</f>
        <v/>
      </c>
      <c r="G104" s="37" t="str">
        <f aca="false">IF($A104="","",IF($F104="","",$A104+$F104/24))</f>
        <v/>
      </c>
      <c r="H104" s="38" t="str">
        <f aca="false">IF($A104="","",IF($G104="","",ROUND(($C104-$G104)*1440,0)))</f>
        <v/>
      </c>
      <c r="I104" s="4" t="str">
        <f aca="false">IF($A104="","",IF($H104="","",IF($H104&lt;=0,"Yes","No")))</f>
        <v/>
      </c>
      <c r="J104" s="4" t="str">
        <f aca="false">IF($A104="","",IF($I104="No",$E104,0))</f>
        <v/>
      </c>
      <c r="K104" s="22" t="str">
        <f aca="false">IF($A104="","",IF($F104="","",FLOOR($F104,0.5)))</f>
        <v/>
      </c>
      <c r="L104" s="39" t="str">
        <f aca="false">IF($A104="","",IF($H104="","",MAX(0,$H104)))</f>
        <v/>
      </c>
      <c r="M104" s="29" t="str">
        <f aca="false">IF($A104="","",IF($F104="","",COUNTIFS(Fact_Work!$B:$B,$A104,Fact_Work!$AL:$AL,$B104,Fact_Work!$AI:$AI,"Yes")))</f>
        <v/>
      </c>
    </row>
    <row r="105" customFormat="false" ht="15" hidden="false" customHeight="true" outlineLevel="0" collapsed="false">
      <c r="D105" s="4" t="str">
        <f aca="false">IF($A105="","",IFERROR(VLOOKUP($B105,Dim_TOP!$A:$B,2,0),""))</f>
        <v/>
      </c>
      <c r="E105" s="36" t="str">
        <f aca="false">IF($A105="","",COUNTIFS(Fact_Work!$B:$B,$A105,Fact_Work!$AL:$AL,$B105))</f>
        <v/>
      </c>
      <c r="F105" s="22" t="str">
        <f aca="false">IF($A105="","",IF(COUNTIFS(Fact_Work!$B:$B,$A105,Fact_Work!$AL:$AL,$B105,Fact_Work!$AN:$AN,"&gt;0")=0,"",_xlfn.MINIFS(Fact_Work!$AN:$AN,Fact_Work!$B:$B,$A105,Fact_Work!$AL:$AL,$B105,Fact_Work!$AN:$AN,"&gt;0")))</f>
        <v/>
      </c>
      <c r="G105" s="37" t="str">
        <f aca="false">IF($A105="","",IF($F105="","",$A105+$F105/24))</f>
        <v/>
      </c>
      <c r="H105" s="38" t="str">
        <f aca="false">IF($A105="","",IF($G105="","",ROUND(($C105-$G105)*1440,0)))</f>
        <v/>
      </c>
      <c r="I105" s="4" t="str">
        <f aca="false">IF($A105="","",IF($H105="","",IF($H105&lt;=0,"Yes","No")))</f>
        <v/>
      </c>
      <c r="J105" s="4" t="str">
        <f aca="false">IF($A105="","",IF($I105="No",$E105,0))</f>
        <v/>
      </c>
      <c r="K105" s="22" t="str">
        <f aca="false">IF($A105="","",IF($F105="","",FLOOR($F105,0.5)))</f>
        <v/>
      </c>
      <c r="L105" s="39" t="str">
        <f aca="false">IF($A105="","",IF($H105="","",MAX(0,$H105)))</f>
        <v/>
      </c>
      <c r="M105" s="29" t="str">
        <f aca="false">IF($A105="","",IF($F105="","",COUNTIFS(Fact_Work!$B:$B,$A105,Fact_Work!$AL:$AL,$B105,Fact_Work!$AI:$AI,"Yes")))</f>
        <v/>
      </c>
    </row>
    <row r="106" customFormat="false" ht="15" hidden="false" customHeight="true" outlineLevel="0" collapsed="false">
      <c r="D106" s="4" t="str">
        <f aca="false">IF($A106="","",IFERROR(VLOOKUP($B106,Dim_TOP!$A:$B,2,0),""))</f>
        <v/>
      </c>
      <c r="E106" s="36" t="str">
        <f aca="false">IF($A106="","",COUNTIFS(Fact_Work!$B:$B,$A106,Fact_Work!$AL:$AL,$B106))</f>
        <v/>
      </c>
      <c r="F106" s="22" t="str">
        <f aca="false">IF($A106="","",IF(COUNTIFS(Fact_Work!$B:$B,$A106,Fact_Work!$AL:$AL,$B106,Fact_Work!$AN:$AN,"&gt;0")=0,"",_xlfn.MINIFS(Fact_Work!$AN:$AN,Fact_Work!$B:$B,$A106,Fact_Work!$AL:$AL,$B106,Fact_Work!$AN:$AN,"&gt;0")))</f>
        <v/>
      </c>
      <c r="G106" s="37" t="str">
        <f aca="false">IF($A106="","",IF($F106="","",$A106+$F106/24))</f>
        <v/>
      </c>
      <c r="H106" s="38" t="str">
        <f aca="false">IF($A106="","",IF($G106="","",ROUND(($C106-$G106)*1440,0)))</f>
        <v/>
      </c>
      <c r="I106" s="4" t="str">
        <f aca="false">IF($A106="","",IF($H106="","",IF($H106&lt;=0,"Yes","No")))</f>
        <v/>
      </c>
      <c r="J106" s="4" t="str">
        <f aca="false">IF($A106="","",IF($I106="No",$E106,0))</f>
        <v/>
      </c>
      <c r="K106" s="22" t="str">
        <f aca="false">IF($A106="","",IF($F106="","",FLOOR($F106,0.5)))</f>
        <v/>
      </c>
      <c r="L106" s="39" t="str">
        <f aca="false">IF($A106="","",IF($H106="","",MAX(0,$H106)))</f>
        <v/>
      </c>
      <c r="M106" s="29" t="str">
        <f aca="false">IF($A106="","",IF($F106="","",COUNTIFS(Fact_Work!$B:$B,$A106,Fact_Work!$AL:$AL,$B106,Fact_Work!$AI:$AI,"Yes")))</f>
        <v/>
      </c>
    </row>
    <row r="107" customFormat="false" ht="15" hidden="false" customHeight="true" outlineLevel="0" collapsed="false">
      <c r="D107" s="4" t="str">
        <f aca="false">IF($A107="","",IFERROR(VLOOKUP($B107,Dim_TOP!$A:$B,2,0),""))</f>
        <v/>
      </c>
      <c r="E107" s="36" t="str">
        <f aca="false">IF($A107="","",COUNTIFS(Fact_Work!$B:$B,$A107,Fact_Work!$AL:$AL,$B107))</f>
        <v/>
      </c>
      <c r="F107" s="22" t="str">
        <f aca="false">IF($A107="","",IF(COUNTIFS(Fact_Work!$B:$B,$A107,Fact_Work!$AL:$AL,$B107,Fact_Work!$AN:$AN,"&gt;0")=0,"",_xlfn.MINIFS(Fact_Work!$AN:$AN,Fact_Work!$B:$B,$A107,Fact_Work!$AL:$AL,$B107,Fact_Work!$AN:$AN,"&gt;0")))</f>
        <v/>
      </c>
      <c r="G107" s="37" t="str">
        <f aca="false">IF($A107="","",IF($F107="","",$A107+$F107/24))</f>
        <v/>
      </c>
      <c r="H107" s="38" t="str">
        <f aca="false">IF($A107="","",IF($G107="","",ROUND(($C107-$G107)*1440,0)))</f>
        <v/>
      </c>
      <c r="I107" s="4" t="str">
        <f aca="false">IF($A107="","",IF($H107="","",IF($H107&lt;=0,"Yes","No")))</f>
        <v/>
      </c>
      <c r="J107" s="4" t="str">
        <f aca="false">IF($A107="","",IF($I107="No",$E107,0))</f>
        <v/>
      </c>
      <c r="K107" s="22" t="str">
        <f aca="false">IF($A107="","",IF($F107="","",FLOOR($F107,0.5)))</f>
        <v/>
      </c>
      <c r="L107" s="39" t="str">
        <f aca="false">IF($A107="","",IF($H107="","",MAX(0,$H107)))</f>
        <v/>
      </c>
      <c r="M107" s="29" t="str">
        <f aca="false">IF($A107="","",IF($F107="","",COUNTIFS(Fact_Work!$B:$B,$A107,Fact_Work!$AL:$AL,$B107,Fact_Work!$AI:$AI,"Yes")))</f>
        <v/>
      </c>
    </row>
    <row r="108" customFormat="false" ht="15" hidden="false" customHeight="true" outlineLevel="0" collapsed="false">
      <c r="D108" s="4" t="str">
        <f aca="false">IF($A108="","",IFERROR(VLOOKUP($B108,Dim_TOP!$A:$B,2,0),""))</f>
        <v/>
      </c>
      <c r="E108" s="36" t="str">
        <f aca="false">IF($A108="","",COUNTIFS(Fact_Work!$B:$B,$A108,Fact_Work!$AL:$AL,$B108))</f>
        <v/>
      </c>
      <c r="F108" s="22" t="str">
        <f aca="false">IF($A108="","",IF(COUNTIFS(Fact_Work!$B:$B,$A108,Fact_Work!$AL:$AL,$B108,Fact_Work!$AN:$AN,"&gt;0")=0,"",_xlfn.MINIFS(Fact_Work!$AN:$AN,Fact_Work!$B:$B,$A108,Fact_Work!$AL:$AL,$B108,Fact_Work!$AN:$AN,"&gt;0")))</f>
        <v/>
      </c>
      <c r="G108" s="37" t="str">
        <f aca="false">IF($A108="","",IF($F108="","",$A108+$F108/24))</f>
        <v/>
      </c>
      <c r="H108" s="38" t="str">
        <f aca="false">IF($A108="","",IF($G108="","",ROUND(($C108-$G108)*1440,0)))</f>
        <v/>
      </c>
      <c r="I108" s="4" t="str">
        <f aca="false">IF($A108="","",IF($H108="","",IF($H108&lt;=0,"Yes","No")))</f>
        <v/>
      </c>
      <c r="J108" s="4" t="str">
        <f aca="false">IF($A108="","",IF($I108="No",$E108,0))</f>
        <v/>
      </c>
      <c r="K108" s="22" t="str">
        <f aca="false">IF($A108="","",IF($F108="","",FLOOR($F108,0.5)))</f>
        <v/>
      </c>
      <c r="L108" s="39" t="str">
        <f aca="false">IF($A108="","",IF($H108="","",MAX(0,$H108)))</f>
        <v/>
      </c>
      <c r="M108" s="29" t="str">
        <f aca="false">IF($A108="","",IF($F108="","",COUNTIFS(Fact_Work!$B:$B,$A108,Fact_Work!$AL:$AL,$B108,Fact_Work!$AI:$AI,"Yes")))</f>
        <v/>
      </c>
    </row>
    <row r="109" customFormat="false" ht="15" hidden="false" customHeight="true" outlineLevel="0" collapsed="false">
      <c r="D109" s="4" t="str">
        <f aca="false">IF($A109="","",IFERROR(VLOOKUP($B109,Dim_TOP!$A:$B,2,0),""))</f>
        <v/>
      </c>
      <c r="E109" s="36" t="str">
        <f aca="false">IF($A109="","",COUNTIFS(Fact_Work!$B:$B,$A109,Fact_Work!$AL:$AL,$B109))</f>
        <v/>
      </c>
      <c r="F109" s="22" t="str">
        <f aca="false">IF($A109="","",IF(COUNTIFS(Fact_Work!$B:$B,$A109,Fact_Work!$AL:$AL,$B109,Fact_Work!$AN:$AN,"&gt;0")=0,"",_xlfn.MINIFS(Fact_Work!$AN:$AN,Fact_Work!$B:$B,$A109,Fact_Work!$AL:$AL,$B109,Fact_Work!$AN:$AN,"&gt;0")))</f>
        <v/>
      </c>
      <c r="G109" s="37" t="str">
        <f aca="false">IF($A109="","",IF($F109="","",$A109+$F109/24))</f>
        <v/>
      </c>
      <c r="H109" s="38" t="str">
        <f aca="false">IF($A109="","",IF($G109="","",ROUND(($C109-$G109)*1440,0)))</f>
        <v/>
      </c>
      <c r="I109" s="4" t="str">
        <f aca="false">IF($A109="","",IF($H109="","",IF($H109&lt;=0,"Yes","No")))</f>
        <v/>
      </c>
      <c r="J109" s="4" t="str">
        <f aca="false">IF($A109="","",IF($I109="No",$E109,0))</f>
        <v/>
      </c>
      <c r="K109" s="22" t="str">
        <f aca="false">IF($A109="","",IF($F109="","",FLOOR($F109,0.5)))</f>
        <v/>
      </c>
      <c r="L109" s="39" t="str">
        <f aca="false">IF($A109="","",IF($H109="","",MAX(0,$H109)))</f>
        <v/>
      </c>
      <c r="M109" s="29" t="str">
        <f aca="false">IF($A109="","",IF($F109="","",COUNTIFS(Fact_Work!$B:$B,$A109,Fact_Work!$AL:$AL,$B109,Fact_Work!$AI:$AI,"Yes")))</f>
        <v/>
      </c>
    </row>
    <row r="110" customFormat="false" ht="15" hidden="false" customHeight="true" outlineLevel="0" collapsed="false">
      <c r="D110" s="4" t="str">
        <f aca="false">IF($A110="","",IFERROR(VLOOKUP($B110,Dim_TOP!$A:$B,2,0),""))</f>
        <v/>
      </c>
      <c r="E110" s="36" t="str">
        <f aca="false">IF($A110="","",COUNTIFS(Fact_Work!$B:$B,$A110,Fact_Work!$AL:$AL,$B110))</f>
        <v/>
      </c>
      <c r="F110" s="22" t="str">
        <f aca="false">IF($A110="","",IF(COUNTIFS(Fact_Work!$B:$B,$A110,Fact_Work!$AL:$AL,$B110,Fact_Work!$AN:$AN,"&gt;0")=0,"",_xlfn.MINIFS(Fact_Work!$AN:$AN,Fact_Work!$B:$B,$A110,Fact_Work!$AL:$AL,$B110,Fact_Work!$AN:$AN,"&gt;0")))</f>
        <v/>
      </c>
      <c r="G110" s="37" t="str">
        <f aca="false">IF($A110="","",IF($F110="","",$A110+$F110/24))</f>
        <v/>
      </c>
      <c r="H110" s="38" t="str">
        <f aca="false">IF($A110="","",IF($G110="","",ROUND(($C110-$G110)*1440,0)))</f>
        <v/>
      </c>
      <c r="I110" s="4" t="str">
        <f aca="false">IF($A110="","",IF($H110="","",IF($H110&lt;=0,"Yes","No")))</f>
        <v/>
      </c>
      <c r="J110" s="4" t="str">
        <f aca="false">IF($A110="","",IF($I110="No",$E110,0))</f>
        <v/>
      </c>
      <c r="K110" s="22" t="str">
        <f aca="false">IF($A110="","",IF($F110="","",FLOOR($F110,0.5)))</f>
        <v/>
      </c>
      <c r="L110" s="39" t="str">
        <f aca="false">IF($A110="","",IF($H110="","",MAX(0,$H110)))</f>
        <v/>
      </c>
      <c r="M110" s="29" t="str">
        <f aca="false">IF($A110="","",IF($F110="","",COUNTIFS(Fact_Work!$B:$B,$A110,Fact_Work!$AL:$AL,$B110,Fact_Work!$AI:$AI,"Yes")))</f>
        <v/>
      </c>
    </row>
    <row r="111" customFormat="false" ht="15" hidden="false" customHeight="true" outlineLevel="0" collapsed="false">
      <c r="D111" s="4" t="str">
        <f aca="false">IF($A111="","",IFERROR(VLOOKUP($B111,Dim_TOP!$A:$B,2,0),""))</f>
        <v/>
      </c>
      <c r="E111" s="36" t="str">
        <f aca="false">IF($A111="","",COUNTIFS(Fact_Work!$B:$B,$A111,Fact_Work!$AL:$AL,$B111))</f>
        <v/>
      </c>
      <c r="F111" s="22" t="str">
        <f aca="false">IF($A111="","",IF(COUNTIFS(Fact_Work!$B:$B,$A111,Fact_Work!$AL:$AL,$B111,Fact_Work!$AN:$AN,"&gt;0")=0,"",_xlfn.MINIFS(Fact_Work!$AN:$AN,Fact_Work!$B:$B,$A111,Fact_Work!$AL:$AL,$B111,Fact_Work!$AN:$AN,"&gt;0")))</f>
        <v/>
      </c>
      <c r="G111" s="37" t="str">
        <f aca="false">IF($A111="","",IF($F111="","",$A111+$F111/24))</f>
        <v/>
      </c>
      <c r="H111" s="38" t="str">
        <f aca="false">IF($A111="","",IF($G111="","",ROUND(($C111-$G111)*1440,0)))</f>
        <v/>
      </c>
      <c r="I111" s="4" t="str">
        <f aca="false">IF($A111="","",IF($H111="","",IF($H111&lt;=0,"Yes","No")))</f>
        <v/>
      </c>
      <c r="J111" s="4" t="str">
        <f aca="false">IF($A111="","",IF($I111="No",$E111,0))</f>
        <v/>
      </c>
      <c r="K111" s="22" t="str">
        <f aca="false">IF($A111="","",IF($F111="","",FLOOR($F111,0.5)))</f>
        <v/>
      </c>
      <c r="L111" s="39" t="str">
        <f aca="false">IF($A111="","",IF($H111="","",MAX(0,$H111)))</f>
        <v/>
      </c>
      <c r="M111" s="29" t="str">
        <f aca="false">IF($A111="","",IF($F111="","",COUNTIFS(Fact_Work!$B:$B,$A111,Fact_Work!$AL:$AL,$B111,Fact_Work!$AI:$AI,"Yes")))</f>
        <v/>
      </c>
    </row>
    <row r="112" customFormat="false" ht="15" hidden="false" customHeight="true" outlineLevel="0" collapsed="false">
      <c r="D112" s="4" t="str">
        <f aca="false">IF($A112="","",IFERROR(VLOOKUP($B112,Dim_TOP!$A:$B,2,0),""))</f>
        <v/>
      </c>
      <c r="E112" s="36" t="str">
        <f aca="false">IF($A112="","",COUNTIFS(Fact_Work!$B:$B,$A112,Fact_Work!$AL:$AL,$B112))</f>
        <v/>
      </c>
      <c r="F112" s="22" t="str">
        <f aca="false">IF($A112="","",IF(COUNTIFS(Fact_Work!$B:$B,$A112,Fact_Work!$AL:$AL,$B112,Fact_Work!$AN:$AN,"&gt;0")=0,"",_xlfn.MINIFS(Fact_Work!$AN:$AN,Fact_Work!$B:$B,$A112,Fact_Work!$AL:$AL,$B112,Fact_Work!$AN:$AN,"&gt;0")))</f>
        <v/>
      </c>
      <c r="G112" s="37" t="str">
        <f aca="false">IF($A112="","",IF($F112="","",$A112+$F112/24))</f>
        <v/>
      </c>
      <c r="H112" s="38" t="str">
        <f aca="false">IF($A112="","",IF($G112="","",ROUND(($C112-$G112)*1440,0)))</f>
        <v/>
      </c>
      <c r="I112" s="4" t="str">
        <f aca="false">IF($A112="","",IF($H112="","",IF($H112&lt;=0,"Yes","No")))</f>
        <v/>
      </c>
      <c r="J112" s="4" t="str">
        <f aca="false">IF($A112="","",IF($I112="No",$E112,0))</f>
        <v/>
      </c>
      <c r="K112" s="22" t="str">
        <f aca="false">IF($A112="","",IF($F112="","",FLOOR($F112,0.5)))</f>
        <v/>
      </c>
      <c r="L112" s="39" t="str">
        <f aca="false">IF($A112="","",IF($H112="","",MAX(0,$H112)))</f>
        <v/>
      </c>
      <c r="M112" s="29" t="str">
        <f aca="false">IF($A112="","",IF($F112="","",COUNTIFS(Fact_Work!$B:$B,$A112,Fact_Work!$AL:$AL,$B112,Fact_Work!$AI:$AI,"Yes")))</f>
        <v/>
      </c>
    </row>
    <row r="113" customFormat="false" ht="15" hidden="false" customHeight="true" outlineLevel="0" collapsed="false">
      <c r="D113" s="4" t="str">
        <f aca="false">IF($A113="","",IFERROR(VLOOKUP($B113,Dim_TOP!$A:$B,2,0),""))</f>
        <v/>
      </c>
      <c r="E113" s="36" t="str">
        <f aca="false">IF($A113="","",COUNTIFS(Fact_Work!$B:$B,$A113,Fact_Work!$AL:$AL,$B113))</f>
        <v/>
      </c>
      <c r="F113" s="22" t="str">
        <f aca="false">IF($A113="","",IF(COUNTIFS(Fact_Work!$B:$B,$A113,Fact_Work!$AL:$AL,$B113,Fact_Work!$AN:$AN,"&gt;0")=0,"",_xlfn.MINIFS(Fact_Work!$AN:$AN,Fact_Work!$B:$B,$A113,Fact_Work!$AL:$AL,$B113,Fact_Work!$AN:$AN,"&gt;0")))</f>
        <v/>
      </c>
      <c r="G113" s="37" t="str">
        <f aca="false">IF($A113="","",IF($F113="","",$A113+$F113/24))</f>
        <v/>
      </c>
      <c r="H113" s="38" t="str">
        <f aca="false">IF($A113="","",IF($G113="","",ROUND(($C113-$G113)*1440,0)))</f>
        <v/>
      </c>
      <c r="I113" s="4" t="str">
        <f aca="false">IF($A113="","",IF($H113="","",IF($H113&lt;=0,"Yes","No")))</f>
        <v/>
      </c>
      <c r="J113" s="4" t="str">
        <f aca="false">IF($A113="","",IF($I113="No",$E113,0))</f>
        <v/>
      </c>
      <c r="K113" s="22" t="str">
        <f aca="false">IF($A113="","",IF($F113="","",FLOOR($F113,0.5)))</f>
        <v/>
      </c>
      <c r="L113" s="39" t="str">
        <f aca="false">IF($A113="","",IF($H113="","",MAX(0,$H113)))</f>
        <v/>
      </c>
      <c r="M113" s="29" t="str">
        <f aca="false">IF($A113="","",IF($F113="","",COUNTIFS(Fact_Work!$B:$B,$A113,Fact_Work!$AL:$AL,$B113,Fact_Work!$AI:$AI,"Yes")))</f>
        <v/>
      </c>
    </row>
    <row r="114" customFormat="false" ht="15" hidden="false" customHeight="true" outlineLevel="0" collapsed="false">
      <c r="D114" s="4" t="str">
        <f aca="false">IF($A114="","",IFERROR(VLOOKUP($B114,Dim_TOP!$A:$B,2,0),""))</f>
        <v/>
      </c>
      <c r="E114" s="36" t="str">
        <f aca="false">IF($A114="","",COUNTIFS(Fact_Work!$B:$B,$A114,Fact_Work!$AL:$AL,$B114))</f>
        <v/>
      </c>
      <c r="F114" s="22" t="str">
        <f aca="false">IF($A114="","",IF(COUNTIFS(Fact_Work!$B:$B,$A114,Fact_Work!$AL:$AL,$B114,Fact_Work!$AN:$AN,"&gt;0")=0,"",_xlfn.MINIFS(Fact_Work!$AN:$AN,Fact_Work!$B:$B,$A114,Fact_Work!$AL:$AL,$B114,Fact_Work!$AN:$AN,"&gt;0")))</f>
        <v/>
      </c>
      <c r="G114" s="37" t="str">
        <f aca="false">IF($A114="","",IF($F114="","",$A114+$F114/24))</f>
        <v/>
      </c>
      <c r="H114" s="38" t="str">
        <f aca="false">IF($A114="","",IF($G114="","",ROUND(($C114-$G114)*1440,0)))</f>
        <v/>
      </c>
      <c r="I114" s="4" t="str">
        <f aca="false">IF($A114="","",IF($H114="","",IF($H114&lt;=0,"Yes","No")))</f>
        <v/>
      </c>
      <c r="J114" s="4" t="str">
        <f aca="false">IF($A114="","",IF($I114="No",$E114,0))</f>
        <v/>
      </c>
      <c r="K114" s="22" t="str">
        <f aca="false">IF($A114="","",IF($F114="","",FLOOR($F114,0.5)))</f>
        <v/>
      </c>
      <c r="L114" s="39" t="str">
        <f aca="false">IF($A114="","",IF($H114="","",MAX(0,$H114)))</f>
        <v/>
      </c>
      <c r="M114" s="29" t="str">
        <f aca="false">IF($A114="","",IF($F114="","",COUNTIFS(Fact_Work!$B:$B,$A114,Fact_Work!$AL:$AL,$B114,Fact_Work!$AI:$AI,"Yes")))</f>
        <v/>
      </c>
    </row>
    <row r="115" customFormat="false" ht="15" hidden="false" customHeight="true" outlineLevel="0" collapsed="false">
      <c r="D115" s="4" t="str">
        <f aca="false">IF($A115="","",IFERROR(VLOOKUP($B115,Dim_TOP!$A:$B,2,0),""))</f>
        <v/>
      </c>
      <c r="E115" s="36" t="str">
        <f aca="false">IF($A115="","",COUNTIFS(Fact_Work!$B:$B,$A115,Fact_Work!$AL:$AL,$B115))</f>
        <v/>
      </c>
      <c r="F115" s="22" t="str">
        <f aca="false">IF($A115="","",IF(COUNTIFS(Fact_Work!$B:$B,$A115,Fact_Work!$AL:$AL,$B115,Fact_Work!$AN:$AN,"&gt;0")=0,"",_xlfn.MINIFS(Fact_Work!$AN:$AN,Fact_Work!$B:$B,$A115,Fact_Work!$AL:$AL,$B115,Fact_Work!$AN:$AN,"&gt;0")))</f>
        <v/>
      </c>
      <c r="G115" s="37" t="str">
        <f aca="false">IF($A115="","",IF($F115="","",$A115+$F115/24))</f>
        <v/>
      </c>
      <c r="H115" s="38" t="str">
        <f aca="false">IF($A115="","",IF($G115="","",ROUND(($C115-$G115)*1440,0)))</f>
        <v/>
      </c>
      <c r="I115" s="4" t="str">
        <f aca="false">IF($A115="","",IF($H115="","",IF($H115&lt;=0,"Yes","No")))</f>
        <v/>
      </c>
      <c r="J115" s="4" t="str">
        <f aca="false">IF($A115="","",IF($I115="No",$E115,0))</f>
        <v/>
      </c>
      <c r="K115" s="22" t="str">
        <f aca="false">IF($A115="","",IF($F115="","",FLOOR($F115,0.5)))</f>
        <v/>
      </c>
      <c r="L115" s="39" t="str">
        <f aca="false">IF($A115="","",IF($H115="","",MAX(0,$H115)))</f>
        <v/>
      </c>
      <c r="M115" s="29" t="str">
        <f aca="false">IF($A115="","",IF($F115="","",COUNTIFS(Fact_Work!$B:$B,$A115,Fact_Work!$AL:$AL,$B115,Fact_Work!$AI:$AI,"Yes")))</f>
        <v/>
      </c>
    </row>
    <row r="116" customFormat="false" ht="15" hidden="false" customHeight="true" outlineLevel="0" collapsed="false">
      <c r="D116" s="4" t="str">
        <f aca="false">IF($A116="","",IFERROR(VLOOKUP($B116,Dim_TOP!$A:$B,2,0),""))</f>
        <v/>
      </c>
      <c r="E116" s="36" t="str">
        <f aca="false">IF($A116="","",COUNTIFS(Fact_Work!$B:$B,$A116,Fact_Work!$AL:$AL,$B116))</f>
        <v/>
      </c>
      <c r="F116" s="22" t="str">
        <f aca="false">IF($A116="","",IF(COUNTIFS(Fact_Work!$B:$B,$A116,Fact_Work!$AL:$AL,$B116,Fact_Work!$AN:$AN,"&gt;0")=0,"",_xlfn.MINIFS(Fact_Work!$AN:$AN,Fact_Work!$B:$B,$A116,Fact_Work!$AL:$AL,$B116,Fact_Work!$AN:$AN,"&gt;0")))</f>
        <v/>
      </c>
      <c r="G116" s="37" t="str">
        <f aca="false">IF($A116="","",IF($F116="","",$A116+$F116/24))</f>
        <v/>
      </c>
      <c r="H116" s="38" t="str">
        <f aca="false">IF($A116="","",IF($G116="","",ROUND(($C116-$G116)*1440,0)))</f>
        <v/>
      </c>
      <c r="I116" s="4" t="str">
        <f aca="false">IF($A116="","",IF($H116="","",IF($H116&lt;=0,"Yes","No")))</f>
        <v/>
      </c>
      <c r="J116" s="4" t="str">
        <f aca="false">IF($A116="","",IF($I116="No",$E116,0))</f>
        <v/>
      </c>
      <c r="K116" s="22" t="str">
        <f aca="false">IF($A116="","",IF($F116="","",FLOOR($F116,0.5)))</f>
        <v/>
      </c>
      <c r="L116" s="39" t="str">
        <f aca="false">IF($A116="","",IF($H116="","",MAX(0,$H116)))</f>
        <v/>
      </c>
      <c r="M116" s="29" t="str">
        <f aca="false">IF($A116="","",IF($F116="","",COUNTIFS(Fact_Work!$B:$B,$A116,Fact_Work!$AL:$AL,$B116,Fact_Work!$AI:$AI,"Yes")))</f>
        <v/>
      </c>
    </row>
    <row r="117" customFormat="false" ht="15" hidden="false" customHeight="true" outlineLevel="0" collapsed="false">
      <c r="D117" s="4" t="str">
        <f aca="false">IF($A117="","",IFERROR(VLOOKUP($B117,Dim_TOP!$A:$B,2,0),""))</f>
        <v/>
      </c>
      <c r="E117" s="36" t="str">
        <f aca="false">IF($A117="","",COUNTIFS(Fact_Work!$B:$B,$A117,Fact_Work!$AL:$AL,$B117))</f>
        <v/>
      </c>
      <c r="F117" s="22" t="str">
        <f aca="false">IF($A117="","",IF(COUNTIFS(Fact_Work!$B:$B,$A117,Fact_Work!$AL:$AL,$B117,Fact_Work!$AN:$AN,"&gt;0")=0,"",_xlfn.MINIFS(Fact_Work!$AN:$AN,Fact_Work!$B:$B,$A117,Fact_Work!$AL:$AL,$B117,Fact_Work!$AN:$AN,"&gt;0")))</f>
        <v/>
      </c>
      <c r="G117" s="37" t="str">
        <f aca="false">IF($A117="","",IF($F117="","",$A117+$F117/24))</f>
        <v/>
      </c>
      <c r="H117" s="38" t="str">
        <f aca="false">IF($A117="","",IF($G117="","",ROUND(($C117-$G117)*1440,0)))</f>
        <v/>
      </c>
      <c r="I117" s="4" t="str">
        <f aca="false">IF($A117="","",IF($H117="","",IF($H117&lt;=0,"Yes","No")))</f>
        <v/>
      </c>
      <c r="J117" s="4" t="str">
        <f aca="false">IF($A117="","",IF($I117="No",$E117,0))</f>
        <v/>
      </c>
      <c r="K117" s="22" t="str">
        <f aca="false">IF($A117="","",IF($F117="","",FLOOR($F117,0.5)))</f>
        <v/>
      </c>
      <c r="L117" s="39" t="str">
        <f aca="false">IF($A117="","",IF($H117="","",MAX(0,$H117)))</f>
        <v/>
      </c>
      <c r="M117" s="29" t="str">
        <f aca="false">IF($A117="","",IF($F117="","",COUNTIFS(Fact_Work!$B:$B,$A117,Fact_Work!$AL:$AL,$B117,Fact_Work!$AI:$AI,"Yes")))</f>
        <v/>
      </c>
    </row>
    <row r="118" customFormat="false" ht="15" hidden="false" customHeight="true" outlineLevel="0" collapsed="false">
      <c r="D118" s="4" t="str">
        <f aca="false">IF($A118="","",IFERROR(VLOOKUP($B118,Dim_TOP!$A:$B,2,0),""))</f>
        <v/>
      </c>
      <c r="E118" s="36" t="str">
        <f aca="false">IF($A118="","",COUNTIFS(Fact_Work!$B:$B,$A118,Fact_Work!$AL:$AL,$B118))</f>
        <v/>
      </c>
      <c r="F118" s="22" t="str">
        <f aca="false">IF($A118="","",IF(COUNTIFS(Fact_Work!$B:$B,$A118,Fact_Work!$AL:$AL,$B118,Fact_Work!$AN:$AN,"&gt;0")=0,"",_xlfn.MINIFS(Fact_Work!$AN:$AN,Fact_Work!$B:$B,$A118,Fact_Work!$AL:$AL,$B118,Fact_Work!$AN:$AN,"&gt;0")))</f>
        <v/>
      </c>
      <c r="G118" s="37" t="str">
        <f aca="false">IF($A118="","",IF($F118="","",$A118+$F118/24))</f>
        <v/>
      </c>
      <c r="H118" s="38" t="str">
        <f aca="false">IF($A118="","",IF($G118="","",ROUND(($C118-$G118)*1440,0)))</f>
        <v/>
      </c>
      <c r="I118" s="4" t="str">
        <f aca="false">IF($A118="","",IF($H118="","",IF($H118&lt;=0,"Yes","No")))</f>
        <v/>
      </c>
      <c r="J118" s="4" t="str">
        <f aca="false">IF($A118="","",IF($I118="No",$E118,0))</f>
        <v/>
      </c>
      <c r="K118" s="22" t="str">
        <f aca="false">IF($A118="","",IF($F118="","",FLOOR($F118,0.5)))</f>
        <v/>
      </c>
      <c r="L118" s="39" t="str">
        <f aca="false">IF($A118="","",IF($H118="","",MAX(0,$H118)))</f>
        <v/>
      </c>
      <c r="M118" s="29" t="str">
        <f aca="false">IF($A118="","",IF($F118="","",COUNTIFS(Fact_Work!$B:$B,$A118,Fact_Work!$AL:$AL,$B118,Fact_Work!$AI:$AI,"Yes")))</f>
        <v/>
      </c>
    </row>
    <row r="119" customFormat="false" ht="15" hidden="false" customHeight="true" outlineLevel="0" collapsed="false">
      <c r="D119" s="4" t="str">
        <f aca="false">IF($A119="","",IFERROR(VLOOKUP($B119,Dim_TOP!$A:$B,2,0),""))</f>
        <v/>
      </c>
      <c r="E119" s="36" t="str">
        <f aca="false">IF($A119="","",COUNTIFS(Fact_Work!$B:$B,$A119,Fact_Work!$AL:$AL,$B119))</f>
        <v/>
      </c>
      <c r="F119" s="22" t="str">
        <f aca="false">IF($A119="","",IF(COUNTIFS(Fact_Work!$B:$B,$A119,Fact_Work!$AL:$AL,$B119,Fact_Work!$AN:$AN,"&gt;0")=0,"",_xlfn.MINIFS(Fact_Work!$AN:$AN,Fact_Work!$B:$B,$A119,Fact_Work!$AL:$AL,$B119,Fact_Work!$AN:$AN,"&gt;0")))</f>
        <v/>
      </c>
      <c r="G119" s="37" t="str">
        <f aca="false">IF($A119="","",IF($F119="","",$A119+$F119/24))</f>
        <v/>
      </c>
      <c r="H119" s="38" t="str">
        <f aca="false">IF($A119="","",IF($G119="","",ROUND(($C119-$G119)*1440,0)))</f>
        <v/>
      </c>
      <c r="I119" s="4" t="str">
        <f aca="false">IF($A119="","",IF($H119="","",IF($H119&lt;=0,"Yes","No")))</f>
        <v/>
      </c>
      <c r="J119" s="4" t="str">
        <f aca="false">IF($A119="","",IF($I119="No",$E119,0))</f>
        <v/>
      </c>
      <c r="K119" s="22" t="str">
        <f aca="false">IF($A119="","",IF($F119="","",FLOOR($F119,0.5)))</f>
        <v/>
      </c>
      <c r="L119" s="39" t="str">
        <f aca="false">IF($A119="","",IF($H119="","",MAX(0,$H119)))</f>
        <v/>
      </c>
      <c r="M119" s="29" t="str">
        <f aca="false">IF($A119="","",IF($F119="","",COUNTIFS(Fact_Work!$B:$B,$A119,Fact_Work!$AL:$AL,$B119,Fact_Work!$AI:$AI,"Yes")))</f>
        <v/>
      </c>
    </row>
    <row r="120" customFormat="false" ht="15" hidden="false" customHeight="true" outlineLevel="0" collapsed="false">
      <c r="D120" s="4" t="str">
        <f aca="false">IF($A120="","",IFERROR(VLOOKUP($B120,Dim_TOP!$A:$B,2,0),""))</f>
        <v/>
      </c>
      <c r="E120" s="36" t="str">
        <f aca="false">IF($A120="","",COUNTIFS(Fact_Work!$B:$B,$A120,Fact_Work!$AL:$AL,$B120))</f>
        <v/>
      </c>
      <c r="F120" s="22" t="str">
        <f aca="false">IF($A120="","",IF(COUNTIFS(Fact_Work!$B:$B,$A120,Fact_Work!$AL:$AL,$B120,Fact_Work!$AN:$AN,"&gt;0")=0,"",_xlfn.MINIFS(Fact_Work!$AN:$AN,Fact_Work!$B:$B,$A120,Fact_Work!$AL:$AL,$B120,Fact_Work!$AN:$AN,"&gt;0")))</f>
        <v/>
      </c>
      <c r="G120" s="37" t="str">
        <f aca="false">IF($A120="","",IF($F120="","",$A120+$F120/24))</f>
        <v/>
      </c>
      <c r="H120" s="38" t="str">
        <f aca="false">IF($A120="","",IF($G120="","",ROUND(($C120-$G120)*1440,0)))</f>
        <v/>
      </c>
      <c r="I120" s="4" t="str">
        <f aca="false">IF($A120="","",IF($H120="","",IF($H120&lt;=0,"Yes","No")))</f>
        <v/>
      </c>
      <c r="J120" s="4" t="str">
        <f aca="false">IF($A120="","",IF($I120="No",$E120,0))</f>
        <v/>
      </c>
      <c r="K120" s="22" t="str">
        <f aca="false">IF($A120="","",IF($F120="","",FLOOR($F120,0.5)))</f>
        <v/>
      </c>
      <c r="L120" s="39" t="str">
        <f aca="false">IF($A120="","",IF($H120="","",MAX(0,$H120)))</f>
        <v/>
      </c>
      <c r="M120" s="29" t="str">
        <f aca="false">IF($A120="","",IF($F120="","",COUNTIFS(Fact_Work!$B:$B,$A120,Fact_Work!$AL:$AL,$B120,Fact_Work!$AI:$AI,"Yes")))</f>
        <v/>
      </c>
    </row>
    <row r="121" customFormat="false" ht="15" hidden="false" customHeight="true" outlineLevel="0" collapsed="false">
      <c r="D121" s="4" t="str">
        <f aca="false">IF($A121="","",IFERROR(VLOOKUP($B121,Dim_TOP!$A:$B,2,0),""))</f>
        <v/>
      </c>
      <c r="E121" s="36" t="str">
        <f aca="false">IF($A121="","",COUNTIFS(Fact_Work!$B:$B,$A121,Fact_Work!$AL:$AL,$B121))</f>
        <v/>
      </c>
      <c r="F121" s="22" t="str">
        <f aca="false">IF($A121="","",IF(COUNTIFS(Fact_Work!$B:$B,$A121,Fact_Work!$AL:$AL,$B121,Fact_Work!$AN:$AN,"&gt;0")=0,"",_xlfn.MINIFS(Fact_Work!$AN:$AN,Fact_Work!$B:$B,$A121,Fact_Work!$AL:$AL,$B121,Fact_Work!$AN:$AN,"&gt;0")))</f>
        <v/>
      </c>
      <c r="G121" s="37" t="str">
        <f aca="false">IF($A121="","",IF($F121="","",$A121+$F121/24))</f>
        <v/>
      </c>
      <c r="H121" s="38" t="str">
        <f aca="false">IF($A121="","",IF($G121="","",ROUND(($C121-$G121)*1440,0)))</f>
        <v/>
      </c>
      <c r="I121" s="4" t="str">
        <f aca="false">IF($A121="","",IF($H121="","",IF($H121&lt;=0,"Yes","No")))</f>
        <v/>
      </c>
      <c r="J121" s="4" t="str">
        <f aca="false">IF($A121="","",IF($I121="No",$E121,0))</f>
        <v/>
      </c>
      <c r="K121" s="22" t="str">
        <f aca="false">IF($A121="","",IF($F121="","",FLOOR($F121,0.5)))</f>
        <v/>
      </c>
      <c r="L121" s="39" t="str">
        <f aca="false">IF($A121="","",IF($H121="","",MAX(0,$H121)))</f>
        <v/>
      </c>
      <c r="M121" s="29" t="str">
        <f aca="false">IF($A121="","",IF($F121="","",COUNTIFS(Fact_Work!$B:$B,$A121,Fact_Work!$AL:$AL,$B121,Fact_Work!$AI:$AI,"Yes")))</f>
        <v/>
      </c>
    </row>
    <row r="122" customFormat="false" ht="15" hidden="false" customHeight="true" outlineLevel="0" collapsed="false">
      <c r="D122" s="4" t="str">
        <f aca="false">IF($A122="","",IFERROR(VLOOKUP($B122,Dim_TOP!$A:$B,2,0),""))</f>
        <v/>
      </c>
      <c r="E122" s="36" t="str">
        <f aca="false">IF($A122="","",COUNTIFS(Fact_Work!$B:$B,$A122,Fact_Work!$AL:$AL,$B122))</f>
        <v/>
      </c>
      <c r="F122" s="22" t="str">
        <f aca="false">IF($A122="","",IF(COUNTIFS(Fact_Work!$B:$B,$A122,Fact_Work!$AL:$AL,$B122,Fact_Work!$AN:$AN,"&gt;0")=0,"",_xlfn.MINIFS(Fact_Work!$AN:$AN,Fact_Work!$B:$B,$A122,Fact_Work!$AL:$AL,$B122,Fact_Work!$AN:$AN,"&gt;0")))</f>
        <v/>
      </c>
      <c r="G122" s="37" t="str">
        <f aca="false">IF($A122="","",IF($F122="","",$A122+$F122/24))</f>
        <v/>
      </c>
      <c r="H122" s="38" t="str">
        <f aca="false">IF($A122="","",IF($G122="","",ROUND(($C122-$G122)*1440,0)))</f>
        <v/>
      </c>
      <c r="I122" s="4" t="str">
        <f aca="false">IF($A122="","",IF($H122="","",IF($H122&lt;=0,"Yes","No")))</f>
        <v/>
      </c>
      <c r="J122" s="4" t="str">
        <f aca="false">IF($A122="","",IF($I122="No",$E122,0))</f>
        <v/>
      </c>
      <c r="K122" s="22" t="str">
        <f aca="false">IF($A122="","",IF($F122="","",FLOOR($F122,0.5)))</f>
        <v/>
      </c>
      <c r="L122" s="39" t="str">
        <f aca="false">IF($A122="","",IF($H122="","",MAX(0,$H122)))</f>
        <v/>
      </c>
      <c r="M122" s="29" t="str">
        <f aca="false">IF($A122="","",IF($F122="","",COUNTIFS(Fact_Work!$B:$B,$A122,Fact_Work!$AL:$AL,$B122,Fact_Work!$AI:$AI,"Yes")))</f>
        <v/>
      </c>
    </row>
    <row r="123" customFormat="false" ht="15" hidden="false" customHeight="true" outlineLevel="0" collapsed="false">
      <c r="D123" s="4" t="str">
        <f aca="false">IF($A123="","",IFERROR(VLOOKUP($B123,Dim_TOP!$A:$B,2,0),""))</f>
        <v/>
      </c>
      <c r="E123" s="36" t="str">
        <f aca="false">IF($A123="","",COUNTIFS(Fact_Work!$B:$B,$A123,Fact_Work!$AL:$AL,$B123))</f>
        <v/>
      </c>
      <c r="F123" s="22" t="str">
        <f aca="false">IF($A123="","",IF(COUNTIFS(Fact_Work!$B:$B,$A123,Fact_Work!$AL:$AL,$B123,Fact_Work!$AN:$AN,"&gt;0")=0,"",_xlfn.MINIFS(Fact_Work!$AN:$AN,Fact_Work!$B:$B,$A123,Fact_Work!$AL:$AL,$B123,Fact_Work!$AN:$AN,"&gt;0")))</f>
        <v/>
      </c>
      <c r="G123" s="37" t="str">
        <f aca="false">IF($A123="","",IF($F123="","",$A123+$F123/24))</f>
        <v/>
      </c>
      <c r="H123" s="38" t="str">
        <f aca="false">IF($A123="","",IF($G123="","",ROUND(($C123-$G123)*1440,0)))</f>
        <v/>
      </c>
      <c r="I123" s="4" t="str">
        <f aca="false">IF($A123="","",IF($H123="","",IF($H123&lt;=0,"Yes","No")))</f>
        <v/>
      </c>
      <c r="J123" s="4" t="str">
        <f aca="false">IF($A123="","",IF($I123="No",$E123,0))</f>
        <v/>
      </c>
      <c r="K123" s="22" t="str">
        <f aca="false">IF($A123="","",IF($F123="","",FLOOR($F123,0.5)))</f>
        <v/>
      </c>
      <c r="L123" s="39" t="str">
        <f aca="false">IF($A123="","",IF($H123="","",MAX(0,$H123)))</f>
        <v/>
      </c>
      <c r="M123" s="29" t="str">
        <f aca="false">IF($A123="","",IF($F123="","",COUNTIFS(Fact_Work!$B:$B,$A123,Fact_Work!$AL:$AL,$B123,Fact_Work!$AI:$AI,"Yes")))</f>
        <v/>
      </c>
    </row>
    <row r="124" customFormat="false" ht="15" hidden="false" customHeight="true" outlineLevel="0" collapsed="false">
      <c r="D124" s="4" t="str">
        <f aca="false">IF($A124="","",IFERROR(VLOOKUP($B124,Dim_TOP!$A:$B,2,0),""))</f>
        <v/>
      </c>
      <c r="E124" s="36" t="str">
        <f aca="false">IF($A124="","",COUNTIFS(Fact_Work!$B:$B,$A124,Fact_Work!$AL:$AL,$B124))</f>
        <v/>
      </c>
      <c r="F124" s="22" t="str">
        <f aca="false">IF($A124="","",IF(COUNTIFS(Fact_Work!$B:$B,$A124,Fact_Work!$AL:$AL,$B124,Fact_Work!$AN:$AN,"&gt;0")=0,"",_xlfn.MINIFS(Fact_Work!$AN:$AN,Fact_Work!$B:$B,$A124,Fact_Work!$AL:$AL,$B124,Fact_Work!$AN:$AN,"&gt;0")))</f>
        <v/>
      </c>
      <c r="G124" s="37" t="str">
        <f aca="false">IF($A124="","",IF($F124="","",$A124+$F124/24))</f>
        <v/>
      </c>
      <c r="H124" s="38" t="str">
        <f aca="false">IF($A124="","",IF($G124="","",ROUND(($C124-$G124)*1440,0)))</f>
        <v/>
      </c>
      <c r="I124" s="4" t="str">
        <f aca="false">IF($A124="","",IF($H124="","",IF($H124&lt;=0,"Yes","No")))</f>
        <v/>
      </c>
      <c r="J124" s="4" t="str">
        <f aca="false">IF($A124="","",IF($I124="No",$E124,0))</f>
        <v/>
      </c>
      <c r="K124" s="22" t="str">
        <f aca="false">IF($A124="","",IF($F124="","",FLOOR($F124,0.5)))</f>
        <v/>
      </c>
      <c r="L124" s="39" t="str">
        <f aca="false">IF($A124="","",IF($H124="","",MAX(0,$H124)))</f>
        <v/>
      </c>
      <c r="M124" s="29" t="str">
        <f aca="false">IF($A124="","",IF($F124="","",COUNTIFS(Fact_Work!$B:$B,$A124,Fact_Work!$AL:$AL,$B124,Fact_Work!$AI:$AI,"Yes")))</f>
        <v/>
      </c>
    </row>
    <row r="125" customFormat="false" ht="15" hidden="false" customHeight="true" outlineLevel="0" collapsed="false">
      <c r="D125" s="4" t="str">
        <f aca="false">IF($A125="","",IFERROR(VLOOKUP($B125,Dim_TOP!$A:$B,2,0),""))</f>
        <v/>
      </c>
      <c r="E125" s="36" t="str">
        <f aca="false">IF($A125="","",COUNTIFS(Fact_Work!$B:$B,$A125,Fact_Work!$AL:$AL,$B125))</f>
        <v/>
      </c>
      <c r="F125" s="22" t="str">
        <f aca="false">IF($A125="","",IF(COUNTIFS(Fact_Work!$B:$B,$A125,Fact_Work!$AL:$AL,$B125,Fact_Work!$AN:$AN,"&gt;0")=0,"",_xlfn.MINIFS(Fact_Work!$AN:$AN,Fact_Work!$B:$B,$A125,Fact_Work!$AL:$AL,$B125,Fact_Work!$AN:$AN,"&gt;0")))</f>
        <v/>
      </c>
      <c r="G125" s="37" t="str">
        <f aca="false">IF($A125="","",IF($F125="","",$A125+$F125/24))</f>
        <v/>
      </c>
      <c r="H125" s="38" t="str">
        <f aca="false">IF($A125="","",IF($G125="","",ROUND(($C125-$G125)*1440,0)))</f>
        <v/>
      </c>
      <c r="I125" s="4" t="str">
        <f aca="false">IF($A125="","",IF($H125="","",IF($H125&lt;=0,"Yes","No")))</f>
        <v/>
      </c>
      <c r="J125" s="4" t="str">
        <f aca="false">IF($A125="","",IF($I125="No",$E125,0))</f>
        <v/>
      </c>
      <c r="K125" s="22" t="str">
        <f aca="false">IF($A125="","",IF($F125="","",FLOOR($F125,0.5)))</f>
        <v/>
      </c>
      <c r="L125" s="39" t="str">
        <f aca="false">IF($A125="","",IF($H125="","",MAX(0,$H125)))</f>
        <v/>
      </c>
      <c r="M125" s="29" t="str">
        <f aca="false">IF($A125="","",IF($F125="","",COUNTIFS(Fact_Work!$B:$B,$A125,Fact_Work!$AL:$AL,$B125,Fact_Work!$AI:$AI,"Yes")))</f>
        <v/>
      </c>
    </row>
    <row r="126" customFormat="false" ht="15" hidden="false" customHeight="true" outlineLevel="0" collapsed="false">
      <c r="D126" s="4" t="str">
        <f aca="false">IF($A126="","",IFERROR(VLOOKUP($B126,Dim_TOP!$A:$B,2,0),""))</f>
        <v/>
      </c>
      <c r="E126" s="36" t="str">
        <f aca="false">IF($A126="","",COUNTIFS(Fact_Work!$B:$B,$A126,Fact_Work!$AL:$AL,$B126))</f>
        <v/>
      </c>
      <c r="F126" s="22" t="str">
        <f aca="false">IF($A126="","",IF(COUNTIFS(Fact_Work!$B:$B,$A126,Fact_Work!$AL:$AL,$B126,Fact_Work!$AN:$AN,"&gt;0")=0,"",_xlfn.MINIFS(Fact_Work!$AN:$AN,Fact_Work!$B:$B,$A126,Fact_Work!$AL:$AL,$B126,Fact_Work!$AN:$AN,"&gt;0")))</f>
        <v/>
      </c>
      <c r="G126" s="37" t="str">
        <f aca="false">IF($A126="","",IF($F126="","",$A126+$F126/24))</f>
        <v/>
      </c>
      <c r="H126" s="38" t="str">
        <f aca="false">IF($A126="","",IF($G126="","",ROUND(($C126-$G126)*1440,0)))</f>
        <v/>
      </c>
      <c r="I126" s="4" t="str">
        <f aca="false">IF($A126="","",IF($H126="","",IF($H126&lt;=0,"Yes","No")))</f>
        <v/>
      </c>
      <c r="J126" s="4" t="str">
        <f aca="false">IF($A126="","",IF($I126="No",$E126,0))</f>
        <v/>
      </c>
      <c r="K126" s="22" t="str">
        <f aca="false">IF($A126="","",IF($F126="","",FLOOR($F126,0.5)))</f>
        <v/>
      </c>
      <c r="L126" s="39" t="str">
        <f aca="false">IF($A126="","",IF($H126="","",MAX(0,$H126)))</f>
        <v/>
      </c>
      <c r="M126" s="29" t="str">
        <f aca="false">IF($A126="","",IF($F126="","",COUNTIFS(Fact_Work!$B:$B,$A126,Fact_Work!$AL:$AL,$B126,Fact_Work!$AI:$AI,"Yes")))</f>
        <v/>
      </c>
    </row>
    <row r="127" customFormat="false" ht="15" hidden="false" customHeight="true" outlineLevel="0" collapsed="false">
      <c r="D127" s="4" t="str">
        <f aca="false">IF($A127="","",IFERROR(VLOOKUP($B127,Dim_TOP!$A:$B,2,0),""))</f>
        <v/>
      </c>
      <c r="E127" s="36" t="str">
        <f aca="false">IF($A127="","",COUNTIFS(Fact_Work!$B:$B,$A127,Fact_Work!$AL:$AL,$B127))</f>
        <v/>
      </c>
      <c r="F127" s="22" t="str">
        <f aca="false">IF($A127="","",IF(COUNTIFS(Fact_Work!$B:$B,$A127,Fact_Work!$AL:$AL,$B127,Fact_Work!$AN:$AN,"&gt;0")=0,"",_xlfn.MINIFS(Fact_Work!$AN:$AN,Fact_Work!$B:$B,$A127,Fact_Work!$AL:$AL,$B127,Fact_Work!$AN:$AN,"&gt;0")))</f>
        <v/>
      </c>
      <c r="G127" s="37" t="str">
        <f aca="false">IF($A127="","",IF($F127="","",$A127+$F127/24))</f>
        <v/>
      </c>
      <c r="H127" s="38" t="str">
        <f aca="false">IF($A127="","",IF($G127="","",ROUND(($C127-$G127)*1440,0)))</f>
        <v/>
      </c>
      <c r="I127" s="4" t="str">
        <f aca="false">IF($A127="","",IF($H127="","",IF($H127&lt;=0,"Yes","No")))</f>
        <v/>
      </c>
      <c r="J127" s="4" t="str">
        <f aca="false">IF($A127="","",IF($I127="No",$E127,0))</f>
        <v/>
      </c>
      <c r="K127" s="22" t="str">
        <f aca="false">IF($A127="","",IF($F127="","",FLOOR($F127,0.5)))</f>
        <v/>
      </c>
      <c r="L127" s="39" t="str">
        <f aca="false">IF($A127="","",IF($H127="","",MAX(0,$H127)))</f>
        <v/>
      </c>
      <c r="M127" s="29" t="str">
        <f aca="false">IF($A127="","",IF($F127="","",COUNTIFS(Fact_Work!$B:$B,$A127,Fact_Work!$AL:$AL,$B127,Fact_Work!$AI:$AI,"Yes")))</f>
        <v/>
      </c>
    </row>
    <row r="128" customFormat="false" ht="15" hidden="false" customHeight="true" outlineLevel="0" collapsed="false">
      <c r="D128" s="4" t="str">
        <f aca="false">IF($A128="","",IFERROR(VLOOKUP($B128,Dim_TOP!$A:$B,2,0),""))</f>
        <v/>
      </c>
      <c r="E128" s="36" t="str">
        <f aca="false">IF($A128="","",COUNTIFS(Fact_Work!$B:$B,$A128,Fact_Work!$AL:$AL,$B128))</f>
        <v/>
      </c>
      <c r="F128" s="22" t="str">
        <f aca="false">IF($A128="","",IF(COUNTIFS(Fact_Work!$B:$B,$A128,Fact_Work!$AL:$AL,$B128,Fact_Work!$AN:$AN,"&gt;0")=0,"",_xlfn.MINIFS(Fact_Work!$AN:$AN,Fact_Work!$B:$B,$A128,Fact_Work!$AL:$AL,$B128,Fact_Work!$AN:$AN,"&gt;0")))</f>
        <v/>
      </c>
      <c r="G128" s="37" t="str">
        <f aca="false">IF($A128="","",IF($F128="","",$A128+$F128/24))</f>
        <v/>
      </c>
      <c r="H128" s="38" t="str">
        <f aca="false">IF($A128="","",IF($G128="","",ROUND(($C128-$G128)*1440,0)))</f>
        <v/>
      </c>
      <c r="I128" s="4" t="str">
        <f aca="false">IF($A128="","",IF($H128="","",IF($H128&lt;=0,"Yes","No")))</f>
        <v/>
      </c>
      <c r="J128" s="4" t="str">
        <f aca="false">IF($A128="","",IF($I128="No",$E128,0))</f>
        <v/>
      </c>
      <c r="K128" s="22" t="str">
        <f aca="false">IF($A128="","",IF($F128="","",FLOOR($F128,0.5)))</f>
        <v/>
      </c>
      <c r="L128" s="39" t="str">
        <f aca="false">IF($A128="","",IF($H128="","",MAX(0,$H128)))</f>
        <v/>
      </c>
      <c r="M128" s="29" t="str">
        <f aca="false">IF($A128="","",IF($F128="","",COUNTIFS(Fact_Work!$B:$B,$A128,Fact_Work!$AL:$AL,$B128,Fact_Work!$AI:$AI,"Yes")))</f>
        <v/>
      </c>
    </row>
    <row r="129" customFormat="false" ht="15" hidden="false" customHeight="true" outlineLevel="0" collapsed="false">
      <c r="D129" s="4" t="str">
        <f aca="false">IF($A129="","",IFERROR(VLOOKUP($B129,Dim_TOP!$A:$B,2,0),""))</f>
        <v/>
      </c>
      <c r="E129" s="36" t="str">
        <f aca="false">IF($A129="","",COUNTIFS(Fact_Work!$B:$B,$A129,Fact_Work!$AL:$AL,$B129))</f>
        <v/>
      </c>
      <c r="F129" s="22" t="str">
        <f aca="false">IF($A129="","",IF(COUNTIFS(Fact_Work!$B:$B,$A129,Fact_Work!$AL:$AL,$B129,Fact_Work!$AN:$AN,"&gt;0")=0,"",_xlfn.MINIFS(Fact_Work!$AN:$AN,Fact_Work!$B:$B,$A129,Fact_Work!$AL:$AL,$B129,Fact_Work!$AN:$AN,"&gt;0")))</f>
        <v/>
      </c>
      <c r="G129" s="37" t="str">
        <f aca="false">IF($A129="","",IF($F129="","",$A129+$F129/24))</f>
        <v/>
      </c>
      <c r="H129" s="38" t="str">
        <f aca="false">IF($A129="","",IF($G129="","",ROUND(($C129-$G129)*1440,0)))</f>
        <v/>
      </c>
      <c r="I129" s="4" t="str">
        <f aca="false">IF($A129="","",IF($H129="","",IF($H129&lt;=0,"Yes","No")))</f>
        <v/>
      </c>
      <c r="J129" s="4" t="str">
        <f aca="false">IF($A129="","",IF($I129="No",$E129,0))</f>
        <v/>
      </c>
      <c r="K129" s="22" t="str">
        <f aca="false">IF($A129="","",IF($F129="","",FLOOR($F129,0.5)))</f>
        <v/>
      </c>
      <c r="L129" s="39" t="str">
        <f aca="false">IF($A129="","",IF($H129="","",MAX(0,$H129)))</f>
        <v/>
      </c>
      <c r="M129" s="29" t="str">
        <f aca="false">IF($A129="","",IF($F129="","",COUNTIFS(Fact_Work!$B:$B,$A129,Fact_Work!$AL:$AL,$B129,Fact_Work!$AI:$AI,"Yes")))</f>
        <v/>
      </c>
    </row>
    <row r="130" customFormat="false" ht="15" hidden="false" customHeight="true" outlineLevel="0" collapsed="false">
      <c r="D130" s="4" t="str">
        <f aca="false">IF($A130="","",IFERROR(VLOOKUP($B130,Dim_TOP!$A:$B,2,0),""))</f>
        <v/>
      </c>
      <c r="E130" s="36" t="str">
        <f aca="false">IF($A130="","",COUNTIFS(Fact_Work!$B:$B,$A130,Fact_Work!$AL:$AL,$B130))</f>
        <v/>
      </c>
      <c r="F130" s="22" t="str">
        <f aca="false">IF($A130="","",IF(COUNTIFS(Fact_Work!$B:$B,$A130,Fact_Work!$AL:$AL,$B130,Fact_Work!$AN:$AN,"&gt;0")=0,"",_xlfn.MINIFS(Fact_Work!$AN:$AN,Fact_Work!$B:$B,$A130,Fact_Work!$AL:$AL,$B130,Fact_Work!$AN:$AN,"&gt;0")))</f>
        <v/>
      </c>
      <c r="G130" s="37" t="str">
        <f aca="false">IF($A130="","",IF($F130="","",$A130+$F130/24))</f>
        <v/>
      </c>
      <c r="H130" s="38" t="str">
        <f aca="false">IF($A130="","",IF($G130="","",ROUND(($C130-$G130)*1440,0)))</f>
        <v/>
      </c>
      <c r="I130" s="4" t="str">
        <f aca="false">IF($A130="","",IF($H130="","",IF($H130&lt;=0,"Yes","No")))</f>
        <v/>
      </c>
      <c r="J130" s="4" t="str">
        <f aca="false">IF($A130="","",IF($I130="No",$E130,0))</f>
        <v/>
      </c>
      <c r="K130" s="22" t="str">
        <f aca="false">IF($A130="","",IF($F130="","",FLOOR($F130,0.5)))</f>
        <v/>
      </c>
      <c r="L130" s="39" t="str">
        <f aca="false">IF($A130="","",IF($H130="","",MAX(0,$H130)))</f>
        <v/>
      </c>
      <c r="M130" s="29" t="str">
        <f aca="false">IF($A130="","",IF($F130="","",COUNTIFS(Fact_Work!$B:$B,$A130,Fact_Work!$AL:$AL,$B130,Fact_Work!$AI:$AI,"Yes")))</f>
        <v/>
      </c>
    </row>
    <row r="131" customFormat="false" ht="15" hidden="false" customHeight="true" outlineLevel="0" collapsed="false">
      <c r="D131" s="4" t="str">
        <f aca="false">IF($A131="","",IFERROR(VLOOKUP($B131,Dim_TOP!$A:$B,2,0),""))</f>
        <v/>
      </c>
      <c r="E131" s="36" t="str">
        <f aca="false">IF($A131="","",COUNTIFS(Fact_Work!$B:$B,$A131,Fact_Work!$AL:$AL,$B131))</f>
        <v/>
      </c>
      <c r="F131" s="22" t="str">
        <f aca="false">IF($A131="","",IF(COUNTIFS(Fact_Work!$B:$B,$A131,Fact_Work!$AL:$AL,$B131,Fact_Work!$AN:$AN,"&gt;0")=0,"",_xlfn.MINIFS(Fact_Work!$AN:$AN,Fact_Work!$B:$B,$A131,Fact_Work!$AL:$AL,$B131,Fact_Work!$AN:$AN,"&gt;0")))</f>
        <v/>
      </c>
      <c r="G131" s="37" t="str">
        <f aca="false">IF($A131="","",IF($F131="","",$A131+$F131/24))</f>
        <v/>
      </c>
      <c r="H131" s="38" t="str">
        <f aca="false">IF($A131="","",IF($G131="","",ROUND(($C131-$G131)*1440,0)))</f>
        <v/>
      </c>
      <c r="I131" s="4" t="str">
        <f aca="false">IF($A131="","",IF($H131="","",IF($H131&lt;=0,"Yes","No")))</f>
        <v/>
      </c>
      <c r="J131" s="4" t="str">
        <f aca="false">IF($A131="","",IF($I131="No",$E131,0))</f>
        <v/>
      </c>
      <c r="K131" s="22" t="str">
        <f aca="false">IF($A131="","",IF($F131="","",FLOOR($F131,0.5)))</f>
        <v/>
      </c>
      <c r="L131" s="39" t="str">
        <f aca="false">IF($A131="","",IF($H131="","",MAX(0,$H131)))</f>
        <v/>
      </c>
      <c r="M131" s="29" t="str">
        <f aca="false">IF($A131="","",IF($F131="","",COUNTIFS(Fact_Work!$B:$B,$A131,Fact_Work!$AL:$AL,$B131,Fact_Work!$AI:$AI,"Yes")))</f>
        <v/>
      </c>
    </row>
    <row r="132" customFormat="false" ht="15" hidden="false" customHeight="true" outlineLevel="0" collapsed="false">
      <c r="D132" s="4" t="str">
        <f aca="false">IF($A132="","",IFERROR(VLOOKUP($B132,Dim_TOP!$A:$B,2,0),""))</f>
        <v/>
      </c>
      <c r="E132" s="36" t="str">
        <f aca="false">IF($A132="","",COUNTIFS(Fact_Work!$B:$B,$A132,Fact_Work!$AL:$AL,$B132))</f>
        <v/>
      </c>
      <c r="F132" s="22" t="str">
        <f aca="false">IF($A132="","",IF(COUNTIFS(Fact_Work!$B:$B,$A132,Fact_Work!$AL:$AL,$B132,Fact_Work!$AN:$AN,"&gt;0")=0,"",_xlfn.MINIFS(Fact_Work!$AN:$AN,Fact_Work!$B:$B,$A132,Fact_Work!$AL:$AL,$B132,Fact_Work!$AN:$AN,"&gt;0")))</f>
        <v/>
      </c>
      <c r="G132" s="37" t="str">
        <f aca="false">IF($A132="","",IF($F132="","",$A132+$F132/24))</f>
        <v/>
      </c>
      <c r="H132" s="38" t="str">
        <f aca="false">IF($A132="","",IF($G132="","",ROUND(($C132-$G132)*1440,0)))</f>
        <v/>
      </c>
      <c r="I132" s="4" t="str">
        <f aca="false">IF($A132="","",IF($H132="","",IF($H132&lt;=0,"Yes","No")))</f>
        <v/>
      </c>
      <c r="J132" s="4" t="str">
        <f aca="false">IF($A132="","",IF($I132="No",$E132,0))</f>
        <v/>
      </c>
      <c r="K132" s="22" t="str">
        <f aca="false">IF($A132="","",IF($F132="","",FLOOR($F132,0.5)))</f>
        <v/>
      </c>
      <c r="L132" s="39" t="str">
        <f aca="false">IF($A132="","",IF($H132="","",MAX(0,$H132)))</f>
        <v/>
      </c>
      <c r="M132" s="29" t="str">
        <f aca="false">IF($A132="","",IF($F132="","",COUNTIFS(Fact_Work!$B:$B,$A132,Fact_Work!$AL:$AL,$B132,Fact_Work!$AI:$AI,"Yes")))</f>
        <v/>
      </c>
    </row>
    <row r="133" customFormat="false" ht="15" hidden="false" customHeight="true" outlineLevel="0" collapsed="false">
      <c r="D133" s="4" t="str">
        <f aca="false">IF($A133="","",IFERROR(VLOOKUP($B133,Dim_TOP!$A:$B,2,0),""))</f>
        <v/>
      </c>
      <c r="E133" s="36" t="str">
        <f aca="false">IF($A133="","",COUNTIFS(Fact_Work!$B:$B,$A133,Fact_Work!$AL:$AL,$B133))</f>
        <v/>
      </c>
      <c r="F133" s="22" t="str">
        <f aca="false">IF($A133="","",IF(COUNTIFS(Fact_Work!$B:$B,$A133,Fact_Work!$AL:$AL,$B133,Fact_Work!$AN:$AN,"&gt;0")=0,"",_xlfn.MINIFS(Fact_Work!$AN:$AN,Fact_Work!$B:$B,$A133,Fact_Work!$AL:$AL,$B133,Fact_Work!$AN:$AN,"&gt;0")))</f>
        <v/>
      </c>
      <c r="G133" s="37" t="str">
        <f aca="false">IF($A133="","",IF($F133="","",$A133+$F133/24))</f>
        <v/>
      </c>
      <c r="H133" s="38" t="str">
        <f aca="false">IF($A133="","",IF($G133="","",ROUND(($C133-$G133)*1440,0)))</f>
        <v/>
      </c>
      <c r="I133" s="4" t="str">
        <f aca="false">IF($A133="","",IF($H133="","",IF($H133&lt;=0,"Yes","No")))</f>
        <v/>
      </c>
      <c r="J133" s="4" t="str">
        <f aca="false">IF($A133="","",IF($I133="No",$E133,0))</f>
        <v/>
      </c>
      <c r="K133" s="22" t="str">
        <f aca="false">IF($A133="","",IF($F133="","",FLOOR($F133,0.5)))</f>
        <v/>
      </c>
      <c r="L133" s="39" t="str">
        <f aca="false">IF($A133="","",IF($H133="","",MAX(0,$H133)))</f>
        <v/>
      </c>
      <c r="M133" s="29" t="str">
        <f aca="false">IF($A133="","",IF($F133="","",COUNTIFS(Fact_Work!$B:$B,$A133,Fact_Work!$AL:$AL,$B133,Fact_Work!$AI:$AI,"Yes")))</f>
        <v/>
      </c>
    </row>
    <row r="134" customFormat="false" ht="15" hidden="false" customHeight="true" outlineLevel="0" collapsed="false">
      <c r="D134" s="4" t="str">
        <f aca="false">IF($A134="","",IFERROR(VLOOKUP($B134,Dim_TOP!$A:$B,2,0),""))</f>
        <v/>
      </c>
      <c r="E134" s="36" t="str">
        <f aca="false">IF($A134="","",COUNTIFS(Fact_Work!$B:$B,$A134,Fact_Work!$AL:$AL,$B134))</f>
        <v/>
      </c>
      <c r="F134" s="22" t="str">
        <f aca="false">IF($A134="","",IF(COUNTIFS(Fact_Work!$B:$B,$A134,Fact_Work!$AL:$AL,$B134,Fact_Work!$AN:$AN,"&gt;0")=0,"",_xlfn.MINIFS(Fact_Work!$AN:$AN,Fact_Work!$B:$B,$A134,Fact_Work!$AL:$AL,$B134,Fact_Work!$AN:$AN,"&gt;0")))</f>
        <v/>
      </c>
      <c r="G134" s="37" t="str">
        <f aca="false">IF($A134="","",IF($F134="","",$A134+$F134/24))</f>
        <v/>
      </c>
      <c r="H134" s="38" t="str">
        <f aca="false">IF($A134="","",IF($G134="","",ROUND(($C134-$G134)*1440,0)))</f>
        <v/>
      </c>
      <c r="I134" s="4" t="str">
        <f aca="false">IF($A134="","",IF($H134="","",IF($H134&lt;=0,"Yes","No")))</f>
        <v/>
      </c>
      <c r="J134" s="4" t="str">
        <f aca="false">IF($A134="","",IF($I134="No",$E134,0))</f>
        <v/>
      </c>
      <c r="K134" s="22" t="str">
        <f aca="false">IF($A134="","",IF($F134="","",FLOOR($F134,0.5)))</f>
        <v/>
      </c>
      <c r="L134" s="39" t="str">
        <f aca="false">IF($A134="","",IF($H134="","",MAX(0,$H134)))</f>
        <v/>
      </c>
      <c r="M134" s="29" t="str">
        <f aca="false">IF($A134="","",IF($F134="","",COUNTIFS(Fact_Work!$B:$B,$A134,Fact_Work!$AL:$AL,$B134,Fact_Work!$AI:$AI,"Yes")))</f>
        <v/>
      </c>
    </row>
    <row r="135" customFormat="false" ht="15" hidden="false" customHeight="true" outlineLevel="0" collapsed="false">
      <c r="D135" s="4" t="str">
        <f aca="false">IF($A135="","",IFERROR(VLOOKUP($B135,Dim_TOP!$A:$B,2,0),""))</f>
        <v/>
      </c>
      <c r="E135" s="36" t="str">
        <f aca="false">IF($A135="","",COUNTIFS(Fact_Work!$B:$B,$A135,Fact_Work!$AL:$AL,$B135))</f>
        <v/>
      </c>
      <c r="F135" s="22" t="str">
        <f aca="false">IF($A135="","",IF(COUNTIFS(Fact_Work!$B:$B,$A135,Fact_Work!$AL:$AL,$B135,Fact_Work!$AN:$AN,"&gt;0")=0,"",_xlfn.MINIFS(Fact_Work!$AN:$AN,Fact_Work!$B:$B,$A135,Fact_Work!$AL:$AL,$B135,Fact_Work!$AN:$AN,"&gt;0")))</f>
        <v/>
      </c>
      <c r="G135" s="37" t="str">
        <f aca="false">IF($A135="","",IF($F135="","",$A135+$F135/24))</f>
        <v/>
      </c>
      <c r="H135" s="38" t="str">
        <f aca="false">IF($A135="","",IF($G135="","",ROUND(($C135-$G135)*1440,0)))</f>
        <v/>
      </c>
      <c r="I135" s="4" t="str">
        <f aca="false">IF($A135="","",IF($H135="","",IF($H135&lt;=0,"Yes","No")))</f>
        <v/>
      </c>
      <c r="J135" s="4" t="str">
        <f aca="false">IF($A135="","",IF($I135="No",$E135,0))</f>
        <v/>
      </c>
      <c r="K135" s="22" t="str">
        <f aca="false">IF($A135="","",IF($F135="","",FLOOR($F135,0.5)))</f>
        <v/>
      </c>
      <c r="L135" s="39" t="str">
        <f aca="false">IF($A135="","",IF($H135="","",MAX(0,$H135)))</f>
        <v/>
      </c>
      <c r="M135" s="29" t="str">
        <f aca="false">IF($A135="","",IF($F135="","",COUNTIFS(Fact_Work!$B:$B,$A135,Fact_Work!$AL:$AL,$B135,Fact_Work!$AI:$AI,"Yes")))</f>
        <v/>
      </c>
    </row>
    <row r="136" customFormat="false" ht="15" hidden="false" customHeight="true" outlineLevel="0" collapsed="false">
      <c r="D136" s="4" t="str">
        <f aca="false">IF($A136="","",IFERROR(VLOOKUP($B136,Dim_TOP!$A:$B,2,0),""))</f>
        <v/>
      </c>
      <c r="E136" s="36" t="str">
        <f aca="false">IF($A136="","",COUNTIFS(Fact_Work!$B:$B,$A136,Fact_Work!$AL:$AL,$B136))</f>
        <v/>
      </c>
      <c r="F136" s="22" t="str">
        <f aca="false">IF($A136="","",IF(COUNTIFS(Fact_Work!$B:$B,$A136,Fact_Work!$AL:$AL,$B136,Fact_Work!$AN:$AN,"&gt;0")=0,"",_xlfn.MINIFS(Fact_Work!$AN:$AN,Fact_Work!$B:$B,$A136,Fact_Work!$AL:$AL,$B136,Fact_Work!$AN:$AN,"&gt;0")))</f>
        <v/>
      </c>
      <c r="G136" s="37" t="str">
        <f aca="false">IF($A136="","",IF($F136="","",$A136+$F136/24))</f>
        <v/>
      </c>
      <c r="H136" s="38" t="str">
        <f aca="false">IF($A136="","",IF($G136="","",ROUND(($C136-$G136)*1440,0)))</f>
        <v/>
      </c>
      <c r="I136" s="4" t="str">
        <f aca="false">IF($A136="","",IF($H136="","",IF($H136&lt;=0,"Yes","No")))</f>
        <v/>
      </c>
      <c r="J136" s="4" t="str">
        <f aca="false">IF($A136="","",IF($I136="No",$E136,0))</f>
        <v/>
      </c>
      <c r="K136" s="22" t="str">
        <f aca="false">IF($A136="","",IF($F136="","",FLOOR($F136,0.5)))</f>
        <v/>
      </c>
      <c r="L136" s="39" t="str">
        <f aca="false">IF($A136="","",IF($H136="","",MAX(0,$H136)))</f>
        <v/>
      </c>
      <c r="M136" s="29" t="str">
        <f aca="false">IF($A136="","",IF($F136="","",COUNTIFS(Fact_Work!$B:$B,$A136,Fact_Work!$AL:$AL,$B136,Fact_Work!$AI:$AI,"Yes")))</f>
        <v/>
      </c>
    </row>
    <row r="137" customFormat="false" ht="15" hidden="false" customHeight="true" outlineLevel="0" collapsed="false">
      <c r="D137" s="4" t="str">
        <f aca="false">IF($A137="","",IFERROR(VLOOKUP($B137,Dim_TOP!$A:$B,2,0),""))</f>
        <v/>
      </c>
      <c r="E137" s="36" t="str">
        <f aca="false">IF($A137="","",COUNTIFS(Fact_Work!$B:$B,$A137,Fact_Work!$AL:$AL,$B137))</f>
        <v/>
      </c>
      <c r="F137" s="22" t="str">
        <f aca="false">IF($A137="","",IF(COUNTIFS(Fact_Work!$B:$B,$A137,Fact_Work!$AL:$AL,$B137,Fact_Work!$AN:$AN,"&gt;0")=0,"",_xlfn.MINIFS(Fact_Work!$AN:$AN,Fact_Work!$B:$B,$A137,Fact_Work!$AL:$AL,$B137,Fact_Work!$AN:$AN,"&gt;0")))</f>
        <v/>
      </c>
      <c r="G137" s="37" t="str">
        <f aca="false">IF($A137="","",IF($F137="","",$A137+$F137/24))</f>
        <v/>
      </c>
      <c r="H137" s="38" t="str">
        <f aca="false">IF($A137="","",IF($G137="","",ROUND(($C137-$G137)*1440,0)))</f>
        <v/>
      </c>
      <c r="I137" s="4" t="str">
        <f aca="false">IF($A137="","",IF($H137="","",IF($H137&lt;=0,"Yes","No")))</f>
        <v/>
      </c>
      <c r="J137" s="4" t="str">
        <f aca="false">IF($A137="","",IF($I137="No",$E137,0))</f>
        <v/>
      </c>
      <c r="K137" s="22" t="str">
        <f aca="false">IF($A137="","",IF($F137="","",FLOOR($F137,0.5)))</f>
        <v/>
      </c>
      <c r="L137" s="39" t="str">
        <f aca="false">IF($A137="","",IF($H137="","",MAX(0,$H137)))</f>
        <v/>
      </c>
      <c r="M137" s="29" t="str">
        <f aca="false">IF($A137="","",IF($F137="","",COUNTIFS(Fact_Work!$B:$B,$A137,Fact_Work!$AL:$AL,$B137,Fact_Work!$AI:$AI,"Yes")))</f>
        <v/>
      </c>
    </row>
    <row r="138" customFormat="false" ht="15" hidden="false" customHeight="true" outlineLevel="0" collapsed="false">
      <c r="D138" s="4" t="str">
        <f aca="false">IF($A138="","",IFERROR(VLOOKUP($B138,Dim_TOP!$A:$B,2,0),""))</f>
        <v/>
      </c>
      <c r="E138" s="36" t="str">
        <f aca="false">IF($A138="","",COUNTIFS(Fact_Work!$B:$B,$A138,Fact_Work!$AL:$AL,$B138))</f>
        <v/>
      </c>
      <c r="F138" s="22" t="str">
        <f aca="false">IF($A138="","",IF(COUNTIFS(Fact_Work!$B:$B,$A138,Fact_Work!$AL:$AL,$B138,Fact_Work!$AN:$AN,"&gt;0")=0,"",_xlfn.MINIFS(Fact_Work!$AN:$AN,Fact_Work!$B:$B,$A138,Fact_Work!$AL:$AL,$B138,Fact_Work!$AN:$AN,"&gt;0")))</f>
        <v/>
      </c>
      <c r="G138" s="37" t="str">
        <f aca="false">IF($A138="","",IF($F138="","",$A138+$F138/24))</f>
        <v/>
      </c>
      <c r="H138" s="38" t="str">
        <f aca="false">IF($A138="","",IF($G138="","",ROUND(($C138-$G138)*1440,0)))</f>
        <v/>
      </c>
      <c r="I138" s="4" t="str">
        <f aca="false">IF($A138="","",IF($H138="","",IF($H138&lt;=0,"Yes","No")))</f>
        <v/>
      </c>
      <c r="J138" s="4" t="str">
        <f aca="false">IF($A138="","",IF($I138="No",$E138,0))</f>
        <v/>
      </c>
      <c r="K138" s="22" t="str">
        <f aca="false">IF($A138="","",IF($F138="","",FLOOR($F138,0.5)))</f>
        <v/>
      </c>
      <c r="L138" s="39" t="str">
        <f aca="false">IF($A138="","",IF($H138="","",MAX(0,$H138)))</f>
        <v/>
      </c>
      <c r="M138" s="29" t="str">
        <f aca="false">IF($A138="","",IF($F138="","",COUNTIFS(Fact_Work!$B:$B,$A138,Fact_Work!$AL:$AL,$B138,Fact_Work!$AI:$AI,"Yes")))</f>
        <v/>
      </c>
    </row>
    <row r="139" customFormat="false" ht="15" hidden="false" customHeight="true" outlineLevel="0" collapsed="false">
      <c r="D139" s="4" t="str">
        <f aca="false">IF($A139="","",IFERROR(VLOOKUP($B139,Dim_TOP!$A:$B,2,0),""))</f>
        <v/>
      </c>
      <c r="E139" s="36" t="str">
        <f aca="false">IF($A139="","",COUNTIFS(Fact_Work!$B:$B,$A139,Fact_Work!$AL:$AL,$B139))</f>
        <v/>
      </c>
      <c r="F139" s="22" t="str">
        <f aca="false">IF($A139="","",IF(COUNTIFS(Fact_Work!$B:$B,$A139,Fact_Work!$AL:$AL,$B139,Fact_Work!$AN:$AN,"&gt;0")=0,"",_xlfn.MINIFS(Fact_Work!$AN:$AN,Fact_Work!$B:$B,$A139,Fact_Work!$AL:$AL,$B139,Fact_Work!$AN:$AN,"&gt;0")))</f>
        <v/>
      </c>
      <c r="G139" s="37" t="str">
        <f aca="false">IF($A139="","",IF($F139="","",$A139+$F139/24))</f>
        <v/>
      </c>
      <c r="H139" s="38" t="str">
        <f aca="false">IF($A139="","",IF($G139="","",ROUND(($C139-$G139)*1440,0)))</f>
        <v/>
      </c>
      <c r="I139" s="4" t="str">
        <f aca="false">IF($A139="","",IF($H139="","",IF($H139&lt;=0,"Yes","No")))</f>
        <v/>
      </c>
      <c r="J139" s="4" t="str">
        <f aca="false">IF($A139="","",IF($I139="No",$E139,0))</f>
        <v/>
      </c>
      <c r="K139" s="22" t="str">
        <f aca="false">IF($A139="","",IF($F139="","",FLOOR($F139,0.5)))</f>
        <v/>
      </c>
      <c r="L139" s="39" t="str">
        <f aca="false">IF($A139="","",IF($H139="","",MAX(0,$H139)))</f>
        <v/>
      </c>
      <c r="M139" s="29" t="str">
        <f aca="false">IF($A139="","",IF($F139="","",COUNTIFS(Fact_Work!$B:$B,$A139,Fact_Work!$AL:$AL,$B139,Fact_Work!$AI:$AI,"Yes")))</f>
        <v/>
      </c>
    </row>
    <row r="140" customFormat="false" ht="15" hidden="false" customHeight="true" outlineLevel="0" collapsed="false">
      <c r="D140" s="4" t="str">
        <f aca="false">IF($A140="","",IFERROR(VLOOKUP($B140,Dim_TOP!$A:$B,2,0),""))</f>
        <v/>
      </c>
      <c r="E140" s="36" t="str">
        <f aca="false">IF($A140="","",COUNTIFS(Fact_Work!$B:$B,$A140,Fact_Work!$AL:$AL,$B140))</f>
        <v/>
      </c>
      <c r="F140" s="22" t="str">
        <f aca="false">IF($A140="","",IF(COUNTIFS(Fact_Work!$B:$B,$A140,Fact_Work!$AL:$AL,$B140,Fact_Work!$AN:$AN,"&gt;0")=0,"",_xlfn.MINIFS(Fact_Work!$AN:$AN,Fact_Work!$B:$B,$A140,Fact_Work!$AL:$AL,$B140,Fact_Work!$AN:$AN,"&gt;0")))</f>
        <v/>
      </c>
      <c r="G140" s="37" t="str">
        <f aca="false">IF($A140="","",IF($F140="","",$A140+$F140/24))</f>
        <v/>
      </c>
      <c r="H140" s="38" t="str">
        <f aca="false">IF($A140="","",IF($G140="","",ROUND(($C140-$G140)*1440,0)))</f>
        <v/>
      </c>
      <c r="I140" s="4" t="str">
        <f aca="false">IF($A140="","",IF($H140="","",IF($H140&lt;=0,"Yes","No")))</f>
        <v/>
      </c>
      <c r="J140" s="4" t="str">
        <f aca="false">IF($A140="","",IF($I140="No",$E140,0))</f>
        <v/>
      </c>
      <c r="K140" s="22" t="str">
        <f aca="false">IF($A140="","",IF($F140="","",FLOOR($F140,0.5)))</f>
        <v/>
      </c>
      <c r="L140" s="39" t="str">
        <f aca="false">IF($A140="","",IF($H140="","",MAX(0,$H140)))</f>
        <v/>
      </c>
      <c r="M140" s="29" t="str">
        <f aca="false">IF($A140="","",IF($F140="","",COUNTIFS(Fact_Work!$B:$B,$A140,Fact_Work!$AL:$AL,$B140,Fact_Work!$AI:$AI,"Yes")))</f>
        <v/>
      </c>
    </row>
    <row r="141" customFormat="false" ht="15" hidden="false" customHeight="true" outlineLevel="0" collapsed="false">
      <c r="D141" s="4" t="str">
        <f aca="false">IF($A141="","",IFERROR(VLOOKUP($B141,Dim_TOP!$A:$B,2,0),""))</f>
        <v/>
      </c>
      <c r="E141" s="36" t="str">
        <f aca="false">IF($A141="","",COUNTIFS(Fact_Work!$B:$B,$A141,Fact_Work!$AL:$AL,$B141))</f>
        <v/>
      </c>
      <c r="F141" s="22" t="str">
        <f aca="false">IF($A141="","",IF(COUNTIFS(Fact_Work!$B:$B,$A141,Fact_Work!$AL:$AL,$B141,Fact_Work!$AN:$AN,"&gt;0")=0,"",_xlfn.MINIFS(Fact_Work!$AN:$AN,Fact_Work!$B:$B,$A141,Fact_Work!$AL:$AL,$B141,Fact_Work!$AN:$AN,"&gt;0")))</f>
        <v/>
      </c>
      <c r="G141" s="37" t="str">
        <f aca="false">IF($A141="","",IF($F141="","",$A141+$F141/24))</f>
        <v/>
      </c>
      <c r="H141" s="38" t="str">
        <f aca="false">IF($A141="","",IF($G141="","",ROUND(($C141-$G141)*1440,0)))</f>
        <v/>
      </c>
      <c r="I141" s="4" t="str">
        <f aca="false">IF($A141="","",IF($H141="","",IF($H141&lt;=0,"Yes","No")))</f>
        <v/>
      </c>
      <c r="J141" s="4" t="str">
        <f aca="false">IF($A141="","",IF($I141="No",$E141,0))</f>
        <v/>
      </c>
      <c r="K141" s="22" t="str">
        <f aca="false">IF($A141="","",IF($F141="","",FLOOR($F141,0.5)))</f>
        <v/>
      </c>
      <c r="L141" s="39" t="str">
        <f aca="false">IF($A141="","",IF($H141="","",MAX(0,$H141)))</f>
        <v/>
      </c>
      <c r="M141" s="29" t="str">
        <f aca="false">IF($A141="","",IF($F141="","",COUNTIFS(Fact_Work!$B:$B,$A141,Fact_Work!$AL:$AL,$B141,Fact_Work!$AI:$AI,"Yes")))</f>
        <v/>
      </c>
    </row>
    <row r="142" customFormat="false" ht="15" hidden="false" customHeight="true" outlineLevel="0" collapsed="false">
      <c r="D142" s="4" t="str">
        <f aca="false">IF($A142="","",IFERROR(VLOOKUP($B142,Dim_TOP!$A:$B,2,0),""))</f>
        <v/>
      </c>
      <c r="E142" s="36" t="str">
        <f aca="false">IF($A142="","",COUNTIFS(Fact_Work!$B:$B,$A142,Fact_Work!$AL:$AL,$B142))</f>
        <v/>
      </c>
      <c r="F142" s="22" t="str">
        <f aca="false">IF($A142="","",IF(COUNTIFS(Fact_Work!$B:$B,$A142,Fact_Work!$AL:$AL,$B142,Fact_Work!$AN:$AN,"&gt;0")=0,"",_xlfn.MINIFS(Fact_Work!$AN:$AN,Fact_Work!$B:$B,$A142,Fact_Work!$AL:$AL,$B142,Fact_Work!$AN:$AN,"&gt;0")))</f>
        <v/>
      </c>
      <c r="G142" s="37" t="str">
        <f aca="false">IF($A142="","",IF($F142="","",$A142+$F142/24))</f>
        <v/>
      </c>
      <c r="H142" s="38" t="str">
        <f aca="false">IF($A142="","",IF($G142="","",ROUND(($C142-$G142)*1440,0)))</f>
        <v/>
      </c>
      <c r="I142" s="4" t="str">
        <f aca="false">IF($A142="","",IF($H142="","",IF($H142&lt;=0,"Yes","No")))</f>
        <v/>
      </c>
      <c r="J142" s="4" t="str">
        <f aca="false">IF($A142="","",IF($I142="No",$E142,0))</f>
        <v/>
      </c>
      <c r="K142" s="22" t="str">
        <f aca="false">IF($A142="","",IF($F142="","",FLOOR($F142,0.5)))</f>
        <v/>
      </c>
      <c r="L142" s="39" t="str">
        <f aca="false">IF($A142="","",IF($H142="","",MAX(0,$H142)))</f>
        <v/>
      </c>
      <c r="M142" s="29" t="str">
        <f aca="false">IF($A142="","",IF($F142="","",COUNTIFS(Fact_Work!$B:$B,$A142,Fact_Work!$AL:$AL,$B142,Fact_Work!$AI:$AI,"Yes")))</f>
        <v/>
      </c>
    </row>
    <row r="143" customFormat="false" ht="15" hidden="false" customHeight="true" outlineLevel="0" collapsed="false">
      <c r="D143" s="4" t="str">
        <f aca="false">IF($A143="","",IFERROR(VLOOKUP($B143,Dim_TOP!$A:$B,2,0),""))</f>
        <v/>
      </c>
      <c r="E143" s="36" t="str">
        <f aca="false">IF($A143="","",COUNTIFS(Fact_Work!$B:$B,$A143,Fact_Work!$AL:$AL,$B143))</f>
        <v/>
      </c>
      <c r="F143" s="22" t="str">
        <f aca="false">IF($A143="","",IF(COUNTIFS(Fact_Work!$B:$B,$A143,Fact_Work!$AL:$AL,$B143,Fact_Work!$AN:$AN,"&gt;0")=0,"",_xlfn.MINIFS(Fact_Work!$AN:$AN,Fact_Work!$B:$B,$A143,Fact_Work!$AL:$AL,$B143,Fact_Work!$AN:$AN,"&gt;0")))</f>
        <v/>
      </c>
      <c r="G143" s="37" t="str">
        <f aca="false">IF($A143="","",IF($F143="","",$A143+$F143/24))</f>
        <v/>
      </c>
      <c r="H143" s="38" t="str">
        <f aca="false">IF($A143="","",IF($G143="","",ROUND(($C143-$G143)*1440,0)))</f>
        <v/>
      </c>
      <c r="I143" s="4" t="str">
        <f aca="false">IF($A143="","",IF($H143="","",IF($H143&lt;=0,"Yes","No")))</f>
        <v/>
      </c>
      <c r="J143" s="4" t="str">
        <f aca="false">IF($A143="","",IF($I143="No",$E143,0))</f>
        <v/>
      </c>
      <c r="K143" s="22" t="str">
        <f aca="false">IF($A143="","",IF($F143="","",FLOOR($F143,0.5)))</f>
        <v/>
      </c>
      <c r="L143" s="39" t="str">
        <f aca="false">IF($A143="","",IF($H143="","",MAX(0,$H143)))</f>
        <v/>
      </c>
      <c r="M143" s="29" t="str">
        <f aca="false">IF($A143="","",IF($F143="","",COUNTIFS(Fact_Work!$B:$B,$A143,Fact_Work!$AL:$AL,$B143,Fact_Work!$AI:$AI,"Yes")))</f>
        <v/>
      </c>
    </row>
    <row r="144" customFormat="false" ht="15" hidden="false" customHeight="true" outlineLevel="0" collapsed="false">
      <c r="D144" s="4" t="str">
        <f aca="false">IF($A144="","",IFERROR(VLOOKUP($B144,Dim_TOP!$A:$B,2,0),""))</f>
        <v/>
      </c>
      <c r="E144" s="36" t="str">
        <f aca="false">IF($A144="","",COUNTIFS(Fact_Work!$B:$B,$A144,Fact_Work!$AL:$AL,$B144))</f>
        <v/>
      </c>
      <c r="F144" s="22" t="str">
        <f aca="false">IF($A144="","",IF(COUNTIFS(Fact_Work!$B:$B,$A144,Fact_Work!$AL:$AL,$B144,Fact_Work!$AN:$AN,"&gt;0")=0,"",_xlfn.MINIFS(Fact_Work!$AN:$AN,Fact_Work!$B:$B,$A144,Fact_Work!$AL:$AL,$B144,Fact_Work!$AN:$AN,"&gt;0")))</f>
        <v/>
      </c>
      <c r="G144" s="37" t="str">
        <f aca="false">IF($A144="","",IF($F144="","",$A144+$F144/24))</f>
        <v/>
      </c>
      <c r="H144" s="38" t="str">
        <f aca="false">IF($A144="","",IF($G144="","",ROUND(($C144-$G144)*1440,0)))</f>
        <v/>
      </c>
      <c r="I144" s="4" t="str">
        <f aca="false">IF($A144="","",IF($H144="","",IF($H144&lt;=0,"Yes","No")))</f>
        <v/>
      </c>
      <c r="J144" s="4" t="str">
        <f aca="false">IF($A144="","",IF($I144="No",$E144,0))</f>
        <v/>
      </c>
      <c r="K144" s="22" t="str">
        <f aca="false">IF($A144="","",IF($F144="","",FLOOR($F144,0.5)))</f>
        <v/>
      </c>
      <c r="L144" s="39" t="str">
        <f aca="false">IF($A144="","",IF($H144="","",MAX(0,$H144)))</f>
        <v/>
      </c>
      <c r="M144" s="29" t="str">
        <f aca="false">IF($A144="","",IF($F144="","",COUNTIFS(Fact_Work!$B:$B,$A144,Fact_Work!$AL:$AL,$B144,Fact_Work!$AI:$AI,"Yes")))</f>
        <v/>
      </c>
    </row>
    <row r="145" customFormat="false" ht="15" hidden="false" customHeight="true" outlineLevel="0" collapsed="false">
      <c r="D145" s="4" t="str">
        <f aca="false">IF($A145="","",IFERROR(VLOOKUP($B145,Dim_TOP!$A:$B,2,0),""))</f>
        <v/>
      </c>
      <c r="E145" s="36" t="str">
        <f aca="false">IF($A145="","",COUNTIFS(Fact_Work!$B:$B,$A145,Fact_Work!$AL:$AL,$B145))</f>
        <v/>
      </c>
      <c r="F145" s="22" t="str">
        <f aca="false">IF($A145="","",IF(COUNTIFS(Fact_Work!$B:$B,$A145,Fact_Work!$AL:$AL,$B145,Fact_Work!$AN:$AN,"&gt;0")=0,"",_xlfn.MINIFS(Fact_Work!$AN:$AN,Fact_Work!$B:$B,$A145,Fact_Work!$AL:$AL,$B145,Fact_Work!$AN:$AN,"&gt;0")))</f>
        <v/>
      </c>
      <c r="G145" s="37" t="str">
        <f aca="false">IF($A145="","",IF($F145="","",$A145+$F145/24))</f>
        <v/>
      </c>
      <c r="H145" s="38" t="str">
        <f aca="false">IF($A145="","",IF($G145="","",ROUND(($C145-$G145)*1440,0)))</f>
        <v/>
      </c>
      <c r="I145" s="4" t="str">
        <f aca="false">IF($A145="","",IF($H145="","",IF($H145&lt;=0,"Yes","No")))</f>
        <v/>
      </c>
      <c r="J145" s="4" t="str">
        <f aca="false">IF($A145="","",IF($I145="No",$E145,0))</f>
        <v/>
      </c>
      <c r="K145" s="22" t="str">
        <f aca="false">IF($A145="","",IF($F145="","",FLOOR($F145,0.5)))</f>
        <v/>
      </c>
      <c r="L145" s="39" t="str">
        <f aca="false">IF($A145="","",IF($H145="","",MAX(0,$H145)))</f>
        <v/>
      </c>
      <c r="M145" s="29" t="str">
        <f aca="false">IF($A145="","",IF($F145="","",COUNTIFS(Fact_Work!$B:$B,$A145,Fact_Work!$AL:$AL,$B145,Fact_Work!$AI:$AI,"Yes")))</f>
        <v/>
      </c>
    </row>
    <row r="146" customFormat="false" ht="15" hidden="false" customHeight="true" outlineLevel="0" collapsed="false">
      <c r="D146" s="4" t="str">
        <f aca="false">IF($A146="","",IFERROR(VLOOKUP($B146,Dim_TOP!$A:$B,2,0),""))</f>
        <v/>
      </c>
      <c r="E146" s="36" t="str">
        <f aca="false">IF($A146="","",COUNTIFS(Fact_Work!$B:$B,$A146,Fact_Work!$AL:$AL,$B146))</f>
        <v/>
      </c>
      <c r="F146" s="22" t="str">
        <f aca="false">IF($A146="","",IF(COUNTIFS(Fact_Work!$B:$B,$A146,Fact_Work!$AL:$AL,$B146,Fact_Work!$AN:$AN,"&gt;0")=0,"",_xlfn.MINIFS(Fact_Work!$AN:$AN,Fact_Work!$B:$B,$A146,Fact_Work!$AL:$AL,$B146,Fact_Work!$AN:$AN,"&gt;0")))</f>
        <v/>
      </c>
      <c r="G146" s="37" t="str">
        <f aca="false">IF($A146="","",IF($F146="","",$A146+$F146/24))</f>
        <v/>
      </c>
      <c r="H146" s="38" t="str">
        <f aca="false">IF($A146="","",IF($G146="","",ROUND(($C146-$G146)*1440,0)))</f>
        <v/>
      </c>
      <c r="I146" s="4" t="str">
        <f aca="false">IF($A146="","",IF($H146="","",IF($H146&lt;=0,"Yes","No")))</f>
        <v/>
      </c>
      <c r="J146" s="4" t="str">
        <f aca="false">IF($A146="","",IF($I146="No",$E146,0))</f>
        <v/>
      </c>
      <c r="K146" s="22" t="str">
        <f aca="false">IF($A146="","",IF($F146="","",FLOOR($F146,0.5)))</f>
        <v/>
      </c>
      <c r="L146" s="39" t="str">
        <f aca="false">IF($A146="","",IF($H146="","",MAX(0,$H146)))</f>
        <v/>
      </c>
      <c r="M146" s="29" t="str">
        <f aca="false">IF($A146="","",IF($F146="","",COUNTIFS(Fact_Work!$B:$B,$A146,Fact_Work!$AL:$AL,$B146,Fact_Work!$AI:$AI,"Yes")))</f>
        <v/>
      </c>
    </row>
    <row r="147" customFormat="false" ht="15" hidden="false" customHeight="true" outlineLevel="0" collapsed="false">
      <c r="D147" s="4" t="str">
        <f aca="false">IF($A147="","",IFERROR(VLOOKUP($B147,Dim_TOP!$A:$B,2,0),""))</f>
        <v/>
      </c>
      <c r="E147" s="36" t="str">
        <f aca="false">IF($A147="","",COUNTIFS(Fact_Work!$B:$B,$A147,Fact_Work!$AL:$AL,$B147))</f>
        <v/>
      </c>
      <c r="F147" s="22" t="str">
        <f aca="false">IF($A147="","",IF(COUNTIFS(Fact_Work!$B:$B,$A147,Fact_Work!$AL:$AL,$B147,Fact_Work!$AN:$AN,"&gt;0")=0,"",_xlfn.MINIFS(Fact_Work!$AN:$AN,Fact_Work!$B:$B,$A147,Fact_Work!$AL:$AL,$B147,Fact_Work!$AN:$AN,"&gt;0")))</f>
        <v/>
      </c>
      <c r="G147" s="37" t="str">
        <f aca="false">IF($A147="","",IF($F147="","",$A147+$F147/24))</f>
        <v/>
      </c>
      <c r="H147" s="38" t="str">
        <f aca="false">IF($A147="","",IF($G147="","",ROUND(($C147-$G147)*1440,0)))</f>
        <v/>
      </c>
      <c r="I147" s="4" t="str">
        <f aca="false">IF($A147="","",IF($H147="","",IF($H147&lt;=0,"Yes","No")))</f>
        <v/>
      </c>
      <c r="J147" s="4" t="str">
        <f aca="false">IF($A147="","",IF($I147="No",$E147,0))</f>
        <v/>
      </c>
      <c r="K147" s="22" t="str">
        <f aca="false">IF($A147="","",IF($F147="","",FLOOR($F147,0.5)))</f>
        <v/>
      </c>
      <c r="L147" s="39" t="str">
        <f aca="false">IF($A147="","",IF($H147="","",MAX(0,$H147)))</f>
        <v/>
      </c>
      <c r="M147" s="29" t="str">
        <f aca="false">IF($A147="","",IF($F147="","",COUNTIFS(Fact_Work!$B:$B,$A147,Fact_Work!$AL:$AL,$B147,Fact_Work!$AI:$AI,"Yes")))</f>
        <v/>
      </c>
    </row>
    <row r="148" customFormat="false" ht="15" hidden="false" customHeight="true" outlineLevel="0" collapsed="false">
      <c r="D148" s="4" t="str">
        <f aca="false">IF($A148="","",IFERROR(VLOOKUP($B148,Dim_TOP!$A:$B,2,0),""))</f>
        <v/>
      </c>
      <c r="E148" s="36" t="str">
        <f aca="false">IF($A148="","",COUNTIFS(Fact_Work!$B:$B,$A148,Fact_Work!$AL:$AL,$B148))</f>
        <v/>
      </c>
      <c r="F148" s="22" t="str">
        <f aca="false">IF($A148="","",IF(COUNTIFS(Fact_Work!$B:$B,$A148,Fact_Work!$AL:$AL,$B148,Fact_Work!$AN:$AN,"&gt;0")=0,"",_xlfn.MINIFS(Fact_Work!$AN:$AN,Fact_Work!$B:$B,$A148,Fact_Work!$AL:$AL,$B148,Fact_Work!$AN:$AN,"&gt;0")))</f>
        <v/>
      </c>
      <c r="G148" s="37" t="str">
        <f aca="false">IF($A148="","",IF($F148="","",$A148+$F148/24))</f>
        <v/>
      </c>
      <c r="H148" s="38" t="str">
        <f aca="false">IF($A148="","",IF($G148="","",ROUND(($C148-$G148)*1440,0)))</f>
        <v/>
      </c>
      <c r="I148" s="4" t="str">
        <f aca="false">IF($A148="","",IF($H148="","",IF($H148&lt;=0,"Yes","No")))</f>
        <v/>
      </c>
      <c r="J148" s="4" t="str">
        <f aca="false">IF($A148="","",IF($I148="No",$E148,0))</f>
        <v/>
      </c>
      <c r="K148" s="22" t="str">
        <f aca="false">IF($A148="","",IF($F148="","",FLOOR($F148,0.5)))</f>
        <v/>
      </c>
      <c r="L148" s="39" t="str">
        <f aca="false">IF($A148="","",IF($H148="","",MAX(0,$H148)))</f>
        <v/>
      </c>
      <c r="M148" s="29" t="str">
        <f aca="false">IF($A148="","",IF($F148="","",COUNTIFS(Fact_Work!$B:$B,$A148,Fact_Work!$AL:$AL,$B148,Fact_Work!$AI:$AI,"Yes")))</f>
        <v/>
      </c>
    </row>
    <row r="149" customFormat="false" ht="15" hidden="false" customHeight="true" outlineLevel="0" collapsed="false">
      <c r="D149" s="4" t="str">
        <f aca="false">IF($A149="","",IFERROR(VLOOKUP($B149,Dim_TOP!$A:$B,2,0),""))</f>
        <v/>
      </c>
      <c r="E149" s="36" t="str">
        <f aca="false">IF($A149="","",COUNTIFS(Fact_Work!$B:$B,$A149,Fact_Work!$AL:$AL,$B149))</f>
        <v/>
      </c>
      <c r="F149" s="22" t="str">
        <f aca="false">IF($A149="","",IF(COUNTIFS(Fact_Work!$B:$B,$A149,Fact_Work!$AL:$AL,$B149,Fact_Work!$AN:$AN,"&gt;0")=0,"",_xlfn.MINIFS(Fact_Work!$AN:$AN,Fact_Work!$B:$B,$A149,Fact_Work!$AL:$AL,$B149,Fact_Work!$AN:$AN,"&gt;0")))</f>
        <v/>
      </c>
      <c r="G149" s="37" t="str">
        <f aca="false">IF($A149="","",IF($F149="","",$A149+$F149/24))</f>
        <v/>
      </c>
      <c r="H149" s="38" t="str">
        <f aca="false">IF($A149="","",IF($G149="","",ROUND(($C149-$G149)*1440,0)))</f>
        <v/>
      </c>
      <c r="I149" s="4" t="str">
        <f aca="false">IF($A149="","",IF($H149="","",IF($H149&lt;=0,"Yes","No")))</f>
        <v/>
      </c>
      <c r="J149" s="4" t="str">
        <f aca="false">IF($A149="","",IF($I149="No",$E149,0))</f>
        <v/>
      </c>
      <c r="K149" s="22" t="str">
        <f aca="false">IF($A149="","",IF($F149="","",FLOOR($F149,0.5)))</f>
        <v/>
      </c>
      <c r="L149" s="39" t="str">
        <f aca="false">IF($A149="","",IF($H149="","",MAX(0,$H149)))</f>
        <v/>
      </c>
      <c r="M149" s="29" t="str">
        <f aca="false">IF($A149="","",IF($F149="","",COUNTIFS(Fact_Work!$B:$B,$A149,Fact_Work!$AL:$AL,$B149,Fact_Work!$AI:$AI,"Yes")))</f>
        <v/>
      </c>
    </row>
    <row r="150" customFormat="false" ht="15" hidden="false" customHeight="true" outlineLevel="0" collapsed="false">
      <c r="D150" s="4" t="str">
        <f aca="false">IF($A150="","",IFERROR(VLOOKUP($B150,Dim_TOP!$A:$B,2,0),""))</f>
        <v/>
      </c>
      <c r="E150" s="36" t="str">
        <f aca="false">IF($A150="","",COUNTIFS(Fact_Work!$B:$B,$A150,Fact_Work!$AL:$AL,$B150))</f>
        <v/>
      </c>
      <c r="F150" s="22" t="str">
        <f aca="false">IF($A150="","",IF(COUNTIFS(Fact_Work!$B:$B,$A150,Fact_Work!$AL:$AL,$B150,Fact_Work!$AN:$AN,"&gt;0")=0,"",_xlfn.MINIFS(Fact_Work!$AN:$AN,Fact_Work!$B:$B,$A150,Fact_Work!$AL:$AL,$B150,Fact_Work!$AN:$AN,"&gt;0")))</f>
        <v/>
      </c>
      <c r="G150" s="37" t="str">
        <f aca="false">IF($A150="","",IF($F150="","",$A150+$F150/24))</f>
        <v/>
      </c>
      <c r="H150" s="38" t="str">
        <f aca="false">IF($A150="","",IF($G150="","",ROUND(($C150-$G150)*1440,0)))</f>
        <v/>
      </c>
      <c r="I150" s="4" t="str">
        <f aca="false">IF($A150="","",IF($H150="","",IF($H150&lt;=0,"Yes","No")))</f>
        <v/>
      </c>
      <c r="J150" s="4" t="str">
        <f aca="false">IF($A150="","",IF($I150="No",$E150,0))</f>
        <v/>
      </c>
      <c r="K150" s="22" t="str">
        <f aca="false">IF($A150="","",IF($F150="","",FLOOR($F150,0.5)))</f>
        <v/>
      </c>
      <c r="L150" s="39" t="str">
        <f aca="false">IF($A150="","",IF($H150="","",MAX(0,$H150)))</f>
        <v/>
      </c>
      <c r="M150" s="29" t="str">
        <f aca="false">IF($A150="","",IF($F150="","",COUNTIFS(Fact_Work!$B:$B,$A150,Fact_Work!$AL:$AL,$B150,Fact_Work!$AI:$AI,"Yes")))</f>
        <v/>
      </c>
    </row>
    <row r="151" customFormat="false" ht="15" hidden="false" customHeight="true" outlineLevel="0" collapsed="false">
      <c r="D151" s="4" t="str">
        <f aca="false">IF($A151="","",IFERROR(VLOOKUP($B151,Dim_TOP!$A:$B,2,0),""))</f>
        <v/>
      </c>
      <c r="E151" s="36" t="str">
        <f aca="false">IF($A151="","",COUNTIFS(Fact_Work!$B:$B,$A151,Fact_Work!$AL:$AL,$B151))</f>
        <v/>
      </c>
      <c r="F151" s="22" t="str">
        <f aca="false">IF($A151="","",IF(COUNTIFS(Fact_Work!$B:$B,$A151,Fact_Work!$AL:$AL,$B151,Fact_Work!$AN:$AN,"&gt;0")=0,"",_xlfn.MINIFS(Fact_Work!$AN:$AN,Fact_Work!$B:$B,$A151,Fact_Work!$AL:$AL,$B151,Fact_Work!$AN:$AN,"&gt;0")))</f>
        <v/>
      </c>
      <c r="G151" s="37" t="str">
        <f aca="false">IF($A151="","",IF($F151="","",$A151+$F151/24))</f>
        <v/>
      </c>
      <c r="H151" s="38" t="str">
        <f aca="false">IF($A151="","",IF($G151="","",ROUND(($C151-$G151)*1440,0)))</f>
        <v/>
      </c>
      <c r="I151" s="4" t="str">
        <f aca="false">IF($A151="","",IF($H151="","",IF($H151&lt;=0,"Yes","No")))</f>
        <v/>
      </c>
      <c r="J151" s="4" t="str">
        <f aca="false">IF($A151="","",IF($I151="No",$E151,0))</f>
        <v/>
      </c>
      <c r="K151" s="22" t="str">
        <f aca="false">IF($A151="","",IF($F151="","",FLOOR($F151,0.5)))</f>
        <v/>
      </c>
      <c r="L151" s="39" t="str">
        <f aca="false">IF($A151="","",IF($H151="","",MAX(0,$H151)))</f>
        <v/>
      </c>
      <c r="M151" s="29" t="str">
        <f aca="false">IF($A151="","",IF($F151="","",COUNTIFS(Fact_Work!$B:$B,$A151,Fact_Work!$AL:$AL,$B151,Fact_Work!$AI:$AI,"Yes")))</f>
        <v/>
      </c>
    </row>
    <row r="152" customFormat="false" ht="15" hidden="false" customHeight="true" outlineLevel="0" collapsed="false">
      <c r="D152" s="4" t="str">
        <f aca="false">IF($A152="","",IFERROR(VLOOKUP($B152,Dim_TOP!$A:$B,2,0),""))</f>
        <v/>
      </c>
      <c r="E152" s="36" t="str">
        <f aca="false">IF($A152="","",COUNTIFS(Fact_Work!$B:$B,$A152,Fact_Work!$AL:$AL,$B152))</f>
        <v/>
      </c>
      <c r="F152" s="22" t="str">
        <f aca="false">IF($A152="","",IF(COUNTIFS(Fact_Work!$B:$B,$A152,Fact_Work!$AL:$AL,$B152,Fact_Work!$AN:$AN,"&gt;0")=0,"",_xlfn.MINIFS(Fact_Work!$AN:$AN,Fact_Work!$B:$B,$A152,Fact_Work!$AL:$AL,$B152,Fact_Work!$AN:$AN,"&gt;0")))</f>
        <v/>
      </c>
      <c r="G152" s="37" t="str">
        <f aca="false">IF($A152="","",IF($F152="","",$A152+$F152/24))</f>
        <v/>
      </c>
      <c r="H152" s="38" t="str">
        <f aca="false">IF($A152="","",IF($G152="","",ROUND(($C152-$G152)*1440,0)))</f>
        <v/>
      </c>
      <c r="I152" s="4" t="str">
        <f aca="false">IF($A152="","",IF($H152="","",IF($H152&lt;=0,"Yes","No")))</f>
        <v/>
      </c>
      <c r="J152" s="4" t="str">
        <f aca="false">IF($A152="","",IF($I152="No",$E152,0))</f>
        <v/>
      </c>
      <c r="K152" s="22" t="str">
        <f aca="false">IF($A152="","",IF($F152="","",FLOOR($F152,0.5)))</f>
        <v/>
      </c>
      <c r="L152" s="39" t="str">
        <f aca="false">IF($A152="","",IF($H152="","",MAX(0,$H152)))</f>
        <v/>
      </c>
      <c r="M152" s="29" t="str">
        <f aca="false">IF($A152="","",IF($F152="","",COUNTIFS(Fact_Work!$B:$B,$A152,Fact_Work!$AL:$AL,$B152,Fact_Work!$AI:$AI,"Yes")))</f>
        <v/>
      </c>
    </row>
    <row r="153" customFormat="false" ht="15" hidden="false" customHeight="true" outlineLevel="0" collapsed="false">
      <c r="D153" s="4" t="str">
        <f aca="false">IF($A153="","",IFERROR(VLOOKUP($B153,Dim_TOP!$A:$B,2,0),""))</f>
        <v/>
      </c>
      <c r="E153" s="36" t="str">
        <f aca="false">IF($A153="","",COUNTIFS(Fact_Work!$B:$B,$A153,Fact_Work!$AL:$AL,$B153))</f>
        <v/>
      </c>
      <c r="F153" s="22" t="str">
        <f aca="false">IF($A153="","",IF(COUNTIFS(Fact_Work!$B:$B,$A153,Fact_Work!$AL:$AL,$B153,Fact_Work!$AN:$AN,"&gt;0")=0,"",_xlfn.MINIFS(Fact_Work!$AN:$AN,Fact_Work!$B:$B,$A153,Fact_Work!$AL:$AL,$B153,Fact_Work!$AN:$AN,"&gt;0")))</f>
        <v/>
      </c>
      <c r="G153" s="37" t="str">
        <f aca="false">IF($A153="","",IF($F153="","",$A153+$F153/24))</f>
        <v/>
      </c>
      <c r="H153" s="38" t="str">
        <f aca="false">IF($A153="","",IF($G153="","",ROUND(($C153-$G153)*1440,0)))</f>
        <v/>
      </c>
      <c r="I153" s="4" t="str">
        <f aca="false">IF($A153="","",IF($H153="","",IF($H153&lt;=0,"Yes","No")))</f>
        <v/>
      </c>
      <c r="J153" s="4" t="str">
        <f aca="false">IF($A153="","",IF($I153="No",$E153,0))</f>
        <v/>
      </c>
      <c r="K153" s="22" t="str">
        <f aca="false">IF($A153="","",IF($F153="","",FLOOR($F153,0.5)))</f>
        <v/>
      </c>
      <c r="L153" s="39" t="str">
        <f aca="false">IF($A153="","",IF($H153="","",MAX(0,$H153)))</f>
        <v/>
      </c>
      <c r="M153" s="29" t="str">
        <f aca="false">IF($A153="","",IF($F153="","",COUNTIFS(Fact_Work!$B:$B,$A153,Fact_Work!$AL:$AL,$B153,Fact_Work!$AI:$AI,"Yes")))</f>
        <v/>
      </c>
    </row>
    <row r="154" customFormat="false" ht="15" hidden="false" customHeight="true" outlineLevel="0" collapsed="false">
      <c r="D154" s="4" t="str">
        <f aca="false">IF($A154="","",IFERROR(VLOOKUP($B154,Dim_TOP!$A:$B,2,0),""))</f>
        <v/>
      </c>
      <c r="E154" s="36" t="str">
        <f aca="false">IF($A154="","",COUNTIFS(Fact_Work!$B:$B,$A154,Fact_Work!$AL:$AL,$B154))</f>
        <v/>
      </c>
      <c r="F154" s="22" t="str">
        <f aca="false">IF($A154="","",IF(COUNTIFS(Fact_Work!$B:$B,$A154,Fact_Work!$AL:$AL,$B154,Fact_Work!$AN:$AN,"&gt;0")=0,"",_xlfn.MINIFS(Fact_Work!$AN:$AN,Fact_Work!$B:$B,$A154,Fact_Work!$AL:$AL,$B154,Fact_Work!$AN:$AN,"&gt;0")))</f>
        <v/>
      </c>
      <c r="G154" s="37" t="str">
        <f aca="false">IF($A154="","",IF($F154="","",$A154+$F154/24))</f>
        <v/>
      </c>
      <c r="H154" s="38" t="str">
        <f aca="false">IF($A154="","",IF($G154="","",ROUND(($C154-$G154)*1440,0)))</f>
        <v/>
      </c>
      <c r="I154" s="4" t="str">
        <f aca="false">IF($A154="","",IF($H154="","",IF($H154&lt;=0,"Yes","No")))</f>
        <v/>
      </c>
      <c r="J154" s="4" t="str">
        <f aca="false">IF($A154="","",IF($I154="No",$E154,0))</f>
        <v/>
      </c>
      <c r="K154" s="22" t="str">
        <f aca="false">IF($A154="","",IF($F154="","",FLOOR($F154,0.5)))</f>
        <v/>
      </c>
      <c r="L154" s="39" t="str">
        <f aca="false">IF($A154="","",IF($H154="","",MAX(0,$H154)))</f>
        <v/>
      </c>
      <c r="M154" s="29" t="str">
        <f aca="false">IF($A154="","",IF($F154="","",COUNTIFS(Fact_Work!$B:$B,$A154,Fact_Work!$AL:$AL,$B154,Fact_Work!$AI:$AI,"Yes")))</f>
        <v/>
      </c>
    </row>
    <row r="155" customFormat="false" ht="15" hidden="false" customHeight="true" outlineLevel="0" collapsed="false">
      <c r="D155" s="4" t="str">
        <f aca="false">IF($A155="","",IFERROR(VLOOKUP($B155,Dim_TOP!$A:$B,2,0),""))</f>
        <v/>
      </c>
      <c r="E155" s="36" t="str">
        <f aca="false">IF($A155="","",COUNTIFS(Fact_Work!$B:$B,$A155,Fact_Work!$AL:$AL,$B155))</f>
        <v/>
      </c>
      <c r="F155" s="22" t="str">
        <f aca="false">IF($A155="","",IF(COUNTIFS(Fact_Work!$B:$B,$A155,Fact_Work!$AL:$AL,$B155,Fact_Work!$AN:$AN,"&gt;0")=0,"",_xlfn.MINIFS(Fact_Work!$AN:$AN,Fact_Work!$B:$B,$A155,Fact_Work!$AL:$AL,$B155,Fact_Work!$AN:$AN,"&gt;0")))</f>
        <v/>
      </c>
      <c r="G155" s="37" t="str">
        <f aca="false">IF($A155="","",IF($F155="","",$A155+$F155/24))</f>
        <v/>
      </c>
      <c r="H155" s="38" t="str">
        <f aca="false">IF($A155="","",IF($G155="","",ROUND(($C155-$G155)*1440,0)))</f>
        <v/>
      </c>
      <c r="I155" s="4" t="str">
        <f aca="false">IF($A155="","",IF($H155="","",IF($H155&lt;=0,"Yes","No")))</f>
        <v/>
      </c>
      <c r="J155" s="4" t="str">
        <f aca="false">IF($A155="","",IF($I155="No",$E155,0))</f>
        <v/>
      </c>
      <c r="K155" s="22" t="str">
        <f aca="false">IF($A155="","",IF($F155="","",FLOOR($F155,0.5)))</f>
        <v/>
      </c>
      <c r="L155" s="39" t="str">
        <f aca="false">IF($A155="","",IF($H155="","",MAX(0,$H155)))</f>
        <v/>
      </c>
      <c r="M155" s="29" t="str">
        <f aca="false">IF($A155="","",IF($F155="","",COUNTIFS(Fact_Work!$B:$B,$A155,Fact_Work!$AL:$AL,$B155,Fact_Work!$AI:$AI,"Yes")))</f>
        <v/>
      </c>
    </row>
    <row r="156" customFormat="false" ht="15" hidden="false" customHeight="true" outlineLevel="0" collapsed="false">
      <c r="D156" s="4" t="str">
        <f aca="false">IF($A156="","",IFERROR(VLOOKUP($B156,Dim_TOP!$A:$B,2,0),""))</f>
        <v/>
      </c>
      <c r="E156" s="36" t="str">
        <f aca="false">IF($A156="","",COUNTIFS(Fact_Work!$B:$B,$A156,Fact_Work!$AL:$AL,$B156))</f>
        <v/>
      </c>
      <c r="F156" s="22" t="str">
        <f aca="false">IF($A156="","",IF(COUNTIFS(Fact_Work!$B:$B,$A156,Fact_Work!$AL:$AL,$B156,Fact_Work!$AN:$AN,"&gt;0")=0,"",_xlfn.MINIFS(Fact_Work!$AN:$AN,Fact_Work!$B:$B,$A156,Fact_Work!$AL:$AL,$B156,Fact_Work!$AN:$AN,"&gt;0")))</f>
        <v/>
      </c>
      <c r="G156" s="37" t="str">
        <f aca="false">IF($A156="","",IF($F156="","",$A156+$F156/24))</f>
        <v/>
      </c>
      <c r="H156" s="38" t="str">
        <f aca="false">IF($A156="","",IF($G156="","",ROUND(($C156-$G156)*1440,0)))</f>
        <v/>
      </c>
      <c r="I156" s="4" t="str">
        <f aca="false">IF($A156="","",IF($H156="","",IF($H156&lt;=0,"Yes","No")))</f>
        <v/>
      </c>
      <c r="J156" s="4" t="str">
        <f aca="false">IF($A156="","",IF($I156="No",$E156,0))</f>
        <v/>
      </c>
      <c r="K156" s="22" t="str">
        <f aca="false">IF($A156="","",IF($F156="","",FLOOR($F156,0.5)))</f>
        <v/>
      </c>
      <c r="L156" s="39" t="str">
        <f aca="false">IF($A156="","",IF($H156="","",MAX(0,$H156)))</f>
        <v/>
      </c>
      <c r="M156" s="29" t="str">
        <f aca="false">IF($A156="","",IF($F156="","",COUNTIFS(Fact_Work!$B:$B,$A156,Fact_Work!$AL:$AL,$B156,Fact_Work!$AI:$AI,"Yes")))</f>
        <v/>
      </c>
    </row>
    <row r="157" customFormat="false" ht="15" hidden="false" customHeight="true" outlineLevel="0" collapsed="false">
      <c r="D157" s="4" t="str">
        <f aca="false">IF($A157="","",IFERROR(VLOOKUP($B157,Dim_TOP!$A:$B,2,0),""))</f>
        <v/>
      </c>
      <c r="E157" s="36" t="str">
        <f aca="false">IF($A157="","",COUNTIFS(Fact_Work!$B:$B,$A157,Fact_Work!$AL:$AL,$B157))</f>
        <v/>
      </c>
      <c r="F157" s="22" t="str">
        <f aca="false">IF($A157="","",IF(COUNTIFS(Fact_Work!$B:$B,$A157,Fact_Work!$AL:$AL,$B157,Fact_Work!$AN:$AN,"&gt;0")=0,"",_xlfn.MINIFS(Fact_Work!$AN:$AN,Fact_Work!$B:$B,$A157,Fact_Work!$AL:$AL,$B157,Fact_Work!$AN:$AN,"&gt;0")))</f>
        <v/>
      </c>
      <c r="G157" s="37" t="str">
        <f aca="false">IF($A157="","",IF($F157="","",$A157+$F157/24))</f>
        <v/>
      </c>
      <c r="H157" s="38" t="str">
        <f aca="false">IF($A157="","",IF($G157="","",ROUND(($C157-$G157)*1440,0)))</f>
        <v/>
      </c>
      <c r="I157" s="4" t="str">
        <f aca="false">IF($A157="","",IF($H157="","",IF($H157&lt;=0,"Yes","No")))</f>
        <v/>
      </c>
      <c r="J157" s="4" t="str">
        <f aca="false">IF($A157="","",IF($I157="No",$E157,0))</f>
        <v/>
      </c>
      <c r="K157" s="22" t="str">
        <f aca="false">IF($A157="","",IF($F157="","",FLOOR($F157,0.5)))</f>
        <v/>
      </c>
      <c r="L157" s="39" t="str">
        <f aca="false">IF($A157="","",IF($H157="","",MAX(0,$H157)))</f>
        <v/>
      </c>
      <c r="M157" s="29" t="str">
        <f aca="false">IF($A157="","",IF($F157="","",COUNTIFS(Fact_Work!$B:$B,$A157,Fact_Work!$AL:$AL,$B157,Fact_Work!$AI:$AI,"Yes")))</f>
        <v/>
      </c>
    </row>
    <row r="158" customFormat="false" ht="15" hidden="false" customHeight="true" outlineLevel="0" collapsed="false">
      <c r="D158" s="4" t="str">
        <f aca="false">IF($A158="","",IFERROR(VLOOKUP($B158,Dim_TOP!$A:$B,2,0),""))</f>
        <v/>
      </c>
      <c r="E158" s="36" t="str">
        <f aca="false">IF($A158="","",COUNTIFS(Fact_Work!$B:$B,$A158,Fact_Work!$AL:$AL,$B158))</f>
        <v/>
      </c>
      <c r="F158" s="22" t="str">
        <f aca="false">IF($A158="","",IF(COUNTIFS(Fact_Work!$B:$B,$A158,Fact_Work!$AL:$AL,$B158,Fact_Work!$AN:$AN,"&gt;0")=0,"",_xlfn.MINIFS(Fact_Work!$AN:$AN,Fact_Work!$B:$B,$A158,Fact_Work!$AL:$AL,$B158,Fact_Work!$AN:$AN,"&gt;0")))</f>
        <v/>
      </c>
      <c r="G158" s="37" t="str">
        <f aca="false">IF($A158="","",IF($F158="","",$A158+$F158/24))</f>
        <v/>
      </c>
      <c r="H158" s="38" t="str">
        <f aca="false">IF($A158="","",IF($G158="","",ROUND(($C158-$G158)*1440,0)))</f>
        <v/>
      </c>
      <c r="I158" s="4" t="str">
        <f aca="false">IF($A158="","",IF($H158="","",IF($H158&lt;=0,"Yes","No")))</f>
        <v/>
      </c>
      <c r="J158" s="4" t="str">
        <f aca="false">IF($A158="","",IF($I158="No",$E158,0))</f>
        <v/>
      </c>
      <c r="K158" s="22" t="str">
        <f aca="false">IF($A158="","",IF($F158="","",FLOOR($F158,0.5)))</f>
        <v/>
      </c>
      <c r="L158" s="39" t="str">
        <f aca="false">IF($A158="","",IF($H158="","",MAX(0,$H158)))</f>
        <v/>
      </c>
      <c r="M158" s="29" t="str">
        <f aca="false">IF($A158="","",IF($F158="","",COUNTIFS(Fact_Work!$B:$B,$A158,Fact_Work!$AL:$AL,$B158,Fact_Work!$AI:$AI,"Yes")))</f>
        <v/>
      </c>
    </row>
    <row r="159" customFormat="false" ht="15" hidden="false" customHeight="true" outlineLevel="0" collapsed="false">
      <c r="D159" s="4" t="str">
        <f aca="false">IF($A159="","",IFERROR(VLOOKUP($B159,Dim_TOP!$A:$B,2,0),""))</f>
        <v/>
      </c>
      <c r="E159" s="36" t="str">
        <f aca="false">IF($A159="","",COUNTIFS(Fact_Work!$B:$B,$A159,Fact_Work!$AL:$AL,$B159))</f>
        <v/>
      </c>
      <c r="F159" s="22" t="str">
        <f aca="false">IF($A159="","",IF(COUNTIFS(Fact_Work!$B:$B,$A159,Fact_Work!$AL:$AL,$B159,Fact_Work!$AN:$AN,"&gt;0")=0,"",_xlfn.MINIFS(Fact_Work!$AN:$AN,Fact_Work!$B:$B,$A159,Fact_Work!$AL:$AL,$B159,Fact_Work!$AN:$AN,"&gt;0")))</f>
        <v/>
      </c>
      <c r="G159" s="37" t="str">
        <f aca="false">IF($A159="","",IF($F159="","",$A159+$F159/24))</f>
        <v/>
      </c>
      <c r="H159" s="38" t="str">
        <f aca="false">IF($A159="","",IF($G159="","",ROUND(($C159-$G159)*1440,0)))</f>
        <v/>
      </c>
      <c r="I159" s="4" t="str">
        <f aca="false">IF($A159="","",IF($H159="","",IF($H159&lt;=0,"Yes","No")))</f>
        <v/>
      </c>
      <c r="J159" s="4" t="str">
        <f aca="false">IF($A159="","",IF($I159="No",$E159,0))</f>
        <v/>
      </c>
      <c r="K159" s="22" t="str">
        <f aca="false">IF($A159="","",IF($F159="","",FLOOR($F159,0.5)))</f>
        <v/>
      </c>
      <c r="L159" s="39" t="str">
        <f aca="false">IF($A159="","",IF($H159="","",MAX(0,$H159)))</f>
        <v/>
      </c>
      <c r="M159" s="29" t="str">
        <f aca="false">IF($A159="","",IF($F159="","",COUNTIFS(Fact_Work!$B:$B,$A159,Fact_Work!$AL:$AL,$B159,Fact_Work!$AI:$AI,"Yes")))</f>
        <v/>
      </c>
    </row>
    <row r="160" customFormat="false" ht="15" hidden="false" customHeight="true" outlineLevel="0" collapsed="false">
      <c r="D160" s="4" t="str">
        <f aca="false">IF($A160="","",IFERROR(VLOOKUP($B160,Dim_TOP!$A:$B,2,0),""))</f>
        <v/>
      </c>
      <c r="E160" s="36" t="str">
        <f aca="false">IF($A160="","",COUNTIFS(Fact_Work!$B:$B,$A160,Fact_Work!$AL:$AL,$B160))</f>
        <v/>
      </c>
      <c r="F160" s="22" t="str">
        <f aca="false">IF($A160="","",IF(COUNTIFS(Fact_Work!$B:$B,$A160,Fact_Work!$AL:$AL,$B160,Fact_Work!$AN:$AN,"&gt;0")=0,"",_xlfn.MINIFS(Fact_Work!$AN:$AN,Fact_Work!$B:$B,$A160,Fact_Work!$AL:$AL,$B160,Fact_Work!$AN:$AN,"&gt;0")))</f>
        <v/>
      </c>
      <c r="G160" s="37" t="str">
        <f aca="false">IF($A160="","",IF($F160="","",$A160+$F160/24))</f>
        <v/>
      </c>
      <c r="H160" s="38" t="str">
        <f aca="false">IF($A160="","",IF($G160="","",ROUND(($C160-$G160)*1440,0)))</f>
        <v/>
      </c>
      <c r="I160" s="4" t="str">
        <f aca="false">IF($A160="","",IF($H160="","",IF($H160&lt;=0,"Yes","No")))</f>
        <v/>
      </c>
      <c r="J160" s="4" t="str">
        <f aca="false">IF($A160="","",IF($I160="No",$E160,0))</f>
        <v/>
      </c>
      <c r="K160" s="22" t="str">
        <f aca="false">IF($A160="","",IF($F160="","",FLOOR($F160,0.5)))</f>
        <v/>
      </c>
      <c r="L160" s="39" t="str">
        <f aca="false">IF($A160="","",IF($H160="","",MAX(0,$H160)))</f>
        <v/>
      </c>
      <c r="M160" s="29" t="str">
        <f aca="false">IF($A160="","",IF($F160="","",COUNTIFS(Fact_Work!$B:$B,$A160,Fact_Work!$AL:$AL,$B160,Fact_Work!$AI:$AI,"Yes")))</f>
        <v/>
      </c>
    </row>
    <row r="161" customFormat="false" ht="15" hidden="false" customHeight="true" outlineLevel="0" collapsed="false">
      <c r="D161" s="4" t="str">
        <f aca="false">IF($A161="","",IFERROR(VLOOKUP($B161,Dim_TOP!$A:$B,2,0),""))</f>
        <v/>
      </c>
      <c r="E161" s="36" t="str">
        <f aca="false">IF($A161="","",COUNTIFS(Fact_Work!$B:$B,$A161,Fact_Work!$AL:$AL,$B161))</f>
        <v/>
      </c>
      <c r="F161" s="22" t="str">
        <f aca="false">IF($A161="","",IF(COUNTIFS(Fact_Work!$B:$B,$A161,Fact_Work!$AL:$AL,$B161,Fact_Work!$AN:$AN,"&gt;0")=0,"",_xlfn.MINIFS(Fact_Work!$AN:$AN,Fact_Work!$B:$B,$A161,Fact_Work!$AL:$AL,$B161,Fact_Work!$AN:$AN,"&gt;0")))</f>
        <v/>
      </c>
      <c r="G161" s="37" t="str">
        <f aca="false">IF($A161="","",IF($F161="","",$A161+$F161/24))</f>
        <v/>
      </c>
      <c r="H161" s="38" t="str">
        <f aca="false">IF($A161="","",IF($G161="","",ROUND(($C161-$G161)*1440,0)))</f>
        <v/>
      </c>
      <c r="I161" s="4" t="str">
        <f aca="false">IF($A161="","",IF($H161="","",IF($H161&lt;=0,"Yes","No")))</f>
        <v/>
      </c>
      <c r="J161" s="4" t="str">
        <f aca="false">IF($A161="","",IF($I161="No",$E161,0))</f>
        <v/>
      </c>
      <c r="K161" s="22" t="str">
        <f aca="false">IF($A161="","",IF($F161="","",FLOOR($F161,0.5)))</f>
        <v/>
      </c>
      <c r="L161" s="39" t="str">
        <f aca="false">IF($A161="","",IF($H161="","",MAX(0,$H161)))</f>
        <v/>
      </c>
      <c r="M161" s="29" t="str">
        <f aca="false">IF($A161="","",IF($F161="","",COUNTIFS(Fact_Work!$B:$B,$A161,Fact_Work!$AL:$AL,$B161,Fact_Work!$AI:$AI,"Yes")))</f>
        <v/>
      </c>
    </row>
    <row r="162" customFormat="false" ht="15" hidden="false" customHeight="true" outlineLevel="0" collapsed="false">
      <c r="D162" s="4" t="str">
        <f aca="false">IF($A162="","",IFERROR(VLOOKUP($B162,Dim_TOP!$A:$B,2,0),""))</f>
        <v/>
      </c>
      <c r="E162" s="36" t="str">
        <f aca="false">IF($A162="","",COUNTIFS(Fact_Work!$B:$B,$A162,Fact_Work!$AL:$AL,$B162))</f>
        <v/>
      </c>
      <c r="F162" s="22" t="str">
        <f aca="false">IF($A162="","",IF(COUNTIFS(Fact_Work!$B:$B,$A162,Fact_Work!$AL:$AL,$B162,Fact_Work!$AN:$AN,"&gt;0")=0,"",_xlfn.MINIFS(Fact_Work!$AN:$AN,Fact_Work!$B:$B,$A162,Fact_Work!$AL:$AL,$B162,Fact_Work!$AN:$AN,"&gt;0")))</f>
        <v/>
      </c>
      <c r="G162" s="37" t="str">
        <f aca="false">IF($A162="","",IF($F162="","",$A162+$F162/24))</f>
        <v/>
      </c>
      <c r="H162" s="38" t="str">
        <f aca="false">IF($A162="","",IF($G162="","",ROUND(($C162-$G162)*1440,0)))</f>
        <v/>
      </c>
      <c r="I162" s="4" t="str">
        <f aca="false">IF($A162="","",IF($H162="","",IF($H162&lt;=0,"Yes","No")))</f>
        <v/>
      </c>
      <c r="J162" s="4" t="str">
        <f aca="false">IF($A162="","",IF($I162="No",$E162,0))</f>
        <v/>
      </c>
      <c r="K162" s="22" t="str">
        <f aca="false">IF($A162="","",IF($F162="","",FLOOR($F162,0.5)))</f>
        <v/>
      </c>
      <c r="L162" s="39" t="str">
        <f aca="false">IF($A162="","",IF($H162="","",MAX(0,$H162)))</f>
        <v/>
      </c>
      <c r="M162" s="29" t="str">
        <f aca="false">IF($A162="","",IF($F162="","",COUNTIFS(Fact_Work!$B:$B,$A162,Fact_Work!$AL:$AL,$B162,Fact_Work!$AI:$AI,"Yes")))</f>
        <v/>
      </c>
    </row>
    <row r="163" customFormat="false" ht="15" hidden="false" customHeight="true" outlineLevel="0" collapsed="false">
      <c r="D163" s="4" t="str">
        <f aca="false">IF($A163="","",IFERROR(VLOOKUP($B163,Dim_TOP!$A:$B,2,0),""))</f>
        <v/>
      </c>
      <c r="E163" s="36" t="str">
        <f aca="false">IF($A163="","",COUNTIFS(Fact_Work!$B:$B,$A163,Fact_Work!$AL:$AL,$B163))</f>
        <v/>
      </c>
      <c r="F163" s="22" t="str">
        <f aca="false">IF($A163="","",IF(COUNTIFS(Fact_Work!$B:$B,$A163,Fact_Work!$AL:$AL,$B163,Fact_Work!$AN:$AN,"&gt;0")=0,"",_xlfn.MINIFS(Fact_Work!$AN:$AN,Fact_Work!$B:$B,$A163,Fact_Work!$AL:$AL,$B163,Fact_Work!$AN:$AN,"&gt;0")))</f>
        <v/>
      </c>
      <c r="G163" s="37" t="str">
        <f aca="false">IF($A163="","",IF($F163="","",$A163+$F163/24))</f>
        <v/>
      </c>
      <c r="H163" s="38" t="str">
        <f aca="false">IF($A163="","",IF($G163="","",ROUND(($C163-$G163)*1440,0)))</f>
        <v/>
      </c>
      <c r="I163" s="4" t="str">
        <f aca="false">IF($A163="","",IF($H163="","",IF($H163&lt;=0,"Yes","No")))</f>
        <v/>
      </c>
      <c r="J163" s="4" t="str">
        <f aca="false">IF($A163="","",IF($I163="No",$E163,0))</f>
        <v/>
      </c>
      <c r="K163" s="22" t="str">
        <f aca="false">IF($A163="","",IF($F163="","",FLOOR($F163,0.5)))</f>
        <v/>
      </c>
      <c r="L163" s="39" t="str">
        <f aca="false">IF($A163="","",IF($H163="","",MAX(0,$H163)))</f>
        <v/>
      </c>
      <c r="M163" s="29" t="str">
        <f aca="false">IF($A163="","",IF($F163="","",COUNTIFS(Fact_Work!$B:$B,$A163,Fact_Work!$AL:$AL,$B163,Fact_Work!$AI:$AI,"Yes")))</f>
        <v/>
      </c>
    </row>
    <row r="164" customFormat="false" ht="15" hidden="false" customHeight="true" outlineLevel="0" collapsed="false">
      <c r="D164" s="4" t="str">
        <f aca="false">IF($A164="","",IFERROR(VLOOKUP($B164,Dim_TOP!$A:$B,2,0),""))</f>
        <v/>
      </c>
      <c r="E164" s="36" t="str">
        <f aca="false">IF($A164="","",COUNTIFS(Fact_Work!$B:$B,$A164,Fact_Work!$AL:$AL,$B164))</f>
        <v/>
      </c>
      <c r="F164" s="22" t="str">
        <f aca="false">IF($A164="","",IF(COUNTIFS(Fact_Work!$B:$B,$A164,Fact_Work!$AL:$AL,$B164,Fact_Work!$AN:$AN,"&gt;0")=0,"",_xlfn.MINIFS(Fact_Work!$AN:$AN,Fact_Work!$B:$B,$A164,Fact_Work!$AL:$AL,$B164,Fact_Work!$AN:$AN,"&gt;0")))</f>
        <v/>
      </c>
      <c r="G164" s="37" t="str">
        <f aca="false">IF($A164="","",IF($F164="","",$A164+$F164/24))</f>
        <v/>
      </c>
      <c r="H164" s="38" t="str">
        <f aca="false">IF($A164="","",IF($G164="","",ROUND(($C164-$G164)*1440,0)))</f>
        <v/>
      </c>
      <c r="I164" s="4" t="str">
        <f aca="false">IF($A164="","",IF($H164="","",IF($H164&lt;=0,"Yes","No")))</f>
        <v/>
      </c>
      <c r="J164" s="4" t="str">
        <f aca="false">IF($A164="","",IF($I164="No",$E164,0))</f>
        <v/>
      </c>
      <c r="K164" s="22" t="str">
        <f aca="false">IF($A164="","",IF($F164="","",FLOOR($F164,0.5)))</f>
        <v/>
      </c>
      <c r="L164" s="39" t="str">
        <f aca="false">IF($A164="","",IF($H164="","",MAX(0,$H164)))</f>
        <v/>
      </c>
      <c r="M164" s="29" t="str">
        <f aca="false">IF($A164="","",IF($F164="","",COUNTIFS(Fact_Work!$B:$B,$A164,Fact_Work!$AL:$AL,$B164,Fact_Work!$AI:$AI,"Yes")))</f>
        <v/>
      </c>
    </row>
    <row r="165" customFormat="false" ht="15" hidden="false" customHeight="true" outlineLevel="0" collapsed="false">
      <c r="D165" s="4" t="str">
        <f aca="false">IF($A165="","",IFERROR(VLOOKUP($B165,Dim_TOP!$A:$B,2,0),""))</f>
        <v/>
      </c>
      <c r="E165" s="36" t="str">
        <f aca="false">IF($A165="","",COUNTIFS(Fact_Work!$B:$B,$A165,Fact_Work!$AL:$AL,$B165))</f>
        <v/>
      </c>
      <c r="F165" s="22" t="str">
        <f aca="false">IF($A165="","",IF(COUNTIFS(Fact_Work!$B:$B,$A165,Fact_Work!$AL:$AL,$B165,Fact_Work!$AN:$AN,"&gt;0")=0,"",_xlfn.MINIFS(Fact_Work!$AN:$AN,Fact_Work!$B:$B,$A165,Fact_Work!$AL:$AL,$B165,Fact_Work!$AN:$AN,"&gt;0")))</f>
        <v/>
      </c>
      <c r="G165" s="37" t="str">
        <f aca="false">IF($A165="","",IF($F165="","",$A165+$F165/24))</f>
        <v/>
      </c>
      <c r="H165" s="38" t="str">
        <f aca="false">IF($A165="","",IF($G165="","",ROUND(($C165-$G165)*1440,0)))</f>
        <v/>
      </c>
      <c r="I165" s="4" t="str">
        <f aca="false">IF($A165="","",IF($H165="","",IF($H165&lt;=0,"Yes","No")))</f>
        <v/>
      </c>
      <c r="J165" s="4" t="str">
        <f aca="false">IF($A165="","",IF($I165="No",$E165,0))</f>
        <v/>
      </c>
      <c r="K165" s="22" t="str">
        <f aca="false">IF($A165="","",IF($F165="","",FLOOR($F165,0.5)))</f>
        <v/>
      </c>
      <c r="L165" s="39" t="str">
        <f aca="false">IF($A165="","",IF($H165="","",MAX(0,$H165)))</f>
        <v/>
      </c>
      <c r="M165" s="29" t="str">
        <f aca="false">IF($A165="","",IF($F165="","",COUNTIFS(Fact_Work!$B:$B,$A165,Fact_Work!$AL:$AL,$B165,Fact_Work!$AI:$AI,"Yes")))</f>
        <v/>
      </c>
    </row>
    <row r="166" customFormat="false" ht="15" hidden="false" customHeight="true" outlineLevel="0" collapsed="false">
      <c r="D166" s="4" t="str">
        <f aca="false">IF($A166="","",IFERROR(VLOOKUP($B166,Dim_TOP!$A:$B,2,0),""))</f>
        <v/>
      </c>
      <c r="E166" s="36" t="str">
        <f aca="false">IF($A166="","",COUNTIFS(Fact_Work!$B:$B,$A166,Fact_Work!$AL:$AL,$B166))</f>
        <v/>
      </c>
      <c r="F166" s="22" t="str">
        <f aca="false">IF($A166="","",IF(COUNTIFS(Fact_Work!$B:$B,$A166,Fact_Work!$AL:$AL,$B166,Fact_Work!$AN:$AN,"&gt;0")=0,"",_xlfn.MINIFS(Fact_Work!$AN:$AN,Fact_Work!$B:$B,$A166,Fact_Work!$AL:$AL,$B166,Fact_Work!$AN:$AN,"&gt;0")))</f>
        <v/>
      </c>
      <c r="G166" s="37" t="str">
        <f aca="false">IF($A166="","",IF($F166="","",$A166+$F166/24))</f>
        <v/>
      </c>
      <c r="H166" s="38" t="str">
        <f aca="false">IF($A166="","",IF($G166="","",ROUND(($C166-$G166)*1440,0)))</f>
        <v/>
      </c>
      <c r="I166" s="4" t="str">
        <f aca="false">IF($A166="","",IF($H166="","",IF($H166&lt;=0,"Yes","No")))</f>
        <v/>
      </c>
      <c r="J166" s="4" t="str">
        <f aca="false">IF($A166="","",IF($I166="No",$E166,0))</f>
        <v/>
      </c>
      <c r="K166" s="22" t="str">
        <f aca="false">IF($A166="","",IF($F166="","",FLOOR($F166,0.5)))</f>
        <v/>
      </c>
      <c r="L166" s="39" t="str">
        <f aca="false">IF($A166="","",IF($H166="","",MAX(0,$H166)))</f>
        <v/>
      </c>
      <c r="M166" s="29" t="str">
        <f aca="false">IF($A166="","",IF($F166="","",COUNTIFS(Fact_Work!$B:$B,$A166,Fact_Work!$AL:$AL,$B166,Fact_Work!$AI:$AI,"Yes")))</f>
        <v/>
      </c>
    </row>
    <row r="167" customFormat="false" ht="15" hidden="false" customHeight="true" outlineLevel="0" collapsed="false">
      <c r="D167" s="4" t="str">
        <f aca="false">IF($A167="","",IFERROR(VLOOKUP($B167,Dim_TOP!$A:$B,2,0),""))</f>
        <v/>
      </c>
      <c r="E167" s="36" t="str">
        <f aca="false">IF($A167="","",COUNTIFS(Fact_Work!$B:$B,$A167,Fact_Work!$AL:$AL,$B167))</f>
        <v/>
      </c>
      <c r="F167" s="22" t="str">
        <f aca="false">IF($A167="","",IF(COUNTIFS(Fact_Work!$B:$B,$A167,Fact_Work!$AL:$AL,$B167,Fact_Work!$AN:$AN,"&gt;0")=0,"",_xlfn.MINIFS(Fact_Work!$AN:$AN,Fact_Work!$B:$B,$A167,Fact_Work!$AL:$AL,$B167,Fact_Work!$AN:$AN,"&gt;0")))</f>
        <v/>
      </c>
      <c r="G167" s="37" t="str">
        <f aca="false">IF($A167="","",IF($F167="","",$A167+$F167/24))</f>
        <v/>
      </c>
      <c r="H167" s="38" t="str">
        <f aca="false">IF($A167="","",IF($G167="","",ROUND(($C167-$G167)*1440,0)))</f>
        <v/>
      </c>
      <c r="I167" s="4" t="str">
        <f aca="false">IF($A167="","",IF($H167="","",IF($H167&lt;=0,"Yes","No")))</f>
        <v/>
      </c>
      <c r="J167" s="4" t="str">
        <f aca="false">IF($A167="","",IF($I167="No",$E167,0))</f>
        <v/>
      </c>
      <c r="K167" s="22" t="str">
        <f aca="false">IF($A167="","",IF($F167="","",FLOOR($F167,0.5)))</f>
        <v/>
      </c>
      <c r="L167" s="39" t="str">
        <f aca="false">IF($A167="","",IF($H167="","",MAX(0,$H167)))</f>
        <v/>
      </c>
      <c r="M167" s="29" t="str">
        <f aca="false">IF($A167="","",IF($F167="","",COUNTIFS(Fact_Work!$B:$B,$A167,Fact_Work!$AL:$AL,$B167,Fact_Work!$AI:$AI,"Yes")))</f>
        <v/>
      </c>
    </row>
    <row r="168" customFormat="false" ht="15" hidden="false" customHeight="true" outlineLevel="0" collapsed="false">
      <c r="D168" s="4" t="str">
        <f aca="false">IF($A168="","",IFERROR(VLOOKUP($B168,Dim_TOP!$A:$B,2,0),""))</f>
        <v/>
      </c>
      <c r="E168" s="36" t="str">
        <f aca="false">IF($A168="","",COUNTIFS(Fact_Work!$B:$B,$A168,Fact_Work!$AL:$AL,$B168))</f>
        <v/>
      </c>
      <c r="F168" s="22" t="str">
        <f aca="false">IF($A168="","",IF(COUNTIFS(Fact_Work!$B:$B,$A168,Fact_Work!$AL:$AL,$B168,Fact_Work!$AN:$AN,"&gt;0")=0,"",_xlfn.MINIFS(Fact_Work!$AN:$AN,Fact_Work!$B:$B,$A168,Fact_Work!$AL:$AL,$B168,Fact_Work!$AN:$AN,"&gt;0")))</f>
        <v/>
      </c>
      <c r="G168" s="37" t="str">
        <f aca="false">IF($A168="","",IF($F168="","",$A168+$F168/24))</f>
        <v/>
      </c>
      <c r="H168" s="38" t="str">
        <f aca="false">IF($A168="","",IF($G168="","",ROUND(($C168-$G168)*1440,0)))</f>
        <v/>
      </c>
      <c r="I168" s="4" t="str">
        <f aca="false">IF($A168="","",IF($H168="","",IF($H168&lt;=0,"Yes","No")))</f>
        <v/>
      </c>
      <c r="J168" s="4" t="str">
        <f aca="false">IF($A168="","",IF($I168="No",$E168,0))</f>
        <v/>
      </c>
      <c r="K168" s="22" t="str">
        <f aca="false">IF($A168="","",IF($F168="","",FLOOR($F168,0.5)))</f>
        <v/>
      </c>
      <c r="L168" s="39" t="str">
        <f aca="false">IF($A168="","",IF($H168="","",MAX(0,$H168)))</f>
        <v/>
      </c>
      <c r="M168" s="29" t="str">
        <f aca="false">IF($A168="","",IF($F168="","",COUNTIFS(Fact_Work!$B:$B,$A168,Fact_Work!$AL:$AL,$B168,Fact_Work!$AI:$AI,"Yes")))</f>
        <v/>
      </c>
    </row>
    <row r="169" customFormat="false" ht="15" hidden="false" customHeight="true" outlineLevel="0" collapsed="false">
      <c r="D169" s="4" t="str">
        <f aca="false">IF($A169="","",IFERROR(VLOOKUP($B169,Dim_TOP!$A:$B,2,0),""))</f>
        <v/>
      </c>
      <c r="E169" s="36" t="str">
        <f aca="false">IF($A169="","",COUNTIFS(Fact_Work!$B:$B,$A169,Fact_Work!$AL:$AL,$B169))</f>
        <v/>
      </c>
      <c r="F169" s="22" t="str">
        <f aca="false">IF($A169="","",IF(COUNTIFS(Fact_Work!$B:$B,$A169,Fact_Work!$AL:$AL,$B169,Fact_Work!$AN:$AN,"&gt;0")=0,"",_xlfn.MINIFS(Fact_Work!$AN:$AN,Fact_Work!$B:$B,$A169,Fact_Work!$AL:$AL,$B169,Fact_Work!$AN:$AN,"&gt;0")))</f>
        <v/>
      </c>
      <c r="G169" s="37" t="str">
        <f aca="false">IF($A169="","",IF($F169="","",$A169+$F169/24))</f>
        <v/>
      </c>
      <c r="H169" s="38" t="str">
        <f aca="false">IF($A169="","",IF($G169="","",ROUND(($C169-$G169)*1440,0)))</f>
        <v/>
      </c>
      <c r="I169" s="4" t="str">
        <f aca="false">IF($A169="","",IF($H169="","",IF($H169&lt;=0,"Yes","No")))</f>
        <v/>
      </c>
      <c r="J169" s="4" t="str">
        <f aca="false">IF($A169="","",IF($I169="No",$E169,0))</f>
        <v/>
      </c>
      <c r="K169" s="22" t="str">
        <f aca="false">IF($A169="","",IF($F169="","",FLOOR($F169,0.5)))</f>
        <v/>
      </c>
      <c r="L169" s="39" t="str">
        <f aca="false">IF($A169="","",IF($H169="","",MAX(0,$H169)))</f>
        <v/>
      </c>
      <c r="M169" s="29" t="str">
        <f aca="false">IF($A169="","",IF($F169="","",COUNTIFS(Fact_Work!$B:$B,$A169,Fact_Work!$AL:$AL,$B169,Fact_Work!$AI:$AI,"Yes")))</f>
        <v/>
      </c>
    </row>
    <row r="170" customFormat="false" ht="15" hidden="false" customHeight="true" outlineLevel="0" collapsed="false">
      <c r="D170" s="4" t="str">
        <f aca="false">IF($A170="","",IFERROR(VLOOKUP($B170,Dim_TOP!$A:$B,2,0),""))</f>
        <v/>
      </c>
      <c r="E170" s="36" t="str">
        <f aca="false">IF($A170="","",COUNTIFS(Fact_Work!$B:$B,$A170,Fact_Work!$AL:$AL,$B170))</f>
        <v/>
      </c>
      <c r="F170" s="22" t="str">
        <f aca="false">IF($A170="","",IF(COUNTIFS(Fact_Work!$B:$B,$A170,Fact_Work!$AL:$AL,$B170,Fact_Work!$AN:$AN,"&gt;0")=0,"",_xlfn.MINIFS(Fact_Work!$AN:$AN,Fact_Work!$B:$B,$A170,Fact_Work!$AL:$AL,$B170,Fact_Work!$AN:$AN,"&gt;0")))</f>
        <v/>
      </c>
      <c r="G170" s="37" t="str">
        <f aca="false">IF($A170="","",IF($F170="","",$A170+$F170/24))</f>
        <v/>
      </c>
      <c r="H170" s="38" t="str">
        <f aca="false">IF($A170="","",IF($G170="","",ROUND(($C170-$G170)*1440,0)))</f>
        <v/>
      </c>
      <c r="I170" s="4" t="str">
        <f aca="false">IF($A170="","",IF($H170="","",IF($H170&lt;=0,"Yes","No")))</f>
        <v/>
      </c>
      <c r="J170" s="4" t="str">
        <f aca="false">IF($A170="","",IF($I170="No",$E170,0))</f>
        <v/>
      </c>
      <c r="K170" s="22" t="str">
        <f aca="false">IF($A170="","",IF($F170="","",FLOOR($F170,0.5)))</f>
        <v/>
      </c>
      <c r="L170" s="39" t="str">
        <f aca="false">IF($A170="","",IF($H170="","",MAX(0,$H170)))</f>
        <v/>
      </c>
      <c r="M170" s="29" t="str">
        <f aca="false">IF($A170="","",IF($F170="","",COUNTIFS(Fact_Work!$B:$B,$A170,Fact_Work!$AL:$AL,$B170,Fact_Work!$AI:$AI,"Yes")))</f>
        <v/>
      </c>
    </row>
    <row r="171" customFormat="false" ht="15" hidden="false" customHeight="true" outlineLevel="0" collapsed="false">
      <c r="D171" s="4" t="str">
        <f aca="false">IF($A171="","",IFERROR(VLOOKUP($B171,Dim_TOP!$A:$B,2,0),""))</f>
        <v/>
      </c>
      <c r="E171" s="36" t="str">
        <f aca="false">IF($A171="","",COUNTIFS(Fact_Work!$B:$B,$A171,Fact_Work!$AL:$AL,$B171))</f>
        <v/>
      </c>
      <c r="F171" s="22" t="str">
        <f aca="false">IF($A171="","",IF(COUNTIFS(Fact_Work!$B:$B,$A171,Fact_Work!$AL:$AL,$B171,Fact_Work!$AN:$AN,"&gt;0")=0,"",_xlfn.MINIFS(Fact_Work!$AN:$AN,Fact_Work!$B:$B,$A171,Fact_Work!$AL:$AL,$B171,Fact_Work!$AN:$AN,"&gt;0")))</f>
        <v/>
      </c>
      <c r="G171" s="37" t="str">
        <f aca="false">IF($A171="","",IF($F171="","",$A171+$F171/24))</f>
        <v/>
      </c>
      <c r="H171" s="38" t="str">
        <f aca="false">IF($A171="","",IF($G171="","",ROUND(($C171-$G171)*1440,0)))</f>
        <v/>
      </c>
      <c r="I171" s="4" t="str">
        <f aca="false">IF($A171="","",IF($H171="","",IF($H171&lt;=0,"Yes","No")))</f>
        <v/>
      </c>
      <c r="J171" s="4" t="str">
        <f aca="false">IF($A171="","",IF($I171="No",$E171,0))</f>
        <v/>
      </c>
      <c r="K171" s="22" t="str">
        <f aca="false">IF($A171="","",IF($F171="","",FLOOR($F171,0.5)))</f>
        <v/>
      </c>
      <c r="L171" s="39" t="str">
        <f aca="false">IF($A171="","",IF($H171="","",MAX(0,$H171)))</f>
        <v/>
      </c>
      <c r="M171" s="29" t="str">
        <f aca="false">IF($A171="","",IF($F171="","",COUNTIFS(Fact_Work!$B:$B,$A171,Fact_Work!$AL:$AL,$B171,Fact_Work!$AI:$AI,"Yes")))</f>
        <v/>
      </c>
    </row>
    <row r="172" customFormat="false" ht="15" hidden="false" customHeight="true" outlineLevel="0" collapsed="false">
      <c r="D172" s="4" t="str">
        <f aca="false">IF($A172="","",IFERROR(VLOOKUP($B172,Dim_TOP!$A:$B,2,0),""))</f>
        <v/>
      </c>
      <c r="E172" s="36" t="str">
        <f aca="false">IF($A172="","",COUNTIFS(Fact_Work!$B:$B,$A172,Fact_Work!$AL:$AL,$B172))</f>
        <v/>
      </c>
      <c r="F172" s="22" t="str">
        <f aca="false">IF($A172="","",IF(COUNTIFS(Fact_Work!$B:$B,$A172,Fact_Work!$AL:$AL,$B172,Fact_Work!$AN:$AN,"&gt;0")=0,"",_xlfn.MINIFS(Fact_Work!$AN:$AN,Fact_Work!$B:$B,$A172,Fact_Work!$AL:$AL,$B172,Fact_Work!$AN:$AN,"&gt;0")))</f>
        <v/>
      </c>
      <c r="G172" s="37" t="str">
        <f aca="false">IF($A172="","",IF($F172="","",$A172+$F172/24))</f>
        <v/>
      </c>
      <c r="H172" s="38" t="str">
        <f aca="false">IF($A172="","",IF($G172="","",ROUND(($C172-$G172)*1440,0)))</f>
        <v/>
      </c>
      <c r="I172" s="4" t="str">
        <f aca="false">IF($A172="","",IF($H172="","",IF($H172&lt;=0,"Yes","No")))</f>
        <v/>
      </c>
      <c r="J172" s="4" t="str">
        <f aca="false">IF($A172="","",IF($I172="No",$E172,0))</f>
        <v/>
      </c>
      <c r="K172" s="22" t="str">
        <f aca="false">IF($A172="","",IF($F172="","",FLOOR($F172,0.5)))</f>
        <v/>
      </c>
      <c r="L172" s="39" t="str">
        <f aca="false">IF($A172="","",IF($H172="","",MAX(0,$H172)))</f>
        <v/>
      </c>
      <c r="M172" s="29" t="str">
        <f aca="false">IF($A172="","",IF($F172="","",COUNTIFS(Fact_Work!$B:$B,$A172,Fact_Work!$AL:$AL,$B172,Fact_Work!$AI:$AI,"Yes")))</f>
        <v/>
      </c>
    </row>
    <row r="173" customFormat="false" ht="15" hidden="false" customHeight="true" outlineLevel="0" collapsed="false">
      <c r="D173" s="4" t="str">
        <f aca="false">IF($A173="","",IFERROR(VLOOKUP($B173,Dim_TOP!$A:$B,2,0),""))</f>
        <v/>
      </c>
      <c r="E173" s="36" t="str">
        <f aca="false">IF($A173="","",COUNTIFS(Fact_Work!$B:$B,$A173,Fact_Work!$AL:$AL,$B173))</f>
        <v/>
      </c>
      <c r="F173" s="22" t="str">
        <f aca="false">IF($A173="","",IF(COUNTIFS(Fact_Work!$B:$B,$A173,Fact_Work!$AL:$AL,$B173,Fact_Work!$AN:$AN,"&gt;0")=0,"",_xlfn.MINIFS(Fact_Work!$AN:$AN,Fact_Work!$B:$B,$A173,Fact_Work!$AL:$AL,$B173,Fact_Work!$AN:$AN,"&gt;0")))</f>
        <v/>
      </c>
      <c r="G173" s="37" t="str">
        <f aca="false">IF($A173="","",IF($F173="","",$A173+$F173/24))</f>
        <v/>
      </c>
      <c r="H173" s="38" t="str">
        <f aca="false">IF($A173="","",IF($G173="","",ROUND(($C173-$G173)*1440,0)))</f>
        <v/>
      </c>
      <c r="I173" s="4" t="str">
        <f aca="false">IF($A173="","",IF($H173="","",IF($H173&lt;=0,"Yes","No")))</f>
        <v/>
      </c>
      <c r="J173" s="4" t="str">
        <f aca="false">IF($A173="","",IF($I173="No",$E173,0))</f>
        <v/>
      </c>
      <c r="K173" s="22" t="str">
        <f aca="false">IF($A173="","",IF($F173="","",FLOOR($F173,0.5)))</f>
        <v/>
      </c>
      <c r="L173" s="39" t="str">
        <f aca="false">IF($A173="","",IF($H173="","",MAX(0,$H173)))</f>
        <v/>
      </c>
      <c r="M173" s="29" t="str">
        <f aca="false">IF($A173="","",IF($F173="","",COUNTIFS(Fact_Work!$B:$B,$A173,Fact_Work!$AL:$AL,$B173,Fact_Work!$AI:$AI,"Yes")))</f>
        <v/>
      </c>
    </row>
    <row r="174" customFormat="false" ht="15" hidden="false" customHeight="true" outlineLevel="0" collapsed="false">
      <c r="D174" s="4" t="str">
        <f aca="false">IF($A174="","",IFERROR(VLOOKUP($B174,Dim_TOP!$A:$B,2,0),""))</f>
        <v/>
      </c>
      <c r="E174" s="36" t="str">
        <f aca="false">IF($A174="","",COUNTIFS(Fact_Work!$B:$B,$A174,Fact_Work!$AL:$AL,$B174))</f>
        <v/>
      </c>
      <c r="F174" s="22" t="str">
        <f aca="false">IF($A174="","",IF(COUNTIFS(Fact_Work!$B:$B,$A174,Fact_Work!$AL:$AL,$B174,Fact_Work!$AN:$AN,"&gt;0")=0,"",_xlfn.MINIFS(Fact_Work!$AN:$AN,Fact_Work!$B:$B,$A174,Fact_Work!$AL:$AL,$B174,Fact_Work!$AN:$AN,"&gt;0")))</f>
        <v/>
      </c>
      <c r="G174" s="37" t="str">
        <f aca="false">IF($A174="","",IF($F174="","",$A174+$F174/24))</f>
        <v/>
      </c>
      <c r="H174" s="38" t="str">
        <f aca="false">IF($A174="","",IF($G174="","",ROUND(($C174-$G174)*1440,0)))</f>
        <v/>
      </c>
      <c r="I174" s="4" t="str">
        <f aca="false">IF($A174="","",IF($H174="","",IF($H174&lt;=0,"Yes","No")))</f>
        <v/>
      </c>
      <c r="J174" s="4" t="str">
        <f aca="false">IF($A174="","",IF($I174="No",$E174,0))</f>
        <v/>
      </c>
      <c r="K174" s="22" t="str">
        <f aca="false">IF($A174="","",IF($F174="","",FLOOR($F174,0.5)))</f>
        <v/>
      </c>
      <c r="L174" s="39" t="str">
        <f aca="false">IF($A174="","",IF($H174="","",MAX(0,$H174)))</f>
        <v/>
      </c>
      <c r="M174" s="29" t="str">
        <f aca="false">IF($A174="","",IF($F174="","",COUNTIFS(Fact_Work!$B:$B,$A174,Fact_Work!$AL:$AL,$B174,Fact_Work!$AI:$AI,"Yes")))</f>
        <v/>
      </c>
    </row>
    <row r="175" customFormat="false" ht="15" hidden="false" customHeight="true" outlineLevel="0" collapsed="false">
      <c r="D175" s="4" t="str">
        <f aca="false">IF($A175="","",IFERROR(VLOOKUP($B175,Dim_TOP!$A:$B,2,0),""))</f>
        <v/>
      </c>
      <c r="E175" s="36" t="str">
        <f aca="false">IF($A175="","",COUNTIFS(Fact_Work!$B:$B,$A175,Fact_Work!$AL:$AL,$B175))</f>
        <v/>
      </c>
      <c r="F175" s="22" t="str">
        <f aca="false">IF($A175="","",IF(COUNTIFS(Fact_Work!$B:$B,$A175,Fact_Work!$AL:$AL,$B175,Fact_Work!$AN:$AN,"&gt;0")=0,"",_xlfn.MINIFS(Fact_Work!$AN:$AN,Fact_Work!$B:$B,$A175,Fact_Work!$AL:$AL,$B175,Fact_Work!$AN:$AN,"&gt;0")))</f>
        <v/>
      </c>
      <c r="G175" s="37" t="str">
        <f aca="false">IF($A175="","",IF($F175="","",$A175+$F175/24))</f>
        <v/>
      </c>
      <c r="H175" s="38" t="str">
        <f aca="false">IF($A175="","",IF($G175="","",ROUND(($C175-$G175)*1440,0)))</f>
        <v/>
      </c>
      <c r="I175" s="4" t="str">
        <f aca="false">IF($A175="","",IF($H175="","",IF($H175&lt;=0,"Yes","No")))</f>
        <v/>
      </c>
      <c r="J175" s="4" t="str">
        <f aca="false">IF($A175="","",IF($I175="No",$E175,0))</f>
        <v/>
      </c>
      <c r="K175" s="22" t="str">
        <f aca="false">IF($A175="","",IF($F175="","",FLOOR($F175,0.5)))</f>
        <v/>
      </c>
      <c r="L175" s="39" t="str">
        <f aca="false">IF($A175="","",IF($H175="","",MAX(0,$H175)))</f>
        <v/>
      </c>
      <c r="M175" s="29" t="str">
        <f aca="false">IF($A175="","",IF($F175="","",COUNTIFS(Fact_Work!$B:$B,$A175,Fact_Work!$AL:$AL,$B175,Fact_Work!$AI:$AI,"Yes")))</f>
        <v/>
      </c>
    </row>
    <row r="176" customFormat="false" ht="15" hidden="false" customHeight="true" outlineLevel="0" collapsed="false">
      <c r="D176" s="4" t="str">
        <f aca="false">IF($A176="","",IFERROR(VLOOKUP($B176,Dim_TOP!$A:$B,2,0),""))</f>
        <v/>
      </c>
      <c r="E176" s="36" t="str">
        <f aca="false">IF($A176="","",COUNTIFS(Fact_Work!$B:$B,$A176,Fact_Work!$AL:$AL,$B176))</f>
        <v/>
      </c>
      <c r="F176" s="22" t="str">
        <f aca="false">IF($A176="","",IF(COUNTIFS(Fact_Work!$B:$B,$A176,Fact_Work!$AL:$AL,$B176,Fact_Work!$AN:$AN,"&gt;0")=0,"",_xlfn.MINIFS(Fact_Work!$AN:$AN,Fact_Work!$B:$B,$A176,Fact_Work!$AL:$AL,$B176,Fact_Work!$AN:$AN,"&gt;0")))</f>
        <v/>
      </c>
      <c r="G176" s="37" t="str">
        <f aca="false">IF($A176="","",IF($F176="","",$A176+$F176/24))</f>
        <v/>
      </c>
      <c r="H176" s="38" t="str">
        <f aca="false">IF($A176="","",IF($G176="","",ROUND(($C176-$G176)*1440,0)))</f>
        <v/>
      </c>
      <c r="I176" s="4" t="str">
        <f aca="false">IF($A176="","",IF($H176="","",IF($H176&lt;=0,"Yes","No")))</f>
        <v/>
      </c>
      <c r="J176" s="4" t="str">
        <f aca="false">IF($A176="","",IF($I176="No",$E176,0))</f>
        <v/>
      </c>
      <c r="K176" s="22" t="str">
        <f aca="false">IF($A176="","",IF($F176="","",FLOOR($F176,0.5)))</f>
        <v/>
      </c>
      <c r="L176" s="39" t="str">
        <f aca="false">IF($A176="","",IF($H176="","",MAX(0,$H176)))</f>
        <v/>
      </c>
      <c r="M176" s="29" t="str">
        <f aca="false">IF($A176="","",IF($F176="","",COUNTIFS(Fact_Work!$B:$B,$A176,Fact_Work!$AL:$AL,$B176,Fact_Work!$AI:$AI,"Yes")))</f>
        <v/>
      </c>
    </row>
    <row r="177" customFormat="false" ht="15" hidden="false" customHeight="true" outlineLevel="0" collapsed="false">
      <c r="D177" s="4" t="str">
        <f aca="false">IF($A177="","",IFERROR(VLOOKUP($B177,Dim_TOP!$A:$B,2,0),""))</f>
        <v/>
      </c>
      <c r="E177" s="36" t="str">
        <f aca="false">IF($A177="","",COUNTIFS(Fact_Work!$B:$B,$A177,Fact_Work!$AL:$AL,$B177))</f>
        <v/>
      </c>
      <c r="F177" s="22" t="str">
        <f aca="false">IF($A177="","",IF(COUNTIFS(Fact_Work!$B:$B,$A177,Fact_Work!$AL:$AL,$B177,Fact_Work!$AN:$AN,"&gt;0")=0,"",_xlfn.MINIFS(Fact_Work!$AN:$AN,Fact_Work!$B:$B,$A177,Fact_Work!$AL:$AL,$B177,Fact_Work!$AN:$AN,"&gt;0")))</f>
        <v/>
      </c>
      <c r="G177" s="37" t="str">
        <f aca="false">IF($A177="","",IF($F177="","",$A177+$F177/24))</f>
        <v/>
      </c>
      <c r="H177" s="38" t="str">
        <f aca="false">IF($A177="","",IF($G177="","",ROUND(($C177-$G177)*1440,0)))</f>
        <v/>
      </c>
      <c r="I177" s="4" t="str">
        <f aca="false">IF($A177="","",IF($H177="","",IF($H177&lt;=0,"Yes","No")))</f>
        <v/>
      </c>
      <c r="J177" s="4" t="str">
        <f aca="false">IF($A177="","",IF($I177="No",$E177,0))</f>
        <v/>
      </c>
      <c r="K177" s="22" t="str">
        <f aca="false">IF($A177="","",IF($F177="","",FLOOR($F177,0.5)))</f>
        <v/>
      </c>
      <c r="L177" s="39" t="str">
        <f aca="false">IF($A177="","",IF($H177="","",MAX(0,$H177)))</f>
        <v/>
      </c>
      <c r="M177" s="29" t="str">
        <f aca="false">IF($A177="","",IF($F177="","",COUNTIFS(Fact_Work!$B:$B,$A177,Fact_Work!$AL:$AL,$B177,Fact_Work!$AI:$AI,"Yes")))</f>
        <v/>
      </c>
    </row>
    <row r="178" customFormat="false" ht="15" hidden="false" customHeight="true" outlineLevel="0" collapsed="false">
      <c r="D178" s="4" t="str">
        <f aca="false">IF($A178="","",IFERROR(VLOOKUP($B178,Dim_TOP!$A:$B,2,0),""))</f>
        <v/>
      </c>
      <c r="E178" s="36" t="str">
        <f aca="false">IF($A178="","",COUNTIFS(Fact_Work!$B:$B,$A178,Fact_Work!$AL:$AL,$B178))</f>
        <v/>
      </c>
      <c r="F178" s="22" t="str">
        <f aca="false">IF($A178="","",IF(COUNTIFS(Fact_Work!$B:$B,$A178,Fact_Work!$AL:$AL,$B178,Fact_Work!$AN:$AN,"&gt;0")=0,"",_xlfn.MINIFS(Fact_Work!$AN:$AN,Fact_Work!$B:$B,$A178,Fact_Work!$AL:$AL,$B178,Fact_Work!$AN:$AN,"&gt;0")))</f>
        <v/>
      </c>
      <c r="G178" s="37" t="str">
        <f aca="false">IF($A178="","",IF($F178="","",$A178+$F178/24))</f>
        <v/>
      </c>
      <c r="H178" s="38" t="str">
        <f aca="false">IF($A178="","",IF($G178="","",ROUND(($C178-$G178)*1440,0)))</f>
        <v/>
      </c>
      <c r="I178" s="4" t="str">
        <f aca="false">IF($A178="","",IF($H178="","",IF($H178&lt;=0,"Yes","No")))</f>
        <v/>
      </c>
      <c r="J178" s="4" t="str">
        <f aca="false">IF($A178="","",IF($I178="No",$E178,0))</f>
        <v/>
      </c>
      <c r="K178" s="22" t="str">
        <f aca="false">IF($A178="","",IF($F178="","",FLOOR($F178,0.5)))</f>
        <v/>
      </c>
      <c r="L178" s="39" t="str">
        <f aca="false">IF($A178="","",IF($H178="","",MAX(0,$H178)))</f>
        <v/>
      </c>
      <c r="M178" s="29" t="str">
        <f aca="false">IF($A178="","",IF($F178="","",COUNTIFS(Fact_Work!$B:$B,$A178,Fact_Work!$AL:$AL,$B178,Fact_Work!$AI:$AI,"Yes")))</f>
        <v/>
      </c>
    </row>
    <row r="179" customFormat="false" ht="15" hidden="false" customHeight="true" outlineLevel="0" collapsed="false">
      <c r="D179" s="4" t="str">
        <f aca="false">IF($A179="","",IFERROR(VLOOKUP($B179,Dim_TOP!$A:$B,2,0),""))</f>
        <v/>
      </c>
      <c r="E179" s="36" t="str">
        <f aca="false">IF($A179="","",COUNTIFS(Fact_Work!$B:$B,$A179,Fact_Work!$AL:$AL,$B179))</f>
        <v/>
      </c>
      <c r="F179" s="22" t="str">
        <f aca="false">IF($A179="","",IF(COUNTIFS(Fact_Work!$B:$B,$A179,Fact_Work!$AL:$AL,$B179,Fact_Work!$AN:$AN,"&gt;0")=0,"",_xlfn.MINIFS(Fact_Work!$AN:$AN,Fact_Work!$B:$B,$A179,Fact_Work!$AL:$AL,$B179,Fact_Work!$AN:$AN,"&gt;0")))</f>
        <v/>
      </c>
      <c r="G179" s="37" t="str">
        <f aca="false">IF($A179="","",IF($F179="","",$A179+$F179/24))</f>
        <v/>
      </c>
      <c r="H179" s="38" t="str">
        <f aca="false">IF($A179="","",IF($G179="","",ROUND(($C179-$G179)*1440,0)))</f>
        <v/>
      </c>
      <c r="I179" s="4" t="str">
        <f aca="false">IF($A179="","",IF($H179="","",IF($H179&lt;=0,"Yes","No")))</f>
        <v/>
      </c>
      <c r="J179" s="4" t="str">
        <f aca="false">IF($A179="","",IF($I179="No",$E179,0))</f>
        <v/>
      </c>
      <c r="K179" s="22" t="str">
        <f aca="false">IF($A179="","",IF($F179="","",FLOOR($F179,0.5)))</f>
        <v/>
      </c>
      <c r="L179" s="39" t="str">
        <f aca="false">IF($A179="","",IF($H179="","",MAX(0,$H179)))</f>
        <v/>
      </c>
      <c r="M179" s="29" t="str">
        <f aca="false">IF($A179="","",IF($F179="","",COUNTIFS(Fact_Work!$B:$B,$A179,Fact_Work!$AL:$AL,$B179,Fact_Work!$AI:$AI,"Yes")))</f>
        <v/>
      </c>
    </row>
    <row r="180" customFormat="false" ht="15" hidden="false" customHeight="true" outlineLevel="0" collapsed="false">
      <c r="D180" s="4" t="str">
        <f aca="false">IF($A180="","",IFERROR(VLOOKUP($B180,Dim_TOP!$A:$B,2,0),""))</f>
        <v/>
      </c>
      <c r="E180" s="36" t="str">
        <f aca="false">IF($A180="","",COUNTIFS(Fact_Work!$B:$B,$A180,Fact_Work!$AL:$AL,$B180))</f>
        <v/>
      </c>
      <c r="F180" s="22" t="str">
        <f aca="false">IF($A180="","",IF(COUNTIFS(Fact_Work!$B:$B,$A180,Fact_Work!$AL:$AL,$B180,Fact_Work!$AN:$AN,"&gt;0")=0,"",_xlfn.MINIFS(Fact_Work!$AN:$AN,Fact_Work!$B:$B,$A180,Fact_Work!$AL:$AL,$B180,Fact_Work!$AN:$AN,"&gt;0")))</f>
        <v/>
      </c>
      <c r="G180" s="37" t="str">
        <f aca="false">IF($A180="","",IF($F180="","",$A180+$F180/24))</f>
        <v/>
      </c>
      <c r="H180" s="38" t="str">
        <f aca="false">IF($A180="","",IF($G180="","",ROUND(($C180-$G180)*1440,0)))</f>
        <v/>
      </c>
      <c r="I180" s="4" t="str">
        <f aca="false">IF($A180="","",IF($H180="","",IF($H180&lt;=0,"Yes","No")))</f>
        <v/>
      </c>
      <c r="J180" s="4" t="str">
        <f aca="false">IF($A180="","",IF($I180="No",$E180,0))</f>
        <v/>
      </c>
      <c r="K180" s="22" t="str">
        <f aca="false">IF($A180="","",IF($F180="","",FLOOR($F180,0.5)))</f>
        <v/>
      </c>
      <c r="L180" s="39" t="str">
        <f aca="false">IF($A180="","",IF($H180="","",MAX(0,$H180)))</f>
        <v/>
      </c>
      <c r="M180" s="29" t="str">
        <f aca="false">IF($A180="","",IF($F180="","",COUNTIFS(Fact_Work!$B:$B,$A180,Fact_Work!$AL:$AL,$B180,Fact_Work!$AI:$AI,"Yes")))</f>
        <v/>
      </c>
    </row>
    <row r="181" customFormat="false" ht="15" hidden="false" customHeight="true" outlineLevel="0" collapsed="false">
      <c r="D181" s="4" t="str">
        <f aca="false">IF($A181="","",IFERROR(VLOOKUP($B181,Dim_TOP!$A:$B,2,0),""))</f>
        <v/>
      </c>
      <c r="E181" s="36" t="str">
        <f aca="false">IF($A181="","",COUNTIFS(Fact_Work!$B:$B,$A181,Fact_Work!$AL:$AL,$B181))</f>
        <v/>
      </c>
      <c r="F181" s="22" t="str">
        <f aca="false">IF($A181="","",IF(COUNTIFS(Fact_Work!$B:$B,$A181,Fact_Work!$AL:$AL,$B181,Fact_Work!$AN:$AN,"&gt;0")=0,"",_xlfn.MINIFS(Fact_Work!$AN:$AN,Fact_Work!$B:$B,$A181,Fact_Work!$AL:$AL,$B181,Fact_Work!$AN:$AN,"&gt;0")))</f>
        <v/>
      </c>
      <c r="G181" s="37" t="str">
        <f aca="false">IF($A181="","",IF($F181="","",$A181+$F181/24))</f>
        <v/>
      </c>
      <c r="H181" s="38" t="str">
        <f aca="false">IF($A181="","",IF($G181="","",ROUND(($C181-$G181)*1440,0)))</f>
        <v/>
      </c>
      <c r="I181" s="4" t="str">
        <f aca="false">IF($A181="","",IF($H181="","",IF($H181&lt;=0,"Yes","No")))</f>
        <v/>
      </c>
      <c r="J181" s="4" t="str">
        <f aca="false">IF($A181="","",IF($I181="No",$E181,0))</f>
        <v/>
      </c>
      <c r="K181" s="22" t="str">
        <f aca="false">IF($A181="","",IF($F181="","",FLOOR($F181,0.5)))</f>
        <v/>
      </c>
      <c r="L181" s="39" t="str">
        <f aca="false">IF($A181="","",IF($H181="","",MAX(0,$H181)))</f>
        <v/>
      </c>
      <c r="M181" s="29" t="str">
        <f aca="false">IF($A181="","",IF($F181="","",COUNTIFS(Fact_Work!$B:$B,$A181,Fact_Work!$AL:$AL,$B181,Fact_Work!$AI:$AI,"Yes")))</f>
        <v/>
      </c>
    </row>
    <row r="182" customFormat="false" ht="15" hidden="false" customHeight="true" outlineLevel="0" collapsed="false">
      <c r="D182" s="4" t="str">
        <f aca="false">IF($A182="","",IFERROR(VLOOKUP($B182,Dim_TOP!$A:$B,2,0),""))</f>
        <v/>
      </c>
      <c r="E182" s="36" t="str">
        <f aca="false">IF($A182="","",COUNTIFS(Fact_Work!$B:$B,$A182,Fact_Work!$AL:$AL,$B182))</f>
        <v/>
      </c>
      <c r="F182" s="22" t="str">
        <f aca="false">IF($A182="","",IF(COUNTIFS(Fact_Work!$B:$B,$A182,Fact_Work!$AL:$AL,$B182,Fact_Work!$AN:$AN,"&gt;0")=0,"",_xlfn.MINIFS(Fact_Work!$AN:$AN,Fact_Work!$B:$B,$A182,Fact_Work!$AL:$AL,$B182,Fact_Work!$AN:$AN,"&gt;0")))</f>
        <v/>
      </c>
      <c r="G182" s="37" t="str">
        <f aca="false">IF($A182="","",IF($F182="","",$A182+$F182/24))</f>
        <v/>
      </c>
      <c r="H182" s="38" t="str">
        <f aca="false">IF($A182="","",IF($G182="","",ROUND(($C182-$G182)*1440,0)))</f>
        <v/>
      </c>
      <c r="I182" s="4" t="str">
        <f aca="false">IF($A182="","",IF($H182="","",IF($H182&lt;=0,"Yes","No")))</f>
        <v/>
      </c>
      <c r="J182" s="4" t="str">
        <f aca="false">IF($A182="","",IF($I182="No",$E182,0))</f>
        <v/>
      </c>
      <c r="K182" s="22" t="str">
        <f aca="false">IF($A182="","",IF($F182="","",FLOOR($F182,0.5)))</f>
        <v/>
      </c>
      <c r="L182" s="39" t="str">
        <f aca="false">IF($A182="","",IF($H182="","",MAX(0,$H182)))</f>
        <v/>
      </c>
      <c r="M182" s="29" t="str">
        <f aca="false">IF($A182="","",IF($F182="","",COUNTIFS(Fact_Work!$B:$B,$A182,Fact_Work!$AL:$AL,$B182,Fact_Work!$AI:$AI,"Yes")))</f>
        <v/>
      </c>
    </row>
    <row r="183" customFormat="false" ht="15" hidden="false" customHeight="true" outlineLevel="0" collapsed="false">
      <c r="D183" s="4" t="str">
        <f aca="false">IF($A183="","",IFERROR(VLOOKUP($B183,Dim_TOP!$A:$B,2,0),""))</f>
        <v/>
      </c>
      <c r="E183" s="36" t="str">
        <f aca="false">IF($A183="","",COUNTIFS(Fact_Work!$B:$B,$A183,Fact_Work!$AL:$AL,$B183))</f>
        <v/>
      </c>
      <c r="F183" s="22" t="str">
        <f aca="false">IF($A183="","",IF(COUNTIFS(Fact_Work!$B:$B,$A183,Fact_Work!$AL:$AL,$B183,Fact_Work!$AN:$AN,"&gt;0")=0,"",_xlfn.MINIFS(Fact_Work!$AN:$AN,Fact_Work!$B:$B,$A183,Fact_Work!$AL:$AL,$B183,Fact_Work!$AN:$AN,"&gt;0")))</f>
        <v/>
      </c>
      <c r="G183" s="37" t="str">
        <f aca="false">IF($A183="","",IF($F183="","",$A183+$F183/24))</f>
        <v/>
      </c>
      <c r="H183" s="38" t="str">
        <f aca="false">IF($A183="","",IF($G183="","",ROUND(($C183-$G183)*1440,0)))</f>
        <v/>
      </c>
      <c r="I183" s="4" t="str">
        <f aca="false">IF($A183="","",IF($H183="","",IF($H183&lt;=0,"Yes","No")))</f>
        <v/>
      </c>
      <c r="J183" s="4" t="str">
        <f aca="false">IF($A183="","",IF($I183="No",$E183,0))</f>
        <v/>
      </c>
      <c r="K183" s="22" t="str">
        <f aca="false">IF($A183="","",IF($F183="","",FLOOR($F183,0.5)))</f>
        <v/>
      </c>
      <c r="L183" s="39" t="str">
        <f aca="false">IF($A183="","",IF($H183="","",MAX(0,$H183)))</f>
        <v/>
      </c>
      <c r="M183" s="29" t="str">
        <f aca="false">IF($A183="","",IF($F183="","",COUNTIFS(Fact_Work!$B:$B,$A183,Fact_Work!$AL:$AL,$B183,Fact_Work!$AI:$AI,"Yes")))</f>
        <v/>
      </c>
    </row>
    <row r="184" customFormat="false" ht="15" hidden="false" customHeight="true" outlineLevel="0" collapsed="false">
      <c r="D184" s="4" t="str">
        <f aca="false">IF($A184="","",IFERROR(VLOOKUP($B184,Dim_TOP!$A:$B,2,0),""))</f>
        <v/>
      </c>
      <c r="E184" s="36" t="str">
        <f aca="false">IF($A184="","",COUNTIFS(Fact_Work!$B:$B,$A184,Fact_Work!$AL:$AL,$B184))</f>
        <v/>
      </c>
      <c r="F184" s="22" t="str">
        <f aca="false">IF($A184="","",IF(COUNTIFS(Fact_Work!$B:$B,$A184,Fact_Work!$AL:$AL,$B184,Fact_Work!$AN:$AN,"&gt;0")=0,"",_xlfn.MINIFS(Fact_Work!$AN:$AN,Fact_Work!$B:$B,$A184,Fact_Work!$AL:$AL,$B184,Fact_Work!$AN:$AN,"&gt;0")))</f>
        <v/>
      </c>
      <c r="G184" s="37" t="str">
        <f aca="false">IF($A184="","",IF($F184="","",$A184+$F184/24))</f>
        <v/>
      </c>
      <c r="H184" s="38" t="str">
        <f aca="false">IF($A184="","",IF($G184="","",ROUND(($C184-$G184)*1440,0)))</f>
        <v/>
      </c>
      <c r="I184" s="4" t="str">
        <f aca="false">IF($A184="","",IF($H184="","",IF($H184&lt;=0,"Yes","No")))</f>
        <v/>
      </c>
      <c r="J184" s="4" t="str">
        <f aca="false">IF($A184="","",IF($I184="No",$E184,0))</f>
        <v/>
      </c>
      <c r="K184" s="22" t="str">
        <f aca="false">IF($A184="","",IF($F184="","",FLOOR($F184,0.5)))</f>
        <v/>
      </c>
      <c r="L184" s="39" t="str">
        <f aca="false">IF($A184="","",IF($H184="","",MAX(0,$H184)))</f>
        <v/>
      </c>
      <c r="M184" s="29" t="str">
        <f aca="false">IF($A184="","",IF($F184="","",COUNTIFS(Fact_Work!$B:$B,$A184,Fact_Work!$AL:$AL,$B184,Fact_Work!$AI:$AI,"Yes")))</f>
        <v/>
      </c>
    </row>
    <row r="185" customFormat="false" ht="15" hidden="false" customHeight="true" outlineLevel="0" collapsed="false">
      <c r="D185" s="4" t="str">
        <f aca="false">IF($A185="","",IFERROR(VLOOKUP($B185,Dim_TOP!$A:$B,2,0),""))</f>
        <v/>
      </c>
      <c r="E185" s="36" t="str">
        <f aca="false">IF($A185="","",COUNTIFS(Fact_Work!$B:$B,$A185,Fact_Work!$AL:$AL,$B185))</f>
        <v/>
      </c>
      <c r="F185" s="22" t="str">
        <f aca="false">IF($A185="","",IF(COUNTIFS(Fact_Work!$B:$B,$A185,Fact_Work!$AL:$AL,$B185,Fact_Work!$AN:$AN,"&gt;0")=0,"",_xlfn.MINIFS(Fact_Work!$AN:$AN,Fact_Work!$B:$B,$A185,Fact_Work!$AL:$AL,$B185,Fact_Work!$AN:$AN,"&gt;0")))</f>
        <v/>
      </c>
      <c r="G185" s="37" t="str">
        <f aca="false">IF($A185="","",IF($F185="","",$A185+$F185/24))</f>
        <v/>
      </c>
      <c r="H185" s="38" t="str">
        <f aca="false">IF($A185="","",IF($G185="","",ROUND(($C185-$G185)*1440,0)))</f>
        <v/>
      </c>
      <c r="I185" s="4" t="str">
        <f aca="false">IF($A185="","",IF($H185="","",IF($H185&lt;=0,"Yes","No")))</f>
        <v/>
      </c>
      <c r="J185" s="4" t="str">
        <f aca="false">IF($A185="","",IF($I185="No",$E185,0))</f>
        <v/>
      </c>
      <c r="K185" s="22" t="str">
        <f aca="false">IF($A185="","",IF($F185="","",FLOOR($F185,0.5)))</f>
        <v/>
      </c>
      <c r="L185" s="39" t="str">
        <f aca="false">IF($A185="","",IF($H185="","",MAX(0,$H185)))</f>
        <v/>
      </c>
      <c r="M185" s="29" t="str">
        <f aca="false">IF($A185="","",IF($F185="","",COUNTIFS(Fact_Work!$B:$B,$A185,Fact_Work!$AL:$AL,$B185,Fact_Work!$AI:$AI,"Yes")))</f>
        <v/>
      </c>
    </row>
    <row r="186" customFormat="false" ht="15" hidden="false" customHeight="true" outlineLevel="0" collapsed="false">
      <c r="D186" s="4" t="str">
        <f aca="false">IF($A186="","",IFERROR(VLOOKUP($B186,Dim_TOP!$A:$B,2,0),""))</f>
        <v/>
      </c>
      <c r="E186" s="36" t="str">
        <f aca="false">IF($A186="","",COUNTIFS(Fact_Work!$B:$B,$A186,Fact_Work!$AL:$AL,$B186))</f>
        <v/>
      </c>
      <c r="F186" s="22" t="str">
        <f aca="false">IF($A186="","",IF(COUNTIFS(Fact_Work!$B:$B,$A186,Fact_Work!$AL:$AL,$B186,Fact_Work!$AN:$AN,"&gt;0")=0,"",_xlfn.MINIFS(Fact_Work!$AN:$AN,Fact_Work!$B:$B,$A186,Fact_Work!$AL:$AL,$B186,Fact_Work!$AN:$AN,"&gt;0")))</f>
        <v/>
      </c>
      <c r="G186" s="37" t="str">
        <f aca="false">IF($A186="","",IF($F186="","",$A186+$F186/24))</f>
        <v/>
      </c>
      <c r="H186" s="38" t="str">
        <f aca="false">IF($A186="","",IF($G186="","",ROUND(($C186-$G186)*1440,0)))</f>
        <v/>
      </c>
      <c r="I186" s="4" t="str">
        <f aca="false">IF($A186="","",IF($H186="","",IF($H186&lt;=0,"Yes","No")))</f>
        <v/>
      </c>
      <c r="J186" s="4" t="str">
        <f aca="false">IF($A186="","",IF($I186="No",$E186,0))</f>
        <v/>
      </c>
      <c r="K186" s="22" t="str">
        <f aca="false">IF($A186="","",IF($F186="","",FLOOR($F186,0.5)))</f>
        <v/>
      </c>
      <c r="L186" s="39" t="str">
        <f aca="false">IF($A186="","",IF($H186="","",MAX(0,$H186)))</f>
        <v/>
      </c>
      <c r="M186" s="29" t="str">
        <f aca="false">IF($A186="","",IF($F186="","",COUNTIFS(Fact_Work!$B:$B,$A186,Fact_Work!$AL:$AL,$B186,Fact_Work!$AI:$AI,"Yes")))</f>
        <v/>
      </c>
    </row>
    <row r="187" customFormat="false" ht="15" hidden="false" customHeight="true" outlineLevel="0" collapsed="false">
      <c r="D187" s="4" t="str">
        <f aca="false">IF($A187="","",IFERROR(VLOOKUP($B187,Dim_TOP!$A:$B,2,0),""))</f>
        <v/>
      </c>
      <c r="E187" s="36" t="str">
        <f aca="false">IF($A187="","",COUNTIFS(Fact_Work!$B:$B,$A187,Fact_Work!$AL:$AL,$B187))</f>
        <v/>
      </c>
      <c r="F187" s="22" t="str">
        <f aca="false">IF($A187="","",IF(COUNTIFS(Fact_Work!$B:$B,$A187,Fact_Work!$AL:$AL,$B187,Fact_Work!$AN:$AN,"&gt;0")=0,"",_xlfn.MINIFS(Fact_Work!$AN:$AN,Fact_Work!$B:$B,$A187,Fact_Work!$AL:$AL,$B187,Fact_Work!$AN:$AN,"&gt;0")))</f>
        <v/>
      </c>
      <c r="G187" s="37" t="str">
        <f aca="false">IF($A187="","",IF($F187="","",$A187+$F187/24))</f>
        <v/>
      </c>
      <c r="H187" s="38" t="str">
        <f aca="false">IF($A187="","",IF($G187="","",ROUND(($C187-$G187)*1440,0)))</f>
        <v/>
      </c>
      <c r="I187" s="4" t="str">
        <f aca="false">IF($A187="","",IF($H187="","",IF($H187&lt;=0,"Yes","No")))</f>
        <v/>
      </c>
      <c r="J187" s="4" t="str">
        <f aca="false">IF($A187="","",IF($I187="No",$E187,0))</f>
        <v/>
      </c>
      <c r="K187" s="22" t="str">
        <f aca="false">IF($A187="","",IF($F187="","",FLOOR($F187,0.5)))</f>
        <v/>
      </c>
      <c r="L187" s="39" t="str">
        <f aca="false">IF($A187="","",IF($H187="","",MAX(0,$H187)))</f>
        <v/>
      </c>
      <c r="M187" s="29" t="str">
        <f aca="false">IF($A187="","",IF($F187="","",COUNTIFS(Fact_Work!$B:$B,$A187,Fact_Work!$AL:$AL,$B187,Fact_Work!$AI:$AI,"Yes")))</f>
        <v/>
      </c>
    </row>
    <row r="188" customFormat="false" ht="15" hidden="false" customHeight="true" outlineLevel="0" collapsed="false">
      <c r="D188" s="4" t="str">
        <f aca="false">IF($A188="","",IFERROR(VLOOKUP($B188,Dim_TOP!$A:$B,2,0),""))</f>
        <v/>
      </c>
      <c r="E188" s="36" t="str">
        <f aca="false">IF($A188="","",COUNTIFS(Fact_Work!$B:$B,$A188,Fact_Work!$AL:$AL,$B188))</f>
        <v/>
      </c>
      <c r="F188" s="22" t="str">
        <f aca="false">IF($A188="","",IF(COUNTIFS(Fact_Work!$B:$B,$A188,Fact_Work!$AL:$AL,$B188,Fact_Work!$AN:$AN,"&gt;0")=0,"",_xlfn.MINIFS(Fact_Work!$AN:$AN,Fact_Work!$B:$B,$A188,Fact_Work!$AL:$AL,$B188,Fact_Work!$AN:$AN,"&gt;0")))</f>
        <v/>
      </c>
      <c r="G188" s="37" t="str">
        <f aca="false">IF($A188="","",IF($F188="","",$A188+$F188/24))</f>
        <v/>
      </c>
      <c r="H188" s="38" t="str">
        <f aca="false">IF($A188="","",IF($G188="","",ROUND(($C188-$G188)*1440,0)))</f>
        <v/>
      </c>
      <c r="I188" s="4" t="str">
        <f aca="false">IF($A188="","",IF($H188="","",IF($H188&lt;=0,"Yes","No")))</f>
        <v/>
      </c>
      <c r="J188" s="4" t="str">
        <f aca="false">IF($A188="","",IF($I188="No",$E188,0))</f>
        <v/>
      </c>
      <c r="K188" s="22" t="str">
        <f aca="false">IF($A188="","",IF($F188="","",FLOOR($F188,0.5)))</f>
        <v/>
      </c>
      <c r="L188" s="39" t="str">
        <f aca="false">IF($A188="","",IF($H188="","",MAX(0,$H188)))</f>
        <v/>
      </c>
      <c r="M188" s="29" t="str">
        <f aca="false">IF($A188="","",IF($F188="","",COUNTIFS(Fact_Work!$B:$B,$A188,Fact_Work!$AL:$AL,$B188,Fact_Work!$AI:$AI,"Yes")))</f>
        <v/>
      </c>
    </row>
    <row r="189" customFormat="false" ht="15" hidden="false" customHeight="true" outlineLevel="0" collapsed="false">
      <c r="D189" s="4" t="str">
        <f aca="false">IF($A189="","",IFERROR(VLOOKUP($B189,Dim_TOP!$A:$B,2,0),""))</f>
        <v/>
      </c>
      <c r="E189" s="36" t="str">
        <f aca="false">IF($A189="","",COUNTIFS(Fact_Work!$B:$B,$A189,Fact_Work!$AL:$AL,$B189))</f>
        <v/>
      </c>
      <c r="F189" s="22" t="str">
        <f aca="false">IF($A189="","",IF(COUNTIFS(Fact_Work!$B:$B,$A189,Fact_Work!$AL:$AL,$B189,Fact_Work!$AN:$AN,"&gt;0")=0,"",_xlfn.MINIFS(Fact_Work!$AN:$AN,Fact_Work!$B:$B,$A189,Fact_Work!$AL:$AL,$B189,Fact_Work!$AN:$AN,"&gt;0")))</f>
        <v/>
      </c>
      <c r="G189" s="37" t="str">
        <f aca="false">IF($A189="","",IF($F189="","",$A189+$F189/24))</f>
        <v/>
      </c>
      <c r="H189" s="38" t="str">
        <f aca="false">IF($A189="","",IF($G189="","",ROUND(($C189-$G189)*1440,0)))</f>
        <v/>
      </c>
      <c r="I189" s="4" t="str">
        <f aca="false">IF($A189="","",IF($H189="","",IF($H189&lt;=0,"Yes","No")))</f>
        <v/>
      </c>
      <c r="J189" s="4" t="str">
        <f aca="false">IF($A189="","",IF($I189="No",$E189,0))</f>
        <v/>
      </c>
      <c r="K189" s="22" t="str">
        <f aca="false">IF($A189="","",IF($F189="","",FLOOR($F189,0.5)))</f>
        <v/>
      </c>
      <c r="L189" s="39" t="str">
        <f aca="false">IF($A189="","",IF($H189="","",MAX(0,$H189)))</f>
        <v/>
      </c>
      <c r="M189" s="29" t="str">
        <f aca="false">IF($A189="","",IF($F189="","",COUNTIFS(Fact_Work!$B:$B,$A189,Fact_Work!$AL:$AL,$B189,Fact_Work!$AI:$AI,"Yes")))</f>
        <v/>
      </c>
    </row>
    <row r="190" customFormat="false" ht="15" hidden="false" customHeight="true" outlineLevel="0" collapsed="false">
      <c r="D190" s="4" t="str">
        <f aca="false">IF($A190="","",IFERROR(VLOOKUP($B190,Dim_TOP!$A:$B,2,0),""))</f>
        <v/>
      </c>
      <c r="E190" s="36" t="str">
        <f aca="false">IF($A190="","",COUNTIFS(Fact_Work!$B:$B,$A190,Fact_Work!$AL:$AL,$B190))</f>
        <v/>
      </c>
      <c r="F190" s="22" t="str">
        <f aca="false">IF($A190="","",IF(COUNTIFS(Fact_Work!$B:$B,$A190,Fact_Work!$AL:$AL,$B190,Fact_Work!$AN:$AN,"&gt;0")=0,"",_xlfn.MINIFS(Fact_Work!$AN:$AN,Fact_Work!$B:$B,$A190,Fact_Work!$AL:$AL,$B190,Fact_Work!$AN:$AN,"&gt;0")))</f>
        <v/>
      </c>
      <c r="G190" s="37" t="str">
        <f aca="false">IF($A190="","",IF($F190="","",$A190+$F190/24))</f>
        <v/>
      </c>
      <c r="H190" s="38" t="str">
        <f aca="false">IF($A190="","",IF($G190="","",ROUND(($C190-$G190)*1440,0)))</f>
        <v/>
      </c>
      <c r="I190" s="4" t="str">
        <f aca="false">IF($A190="","",IF($H190="","",IF($H190&lt;=0,"Yes","No")))</f>
        <v/>
      </c>
      <c r="J190" s="4" t="str">
        <f aca="false">IF($A190="","",IF($I190="No",$E190,0))</f>
        <v/>
      </c>
      <c r="K190" s="22" t="str">
        <f aca="false">IF($A190="","",IF($F190="","",FLOOR($F190,0.5)))</f>
        <v/>
      </c>
      <c r="L190" s="39" t="str">
        <f aca="false">IF($A190="","",IF($H190="","",MAX(0,$H190)))</f>
        <v/>
      </c>
      <c r="M190" s="29" t="str">
        <f aca="false">IF($A190="","",IF($F190="","",COUNTIFS(Fact_Work!$B:$B,$A190,Fact_Work!$AL:$AL,$B190,Fact_Work!$AI:$AI,"Yes")))</f>
        <v/>
      </c>
    </row>
    <row r="191" customFormat="false" ht="15" hidden="false" customHeight="true" outlineLevel="0" collapsed="false">
      <c r="D191" s="4" t="str">
        <f aca="false">IF($A191="","",IFERROR(VLOOKUP($B191,Dim_TOP!$A:$B,2,0),""))</f>
        <v/>
      </c>
      <c r="E191" s="36" t="str">
        <f aca="false">IF($A191="","",COUNTIFS(Fact_Work!$B:$B,$A191,Fact_Work!$AL:$AL,$B191))</f>
        <v/>
      </c>
      <c r="F191" s="22" t="str">
        <f aca="false">IF($A191="","",IF(COUNTIFS(Fact_Work!$B:$B,$A191,Fact_Work!$AL:$AL,$B191,Fact_Work!$AN:$AN,"&gt;0")=0,"",_xlfn.MINIFS(Fact_Work!$AN:$AN,Fact_Work!$B:$B,$A191,Fact_Work!$AL:$AL,$B191,Fact_Work!$AN:$AN,"&gt;0")))</f>
        <v/>
      </c>
      <c r="G191" s="37" t="str">
        <f aca="false">IF($A191="","",IF($F191="","",$A191+$F191/24))</f>
        <v/>
      </c>
      <c r="H191" s="38" t="str">
        <f aca="false">IF($A191="","",IF($G191="","",ROUND(($C191-$G191)*1440,0)))</f>
        <v/>
      </c>
      <c r="I191" s="4" t="str">
        <f aca="false">IF($A191="","",IF($H191="","",IF($H191&lt;=0,"Yes","No")))</f>
        <v/>
      </c>
      <c r="J191" s="4" t="str">
        <f aca="false">IF($A191="","",IF($I191="No",$E191,0))</f>
        <v/>
      </c>
      <c r="K191" s="22" t="str">
        <f aca="false">IF($A191="","",IF($F191="","",FLOOR($F191,0.5)))</f>
        <v/>
      </c>
      <c r="L191" s="39" t="str">
        <f aca="false">IF($A191="","",IF($H191="","",MAX(0,$H191)))</f>
        <v/>
      </c>
      <c r="M191" s="29" t="str">
        <f aca="false">IF($A191="","",IF($F191="","",COUNTIFS(Fact_Work!$B:$B,$A191,Fact_Work!$AL:$AL,$B191,Fact_Work!$AI:$AI,"Yes")))</f>
        <v/>
      </c>
    </row>
    <row r="192" customFormat="false" ht="15" hidden="false" customHeight="true" outlineLevel="0" collapsed="false">
      <c r="D192" s="4" t="str">
        <f aca="false">IF($A192="","",IFERROR(VLOOKUP($B192,Dim_TOP!$A:$B,2,0),""))</f>
        <v/>
      </c>
      <c r="E192" s="36" t="str">
        <f aca="false">IF($A192="","",COUNTIFS(Fact_Work!$B:$B,$A192,Fact_Work!$AL:$AL,$B192))</f>
        <v/>
      </c>
      <c r="F192" s="22" t="str">
        <f aca="false">IF($A192="","",IF(COUNTIFS(Fact_Work!$B:$B,$A192,Fact_Work!$AL:$AL,$B192,Fact_Work!$AN:$AN,"&gt;0")=0,"",_xlfn.MINIFS(Fact_Work!$AN:$AN,Fact_Work!$B:$B,$A192,Fact_Work!$AL:$AL,$B192,Fact_Work!$AN:$AN,"&gt;0")))</f>
        <v/>
      </c>
      <c r="G192" s="37" t="str">
        <f aca="false">IF($A192="","",IF($F192="","",$A192+$F192/24))</f>
        <v/>
      </c>
      <c r="H192" s="38" t="str">
        <f aca="false">IF($A192="","",IF($G192="","",ROUND(($C192-$G192)*1440,0)))</f>
        <v/>
      </c>
      <c r="I192" s="4" t="str">
        <f aca="false">IF($A192="","",IF($H192="","",IF($H192&lt;=0,"Yes","No")))</f>
        <v/>
      </c>
      <c r="J192" s="4" t="str">
        <f aca="false">IF($A192="","",IF($I192="No",$E192,0))</f>
        <v/>
      </c>
      <c r="K192" s="22" t="str">
        <f aca="false">IF($A192="","",IF($F192="","",FLOOR($F192,0.5)))</f>
        <v/>
      </c>
      <c r="L192" s="39" t="str">
        <f aca="false">IF($A192="","",IF($H192="","",MAX(0,$H192)))</f>
        <v/>
      </c>
      <c r="M192" s="29" t="str">
        <f aca="false">IF($A192="","",IF($F192="","",COUNTIFS(Fact_Work!$B:$B,$A192,Fact_Work!$AL:$AL,$B192,Fact_Work!$AI:$AI,"Yes")))</f>
        <v/>
      </c>
    </row>
    <row r="193" customFormat="false" ht="15" hidden="false" customHeight="true" outlineLevel="0" collapsed="false">
      <c r="D193" s="4" t="str">
        <f aca="false">IF($A193="","",IFERROR(VLOOKUP($B193,Dim_TOP!$A:$B,2,0),""))</f>
        <v/>
      </c>
      <c r="E193" s="36" t="str">
        <f aca="false">IF($A193="","",COUNTIFS(Fact_Work!$B:$B,$A193,Fact_Work!$AL:$AL,$B193))</f>
        <v/>
      </c>
      <c r="F193" s="22" t="str">
        <f aca="false">IF($A193="","",IF(COUNTIFS(Fact_Work!$B:$B,$A193,Fact_Work!$AL:$AL,$B193,Fact_Work!$AN:$AN,"&gt;0")=0,"",_xlfn.MINIFS(Fact_Work!$AN:$AN,Fact_Work!$B:$B,$A193,Fact_Work!$AL:$AL,$B193,Fact_Work!$AN:$AN,"&gt;0")))</f>
        <v/>
      </c>
      <c r="G193" s="37" t="str">
        <f aca="false">IF($A193="","",IF($F193="","",$A193+$F193/24))</f>
        <v/>
      </c>
      <c r="H193" s="38" t="str">
        <f aca="false">IF($A193="","",IF($G193="","",ROUND(($C193-$G193)*1440,0)))</f>
        <v/>
      </c>
      <c r="I193" s="4" t="str">
        <f aca="false">IF($A193="","",IF($H193="","",IF($H193&lt;=0,"Yes","No")))</f>
        <v/>
      </c>
      <c r="J193" s="4" t="str">
        <f aca="false">IF($A193="","",IF($I193="No",$E193,0))</f>
        <v/>
      </c>
      <c r="K193" s="22" t="str">
        <f aca="false">IF($A193="","",IF($F193="","",FLOOR($F193,0.5)))</f>
        <v/>
      </c>
      <c r="L193" s="39" t="str">
        <f aca="false">IF($A193="","",IF($H193="","",MAX(0,$H193)))</f>
        <v/>
      </c>
      <c r="M193" s="29" t="str">
        <f aca="false">IF($A193="","",IF($F193="","",COUNTIFS(Fact_Work!$B:$B,$A193,Fact_Work!$AL:$AL,$B193,Fact_Work!$AI:$AI,"Yes")))</f>
        <v/>
      </c>
    </row>
    <row r="194" customFormat="false" ht="15" hidden="false" customHeight="true" outlineLevel="0" collapsed="false">
      <c r="D194" s="4" t="str">
        <f aca="false">IF($A194="","",IFERROR(VLOOKUP($B194,Dim_TOP!$A:$B,2,0),""))</f>
        <v/>
      </c>
      <c r="E194" s="36" t="str">
        <f aca="false">IF($A194="","",COUNTIFS(Fact_Work!$B:$B,$A194,Fact_Work!$AL:$AL,$B194))</f>
        <v/>
      </c>
      <c r="F194" s="22" t="str">
        <f aca="false">IF($A194="","",IF(COUNTIFS(Fact_Work!$B:$B,$A194,Fact_Work!$AL:$AL,$B194,Fact_Work!$AN:$AN,"&gt;0")=0,"",_xlfn.MINIFS(Fact_Work!$AN:$AN,Fact_Work!$B:$B,$A194,Fact_Work!$AL:$AL,$B194,Fact_Work!$AN:$AN,"&gt;0")))</f>
        <v/>
      </c>
      <c r="G194" s="37" t="str">
        <f aca="false">IF($A194="","",IF($F194="","",$A194+$F194/24))</f>
        <v/>
      </c>
      <c r="H194" s="38" t="str">
        <f aca="false">IF($A194="","",IF($G194="","",ROUND(($C194-$G194)*1440,0)))</f>
        <v/>
      </c>
      <c r="I194" s="4" t="str">
        <f aca="false">IF($A194="","",IF($H194="","",IF($H194&lt;=0,"Yes","No")))</f>
        <v/>
      </c>
      <c r="J194" s="4" t="str">
        <f aca="false">IF($A194="","",IF($I194="No",$E194,0))</f>
        <v/>
      </c>
      <c r="K194" s="22" t="str">
        <f aca="false">IF($A194="","",IF($F194="","",FLOOR($F194,0.5)))</f>
        <v/>
      </c>
      <c r="L194" s="39" t="str">
        <f aca="false">IF($A194="","",IF($H194="","",MAX(0,$H194)))</f>
        <v/>
      </c>
      <c r="M194" s="29" t="str">
        <f aca="false">IF($A194="","",IF($F194="","",COUNTIFS(Fact_Work!$B:$B,$A194,Fact_Work!$AL:$AL,$B194,Fact_Work!$AI:$AI,"Yes")))</f>
        <v/>
      </c>
    </row>
    <row r="195" customFormat="false" ht="15" hidden="false" customHeight="true" outlineLevel="0" collapsed="false">
      <c r="D195" s="4" t="str">
        <f aca="false">IF($A195="","",IFERROR(VLOOKUP($B195,Dim_TOP!$A:$B,2,0),""))</f>
        <v/>
      </c>
      <c r="E195" s="36" t="str">
        <f aca="false">IF($A195="","",COUNTIFS(Fact_Work!$B:$B,$A195,Fact_Work!$AL:$AL,$B195))</f>
        <v/>
      </c>
      <c r="F195" s="22" t="str">
        <f aca="false">IF($A195="","",IF(COUNTIFS(Fact_Work!$B:$B,$A195,Fact_Work!$AL:$AL,$B195,Fact_Work!$AN:$AN,"&gt;0")=0,"",_xlfn.MINIFS(Fact_Work!$AN:$AN,Fact_Work!$B:$B,$A195,Fact_Work!$AL:$AL,$B195,Fact_Work!$AN:$AN,"&gt;0")))</f>
        <v/>
      </c>
      <c r="G195" s="37" t="str">
        <f aca="false">IF($A195="","",IF($F195="","",$A195+$F195/24))</f>
        <v/>
      </c>
      <c r="H195" s="38" t="str">
        <f aca="false">IF($A195="","",IF($G195="","",ROUND(($C195-$G195)*1440,0)))</f>
        <v/>
      </c>
      <c r="I195" s="4" t="str">
        <f aca="false">IF($A195="","",IF($H195="","",IF($H195&lt;=0,"Yes","No")))</f>
        <v/>
      </c>
      <c r="J195" s="4" t="str">
        <f aca="false">IF($A195="","",IF($I195="No",$E195,0))</f>
        <v/>
      </c>
      <c r="K195" s="22" t="str">
        <f aca="false">IF($A195="","",IF($F195="","",FLOOR($F195,0.5)))</f>
        <v/>
      </c>
      <c r="L195" s="39" t="str">
        <f aca="false">IF($A195="","",IF($H195="","",MAX(0,$H195)))</f>
        <v/>
      </c>
      <c r="M195" s="29" t="str">
        <f aca="false">IF($A195="","",IF($F195="","",COUNTIFS(Fact_Work!$B:$B,$A195,Fact_Work!$AL:$AL,$B195,Fact_Work!$AI:$AI,"Yes")))</f>
        <v/>
      </c>
    </row>
    <row r="196" customFormat="false" ht="15" hidden="false" customHeight="true" outlineLevel="0" collapsed="false">
      <c r="D196" s="4" t="str">
        <f aca="false">IF($A196="","",IFERROR(VLOOKUP($B196,Dim_TOP!$A:$B,2,0),""))</f>
        <v/>
      </c>
      <c r="E196" s="36" t="str">
        <f aca="false">IF($A196="","",COUNTIFS(Fact_Work!$B:$B,$A196,Fact_Work!$AL:$AL,$B196))</f>
        <v/>
      </c>
      <c r="F196" s="22" t="str">
        <f aca="false">IF($A196="","",IF(COUNTIFS(Fact_Work!$B:$B,$A196,Fact_Work!$AL:$AL,$B196,Fact_Work!$AN:$AN,"&gt;0")=0,"",_xlfn.MINIFS(Fact_Work!$AN:$AN,Fact_Work!$B:$B,$A196,Fact_Work!$AL:$AL,$B196,Fact_Work!$AN:$AN,"&gt;0")))</f>
        <v/>
      </c>
      <c r="G196" s="37" t="str">
        <f aca="false">IF($A196="","",IF($F196="","",$A196+$F196/24))</f>
        <v/>
      </c>
      <c r="H196" s="38" t="str">
        <f aca="false">IF($A196="","",IF($G196="","",ROUND(($C196-$G196)*1440,0)))</f>
        <v/>
      </c>
      <c r="I196" s="4" t="str">
        <f aca="false">IF($A196="","",IF($H196="","",IF($H196&lt;=0,"Yes","No")))</f>
        <v/>
      </c>
      <c r="J196" s="4" t="str">
        <f aca="false">IF($A196="","",IF($I196="No",$E196,0))</f>
        <v/>
      </c>
      <c r="K196" s="22" t="str">
        <f aca="false">IF($A196="","",IF($F196="","",FLOOR($F196,0.5)))</f>
        <v/>
      </c>
      <c r="L196" s="39" t="str">
        <f aca="false">IF($A196="","",IF($H196="","",MAX(0,$H196)))</f>
        <v/>
      </c>
      <c r="M196" s="29" t="str">
        <f aca="false">IF($A196="","",IF($F196="","",COUNTIFS(Fact_Work!$B:$B,$A196,Fact_Work!$AL:$AL,$B196,Fact_Work!$AI:$AI,"Yes")))</f>
        <v/>
      </c>
    </row>
    <row r="197" customFormat="false" ht="15" hidden="false" customHeight="true" outlineLevel="0" collapsed="false">
      <c r="D197" s="4" t="str">
        <f aca="false">IF($A197="","",IFERROR(VLOOKUP($B197,Dim_TOP!$A:$B,2,0),""))</f>
        <v/>
      </c>
      <c r="E197" s="36" t="str">
        <f aca="false">IF($A197="","",COUNTIFS(Fact_Work!$B:$B,$A197,Fact_Work!$AL:$AL,$B197))</f>
        <v/>
      </c>
      <c r="F197" s="22" t="str">
        <f aca="false">IF($A197="","",IF(COUNTIFS(Fact_Work!$B:$B,$A197,Fact_Work!$AL:$AL,$B197,Fact_Work!$AN:$AN,"&gt;0")=0,"",_xlfn.MINIFS(Fact_Work!$AN:$AN,Fact_Work!$B:$B,$A197,Fact_Work!$AL:$AL,$B197,Fact_Work!$AN:$AN,"&gt;0")))</f>
        <v/>
      </c>
      <c r="G197" s="37" t="str">
        <f aca="false">IF($A197="","",IF($F197="","",$A197+$F197/24))</f>
        <v/>
      </c>
      <c r="H197" s="38" t="str">
        <f aca="false">IF($A197="","",IF($G197="","",ROUND(($C197-$G197)*1440,0)))</f>
        <v/>
      </c>
      <c r="I197" s="4" t="str">
        <f aca="false">IF($A197="","",IF($H197="","",IF($H197&lt;=0,"Yes","No")))</f>
        <v/>
      </c>
      <c r="J197" s="4" t="str">
        <f aca="false">IF($A197="","",IF($I197="No",$E197,0))</f>
        <v/>
      </c>
      <c r="K197" s="22" t="str">
        <f aca="false">IF($A197="","",IF($F197="","",FLOOR($F197,0.5)))</f>
        <v/>
      </c>
      <c r="L197" s="39" t="str">
        <f aca="false">IF($A197="","",IF($H197="","",MAX(0,$H197)))</f>
        <v/>
      </c>
      <c r="M197" s="29" t="str">
        <f aca="false">IF($A197="","",IF($F197="","",COUNTIFS(Fact_Work!$B:$B,$A197,Fact_Work!$AL:$AL,$B197,Fact_Work!$AI:$AI,"Yes")))</f>
        <v/>
      </c>
    </row>
    <row r="198" customFormat="false" ht="15" hidden="false" customHeight="true" outlineLevel="0" collapsed="false">
      <c r="D198" s="4" t="str">
        <f aca="false">IF($A198="","",IFERROR(VLOOKUP($B198,Dim_TOP!$A:$B,2,0),""))</f>
        <v/>
      </c>
      <c r="E198" s="36" t="str">
        <f aca="false">IF($A198="","",COUNTIFS(Fact_Work!$B:$B,$A198,Fact_Work!$AL:$AL,$B198))</f>
        <v/>
      </c>
      <c r="F198" s="22" t="str">
        <f aca="false">IF($A198="","",IF(COUNTIFS(Fact_Work!$B:$B,$A198,Fact_Work!$AL:$AL,$B198,Fact_Work!$AN:$AN,"&gt;0")=0,"",_xlfn.MINIFS(Fact_Work!$AN:$AN,Fact_Work!$B:$B,$A198,Fact_Work!$AL:$AL,$B198,Fact_Work!$AN:$AN,"&gt;0")))</f>
        <v/>
      </c>
      <c r="G198" s="37" t="str">
        <f aca="false">IF($A198="","",IF($F198="","",$A198+$F198/24))</f>
        <v/>
      </c>
      <c r="H198" s="38" t="str">
        <f aca="false">IF($A198="","",IF($G198="","",ROUND(($C198-$G198)*1440,0)))</f>
        <v/>
      </c>
      <c r="I198" s="4" t="str">
        <f aca="false">IF($A198="","",IF($H198="","",IF($H198&lt;=0,"Yes","No")))</f>
        <v/>
      </c>
      <c r="J198" s="4" t="str">
        <f aca="false">IF($A198="","",IF($I198="No",$E198,0))</f>
        <v/>
      </c>
      <c r="K198" s="22" t="str">
        <f aca="false">IF($A198="","",IF($F198="","",FLOOR($F198,0.5)))</f>
        <v/>
      </c>
      <c r="L198" s="39" t="str">
        <f aca="false">IF($A198="","",IF($H198="","",MAX(0,$H198)))</f>
        <v/>
      </c>
      <c r="M198" s="29" t="str">
        <f aca="false">IF($A198="","",IF($F198="","",COUNTIFS(Fact_Work!$B:$B,$A198,Fact_Work!$AL:$AL,$B198,Fact_Work!$AI:$AI,"Yes")))</f>
        <v/>
      </c>
    </row>
    <row r="199" customFormat="false" ht="15" hidden="false" customHeight="true" outlineLevel="0" collapsed="false">
      <c r="D199" s="4" t="str">
        <f aca="false">IF($A199="","",IFERROR(VLOOKUP($B199,Dim_TOP!$A:$B,2,0),""))</f>
        <v/>
      </c>
      <c r="E199" s="36" t="str">
        <f aca="false">IF($A199="","",COUNTIFS(Fact_Work!$B:$B,$A199,Fact_Work!$AL:$AL,$B199))</f>
        <v/>
      </c>
      <c r="F199" s="22" t="str">
        <f aca="false">IF($A199="","",IF(COUNTIFS(Fact_Work!$B:$B,$A199,Fact_Work!$AL:$AL,$B199,Fact_Work!$AN:$AN,"&gt;0")=0,"",_xlfn.MINIFS(Fact_Work!$AN:$AN,Fact_Work!$B:$B,$A199,Fact_Work!$AL:$AL,$B199,Fact_Work!$AN:$AN,"&gt;0")))</f>
        <v/>
      </c>
      <c r="G199" s="37" t="str">
        <f aca="false">IF($A199="","",IF($F199="","",$A199+$F199/24))</f>
        <v/>
      </c>
      <c r="H199" s="38" t="str">
        <f aca="false">IF($A199="","",IF($G199="","",ROUND(($C199-$G199)*1440,0)))</f>
        <v/>
      </c>
      <c r="I199" s="4" t="str">
        <f aca="false">IF($A199="","",IF($H199="","",IF($H199&lt;=0,"Yes","No")))</f>
        <v/>
      </c>
      <c r="J199" s="4" t="str">
        <f aca="false">IF($A199="","",IF($I199="No",$E199,0))</f>
        <v/>
      </c>
      <c r="K199" s="22" t="str">
        <f aca="false">IF($A199="","",IF($F199="","",FLOOR($F199,0.5)))</f>
        <v/>
      </c>
      <c r="L199" s="39" t="str">
        <f aca="false">IF($A199="","",IF($H199="","",MAX(0,$H199)))</f>
        <v/>
      </c>
      <c r="M199" s="29" t="str">
        <f aca="false">IF($A199="","",IF($F199="","",COUNTIFS(Fact_Work!$B:$B,$A199,Fact_Work!$AL:$AL,$B199,Fact_Work!$AI:$AI,"Yes")))</f>
        <v/>
      </c>
    </row>
    <row r="200" customFormat="false" ht="15" hidden="false" customHeight="true" outlineLevel="0" collapsed="false">
      <c r="D200" s="4" t="str">
        <f aca="false">IF($A200="","",IFERROR(VLOOKUP($B200,Dim_TOP!$A:$B,2,0),""))</f>
        <v/>
      </c>
      <c r="E200" s="36" t="str">
        <f aca="false">IF($A200="","",COUNTIFS(Fact_Work!$B:$B,$A200,Fact_Work!$AL:$AL,$B200))</f>
        <v/>
      </c>
      <c r="F200" s="22" t="str">
        <f aca="false">IF($A200="","",IF(COUNTIFS(Fact_Work!$B:$B,$A200,Fact_Work!$AL:$AL,$B200,Fact_Work!$AN:$AN,"&gt;0")=0,"",_xlfn.MINIFS(Fact_Work!$AN:$AN,Fact_Work!$B:$B,$A200,Fact_Work!$AL:$AL,$B200,Fact_Work!$AN:$AN,"&gt;0")))</f>
        <v/>
      </c>
      <c r="G200" s="37" t="str">
        <f aca="false">IF($A200="","",IF($F200="","",$A200+$F200/24))</f>
        <v/>
      </c>
      <c r="H200" s="38" t="str">
        <f aca="false">IF($A200="","",IF($G200="","",ROUND(($C200-$G200)*1440,0)))</f>
        <v/>
      </c>
      <c r="I200" s="4" t="str">
        <f aca="false">IF($A200="","",IF($H200="","",IF($H200&lt;=0,"Yes","No")))</f>
        <v/>
      </c>
      <c r="J200" s="4" t="str">
        <f aca="false">IF($A200="","",IF($I200="No",$E200,0))</f>
        <v/>
      </c>
      <c r="K200" s="22" t="str">
        <f aca="false">IF($A200="","",IF($F200="","",FLOOR($F200,0.5)))</f>
        <v/>
      </c>
      <c r="L200" s="39" t="str">
        <f aca="false">IF($A200="","",IF($H200="","",MAX(0,$H200)))</f>
        <v/>
      </c>
      <c r="M200" s="29" t="str">
        <f aca="false">IF($A200="","",IF($F200="","",COUNTIFS(Fact_Work!$B:$B,$A200,Fact_Work!$AL:$AL,$B200,Fact_Work!$AI:$AI,"Yes")))</f>
        <v/>
      </c>
    </row>
    <row r="201" customFormat="false" ht="15" hidden="false" customHeight="true" outlineLevel="0" collapsed="false">
      <c r="D201" s="4" t="str">
        <f aca="false">IF($A201="","",IFERROR(VLOOKUP($B201,Dim_TOP!$A:$B,2,0),""))</f>
        <v/>
      </c>
      <c r="E201" s="36" t="str">
        <f aca="false">IF($A201="","",COUNTIFS(Fact_Work!$B:$B,$A201,Fact_Work!$AL:$AL,$B201))</f>
        <v/>
      </c>
      <c r="F201" s="22" t="str">
        <f aca="false">IF($A201="","",IF(COUNTIFS(Fact_Work!$B:$B,$A201,Fact_Work!$AL:$AL,$B201,Fact_Work!$AN:$AN,"&gt;0")=0,"",_xlfn.MINIFS(Fact_Work!$AN:$AN,Fact_Work!$B:$B,$A201,Fact_Work!$AL:$AL,$B201,Fact_Work!$AN:$AN,"&gt;0")))</f>
        <v/>
      </c>
      <c r="G201" s="37" t="str">
        <f aca="false">IF($A201="","",IF($F201="","",$A201+$F201/24))</f>
        <v/>
      </c>
      <c r="H201" s="38" t="str">
        <f aca="false">IF($A201="","",IF($G201="","",ROUND(($C201-$G201)*1440,0)))</f>
        <v/>
      </c>
      <c r="I201" s="4" t="str">
        <f aca="false">IF($A201="","",IF($H201="","",IF($H201&lt;=0,"Yes","No")))</f>
        <v/>
      </c>
      <c r="J201" s="4" t="str">
        <f aca="false">IF($A201="","",IF($I201="No",$E201,0))</f>
        <v/>
      </c>
      <c r="K201" s="22" t="str">
        <f aca="false">IF($A201="","",IF($F201="","",FLOOR($F201,0.5)))</f>
        <v/>
      </c>
      <c r="L201" s="39" t="str">
        <f aca="false">IF($A201="","",IF($H201="","",MAX(0,$H201)))</f>
        <v/>
      </c>
      <c r="M201" s="29" t="str">
        <f aca="false">IF($A201="","",IF($F201="","",COUNTIFS(Fact_Work!$B:$B,$A201,Fact_Work!$AL:$AL,$B201,Fact_Work!$AI:$AI,"Yes")))</f>
        <v/>
      </c>
    </row>
    <row r="202" customFormat="false" ht="15" hidden="false" customHeight="true" outlineLevel="0" collapsed="false">
      <c r="D202" s="4" t="str">
        <f aca="false">IF($A202="","",IFERROR(VLOOKUP($B202,Dim_TOP!$A:$B,2,0),""))</f>
        <v/>
      </c>
      <c r="E202" s="36" t="str">
        <f aca="false">IF($A202="","",COUNTIFS(Fact_Work!$B:$B,$A202,Fact_Work!$AL:$AL,$B202))</f>
        <v/>
      </c>
      <c r="F202" s="22" t="str">
        <f aca="false">IF($A202="","",IF(COUNTIFS(Fact_Work!$B:$B,$A202,Fact_Work!$AL:$AL,$B202,Fact_Work!$AN:$AN,"&gt;0")=0,"",_xlfn.MINIFS(Fact_Work!$AN:$AN,Fact_Work!$B:$B,$A202,Fact_Work!$AL:$AL,$B202,Fact_Work!$AN:$AN,"&gt;0")))</f>
        <v/>
      </c>
      <c r="G202" s="37" t="str">
        <f aca="false">IF($A202="","",IF($F202="","",$A202+$F202/24))</f>
        <v/>
      </c>
      <c r="H202" s="38" t="str">
        <f aca="false">IF($A202="","",IF($G202="","",ROUND(($C202-$G202)*1440,0)))</f>
        <v/>
      </c>
      <c r="I202" s="4" t="str">
        <f aca="false">IF($A202="","",IF($H202="","",IF($H202&lt;=0,"Yes","No")))</f>
        <v/>
      </c>
      <c r="J202" s="4" t="str">
        <f aca="false">IF($A202="","",IF($I202="No",$E202,0))</f>
        <v/>
      </c>
      <c r="K202" s="22" t="str">
        <f aca="false">IF($A202="","",IF($F202="","",FLOOR($F202,0.5)))</f>
        <v/>
      </c>
      <c r="L202" s="39" t="str">
        <f aca="false">IF($A202="","",IF($H202="","",MAX(0,$H202)))</f>
        <v/>
      </c>
      <c r="M202" s="29" t="str">
        <f aca="false">IF($A202="","",IF($F202="","",COUNTIFS(Fact_Work!$B:$B,$A202,Fact_Work!$AL:$AL,$B202,Fact_Work!$AI:$AI,"Yes")))</f>
        <v/>
      </c>
    </row>
    <row r="203" customFormat="false" ht="15" hidden="false" customHeight="true" outlineLevel="0" collapsed="false">
      <c r="D203" s="4" t="str">
        <f aca="false">IF($A203="","",IFERROR(VLOOKUP($B203,Dim_TOP!$A:$B,2,0),""))</f>
        <v/>
      </c>
      <c r="E203" s="36" t="str">
        <f aca="false">IF($A203="","",COUNTIFS(Fact_Work!$B:$B,$A203,Fact_Work!$AL:$AL,$B203))</f>
        <v/>
      </c>
      <c r="F203" s="22" t="str">
        <f aca="false">IF($A203="","",IF(COUNTIFS(Fact_Work!$B:$B,$A203,Fact_Work!$AL:$AL,$B203,Fact_Work!$AN:$AN,"&gt;0")=0,"",_xlfn.MINIFS(Fact_Work!$AN:$AN,Fact_Work!$B:$B,$A203,Fact_Work!$AL:$AL,$B203,Fact_Work!$AN:$AN,"&gt;0")))</f>
        <v/>
      </c>
      <c r="G203" s="37" t="str">
        <f aca="false">IF($A203="","",IF($F203="","",$A203+$F203/24))</f>
        <v/>
      </c>
      <c r="H203" s="38" t="str">
        <f aca="false">IF($A203="","",IF($G203="","",ROUND(($C203-$G203)*1440,0)))</f>
        <v/>
      </c>
      <c r="I203" s="4" t="str">
        <f aca="false">IF($A203="","",IF($H203="","",IF($H203&lt;=0,"Yes","No")))</f>
        <v/>
      </c>
      <c r="J203" s="4" t="str">
        <f aca="false">IF($A203="","",IF($I203="No",$E203,0))</f>
        <v/>
      </c>
      <c r="K203" s="22" t="str">
        <f aca="false">IF($A203="","",IF($F203="","",FLOOR($F203,0.5)))</f>
        <v/>
      </c>
      <c r="L203" s="39" t="str">
        <f aca="false">IF($A203="","",IF($H203="","",MAX(0,$H203)))</f>
        <v/>
      </c>
      <c r="M203" s="29" t="str">
        <f aca="false">IF($A203="","",IF($F203="","",COUNTIFS(Fact_Work!$B:$B,$A203,Fact_Work!$AL:$AL,$B203,Fact_Work!$AI:$AI,"Yes")))</f>
        <v/>
      </c>
    </row>
    <row r="204" customFormat="false" ht="15" hidden="false" customHeight="true" outlineLevel="0" collapsed="false">
      <c r="D204" s="4" t="str">
        <f aca="false">IF($A204="","",IFERROR(VLOOKUP($B204,Dim_TOP!$A:$B,2,0),""))</f>
        <v/>
      </c>
      <c r="E204" s="36" t="str">
        <f aca="false">IF($A204="","",COUNTIFS(Fact_Work!$B:$B,$A204,Fact_Work!$AL:$AL,$B204))</f>
        <v/>
      </c>
      <c r="F204" s="22" t="str">
        <f aca="false">IF($A204="","",IF(COUNTIFS(Fact_Work!$B:$B,$A204,Fact_Work!$AL:$AL,$B204,Fact_Work!$AN:$AN,"&gt;0")=0,"",_xlfn.MINIFS(Fact_Work!$AN:$AN,Fact_Work!$B:$B,$A204,Fact_Work!$AL:$AL,$B204,Fact_Work!$AN:$AN,"&gt;0")))</f>
        <v/>
      </c>
      <c r="G204" s="37" t="str">
        <f aca="false">IF($A204="","",IF($F204="","",$A204+$F204/24))</f>
        <v/>
      </c>
      <c r="H204" s="38" t="str">
        <f aca="false">IF($A204="","",IF($G204="","",ROUND(($C204-$G204)*1440,0)))</f>
        <v/>
      </c>
      <c r="I204" s="4" t="str">
        <f aca="false">IF($A204="","",IF($H204="","",IF($H204&lt;=0,"Yes","No")))</f>
        <v/>
      </c>
      <c r="J204" s="4" t="str">
        <f aca="false">IF($A204="","",IF($I204="No",$E204,0))</f>
        <v/>
      </c>
      <c r="K204" s="22" t="str">
        <f aca="false">IF($A204="","",IF($F204="","",FLOOR($F204,0.5)))</f>
        <v/>
      </c>
      <c r="L204" s="39" t="str">
        <f aca="false">IF($A204="","",IF($H204="","",MAX(0,$H204)))</f>
        <v/>
      </c>
      <c r="M204" s="29" t="str">
        <f aca="false">IF($A204="","",IF($F204="","",COUNTIFS(Fact_Work!$B:$B,$A204,Fact_Work!$AL:$AL,$B204,Fact_Work!$AI:$AI,"Yes")))</f>
        <v/>
      </c>
    </row>
    <row r="205" customFormat="false" ht="15" hidden="false" customHeight="true" outlineLevel="0" collapsed="false">
      <c r="D205" s="4" t="str">
        <f aca="false">IF($A205="","",IFERROR(VLOOKUP($B205,Dim_TOP!$A:$B,2,0),""))</f>
        <v/>
      </c>
      <c r="E205" s="36" t="str">
        <f aca="false">IF($A205="","",COUNTIFS(Fact_Work!$B:$B,$A205,Fact_Work!$AL:$AL,$B205))</f>
        <v/>
      </c>
      <c r="F205" s="22" t="str">
        <f aca="false">IF($A205="","",IF(COUNTIFS(Fact_Work!$B:$B,$A205,Fact_Work!$AL:$AL,$B205,Fact_Work!$AN:$AN,"&gt;0")=0,"",_xlfn.MINIFS(Fact_Work!$AN:$AN,Fact_Work!$B:$B,$A205,Fact_Work!$AL:$AL,$B205,Fact_Work!$AN:$AN,"&gt;0")))</f>
        <v/>
      </c>
      <c r="G205" s="37" t="str">
        <f aca="false">IF($A205="","",IF($F205="","",$A205+$F205/24))</f>
        <v/>
      </c>
      <c r="H205" s="38" t="str">
        <f aca="false">IF($A205="","",IF($G205="","",ROUND(($C205-$G205)*1440,0)))</f>
        <v/>
      </c>
      <c r="I205" s="4" t="str">
        <f aca="false">IF($A205="","",IF($H205="","",IF($H205&lt;=0,"Yes","No")))</f>
        <v/>
      </c>
      <c r="J205" s="4" t="str">
        <f aca="false">IF($A205="","",IF($I205="No",$E205,0))</f>
        <v/>
      </c>
      <c r="K205" s="22" t="str">
        <f aca="false">IF($A205="","",IF($F205="","",FLOOR($F205,0.5)))</f>
        <v/>
      </c>
      <c r="L205" s="39" t="str">
        <f aca="false">IF($A205="","",IF($H205="","",MAX(0,$H205)))</f>
        <v/>
      </c>
      <c r="M205" s="29" t="str">
        <f aca="false">IF($A205="","",IF($F205="","",COUNTIFS(Fact_Work!$B:$B,$A205,Fact_Work!$AL:$AL,$B205,Fact_Work!$AI:$AI,"Yes")))</f>
        <v/>
      </c>
    </row>
    <row r="206" customFormat="false" ht="15" hidden="false" customHeight="true" outlineLevel="0" collapsed="false">
      <c r="D206" s="4" t="str">
        <f aca="false">IF($A206="","",IFERROR(VLOOKUP($B206,Dim_TOP!$A:$B,2,0),""))</f>
        <v/>
      </c>
      <c r="E206" s="36" t="str">
        <f aca="false">IF($A206="","",COUNTIFS(Fact_Work!$B:$B,$A206,Fact_Work!$AL:$AL,$B206))</f>
        <v/>
      </c>
      <c r="F206" s="22" t="str">
        <f aca="false">IF($A206="","",IF(COUNTIFS(Fact_Work!$B:$B,$A206,Fact_Work!$AL:$AL,$B206,Fact_Work!$AN:$AN,"&gt;0")=0,"",_xlfn.MINIFS(Fact_Work!$AN:$AN,Fact_Work!$B:$B,$A206,Fact_Work!$AL:$AL,$B206,Fact_Work!$AN:$AN,"&gt;0")))</f>
        <v/>
      </c>
      <c r="G206" s="37" t="str">
        <f aca="false">IF($A206="","",IF($F206="","",$A206+$F206/24))</f>
        <v/>
      </c>
      <c r="H206" s="38" t="str">
        <f aca="false">IF($A206="","",IF($G206="","",ROUND(($C206-$G206)*1440,0)))</f>
        <v/>
      </c>
      <c r="I206" s="4" t="str">
        <f aca="false">IF($A206="","",IF($H206="","",IF($H206&lt;=0,"Yes","No")))</f>
        <v/>
      </c>
      <c r="J206" s="4" t="str">
        <f aca="false">IF($A206="","",IF($I206="No",$E206,0))</f>
        <v/>
      </c>
      <c r="K206" s="22" t="str">
        <f aca="false">IF($A206="","",IF($F206="","",FLOOR($F206,0.5)))</f>
        <v/>
      </c>
      <c r="L206" s="39" t="str">
        <f aca="false">IF($A206="","",IF($H206="","",MAX(0,$H206)))</f>
        <v/>
      </c>
      <c r="M206" s="29" t="str">
        <f aca="false">IF($A206="","",IF($F206="","",COUNTIFS(Fact_Work!$B:$B,$A206,Fact_Work!$AL:$AL,$B206,Fact_Work!$AI:$AI,"Yes")))</f>
        <v/>
      </c>
    </row>
    <row r="207" customFormat="false" ht="15" hidden="false" customHeight="true" outlineLevel="0" collapsed="false">
      <c r="D207" s="4" t="str">
        <f aca="false">IF($A207="","",IFERROR(VLOOKUP($B207,Dim_TOP!$A:$B,2,0),""))</f>
        <v/>
      </c>
      <c r="E207" s="36" t="str">
        <f aca="false">IF($A207="","",COUNTIFS(Fact_Work!$B:$B,$A207,Fact_Work!$AL:$AL,$B207))</f>
        <v/>
      </c>
      <c r="F207" s="22" t="str">
        <f aca="false">IF($A207="","",IF(COUNTIFS(Fact_Work!$B:$B,$A207,Fact_Work!$AL:$AL,$B207,Fact_Work!$AN:$AN,"&gt;0")=0,"",_xlfn.MINIFS(Fact_Work!$AN:$AN,Fact_Work!$B:$B,$A207,Fact_Work!$AL:$AL,$B207,Fact_Work!$AN:$AN,"&gt;0")))</f>
        <v/>
      </c>
      <c r="G207" s="37" t="str">
        <f aca="false">IF($A207="","",IF($F207="","",$A207+$F207/24))</f>
        <v/>
      </c>
      <c r="H207" s="38" t="str">
        <f aca="false">IF($A207="","",IF($G207="","",ROUND(($C207-$G207)*1440,0)))</f>
        <v/>
      </c>
      <c r="I207" s="4" t="str">
        <f aca="false">IF($A207="","",IF($H207="","",IF($H207&lt;=0,"Yes","No")))</f>
        <v/>
      </c>
      <c r="J207" s="4" t="str">
        <f aca="false">IF($A207="","",IF($I207="No",$E207,0))</f>
        <v/>
      </c>
      <c r="K207" s="22" t="str">
        <f aca="false">IF($A207="","",IF($F207="","",FLOOR($F207,0.5)))</f>
        <v/>
      </c>
      <c r="L207" s="39" t="str">
        <f aca="false">IF($A207="","",IF($H207="","",MAX(0,$H207)))</f>
        <v/>
      </c>
      <c r="M207" s="29" t="str">
        <f aca="false">IF($A207="","",IF($F207="","",COUNTIFS(Fact_Work!$B:$B,$A207,Fact_Work!$AL:$AL,$B207,Fact_Work!$AI:$AI,"Yes")))</f>
        <v/>
      </c>
    </row>
    <row r="208" customFormat="false" ht="15" hidden="false" customHeight="true" outlineLevel="0" collapsed="false">
      <c r="D208" s="4" t="str">
        <f aca="false">IF($A208="","",IFERROR(VLOOKUP($B208,Dim_TOP!$A:$B,2,0),""))</f>
        <v/>
      </c>
      <c r="E208" s="36" t="str">
        <f aca="false">IF($A208="","",COUNTIFS(Fact_Work!$B:$B,$A208,Fact_Work!$AL:$AL,$B208))</f>
        <v/>
      </c>
      <c r="F208" s="22" t="str">
        <f aca="false">IF($A208="","",IF(COUNTIFS(Fact_Work!$B:$B,$A208,Fact_Work!$AL:$AL,$B208,Fact_Work!$AN:$AN,"&gt;0")=0,"",_xlfn.MINIFS(Fact_Work!$AN:$AN,Fact_Work!$B:$B,$A208,Fact_Work!$AL:$AL,$B208,Fact_Work!$AN:$AN,"&gt;0")))</f>
        <v/>
      </c>
      <c r="G208" s="37" t="str">
        <f aca="false">IF($A208="","",IF($F208="","",$A208+$F208/24))</f>
        <v/>
      </c>
      <c r="H208" s="38" t="str">
        <f aca="false">IF($A208="","",IF($G208="","",ROUND(($C208-$G208)*1440,0)))</f>
        <v/>
      </c>
      <c r="I208" s="4" t="str">
        <f aca="false">IF($A208="","",IF($H208="","",IF($H208&lt;=0,"Yes","No")))</f>
        <v/>
      </c>
      <c r="J208" s="4" t="str">
        <f aca="false">IF($A208="","",IF($I208="No",$E208,0))</f>
        <v/>
      </c>
      <c r="K208" s="22" t="str">
        <f aca="false">IF($A208="","",IF($F208="","",FLOOR($F208,0.5)))</f>
        <v/>
      </c>
      <c r="L208" s="39" t="str">
        <f aca="false">IF($A208="","",IF($H208="","",MAX(0,$H208)))</f>
        <v/>
      </c>
      <c r="M208" s="29" t="str">
        <f aca="false">IF($A208="","",IF($F208="","",COUNTIFS(Fact_Work!$B:$B,$A208,Fact_Work!$AL:$AL,$B208,Fact_Work!$AI:$AI,"Yes")))</f>
        <v/>
      </c>
    </row>
    <row r="209" customFormat="false" ht="15" hidden="false" customHeight="true" outlineLevel="0" collapsed="false">
      <c r="D209" s="4" t="str">
        <f aca="false">IF($A209="","",IFERROR(VLOOKUP($B209,Dim_TOP!$A:$B,2,0),""))</f>
        <v/>
      </c>
      <c r="E209" s="36" t="str">
        <f aca="false">IF($A209="","",COUNTIFS(Fact_Work!$B:$B,$A209,Fact_Work!$AL:$AL,$B209))</f>
        <v/>
      </c>
      <c r="F209" s="22" t="str">
        <f aca="false">IF($A209="","",IF(COUNTIFS(Fact_Work!$B:$B,$A209,Fact_Work!$AL:$AL,$B209,Fact_Work!$AN:$AN,"&gt;0")=0,"",_xlfn.MINIFS(Fact_Work!$AN:$AN,Fact_Work!$B:$B,$A209,Fact_Work!$AL:$AL,$B209,Fact_Work!$AN:$AN,"&gt;0")))</f>
        <v/>
      </c>
      <c r="G209" s="37" t="str">
        <f aca="false">IF($A209="","",IF($F209="","",$A209+$F209/24))</f>
        <v/>
      </c>
      <c r="H209" s="38" t="str">
        <f aca="false">IF($A209="","",IF($G209="","",ROUND(($C209-$G209)*1440,0)))</f>
        <v/>
      </c>
      <c r="I209" s="4" t="str">
        <f aca="false">IF($A209="","",IF($H209="","",IF($H209&lt;=0,"Yes","No")))</f>
        <v/>
      </c>
      <c r="J209" s="4" t="str">
        <f aca="false">IF($A209="","",IF($I209="No",$E209,0))</f>
        <v/>
      </c>
      <c r="K209" s="22" t="str">
        <f aca="false">IF($A209="","",IF($F209="","",FLOOR($F209,0.5)))</f>
        <v/>
      </c>
      <c r="L209" s="39" t="str">
        <f aca="false">IF($A209="","",IF($H209="","",MAX(0,$H209)))</f>
        <v/>
      </c>
      <c r="M209" s="29" t="str">
        <f aca="false">IF($A209="","",IF($F209="","",COUNTIFS(Fact_Work!$B:$B,$A209,Fact_Work!$AL:$AL,$B209,Fact_Work!$AI:$AI,"Yes")))</f>
        <v/>
      </c>
    </row>
    <row r="210" customFormat="false" ht="15" hidden="false" customHeight="true" outlineLevel="0" collapsed="false">
      <c r="D210" s="4" t="str">
        <f aca="false">IF($A210="","",IFERROR(VLOOKUP($B210,Dim_TOP!$A:$B,2,0),""))</f>
        <v/>
      </c>
      <c r="E210" s="36" t="str">
        <f aca="false">IF($A210="","",COUNTIFS(Fact_Work!$B:$B,$A210,Fact_Work!$AL:$AL,$B210))</f>
        <v/>
      </c>
      <c r="F210" s="22" t="str">
        <f aca="false">IF($A210="","",IF(COUNTIFS(Fact_Work!$B:$B,$A210,Fact_Work!$AL:$AL,$B210,Fact_Work!$AN:$AN,"&gt;0")=0,"",_xlfn.MINIFS(Fact_Work!$AN:$AN,Fact_Work!$B:$B,$A210,Fact_Work!$AL:$AL,$B210,Fact_Work!$AN:$AN,"&gt;0")))</f>
        <v/>
      </c>
      <c r="G210" s="37" t="str">
        <f aca="false">IF($A210="","",IF($F210="","",$A210+$F210/24))</f>
        <v/>
      </c>
      <c r="H210" s="38" t="str">
        <f aca="false">IF($A210="","",IF($G210="","",ROUND(($C210-$G210)*1440,0)))</f>
        <v/>
      </c>
      <c r="I210" s="4" t="str">
        <f aca="false">IF($A210="","",IF($H210="","",IF($H210&lt;=0,"Yes","No")))</f>
        <v/>
      </c>
      <c r="J210" s="4" t="str">
        <f aca="false">IF($A210="","",IF($I210="No",$E210,0))</f>
        <v/>
      </c>
      <c r="K210" s="22" t="str">
        <f aca="false">IF($A210="","",IF($F210="","",FLOOR($F210,0.5)))</f>
        <v/>
      </c>
      <c r="L210" s="39" t="str">
        <f aca="false">IF($A210="","",IF($H210="","",MAX(0,$H210)))</f>
        <v/>
      </c>
      <c r="M210" s="29" t="str">
        <f aca="false">IF($A210="","",IF($F210="","",COUNTIFS(Fact_Work!$B:$B,$A210,Fact_Work!$AL:$AL,$B210,Fact_Work!$AI:$AI,"Yes")))</f>
        <v/>
      </c>
    </row>
    <row r="211" customFormat="false" ht="15" hidden="false" customHeight="true" outlineLevel="0" collapsed="false">
      <c r="D211" s="4" t="str">
        <f aca="false">IF($A211="","",IFERROR(VLOOKUP($B211,Dim_TOP!$A:$B,2,0),""))</f>
        <v/>
      </c>
      <c r="E211" s="36" t="str">
        <f aca="false">IF($A211="","",COUNTIFS(Fact_Work!$B:$B,$A211,Fact_Work!$AL:$AL,$B211))</f>
        <v/>
      </c>
      <c r="F211" s="22" t="str">
        <f aca="false">IF($A211="","",IF(COUNTIFS(Fact_Work!$B:$B,$A211,Fact_Work!$AL:$AL,$B211,Fact_Work!$AN:$AN,"&gt;0")=0,"",_xlfn.MINIFS(Fact_Work!$AN:$AN,Fact_Work!$B:$B,$A211,Fact_Work!$AL:$AL,$B211,Fact_Work!$AN:$AN,"&gt;0")))</f>
        <v/>
      </c>
      <c r="G211" s="37" t="str">
        <f aca="false">IF($A211="","",IF($F211="","",$A211+$F211/24))</f>
        <v/>
      </c>
      <c r="H211" s="38" t="str">
        <f aca="false">IF($A211="","",IF($G211="","",ROUND(($C211-$G211)*1440,0)))</f>
        <v/>
      </c>
      <c r="I211" s="4" t="str">
        <f aca="false">IF($A211="","",IF($H211="","",IF($H211&lt;=0,"Yes","No")))</f>
        <v/>
      </c>
      <c r="J211" s="4" t="str">
        <f aca="false">IF($A211="","",IF($I211="No",$E211,0))</f>
        <v/>
      </c>
      <c r="K211" s="22" t="str">
        <f aca="false">IF($A211="","",IF($F211="","",FLOOR($F211,0.5)))</f>
        <v/>
      </c>
      <c r="L211" s="39" t="str">
        <f aca="false">IF($A211="","",IF($H211="","",MAX(0,$H211)))</f>
        <v/>
      </c>
      <c r="M211" s="29" t="str">
        <f aca="false">IF($A211="","",IF($F211="","",COUNTIFS(Fact_Work!$B:$B,$A211,Fact_Work!$AL:$AL,$B211,Fact_Work!$AI:$AI,"Yes")))</f>
        <v/>
      </c>
    </row>
    <row r="212" customFormat="false" ht="15" hidden="false" customHeight="true" outlineLevel="0" collapsed="false">
      <c r="D212" s="4" t="str">
        <f aca="false">IF($A212="","",IFERROR(VLOOKUP($B212,Dim_TOP!$A:$B,2,0),""))</f>
        <v/>
      </c>
      <c r="E212" s="36" t="str">
        <f aca="false">IF($A212="","",COUNTIFS(Fact_Work!$B:$B,$A212,Fact_Work!$AL:$AL,$B212))</f>
        <v/>
      </c>
      <c r="F212" s="22" t="str">
        <f aca="false">IF($A212="","",IF(COUNTIFS(Fact_Work!$B:$B,$A212,Fact_Work!$AL:$AL,$B212,Fact_Work!$AN:$AN,"&gt;0")=0,"",_xlfn.MINIFS(Fact_Work!$AN:$AN,Fact_Work!$B:$B,$A212,Fact_Work!$AL:$AL,$B212,Fact_Work!$AN:$AN,"&gt;0")))</f>
        <v/>
      </c>
      <c r="G212" s="37" t="str">
        <f aca="false">IF($A212="","",IF($F212="","",$A212+$F212/24))</f>
        <v/>
      </c>
      <c r="H212" s="38" t="str">
        <f aca="false">IF($A212="","",IF($G212="","",ROUND(($C212-$G212)*1440,0)))</f>
        <v/>
      </c>
      <c r="I212" s="4" t="str">
        <f aca="false">IF($A212="","",IF($H212="","",IF($H212&lt;=0,"Yes","No")))</f>
        <v/>
      </c>
      <c r="J212" s="4" t="str">
        <f aca="false">IF($A212="","",IF($I212="No",$E212,0))</f>
        <v/>
      </c>
      <c r="K212" s="22" t="str">
        <f aca="false">IF($A212="","",IF($F212="","",FLOOR($F212,0.5)))</f>
        <v/>
      </c>
      <c r="L212" s="39" t="str">
        <f aca="false">IF($A212="","",IF($H212="","",MAX(0,$H212)))</f>
        <v/>
      </c>
      <c r="M212" s="29" t="str">
        <f aca="false">IF($A212="","",IF($F212="","",COUNTIFS(Fact_Work!$B:$B,$A212,Fact_Work!$AL:$AL,$B212,Fact_Work!$AI:$AI,"Yes")))</f>
        <v/>
      </c>
    </row>
    <row r="213" customFormat="false" ht="15" hidden="false" customHeight="true" outlineLevel="0" collapsed="false">
      <c r="D213" s="4" t="str">
        <f aca="false">IF($A213="","",IFERROR(VLOOKUP($B213,Dim_TOP!$A:$B,2,0),""))</f>
        <v/>
      </c>
      <c r="E213" s="36" t="str">
        <f aca="false">IF($A213="","",COUNTIFS(Fact_Work!$B:$B,$A213,Fact_Work!$AL:$AL,$B213))</f>
        <v/>
      </c>
      <c r="F213" s="22" t="str">
        <f aca="false">IF($A213="","",IF(COUNTIFS(Fact_Work!$B:$B,$A213,Fact_Work!$AL:$AL,$B213,Fact_Work!$AN:$AN,"&gt;0")=0,"",_xlfn.MINIFS(Fact_Work!$AN:$AN,Fact_Work!$B:$B,$A213,Fact_Work!$AL:$AL,$B213,Fact_Work!$AN:$AN,"&gt;0")))</f>
        <v/>
      </c>
      <c r="G213" s="37" t="str">
        <f aca="false">IF($A213="","",IF($F213="","",$A213+$F213/24))</f>
        <v/>
      </c>
      <c r="H213" s="38" t="str">
        <f aca="false">IF($A213="","",IF($G213="","",ROUND(($C213-$G213)*1440,0)))</f>
        <v/>
      </c>
      <c r="I213" s="4" t="str">
        <f aca="false">IF($A213="","",IF($H213="","",IF($H213&lt;=0,"Yes","No")))</f>
        <v/>
      </c>
      <c r="J213" s="4" t="str">
        <f aca="false">IF($A213="","",IF($I213="No",$E213,0))</f>
        <v/>
      </c>
      <c r="K213" s="22" t="str">
        <f aca="false">IF($A213="","",IF($F213="","",FLOOR($F213,0.5)))</f>
        <v/>
      </c>
      <c r="L213" s="39" t="str">
        <f aca="false">IF($A213="","",IF($H213="","",MAX(0,$H213)))</f>
        <v/>
      </c>
      <c r="M213" s="29" t="str">
        <f aca="false">IF($A213="","",IF($F213="","",COUNTIFS(Fact_Work!$B:$B,$A213,Fact_Work!$AL:$AL,$B213,Fact_Work!$AI:$AI,"Yes")))</f>
        <v/>
      </c>
    </row>
    <row r="214" customFormat="false" ht="15" hidden="false" customHeight="true" outlineLevel="0" collapsed="false">
      <c r="D214" s="4" t="str">
        <f aca="false">IF($A214="","",IFERROR(VLOOKUP($B214,Dim_TOP!$A:$B,2,0),""))</f>
        <v/>
      </c>
      <c r="E214" s="36" t="str">
        <f aca="false">IF($A214="","",COUNTIFS(Fact_Work!$B:$B,$A214,Fact_Work!$AL:$AL,$B214))</f>
        <v/>
      </c>
      <c r="F214" s="22" t="str">
        <f aca="false">IF($A214="","",IF(COUNTIFS(Fact_Work!$B:$B,$A214,Fact_Work!$AL:$AL,$B214,Fact_Work!$AN:$AN,"&gt;0")=0,"",_xlfn.MINIFS(Fact_Work!$AN:$AN,Fact_Work!$B:$B,$A214,Fact_Work!$AL:$AL,$B214,Fact_Work!$AN:$AN,"&gt;0")))</f>
        <v/>
      </c>
      <c r="G214" s="37" t="str">
        <f aca="false">IF($A214="","",IF($F214="","",$A214+$F214/24))</f>
        <v/>
      </c>
      <c r="H214" s="38" t="str">
        <f aca="false">IF($A214="","",IF($G214="","",ROUND(($C214-$G214)*1440,0)))</f>
        <v/>
      </c>
      <c r="I214" s="4" t="str">
        <f aca="false">IF($A214="","",IF($H214="","",IF($H214&lt;=0,"Yes","No")))</f>
        <v/>
      </c>
      <c r="J214" s="4" t="str">
        <f aca="false">IF($A214="","",IF($I214="No",$E214,0))</f>
        <v/>
      </c>
      <c r="K214" s="22" t="str">
        <f aca="false">IF($A214="","",IF($F214="","",FLOOR($F214,0.5)))</f>
        <v/>
      </c>
      <c r="L214" s="39" t="str">
        <f aca="false">IF($A214="","",IF($H214="","",MAX(0,$H214)))</f>
        <v/>
      </c>
      <c r="M214" s="29" t="str">
        <f aca="false">IF($A214="","",IF($F214="","",COUNTIFS(Fact_Work!$B:$B,$A214,Fact_Work!$AL:$AL,$B214,Fact_Work!$AI:$AI,"Yes")))</f>
        <v/>
      </c>
    </row>
    <row r="215" customFormat="false" ht="15" hidden="false" customHeight="true" outlineLevel="0" collapsed="false">
      <c r="D215" s="4" t="str">
        <f aca="false">IF($A215="","",IFERROR(VLOOKUP($B215,Dim_TOP!$A:$B,2,0),""))</f>
        <v/>
      </c>
      <c r="E215" s="36" t="str">
        <f aca="false">IF($A215="","",COUNTIFS(Fact_Work!$B:$B,$A215,Fact_Work!$AL:$AL,$B215))</f>
        <v/>
      </c>
      <c r="F215" s="22" t="str">
        <f aca="false">IF($A215="","",IF(COUNTIFS(Fact_Work!$B:$B,$A215,Fact_Work!$AL:$AL,$B215,Fact_Work!$AN:$AN,"&gt;0")=0,"",_xlfn.MINIFS(Fact_Work!$AN:$AN,Fact_Work!$B:$B,$A215,Fact_Work!$AL:$AL,$B215,Fact_Work!$AN:$AN,"&gt;0")))</f>
        <v/>
      </c>
      <c r="G215" s="37" t="str">
        <f aca="false">IF($A215="","",IF($F215="","",$A215+$F215/24))</f>
        <v/>
      </c>
      <c r="H215" s="38" t="str">
        <f aca="false">IF($A215="","",IF($G215="","",ROUND(($C215-$G215)*1440,0)))</f>
        <v/>
      </c>
      <c r="I215" s="4" t="str">
        <f aca="false">IF($A215="","",IF($H215="","",IF($H215&lt;=0,"Yes","No")))</f>
        <v/>
      </c>
      <c r="J215" s="4" t="str">
        <f aca="false">IF($A215="","",IF($I215="No",$E215,0))</f>
        <v/>
      </c>
      <c r="K215" s="22" t="str">
        <f aca="false">IF($A215="","",IF($F215="","",FLOOR($F215,0.5)))</f>
        <v/>
      </c>
      <c r="L215" s="39" t="str">
        <f aca="false">IF($A215="","",IF($H215="","",MAX(0,$H215)))</f>
        <v/>
      </c>
      <c r="M215" s="29" t="str">
        <f aca="false">IF($A215="","",IF($F215="","",COUNTIFS(Fact_Work!$B:$B,$A215,Fact_Work!$AL:$AL,$B215,Fact_Work!$AI:$AI,"Yes")))</f>
        <v/>
      </c>
    </row>
    <row r="216" customFormat="false" ht="15" hidden="false" customHeight="true" outlineLevel="0" collapsed="false">
      <c r="D216" s="4" t="str">
        <f aca="false">IF($A216="","",IFERROR(VLOOKUP($B216,Dim_TOP!$A:$B,2,0),""))</f>
        <v/>
      </c>
      <c r="E216" s="36" t="str">
        <f aca="false">IF($A216="","",COUNTIFS(Fact_Work!$B:$B,$A216,Fact_Work!$AL:$AL,$B216))</f>
        <v/>
      </c>
      <c r="F216" s="22" t="str">
        <f aca="false">IF($A216="","",IF(COUNTIFS(Fact_Work!$B:$B,$A216,Fact_Work!$AL:$AL,$B216,Fact_Work!$AN:$AN,"&gt;0")=0,"",_xlfn.MINIFS(Fact_Work!$AN:$AN,Fact_Work!$B:$B,$A216,Fact_Work!$AL:$AL,$B216,Fact_Work!$AN:$AN,"&gt;0")))</f>
        <v/>
      </c>
      <c r="G216" s="37" t="str">
        <f aca="false">IF($A216="","",IF($F216="","",$A216+$F216/24))</f>
        <v/>
      </c>
      <c r="H216" s="38" t="str">
        <f aca="false">IF($A216="","",IF($G216="","",ROUND(($C216-$G216)*1440,0)))</f>
        <v/>
      </c>
      <c r="I216" s="4" t="str">
        <f aca="false">IF($A216="","",IF($H216="","",IF($H216&lt;=0,"Yes","No")))</f>
        <v/>
      </c>
      <c r="J216" s="4" t="str">
        <f aca="false">IF($A216="","",IF($I216="No",$E216,0))</f>
        <v/>
      </c>
      <c r="K216" s="22" t="str">
        <f aca="false">IF($A216="","",IF($F216="","",FLOOR($F216,0.5)))</f>
        <v/>
      </c>
      <c r="L216" s="39" t="str">
        <f aca="false">IF($A216="","",IF($H216="","",MAX(0,$H216)))</f>
        <v/>
      </c>
      <c r="M216" s="29" t="str">
        <f aca="false">IF($A216="","",IF($F216="","",COUNTIFS(Fact_Work!$B:$B,$A216,Fact_Work!$AL:$AL,$B216,Fact_Work!$AI:$AI,"Yes")))</f>
        <v/>
      </c>
    </row>
    <row r="217" customFormat="false" ht="15" hidden="false" customHeight="true" outlineLevel="0" collapsed="false">
      <c r="D217" s="4" t="str">
        <f aca="false">IF($A217="","",IFERROR(VLOOKUP($B217,Dim_TOP!$A:$B,2,0),""))</f>
        <v/>
      </c>
      <c r="E217" s="36" t="str">
        <f aca="false">IF($A217="","",COUNTIFS(Fact_Work!$B:$B,$A217,Fact_Work!$AL:$AL,$B217))</f>
        <v/>
      </c>
      <c r="F217" s="22" t="str">
        <f aca="false">IF($A217="","",IF(COUNTIFS(Fact_Work!$B:$B,$A217,Fact_Work!$AL:$AL,$B217,Fact_Work!$AN:$AN,"&gt;0")=0,"",_xlfn.MINIFS(Fact_Work!$AN:$AN,Fact_Work!$B:$B,$A217,Fact_Work!$AL:$AL,$B217,Fact_Work!$AN:$AN,"&gt;0")))</f>
        <v/>
      </c>
      <c r="G217" s="37" t="str">
        <f aca="false">IF($A217="","",IF($F217="","",$A217+$F217/24))</f>
        <v/>
      </c>
      <c r="H217" s="38" t="str">
        <f aca="false">IF($A217="","",IF($G217="","",ROUND(($C217-$G217)*1440,0)))</f>
        <v/>
      </c>
      <c r="I217" s="4" t="str">
        <f aca="false">IF($A217="","",IF($H217="","",IF($H217&lt;=0,"Yes","No")))</f>
        <v/>
      </c>
      <c r="J217" s="4" t="str">
        <f aca="false">IF($A217="","",IF($I217="No",$E217,0))</f>
        <v/>
      </c>
      <c r="K217" s="22" t="str">
        <f aca="false">IF($A217="","",IF($F217="","",FLOOR($F217,0.5)))</f>
        <v/>
      </c>
      <c r="L217" s="39" t="str">
        <f aca="false">IF($A217="","",IF($H217="","",MAX(0,$H217)))</f>
        <v/>
      </c>
      <c r="M217" s="29" t="str">
        <f aca="false">IF($A217="","",IF($F217="","",COUNTIFS(Fact_Work!$B:$B,$A217,Fact_Work!$AL:$AL,$B217,Fact_Work!$AI:$AI,"Yes")))</f>
        <v/>
      </c>
    </row>
    <row r="218" customFormat="false" ht="15" hidden="false" customHeight="true" outlineLevel="0" collapsed="false">
      <c r="D218" s="4" t="str">
        <f aca="false">IF($A218="","",IFERROR(VLOOKUP($B218,Dim_TOP!$A:$B,2,0),""))</f>
        <v/>
      </c>
      <c r="E218" s="36" t="str">
        <f aca="false">IF($A218="","",COUNTIFS(Fact_Work!$B:$B,$A218,Fact_Work!$AL:$AL,$B218))</f>
        <v/>
      </c>
      <c r="F218" s="22" t="str">
        <f aca="false">IF($A218="","",IF(COUNTIFS(Fact_Work!$B:$B,$A218,Fact_Work!$AL:$AL,$B218,Fact_Work!$AN:$AN,"&gt;0")=0,"",_xlfn.MINIFS(Fact_Work!$AN:$AN,Fact_Work!$B:$B,$A218,Fact_Work!$AL:$AL,$B218,Fact_Work!$AN:$AN,"&gt;0")))</f>
        <v/>
      </c>
      <c r="G218" s="37" t="str">
        <f aca="false">IF($A218="","",IF($F218="","",$A218+$F218/24))</f>
        <v/>
      </c>
      <c r="H218" s="38" t="str">
        <f aca="false">IF($A218="","",IF($G218="","",ROUND(($C218-$G218)*1440,0)))</f>
        <v/>
      </c>
      <c r="I218" s="4" t="str">
        <f aca="false">IF($A218="","",IF($H218="","",IF($H218&lt;=0,"Yes","No")))</f>
        <v/>
      </c>
      <c r="J218" s="4" t="str">
        <f aca="false">IF($A218="","",IF($I218="No",$E218,0))</f>
        <v/>
      </c>
      <c r="K218" s="22" t="str">
        <f aca="false">IF($A218="","",IF($F218="","",FLOOR($F218,0.5)))</f>
        <v/>
      </c>
      <c r="L218" s="39" t="str">
        <f aca="false">IF($A218="","",IF($H218="","",MAX(0,$H218)))</f>
        <v/>
      </c>
      <c r="M218" s="29" t="str">
        <f aca="false">IF($A218="","",IF($F218="","",COUNTIFS(Fact_Work!$B:$B,$A218,Fact_Work!$AL:$AL,$B218,Fact_Work!$AI:$AI,"Yes")))</f>
        <v/>
      </c>
    </row>
    <row r="219" customFormat="false" ht="15" hidden="false" customHeight="true" outlineLevel="0" collapsed="false">
      <c r="D219" s="4" t="str">
        <f aca="false">IF($A219="","",IFERROR(VLOOKUP($B219,Dim_TOP!$A:$B,2,0),""))</f>
        <v/>
      </c>
      <c r="E219" s="36" t="str">
        <f aca="false">IF($A219="","",COUNTIFS(Fact_Work!$B:$B,$A219,Fact_Work!$AL:$AL,$B219))</f>
        <v/>
      </c>
      <c r="F219" s="22" t="str">
        <f aca="false">IF($A219="","",IF(COUNTIFS(Fact_Work!$B:$B,$A219,Fact_Work!$AL:$AL,$B219,Fact_Work!$AN:$AN,"&gt;0")=0,"",_xlfn.MINIFS(Fact_Work!$AN:$AN,Fact_Work!$B:$B,$A219,Fact_Work!$AL:$AL,$B219,Fact_Work!$AN:$AN,"&gt;0")))</f>
        <v/>
      </c>
      <c r="G219" s="37" t="str">
        <f aca="false">IF($A219="","",IF($F219="","",$A219+$F219/24))</f>
        <v/>
      </c>
      <c r="H219" s="38" t="str">
        <f aca="false">IF($A219="","",IF($G219="","",ROUND(($C219-$G219)*1440,0)))</f>
        <v/>
      </c>
      <c r="I219" s="4" t="str">
        <f aca="false">IF($A219="","",IF($H219="","",IF($H219&lt;=0,"Yes","No")))</f>
        <v/>
      </c>
      <c r="J219" s="4" t="str">
        <f aca="false">IF($A219="","",IF($I219="No",$E219,0))</f>
        <v/>
      </c>
      <c r="K219" s="22" t="str">
        <f aca="false">IF($A219="","",IF($F219="","",FLOOR($F219,0.5)))</f>
        <v/>
      </c>
      <c r="L219" s="39" t="str">
        <f aca="false">IF($A219="","",IF($H219="","",MAX(0,$H219)))</f>
        <v/>
      </c>
      <c r="M219" s="29" t="str">
        <f aca="false">IF($A219="","",IF($F219="","",COUNTIFS(Fact_Work!$B:$B,$A219,Fact_Work!$AL:$AL,$B219,Fact_Work!$AI:$AI,"Yes")))</f>
        <v/>
      </c>
    </row>
    <row r="220" customFormat="false" ht="15" hidden="false" customHeight="true" outlineLevel="0" collapsed="false">
      <c r="D220" s="4" t="str">
        <f aca="false">IF($A220="","",IFERROR(VLOOKUP($B220,Dim_TOP!$A:$B,2,0),""))</f>
        <v/>
      </c>
      <c r="E220" s="36" t="str">
        <f aca="false">IF($A220="","",COUNTIFS(Fact_Work!$B:$B,$A220,Fact_Work!$AL:$AL,$B220))</f>
        <v/>
      </c>
      <c r="F220" s="22" t="str">
        <f aca="false">IF($A220="","",IF(COUNTIFS(Fact_Work!$B:$B,$A220,Fact_Work!$AL:$AL,$B220,Fact_Work!$AN:$AN,"&gt;0")=0,"",_xlfn.MINIFS(Fact_Work!$AN:$AN,Fact_Work!$B:$B,$A220,Fact_Work!$AL:$AL,$B220,Fact_Work!$AN:$AN,"&gt;0")))</f>
        <v/>
      </c>
      <c r="G220" s="37" t="str">
        <f aca="false">IF($A220="","",IF($F220="","",$A220+$F220/24))</f>
        <v/>
      </c>
      <c r="H220" s="38" t="str">
        <f aca="false">IF($A220="","",IF($G220="","",ROUND(($C220-$G220)*1440,0)))</f>
        <v/>
      </c>
      <c r="I220" s="4" t="str">
        <f aca="false">IF($A220="","",IF($H220="","",IF($H220&lt;=0,"Yes","No")))</f>
        <v/>
      </c>
      <c r="J220" s="4" t="str">
        <f aca="false">IF($A220="","",IF($I220="No",$E220,0))</f>
        <v/>
      </c>
      <c r="K220" s="22" t="str">
        <f aca="false">IF($A220="","",IF($F220="","",FLOOR($F220,0.5)))</f>
        <v/>
      </c>
      <c r="L220" s="39" t="str">
        <f aca="false">IF($A220="","",IF($H220="","",MAX(0,$H220)))</f>
        <v/>
      </c>
      <c r="M220" s="29" t="str">
        <f aca="false">IF($A220="","",IF($F220="","",COUNTIFS(Fact_Work!$B:$B,$A220,Fact_Work!$AL:$AL,$B220,Fact_Work!$AI:$AI,"Yes")))</f>
        <v/>
      </c>
    </row>
    <row r="221" customFormat="false" ht="15" hidden="false" customHeight="true" outlineLevel="0" collapsed="false">
      <c r="D221" s="4" t="str">
        <f aca="false">IF($A221="","",IFERROR(VLOOKUP($B221,Dim_TOP!$A:$B,2,0),""))</f>
        <v/>
      </c>
      <c r="E221" s="36" t="str">
        <f aca="false">IF($A221="","",COUNTIFS(Fact_Work!$B:$B,$A221,Fact_Work!$AL:$AL,$B221))</f>
        <v/>
      </c>
      <c r="F221" s="22" t="str">
        <f aca="false">IF($A221="","",IF(COUNTIFS(Fact_Work!$B:$B,$A221,Fact_Work!$AL:$AL,$B221,Fact_Work!$AN:$AN,"&gt;0")=0,"",_xlfn.MINIFS(Fact_Work!$AN:$AN,Fact_Work!$B:$B,$A221,Fact_Work!$AL:$AL,$B221,Fact_Work!$AN:$AN,"&gt;0")))</f>
        <v/>
      </c>
      <c r="G221" s="37" t="str">
        <f aca="false">IF($A221="","",IF($F221="","",$A221+$F221/24))</f>
        <v/>
      </c>
      <c r="H221" s="38" t="str">
        <f aca="false">IF($A221="","",IF($G221="","",ROUND(($C221-$G221)*1440,0)))</f>
        <v/>
      </c>
      <c r="I221" s="4" t="str">
        <f aca="false">IF($A221="","",IF($H221="","",IF($H221&lt;=0,"Yes","No")))</f>
        <v/>
      </c>
      <c r="J221" s="4" t="str">
        <f aca="false">IF($A221="","",IF($I221="No",$E221,0))</f>
        <v/>
      </c>
      <c r="K221" s="22" t="str">
        <f aca="false">IF($A221="","",IF($F221="","",FLOOR($F221,0.5)))</f>
        <v/>
      </c>
      <c r="L221" s="39" t="str">
        <f aca="false">IF($A221="","",IF($H221="","",MAX(0,$H221)))</f>
        <v/>
      </c>
      <c r="M221" s="29" t="str">
        <f aca="false">IF($A221="","",IF($F221="","",COUNTIFS(Fact_Work!$B:$B,$A221,Fact_Work!$AL:$AL,$B221,Fact_Work!$AI:$AI,"Yes")))</f>
        <v/>
      </c>
    </row>
    <row r="222" customFormat="false" ht="15" hidden="false" customHeight="true" outlineLevel="0" collapsed="false">
      <c r="D222" s="4" t="str">
        <f aca="false">IF($A222="","",IFERROR(VLOOKUP($B222,Dim_TOP!$A:$B,2,0),""))</f>
        <v/>
      </c>
      <c r="E222" s="36" t="str">
        <f aca="false">IF($A222="","",COUNTIFS(Fact_Work!$B:$B,$A222,Fact_Work!$AL:$AL,$B222))</f>
        <v/>
      </c>
      <c r="F222" s="22" t="str">
        <f aca="false">IF($A222="","",IF(COUNTIFS(Fact_Work!$B:$B,$A222,Fact_Work!$AL:$AL,$B222,Fact_Work!$AN:$AN,"&gt;0")=0,"",_xlfn.MINIFS(Fact_Work!$AN:$AN,Fact_Work!$B:$B,$A222,Fact_Work!$AL:$AL,$B222,Fact_Work!$AN:$AN,"&gt;0")))</f>
        <v/>
      </c>
      <c r="G222" s="37" t="str">
        <f aca="false">IF($A222="","",IF($F222="","",$A222+$F222/24))</f>
        <v/>
      </c>
      <c r="H222" s="38" t="str">
        <f aca="false">IF($A222="","",IF($G222="","",ROUND(($C222-$G222)*1440,0)))</f>
        <v/>
      </c>
      <c r="I222" s="4" t="str">
        <f aca="false">IF($A222="","",IF($H222="","",IF($H222&lt;=0,"Yes","No")))</f>
        <v/>
      </c>
      <c r="J222" s="4" t="str">
        <f aca="false">IF($A222="","",IF($I222="No",$E222,0))</f>
        <v/>
      </c>
      <c r="K222" s="22" t="str">
        <f aca="false">IF($A222="","",IF($F222="","",FLOOR($F222,0.5)))</f>
        <v/>
      </c>
      <c r="L222" s="39" t="str">
        <f aca="false">IF($A222="","",IF($H222="","",MAX(0,$H222)))</f>
        <v/>
      </c>
      <c r="M222" s="29" t="str">
        <f aca="false">IF($A222="","",IF($F222="","",COUNTIFS(Fact_Work!$B:$B,$A222,Fact_Work!$AL:$AL,$B222,Fact_Work!$AI:$AI,"Yes")))</f>
        <v/>
      </c>
    </row>
    <row r="223" customFormat="false" ht="15" hidden="false" customHeight="true" outlineLevel="0" collapsed="false">
      <c r="D223" s="4" t="str">
        <f aca="false">IF($A223="","",IFERROR(VLOOKUP($B223,Dim_TOP!$A:$B,2,0),""))</f>
        <v/>
      </c>
      <c r="E223" s="36" t="str">
        <f aca="false">IF($A223="","",COUNTIFS(Fact_Work!$B:$B,$A223,Fact_Work!$AL:$AL,$B223))</f>
        <v/>
      </c>
      <c r="F223" s="22" t="str">
        <f aca="false">IF($A223="","",IF(COUNTIFS(Fact_Work!$B:$B,$A223,Fact_Work!$AL:$AL,$B223,Fact_Work!$AN:$AN,"&gt;0")=0,"",_xlfn.MINIFS(Fact_Work!$AN:$AN,Fact_Work!$B:$B,$A223,Fact_Work!$AL:$AL,$B223,Fact_Work!$AN:$AN,"&gt;0")))</f>
        <v/>
      </c>
      <c r="G223" s="37" t="str">
        <f aca="false">IF($A223="","",IF($F223="","",$A223+$F223/24))</f>
        <v/>
      </c>
      <c r="H223" s="38" t="str">
        <f aca="false">IF($A223="","",IF($G223="","",ROUND(($C223-$G223)*1440,0)))</f>
        <v/>
      </c>
      <c r="I223" s="4" t="str">
        <f aca="false">IF($A223="","",IF($H223="","",IF($H223&lt;=0,"Yes","No")))</f>
        <v/>
      </c>
      <c r="J223" s="4" t="str">
        <f aca="false">IF($A223="","",IF($I223="No",$E223,0))</f>
        <v/>
      </c>
      <c r="K223" s="22" t="str">
        <f aca="false">IF($A223="","",IF($F223="","",FLOOR($F223,0.5)))</f>
        <v/>
      </c>
      <c r="L223" s="39" t="str">
        <f aca="false">IF($A223="","",IF($H223="","",MAX(0,$H223)))</f>
        <v/>
      </c>
      <c r="M223" s="29" t="str">
        <f aca="false">IF($A223="","",IF($F223="","",COUNTIFS(Fact_Work!$B:$B,$A223,Fact_Work!$AL:$AL,$B223,Fact_Work!$AI:$AI,"Yes")))</f>
        <v/>
      </c>
    </row>
    <row r="224" customFormat="false" ht="15" hidden="false" customHeight="true" outlineLevel="0" collapsed="false">
      <c r="D224" s="4" t="str">
        <f aca="false">IF($A224="","",IFERROR(VLOOKUP($B224,Dim_TOP!$A:$B,2,0),""))</f>
        <v/>
      </c>
      <c r="E224" s="36" t="str">
        <f aca="false">IF($A224="","",COUNTIFS(Fact_Work!$B:$B,$A224,Fact_Work!$AL:$AL,$B224))</f>
        <v/>
      </c>
      <c r="F224" s="22" t="str">
        <f aca="false">IF($A224="","",IF(COUNTIFS(Fact_Work!$B:$B,$A224,Fact_Work!$AL:$AL,$B224,Fact_Work!$AN:$AN,"&gt;0")=0,"",_xlfn.MINIFS(Fact_Work!$AN:$AN,Fact_Work!$B:$B,$A224,Fact_Work!$AL:$AL,$B224,Fact_Work!$AN:$AN,"&gt;0")))</f>
        <v/>
      </c>
      <c r="G224" s="37" t="str">
        <f aca="false">IF($A224="","",IF($F224="","",$A224+$F224/24))</f>
        <v/>
      </c>
      <c r="H224" s="38" t="str">
        <f aca="false">IF($A224="","",IF($G224="","",ROUND(($C224-$G224)*1440,0)))</f>
        <v/>
      </c>
      <c r="I224" s="4" t="str">
        <f aca="false">IF($A224="","",IF($H224="","",IF($H224&lt;=0,"Yes","No")))</f>
        <v/>
      </c>
      <c r="J224" s="4" t="str">
        <f aca="false">IF($A224="","",IF($I224="No",$E224,0))</f>
        <v/>
      </c>
      <c r="K224" s="22" t="str">
        <f aca="false">IF($A224="","",IF($F224="","",FLOOR($F224,0.5)))</f>
        <v/>
      </c>
      <c r="L224" s="39" t="str">
        <f aca="false">IF($A224="","",IF($H224="","",MAX(0,$H224)))</f>
        <v/>
      </c>
      <c r="M224" s="29" t="str">
        <f aca="false">IF($A224="","",IF($F224="","",COUNTIFS(Fact_Work!$B:$B,$A224,Fact_Work!$AL:$AL,$B224,Fact_Work!$AI:$AI,"Yes")))</f>
        <v/>
      </c>
    </row>
    <row r="225" customFormat="false" ht="15" hidden="false" customHeight="true" outlineLevel="0" collapsed="false">
      <c r="D225" s="4" t="str">
        <f aca="false">IF($A225="","",IFERROR(VLOOKUP($B225,Dim_TOP!$A:$B,2,0),""))</f>
        <v/>
      </c>
      <c r="E225" s="36" t="str">
        <f aca="false">IF($A225="","",COUNTIFS(Fact_Work!$B:$B,$A225,Fact_Work!$AL:$AL,$B225))</f>
        <v/>
      </c>
      <c r="F225" s="22" t="str">
        <f aca="false">IF($A225="","",IF(COUNTIFS(Fact_Work!$B:$B,$A225,Fact_Work!$AL:$AL,$B225,Fact_Work!$AN:$AN,"&gt;0")=0,"",_xlfn.MINIFS(Fact_Work!$AN:$AN,Fact_Work!$B:$B,$A225,Fact_Work!$AL:$AL,$B225,Fact_Work!$AN:$AN,"&gt;0")))</f>
        <v/>
      </c>
      <c r="G225" s="37" t="str">
        <f aca="false">IF($A225="","",IF($F225="","",$A225+$F225/24))</f>
        <v/>
      </c>
      <c r="H225" s="38" t="str">
        <f aca="false">IF($A225="","",IF($G225="","",ROUND(($C225-$G225)*1440,0)))</f>
        <v/>
      </c>
      <c r="I225" s="4" t="str">
        <f aca="false">IF($A225="","",IF($H225="","",IF($H225&lt;=0,"Yes","No")))</f>
        <v/>
      </c>
      <c r="J225" s="4" t="str">
        <f aca="false">IF($A225="","",IF($I225="No",$E225,0))</f>
        <v/>
      </c>
      <c r="K225" s="22" t="str">
        <f aca="false">IF($A225="","",IF($F225="","",FLOOR($F225,0.5)))</f>
        <v/>
      </c>
      <c r="L225" s="39" t="str">
        <f aca="false">IF($A225="","",IF($H225="","",MAX(0,$H225)))</f>
        <v/>
      </c>
      <c r="M225" s="29" t="str">
        <f aca="false">IF($A225="","",IF($F225="","",COUNTIFS(Fact_Work!$B:$B,$A225,Fact_Work!$AL:$AL,$B225,Fact_Work!$AI:$AI,"Yes")))</f>
        <v/>
      </c>
    </row>
    <row r="226" customFormat="false" ht="15" hidden="false" customHeight="true" outlineLevel="0" collapsed="false">
      <c r="D226" s="4" t="str">
        <f aca="false">IF($A226="","",IFERROR(VLOOKUP($B226,Dim_TOP!$A:$B,2,0),""))</f>
        <v/>
      </c>
      <c r="E226" s="36" t="str">
        <f aca="false">IF($A226="","",COUNTIFS(Fact_Work!$B:$B,$A226,Fact_Work!$AL:$AL,$B226))</f>
        <v/>
      </c>
      <c r="F226" s="22" t="str">
        <f aca="false">IF($A226="","",IF(COUNTIFS(Fact_Work!$B:$B,$A226,Fact_Work!$AL:$AL,$B226,Fact_Work!$AN:$AN,"&gt;0")=0,"",_xlfn.MINIFS(Fact_Work!$AN:$AN,Fact_Work!$B:$B,$A226,Fact_Work!$AL:$AL,$B226,Fact_Work!$AN:$AN,"&gt;0")))</f>
        <v/>
      </c>
      <c r="G226" s="37" t="str">
        <f aca="false">IF($A226="","",IF($F226="","",$A226+$F226/24))</f>
        <v/>
      </c>
      <c r="H226" s="38" t="str">
        <f aca="false">IF($A226="","",IF($G226="","",ROUND(($C226-$G226)*1440,0)))</f>
        <v/>
      </c>
      <c r="I226" s="4" t="str">
        <f aca="false">IF($A226="","",IF($H226="","",IF($H226&lt;=0,"Yes","No")))</f>
        <v/>
      </c>
      <c r="J226" s="4" t="str">
        <f aca="false">IF($A226="","",IF($I226="No",$E226,0))</f>
        <v/>
      </c>
      <c r="K226" s="22" t="str">
        <f aca="false">IF($A226="","",IF($F226="","",FLOOR($F226,0.5)))</f>
        <v/>
      </c>
      <c r="L226" s="39" t="str">
        <f aca="false">IF($A226="","",IF($H226="","",MAX(0,$H226)))</f>
        <v/>
      </c>
      <c r="M226" s="29" t="str">
        <f aca="false">IF($A226="","",IF($F226="","",COUNTIFS(Fact_Work!$B:$B,$A226,Fact_Work!$AL:$AL,$B226,Fact_Work!$AI:$AI,"Yes")))</f>
        <v/>
      </c>
    </row>
    <row r="227" customFormat="false" ht="15" hidden="false" customHeight="true" outlineLevel="0" collapsed="false">
      <c r="D227" s="4" t="str">
        <f aca="false">IF($A227="","",IFERROR(VLOOKUP($B227,Dim_TOP!$A:$B,2,0),""))</f>
        <v/>
      </c>
      <c r="E227" s="36" t="str">
        <f aca="false">IF($A227="","",COUNTIFS(Fact_Work!$B:$B,$A227,Fact_Work!$AL:$AL,$B227))</f>
        <v/>
      </c>
      <c r="F227" s="22" t="str">
        <f aca="false">IF($A227="","",IF(COUNTIFS(Fact_Work!$B:$B,$A227,Fact_Work!$AL:$AL,$B227,Fact_Work!$AN:$AN,"&gt;0")=0,"",_xlfn.MINIFS(Fact_Work!$AN:$AN,Fact_Work!$B:$B,$A227,Fact_Work!$AL:$AL,$B227,Fact_Work!$AN:$AN,"&gt;0")))</f>
        <v/>
      </c>
      <c r="G227" s="37" t="str">
        <f aca="false">IF($A227="","",IF($F227="","",$A227+$F227/24))</f>
        <v/>
      </c>
      <c r="H227" s="38" t="str">
        <f aca="false">IF($A227="","",IF($G227="","",ROUND(($C227-$G227)*1440,0)))</f>
        <v/>
      </c>
      <c r="I227" s="4" t="str">
        <f aca="false">IF($A227="","",IF($H227="","",IF($H227&lt;=0,"Yes","No")))</f>
        <v/>
      </c>
      <c r="J227" s="4" t="str">
        <f aca="false">IF($A227="","",IF($I227="No",$E227,0))</f>
        <v/>
      </c>
      <c r="K227" s="22" t="str">
        <f aca="false">IF($A227="","",IF($F227="","",FLOOR($F227,0.5)))</f>
        <v/>
      </c>
      <c r="L227" s="39" t="str">
        <f aca="false">IF($A227="","",IF($H227="","",MAX(0,$H227)))</f>
        <v/>
      </c>
      <c r="M227" s="29" t="str">
        <f aca="false">IF($A227="","",IF($F227="","",COUNTIFS(Fact_Work!$B:$B,$A227,Fact_Work!$AL:$AL,$B227,Fact_Work!$AI:$AI,"Yes")))</f>
        <v/>
      </c>
    </row>
    <row r="228" customFormat="false" ht="15" hidden="false" customHeight="true" outlineLevel="0" collapsed="false">
      <c r="D228" s="4" t="str">
        <f aca="false">IF($A228="","",IFERROR(VLOOKUP($B228,Dim_TOP!$A:$B,2,0),""))</f>
        <v/>
      </c>
      <c r="E228" s="36" t="str">
        <f aca="false">IF($A228="","",COUNTIFS(Fact_Work!$B:$B,$A228,Fact_Work!$AL:$AL,$B228))</f>
        <v/>
      </c>
      <c r="F228" s="22" t="str">
        <f aca="false">IF($A228="","",IF(COUNTIFS(Fact_Work!$B:$B,$A228,Fact_Work!$AL:$AL,$B228,Fact_Work!$AN:$AN,"&gt;0")=0,"",_xlfn.MINIFS(Fact_Work!$AN:$AN,Fact_Work!$B:$B,$A228,Fact_Work!$AL:$AL,$B228,Fact_Work!$AN:$AN,"&gt;0")))</f>
        <v/>
      </c>
      <c r="G228" s="37" t="str">
        <f aca="false">IF($A228="","",IF($F228="","",$A228+$F228/24))</f>
        <v/>
      </c>
      <c r="H228" s="38" t="str">
        <f aca="false">IF($A228="","",IF($G228="","",ROUND(($C228-$G228)*1440,0)))</f>
        <v/>
      </c>
      <c r="I228" s="4" t="str">
        <f aca="false">IF($A228="","",IF($H228="","",IF($H228&lt;=0,"Yes","No")))</f>
        <v/>
      </c>
      <c r="J228" s="4" t="str">
        <f aca="false">IF($A228="","",IF($I228="No",$E228,0))</f>
        <v/>
      </c>
      <c r="K228" s="22" t="str">
        <f aca="false">IF($A228="","",IF($F228="","",FLOOR($F228,0.5)))</f>
        <v/>
      </c>
      <c r="L228" s="39" t="str">
        <f aca="false">IF($A228="","",IF($H228="","",MAX(0,$H228)))</f>
        <v/>
      </c>
      <c r="M228" s="29" t="str">
        <f aca="false">IF($A228="","",IF($F228="","",COUNTIFS(Fact_Work!$B:$B,$A228,Fact_Work!$AL:$AL,$B228,Fact_Work!$AI:$AI,"Yes")))</f>
        <v/>
      </c>
    </row>
    <row r="229" customFormat="false" ht="15" hidden="false" customHeight="true" outlineLevel="0" collapsed="false">
      <c r="D229" s="4" t="str">
        <f aca="false">IF($A229="","",IFERROR(VLOOKUP($B229,Dim_TOP!$A:$B,2,0),""))</f>
        <v/>
      </c>
      <c r="E229" s="36" t="str">
        <f aca="false">IF($A229="","",COUNTIFS(Fact_Work!$B:$B,$A229,Fact_Work!$AL:$AL,$B229))</f>
        <v/>
      </c>
      <c r="F229" s="22" t="str">
        <f aca="false">IF($A229="","",IF(COUNTIFS(Fact_Work!$B:$B,$A229,Fact_Work!$AL:$AL,$B229,Fact_Work!$AN:$AN,"&gt;0")=0,"",_xlfn.MINIFS(Fact_Work!$AN:$AN,Fact_Work!$B:$B,$A229,Fact_Work!$AL:$AL,$B229,Fact_Work!$AN:$AN,"&gt;0")))</f>
        <v/>
      </c>
      <c r="G229" s="37" t="str">
        <f aca="false">IF($A229="","",IF($F229="","",$A229+$F229/24))</f>
        <v/>
      </c>
      <c r="H229" s="38" t="str">
        <f aca="false">IF($A229="","",IF($G229="","",ROUND(($C229-$G229)*1440,0)))</f>
        <v/>
      </c>
      <c r="I229" s="4" t="str">
        <f aca="false">IF($A229="","",IF($H229="","",IF($H229&lt;=0,"Yes","No")))</f>
        <v/>
      </c>
      <c r="J229" s="4" t="str">
        <f aca="false">IF($A229="","",IF($I229="No",$E229,0))</f>
        <v/>
      </c>
      <c r="K229" s="22" t="str">
        <f aca="false">IF($A229="","",IF($F229="","",FLOOR($F229,0.5)))</f>
        <v/>
      </c>
      <c r="L229" s="39" t="str">
        <f aca="false">IF($A229="","",IF($H229="","",MAX(0,$H229)))</f>
        <v/>
      </c>
      <c r="M229" s="29" t="str">
        <f aca="false">IF($A229="","",IF($F229="","",COUNTIFS(Fact_Work!$B:$B,$A229,Fact_Work!$AL:$AL,$B229,Fact_Work!$AI:$AI,"Yes")))</f>
        <v/>
      </c>
    </row>
    <row r="230" customFormat="false" ht="15" hidden="false" customHeight="true" outlineLevel="0" collapsed="false">
      <c r="D230" s="4" t="str">
        <f aca="false">IF($A230="","",IFERROR(VLOOKUP($B230,Dim_TOP!$A:$B,2,0),""))</f>
        <v/>
      </c>
      <c r="E230" s="36" t="str">
        <f aca="false">IF($A230="","",COUNTIFS(Fact_Work!$B:$B,$A230,Fact_Work!$AL:$AL,$B230))</f>
        <v/>
      </c>
      <c r="F230" s="22" t="str">
        <f aca="false">IF($A230="","",IF(COUNTIFS(Fact_Work!$B:$B,$A230,Fact_Work!$AL:$AL,$B230,Fact_Work!$AN:$AN,"&gt;0")=0,"",_xlfn.MINIFS(Fact_Work!$AN:$AN,Fact_Work!$B:$B,$A230,Fact_Work!$AL:$AL,$B230,Fact_Work!$AN:$AN,"&gt;0")))</f>
        <v/>
      </c>
      <c r="G230" s="37" t="str">
        <f aca="false">IF($A230="","",IF($F230="","",$A230+$F230/24))</f>
        <v/>
      </c>
      <c r="H230" s="38" t="str">
        <f aca="false">IF($A230="","",IF($G230="","",ROUND(($C230-$G230)*1440,0)))</f>
        <v/>
      </c>
      <c r="I230" s="4" t="str">
        <f aca="false">IF($A230="","",IF($H230="","",IF($H230&lt;=0,"Yes","No")))</f>
        <v/>
      </c>
      <c r="J230" s="4" t="str">
        <f aca="false">IF($A230="","",IF($I230="No",$E230,0))</f>
        <v/>
      </c>
      <c r="K230" s="22" t="str">
        <f aca="false">IF($A230="","",IF($F230="","",FLOOR($F230,0.5)))</f>
        <v/>
      </c>
      <c r="L230" s="39" t="str">
        <f aca="false">IF($A230="","",IF($H230="","",MAX(0,$H230)))</f>
        <v/>
      </c>
      <c r="M230" s="29" t="str">
        <f aca="false">IF($A230="","",IF($F230="","",COUNTIFS(Fact_Work!$B:$B,$A230,Fact_Work!$AL:$AL,$B230,Fact_Work!$AI:$AI,"Yes")))</f>
        <v/>
      </c>
    </row>
    <row r="231" customFormat="false" ht="15" hidden="false" customHeight="true" outlineLevel="0" collapsed="false">
      <c r="D231" s="4" t="str">
        <f aca="false">IF($A231="","",IFERROR(VLOOKUP($B231,Dim_TOP!$A:$B,2,0),""))</f>
        <v/>
      </c>
      <c r="E231" s="36" t="str">
        <f aca="false">IF($A231="","",COUNTIFS(Fact_Work!$B:$B,$A231,Fact_Work!$AL:$AL,$B231))</f>
        <v/>
      </c>
      <c r="F231" s="22" t="str">
        <f aca="false">IF($A231="","",IF(COUNTIFS(Fact_Work!$B:$B,$A231,Fact_Work!$AL:$AL,$B231,Fact_Work!$AN:$AN,"&gt;0")=0,"",_xlfn.MINIFS(Fact_Work!$AN:$AN,Fact_Work!$B:$B,$A231,Fact_Work!$AL:$AL,$B231,Fact_Work!$AN:$AN,"&gt;0")))</f>
        <v/>
      </c>
      <c r="G231" s="37" t="str">
        <f aca="false">IF($A231="","",IF($F231="","",$A231+$F231/24))</f>
        <v/>
      </c>
      <c r="H231" s="38" t="str">
        <f aca="false">IF($A231="","",IF($G231="","",ROUND(($C231-$G231)*1440,0)))</f>
        <v/>
      </c>
      <c r="I231" s="4" t="str">
        <f aca="false">IF($A231="","",IF($H231="","",IF($H231&lt;=0,"Yes","No")))</f>
        <v/>
      </c>
      <c r="J231" s="4" t="str">
        <f aca="false">IF($A231="","",IF($I231="No",$E231,0))</f>
        <v/>
      </c>
      <c r="K231" s="22" t="str">
        <f aca="false">IF($A231="","",IF($F231="","",FLOOR($F231,0.5)))</f>
        <v/>
      </c>
      <c r="L231" s="39" t="str">
        <f aca="false">IF($A231="","",IF($H231="","",MAX(0,$H231)))</f>
        <v/>
      </c>
      <c r="M231" s="29" t="str">
        <f aca="false">IF($A231="","",IF($F231="","",COUNTIFS(Fact_Work!$B:$B,$A231,Fact_Work!$AL:$AL,$B231,Fact_Work!$AI:$AI,"Yes")))</f>
        <v/>
      </c>
    </row>
    <row r="232" customFormat="false" ht="15" hidden="false" customHeight="true" outlineLevel="0" collapsed="false">
      <c r="D232" s="4" t="str">
        <f aca="false">IF($A232="","",IFERROR(VLOOKUP($B232,Dim_TOP!$A:$B,2,0),""))</f>
        <v/>
      </c>
      <c r="E232" s="36" t="str">
        <f aca="false">IF($A232="","",COUNTIFS(Fact_Work!$B:$B,$A232,Fact_Work!$AL:$AL,$B232))</f>
        <v/>
      </c>
      <c r="F232" s="22" t="str">
        <f aca="false">IF($A232="","",IF(COUNTIFS(Fact_Work!$B:$B,$A232,Fact_Work!$AL:$AL,$B232,Fact_Work!$AN:$AN,"&gt;0")=0,"",_xlfn.MINIFS(Fact_Work!$AN:$AN,Fact_Work!$B:$B,$A232,Fact_Work!$AL:$AL,$B232,Fact_Work!$AN:$AN,"&gt;0")))</f>
        <v/>
      </c>
      <c r="G232" s="37" t="str">
        <f aca="false">IF($A232="","",IF($F232="","",$A232+$F232/24))</f>
        <v/>
      </c>
      <c r="H232" s="38" t="str">
        <f aca="false">IF($A232="","",IF($G232="","",ROUND(($C232-$G232)*1440,0)))</f>
        <v/>
      </c>
      <c r="I232" s="4" t="str">
        <f aca="false">IF($A232="","",IF($H232="","",IF($H232&lt;=0,"Yes","No")))</f>
        <v/>
      </c>
      <c r="J232" s="4" t="str">
        <f aca="false">IF($A232="","",IF($I232="No",$E232,0))</f>
        <v/>
      </c>
      <c r="K232" s="22" t="str">
        <f aca="false">IF($A232="","",IF($F232="","",FLOOR($F232,0.5)))</f>
        <v/>
      </c>
      <c r="L232" s="39" t="str">
        <f aca="false">IF($A232="","",IF($H232="","",MAX(0,$H232)))</f>
        <v/>
      </c>
      <c r="M232" s="29" t="str">
        <f aca="false">IF($A232="","",IF($F232="","",COUNTIFS(Fact_Work!$B:$B,$A232,Fact_Work!$AL:$AL,$B232,Fact_Work!$AI:$AI,"Yes")))</f>
        <v/>
      </c>
    </row>
    <row r="233" customFormat="false" ht="15" hidden="false" customHeight="true" outlineLevel="0" collapsed="false">
      <c r="D233" s="4" t="str">
        <f aca="false">IF($A233="","",IFERROR(VLOOKUP($B233,Dim_TOP!$A:$B,2,0),""))</f>
        <v/>
      </c>
      <c r="E233" s="36" t="str">
        <f aca="false">IF($A233="","",COUNTIFS(Fact_Work!$B:$B,$A233,Fact_Work!$AL:$AL,$B233))</f>
        <v/>
      </c>
      <c r="F233" s="22" t="str">
        <f aca="false">IF($A233="","",IF(COUNTIFS(Fact_Work!$B:$B,$A233,Fact_Work!$AL:$AL,$B233,Fact_Work!$AN:$AN,"&gt;0")=0,"",_xlfn.MINIFS(Fact_Work!$AN:$AN,Fact_Work!$B:$B,$A233,Fact_Work!$AL:$AL,$B233,Fact_Work!$AN:$AN,"&gt;0")))</f>
        <v/>
      </c>
      <c r="G233" s="37" t="str">
        <f aca="false">IF($A233="","",IF($F233="","",$A233+$F233/24))</f>
        <v/>
      </c>
      <c r="H233" s="38" t="str">
        <f aca="false">IF($A233="","",IF($G233="","",ROUND(($C233-$G233)*1440,0)))</f>
        <v/>
      </c>
      <c r="I233" s="4" t="str">
        <f aca="false">IF($A233="","",IF($H233="","",IF($H233&lt;=0,"Yes","No")))</f>
        <v/>
      </c>
      <c r="J233" s="4" t="str">
        <f aca="false">IF($A233="","",IF($I233="No",$E233,0))</f>
        <v/>
      </c>
      <c r="K233" s="22" t="str">
        <f aca="false">IF($A233="","",IF($F233="","",FLOOR($F233,0.5)))</f>
        <v/>
      </c>
      <c r="L233" s="39" t="str">
        <f aca="false">IF($A233="","",IF($H233="","",MAX(0,$H233)))</f>
        <v/>
      </c>
      <c r="M233" s="29" t="str">
        <f aca="false">IF($A233="","",IF($F233="","",COUNTIFS(Fact_Work!$B:$B,$A233,Fact_Work!$AL:$AL,$B233,Fact_Work!$AI:$AI,"Yes")))</f>
        <v/>
      </c>
    </row>
    <row r="234" customFormat="false" ht="15" hidden="false" customHeight="true" outlineLevel="0" collapsed="false">
      <c r="D234" s="4" t="str">
        <f aca="false">IF($A234="","",IFERROR(VLOOKUP($B234,Dim_TOP!$A:$B,2,0),""))</f>
        <v/>
      </c>
      <c r="E234" s="36" t="str">
        <f aca="false">IF($A234="","",COUNTIFS(Fact_Work!$B:$B,$A234,Fact_Work!$AL:$AL,$B234))</f>
        <v/>
      </c>
      <c r="F234" s="22" t="str">
        <f aca="false">IF($A234="","",IF(COUNTIFS(Fact_Work!$B:$B,$A234,Fact_Work!$AL:$AL,$B234,Fact_Work!$AN:$AN,"&gt;0")=0,"",_xlfn.MINIFS(Fact_Work!$AN:$AN,Fact_Work!$B:$B,$A234,Fact_Work!$AL:$AL,$B234,Fact_Work!$AN:$AN,"&gt;0")))</f>
        <v/>
      </c>
      <c r="G234" s="37" t="str">
        <f aca="false">IF($A234="","",IF($F234="","",$A234+$F234/24))</f>
        <v/>
      </c>
      <c r="H234" s="38" t="str">
        <f aca="false">IF($A234="","",IF($G234="","",ROUND(($C234-$G234)*1440,0)))</f>
        <v/>
      </c>
      <c r="I234" s="4" t="str">
        <f aca="false">IF($A234="","",IF($H234="","",IF($H234&lt;=0,"Yes","No")))</f>
        <v/>
      </c>
      <c r="J234" s="4" t="str">
        <f aca="false">IF($A234="","",IF($I234="No",$E234,0))</f>
        <v/>
      </c>
      <c r="K234" s="22" t="str">
        <f aca="false">IF($A234="","",IF($F234="","",FLOOR($F234,0.5)))</f>
        <v/>
      </c>
      <c r="L234" s="39" t="str">
        <f aca="false">IF($A234="","",IF($H234="","",MAX(0,$H234)))</f>
        <v/>
      </c>
      <c r="M234" s="29" t="str">
        <f aca="false">IF($A234="","",IF($F234="","",COUNTIFS(Fact_Work!$B:$B,$A234,Fact_Work!$AL:$AL,$B234,Fact_Work!$AI:$AI,"Yes")))</f>
        <v/>
      </c>
    </row>
    <row r="235" customFormat="false" ht="15" hidden="false" customHeight="true" outlineLevel="0" collapsed="false">
      <c r="D235" s="4" t="str">
        <f aca="false">IF($A235="","",IFERROR(VLOOKUP($B235,Dim_TOP!$A:$B,2,0),""))</f>
        <v/>
      </c>
      <c r="E235" s="36" t="str">
        <f aca="false">IF($A235="","",COUNTIFS(Fact_Work!$B:$B,$A235,Fact_Work!$AL:$AL,$B235))</f>
        <v/>
      </c>
      <c r="F235" s="22" t="str">
        <f aca="false">IF($A235="","",IF(COUNTIFS(Fact_Work!$B:$B,$A235,Fact_Work!$AL:$AL,$B235,Fact_Work!$AN:$AN,"&gt;0")=0,"",_xlfn.MINIFS(Fact_Work!$AN:$AN,Fact_Work!$B:$B,$A235,Fact_Work!$AL:$AL,$B235,Fact_Work!$AN:$AN,"&gt;0")))</f>
        <v/>
      </c>
      <c r="G235" s="37" t="str">
        <f aca="false">IF($A235="","",IF($F235="","",$A235+$F235/24))</f>
        <v/>
      </c>
      <c r="H235" s="38" t="str">
        <f aca="false">IF($A235="","",IF($G235="","",ROUND(($C235-$G235)*1440,0)))</f>
        <v/>
      </c>
      <c r="I235" s="4" t="str">
        <f aca="false">IF($A235="","",IF($H235="","",IF($H235&lt;=0,"Yes","No")))</f>
        <v/>
      </c>
      <c r="J235" s="4" t="str">
        <f aca="false">IF($A235="","",IF($I235="No",$E235,0))</f>
        <v/>
      </c>
      <c r="K235" s="22" t="str">
        <f aca="false">IF($A235="","",IF($F235="","",FLOOR($F235,0.5)))</f>
        <v/>
      </c>
      <c r="L235" s="39" t="str">
        <f aca="false">IF($A235="","",IF($H235="","",MAX(0,$H235)))</f>
        <v/>
      </c>
      <c r="M235" s="29" t="str">
        <f aca="false">IF($A235="","",IF($F235="","",COUNTIFS(Fact_Work!$B:$B,$A235,Fact_Work!$AL:$AL,$B235,Fact_Work!$AI:$AI,"Yes")))</f>
        <v/>
      </c>
    </row>
    <row r="236" customFormat="false" ht="15" hidden="false" customHeight="true" outlineLevel="0" collapsed="false">
      <c r="D236" s="4" t="str">
        <f aca="false">IF($A236="","",IFERROR(VLOOKUP($B236,Dim_TOP!$A:$B,2,0),""))</f>
        <v/>
      </c>
      <c r="E236" s="36" t="str">
        <f aca="false">IF($A236="","",COUNTIFS(Fact_Work!$B:$B,$A236,Fact_Work!$AL:$AL,$B236))</f>
        <v/>
      </c>
      <c r="F236" s="22" t="str">
        <f aca="false">IF($A236="","",IF(COUNTIFS(Fact_Work!$B:$B,$A236,Fact_Work!$AL:$AL,$B236,Fact_Work!$AN:$AN,"&gt;0")=0,"",_xlfn.MINIFS(Fact_Work!$AN:$AN,Fact_Work!$B:$B,$A236,Fact_Work!$AL:$AL,$B236,Fact_Work!$AN:$AN,"&gt;0")))</f>
        <v/>
      </c>
      <c r="G236" s="37" t="str">
        <f aca="false">IF($A236="","",IF($F236="","",$A236+$F236/24))</f>
        <v/>
      </c>
      <c r="H236" s="38" t="str">
        <f aca="false">IF($A236="","",IF($G236="","",ROUND(($C236-$G236)*1440,0)))</f>
        <v/>
      </c>
      <c r="I236" s="4" t="str">
        <f aca="false">IF($A236="","",IF($H236="","",IF($H236&lt;=0,"Yes","No")))</f>
        <v/>
      </c>
      <c r="J236" s="4" t="str">
        <f aca="false">IF($A236="","",IF($I236="No",$E236,0))</f>
        <v/>
      </c>
      <c r="K236" s="22" t="str">
        <f aca="false">IF($A236="","",IF($F236="","",FLOOR($F236,0.5)))</f>
        <v/>
      </c>
      <c r="L236" s="39" t="str">
        <f aca="false">IF($A236="","",IF($H236="","",MAX(0,$H236)))</f>
        <v/>
      </c>
      <c r="M236" s="29" t="str">
        <f aca="false">IF($A236="","",IF($F236="","",COUNTIFS(Fact_Work!$B:$B,$A236,Fact_Work!$AL:$AL,$B236,Fact_Work!$AI:$AI,"Yes")))</f>
        <v/>
      </c>
    </row>
    <row r="237" customFormat="false" ht="15" hidden="false" customHeight="true" outlineLevel="0" collapsed="false">
      <c r="D237" s="4" t="str">
        <f aca="false">IF($A237="","",IFERROR(VLOOKUP($B237,Dim_TOP!$A:$B,2,0),""))</f>
        <v/>
      </c>
      <c r="E237" s="36" t="str">
        <f aca="false">IF($A237="","",COUNTIFS(Fact_Work!$B:$B,$A237,Fact_Work!$AL:$AL,$B237))</f>
        <v/>
      </c>
      <c r="F237" s="22" t="str">
        <f aca="false">IF($A237="","",IF(COUNTIFS(Fact_Work!$B:$B,$A237,Fact_Work!$AL:$AL,$B237,Fact_Work!$AN:$AN,"&gt;0")=0,"",_xlfn.MINIFS(Fact_Work!$AN:$AN,Fact_Work!$B:$B,$A237,Fact_Work!$AL:$AL,$B237,Fact_Work!$AN:$AN,"&gt;0")))</f>
        <v/>
      </c>
      <c r="G237" s="37" t="str">
        <f aca="false">IF($A237="","",IF($F237="","",$A237+$F237/24))</f>
        <v/>
      </c>
      <c r="H237" s="38" t="str">
        <f aca="false">IF($A237="","",IF($G237="","",ROUND(($C237-$G237)*1440,0)))</f>
        <v/>
      </c>
      <c r="I237" s="4" t="str">
        <f aca="false">IF($A237="","",IF($H237="","",IF($H237&lt;=0,"Yes","No")))</f>
        <v/>
      </c>
      <c r="J237" s="4" t="str">
        <f aca="false">IF($A237="","",IF($I237="No",$E237,0))</f>
        <v/>
      </c>
      <c r="K237" s="22" t="str">
        <f aca="false">IF($A237="","",IF($F237="","",FLOOR($F237,0.5)))</f>
        <v/>
      </c>
      <c r="L237" s="39" t="str">
        <f aca="false">IF($A237="","",IF($H237="","",MAX(0,$H237)))</f>
        <v/>
      </c>
      <c r="M237" s="29" t="str">
        <f aca="false">IF($A237="","",IF($F237="","",COUNTIFS(Fact_Work!$B:$B,$A237,Fact_Work!$AL:$AL,$B237,Fact_Work!$AI:$AI,"Yes")))</f>
        <v/>
      </c>
    </row>
    <row r="238" customFormat="false" ht="15" hidden="false" customHeight="true" outlineLevel="0" collapsed="false">
      <c r="D238" s="4" t="str">
        <f aca="false">IF($A238="","",IFERROR(VLOOKUP($B238,Dim_TOP!$A:$B,2,0),""))</f>
        <v/>
      </c>
      <c r="E238" s="36" t="str">
        <f aca="false">IF($A238="","",COUNTIFS(Fact_Work!$B:$B,$A238,Fact_Work!$AL:$AL,$B238))</f>
        <v/>
      </c>
      <c r="F238" s="22" t="str">
        <f aca="false">IF($A238="","",IF(COUNTIFS(Fact_Work!$B:$B,$A238,Fact_Work!$AL:$AL,$B238,Fact_Work!$AN:$AN,"&gt;0")=0,"",_xlfn.MINIFS(Fact_Work!$AN:$AN,Fact_Work!$B:$B,$A238,Fact_Work!$AL:$AL,$B238,Fact_Work!$AN:$AN,"&gt;0")))</f>
        <v/>
      </c>
      <c r="G238" s="37" t="str">
        <f aca="false">IF($A238="","",IF($F238="","",$A238+$F238/24))</f>
        <v/>
      </c>
      <c r="H238" s="38" t="str">
        <f aca="false">IF($A238="","",IF($G238="","",ROUND(($C238-$G238)*1440,0)))</f>
        <v/>
      </c>
      <c r="I238" s="4" t="str">
        <f aca="false">IF($A238="","",IF($H238="","",IF($H238&lt;=0,"Yes","No")))</f>
        <v/>
      </c>
      <c r="J238" s="4" t="str">
        <f aca="false">IF($A238="","",IF($I238="No",$E238,0))</f>
        <v/>
      </c>
      <c r="K238" s="22" t="str">
        <f aca="false">IF($A238="","",IF($F238="","",FLOOR($F238,0.5)))</f>
        <v/>
      </c>
      <c r="L238" s="39" t="str">
        <f aca="false">IF($A238="","",IF($H238="","",MAX(0,$H238)))</f>
        <v/>
      </c>
      <c r="M238" s="29" t="str">
        <f aca="false">IF($A238="","",IF($F238="","",COUNTIFS(Fact_Work!$B:$B,$A238,Fact_Work!$AL:$AL,$B238,Fact_Work!$AI:$AI,"Yes")))</f>
        <v/>
      </c>
    </row>
    <row r="239" customFormat="false" ht="15" hidden="false" customHeight="true" outlineLevel="0" collapsed="false">
      <c r="D239" s="4" t="str">
        <f aca="false">IF($A239="","",IFERROR(VLOOKUP($B239,Dim_TOP!$A:$B,2,0),""))</f>
        <v/>
      </c>
      <c r="E239" s="36" t="str">
        <f aca="false">IF($A239="","",COUNTIFS(Fact_Work!$B:$B,$A239,Fact_Work!$AL:$AL,$B239))</f>
        <v/>
      </c>
      <c r="F239" s="22" t="str">
        <f aca="false">IF($A239="","",IF(COUNTIFS(Fact_Work!$B:$B,$A239,Fact_Work!$AL:$AL,$B239,Fact_Work!$AN:$AN,"&gt;0")=0,"",_xlfn.MINIFS(Fact_Work!$AN:$AN,Fact_Work!$B:$B,$A239,Fact_Work!$AL:$AL,$B239,Fact_Work!$AN:$AN,"&gt;0")))</f>
        <v/>
      </c>
      <c r="G239" s="37" t="str">
        <f aca="false">IF($A239="","",IF($F239="","",$A239+$F239/24))</f>
        <v/>
      </c>
      <c r="H239" s="38" t="str">
        <f aca="false">IF($A239="","",IF($G239="","",ROUND(($C239-$G239)*1440,0)))</f>
        <v/>
      </c>
      <c r="I239" s="4" t="str">
        <f aca="false">IF($A239="","",IF($H239="","",IF($H239&lt;=0,"Yes","No")))</f>
        <v/>
      </c>
      <c r="J239" s="4" t="str">
        <f aca="false">IF($A239="","",IF($I239="No",$E239,0))</f>
        <v/>
      </c>
      <c r="K239" s="22" t="str">
        <f aca="false">IF($A239="","",IF($F239="","",FLOOR($F239,0.5)))</f>
        <v/>
      </c>
      <c r="L239" s="39" t="str">
        <f aca="false">IF($A239="","",IF($H239="","",MAX(0,$H239)))</f>
        <v/>
      </c>
      <c r="M239" s="29" t="str">
        <f aca="false">IF($A239="","",IF($F239="","",COUNTIFS(Fact_Work!$B:$B,$A239,Fact_Work!$AL:$AL,$B239,Fact_Work!$AI:$AI,"Yes")))</f>
        <v/>
      </c>
    </row>
    <row r="240" customFormat="false" ht="15" hidden="false" customHeight="true" outlineLevel="0" collapsed="false">
      <c r="D240" s="4" t="str">
        <f aca="false">IF($A240="","",IFERROR(VLOOKUP($B240,Dim_TOP!$A:$B,2,0),""))</f>
        <v/>
      </c>
      <c r="E240" s="36" t="str">
        <f aca="false">IF($A240="","",COUNTIFS(Fact_Work!$B:$B,$A240,Fact_Work!$AL:$AL,$B240))</f>
        <v/>
      </c>
      <c r="F240" s="22" t="str">
        <f aca="false">IF($A240="","",IF(COUNTIFS(Fact_Work!$B:$B,$A240,Fact_Work!$AL:$AL,$B240,Fact_Work!$AN:$AN,"&gt;0")=0,"",_xlfn.MINIFS(Fact_Work!$AN:$AN,Fact_Work!$B:$B,$A240,Fact_Work!$AL:$AL,$B240,Fact_Work!$AN:$AN,"&gt;0")))</f>
        <v/>
      </c>
      <c r="G240" s="37" t="str">
        <f aca="false">IF($A240="","",IF($F240="","",$A240+$F240/24))</f>
        <v/>
      </c>
      <c r="H240" s="38" t="str">
        <f aca="false">IF($A240="","",IF($G240="","",ROUND(($C240-$G240)*1440,0)))</f>
        <v/>
      </c>
      <c r="I240" s="4" t="str">
        <f aca="false">IF($A240="","",IF($H240="","",IF($H240&lt;=0,"Yes","No")))</f>
        <v/>
      </c>
      <c r="J240" s="4" t="str">
        <f aca="false">IF($A240="","",IF($I240="No",$E240,0))</f>
        <v/>
      </c>
      <c r="K240" s="22" t="str">
        <f aca="false">IF($A240="","",IF($F240="","",FLOOR($F240,0.5)))</f>
        <v/>
      </c>
      <c r="L240" s="39" t="str">
        <f aca="false">IF($A240="","",IF($H240="","",MAX(0,$H240)))</f>
        <v/>
      </c>
      <c r="M240" s="29" t="str">
        <f aca="false">IF($A240="","",IF($F240="","",COUNTIFS(Fact_Work!$B:$B,$A240,Fact_Work!$AL:$AL,$B240,Fact_Work!$AI:$AI,"Yes")))</f>
        <v/>
      </c>
    </row>
    <row r="241" customFormat="false" ht="15" hidden="false" customHeight="true" outlineLevel="0" collapsed="false">
      <c r="D241" s="4" t="str">
        <f aca="false">IF($A241="","",IFERROR(VLOOKUP($B241,Dim_TOP!$A:$B,2,0),""))</f>
        <v/>
      </c>
      <c r="E241" s="36" t="str">
        <f aca="false">IF($A241="","",COUNTIFS(Fact_Work!$B:$B,$A241,Fact_Work!$AL:$AL,$B241))</f>
        <v/>
      </c>
      <c r="F241" s="22" t="str">
        <f aca="false">IF($A241="","",IF(COUNTIFS(Fact_Work!$B:$B,$A241,Fact_Work!$AL:$AL,$B241,Fact_Work!$AN:$AN,"&gt;0")=0,"",_xlfn.MINIFS(Fact_Work!$AN:$AN,Fact_Work!$B:$B,$A241,Fact_Work!$AL:$AL,$B241,Fact_Work!$AN:$AN,"&gt;0")))</f>
        <v/>
      </c>
      <c r="G241" s="37" t="str">
        <f aca="false">IF($A241="","",IF($F241="","",$A241+$F241/24))</f>
        <v/>
      </c>
      <c r="H241" s="38" t="str">
        <f aca="false">IF($A241="","",IF($G241="","",ROUND(($C241-$G241)*1440,0)))</f>
        <v/>
      </c>
      <c r="I241" s="4" t="str">
        <f aca="false">IF($A241="","",IF($H241="","",IF($H241&lt;=0,"Yes","No")))</f>
        <v/>
      </c>
      <c r="J241" s="4" t="str">
        <f aca="false">IF($A241="","",IF($I241="No",$E241,0))</f>
        <v/>
      </c>
      <c r="K241" s="22" t="str">
        <f aca="false">IF($A241="","",IF($F241="","",FLOOR($F241,0.5)))</f>
        <v/>
      </c>
      <c r="L241" s="39" t="str">
        <f aca="false">IF($A241="","",IF($H241="","",MAX(0,$H241)))</f>
        <v/>
      </c>
      <c r="M241" s="29" t="str">
        <f aca="false">IF($A241="","",IF($F241="","",COUNTIFS(Fact_Work!$B:$B,$A241,Fact_Work!$AL:$AL,$B241,Fact_Work!$AI:$AI,"Yes")))</f>
        <v/>
      </c>
    </row>
    <row r="242" customFormat="false" ht="15" hidden="false" customHeight="true" outlineLevel="0" collapsed="false">
      <c r="D242" s="4" t="str">
        <f aca="false">IF($A242="","",IFERROR(VLOOKUP($B242,Dim_TOP!$A:$B,2,0),""))</f>
        <v/>
      </c>
      <c r="E242" s="36" t="str">
        <f aca="false">IF($A242="","",COUNTIFS(Fact_Work!$B:$B,$A242,Fact_Work!$AL:$AL,$B242))</f>
        <v/>
      </c>
      <c r="F242" s="22" t="str">
        <f aca="false">IF($A242="","",IF(COUNTIFS(Fact_Work!$B:$B,$A242,Fact_Work!$AL:$AL,$B242,Fact_Work!$AN:$AN,"&gt;0")=0,"",_xlfn.MINIFS(Fact_Work!$AN:$AN,Fact_Work!$B:$B,$A242,Fact_Work!$AL:$AL,$B242,Fact_Work!$AN:$AN,"&gt;0")))</f>
        <v/>
      </c>
      <c r="G242" s="37" t="str">
        <f aca="false">IF($A242="","",IF($F242="","",$A242+$F242/24))</f>
        <v/>
      </c>
      <c r="H242" s="38" t="str">
        <f aca="false">IF($A242="","",IF($G242="","",ROUND(($C242-$G242)*1440,0)))</f>
        <v/>
      </c>
      <c r="I242" s="4" t="str">
        <f aca="false">IF($A242="","",IF($H242="","",IF($H242&lt;=0,"Yes","No")))</f>
        <v/>
      </c>
      <c r="J242" s="4" t="str">
        <f aca="false">IF($A242="","",IF($I242="No",$E242,0))</f>
        <v/>
      </c>
      <c r="K242" s="22" t="str">
        <f aca="false">IF($A242="","",IF($F242="","",FLOOR($F242,0.5)))</f>
        <v/>
      </c>
      <c r="L242" s="39" t="str">
        <f aca="false">IF($A242="","",IF($H242="","",MAX(0,$H242)))</f>
        <v/>
      </c>
      <c r="M242" s="29" t="str">
        <f aca="false">IF($A242="","",IF($F242="","",COUNTIFS(Fact_Work!$B:$B,$A242,Fact_Work!$AL:$AL,$B242,Fact_Work!$AI:$AI,"Yes")))</f>
        <v/>
      </c>
    </row>
    <row r="243" customFormat="false" ht="15" hidden="false" customHeight="true" outlineLevel="0" collapsed="false">
      <c r="D243" s="4" t="str">
        <f aca="false">IF($A243="","",IFERROR(VLOOKUP($B243,Dim_TOP!$A:$B,2,0),""))</f>
        <v/>
      </c>
      <c r="E243" s="36" t="str">
        <f aca="false">IF($A243="","",COUNTIFS(Fact_Work!$B:$B,$A243,Fact_Work!$AL:$AL,$B243))</f>
        <v/>
      </c>
      <c r="F243" s="22" t="str">
        <f aca="false">IF($A243="","",IF(COUNTIFS(Fact_Work!$B:$B,$A243,Fact_Work!$AL:$AL,$B243,Fact_Work!$AN:$AN,"&gt;0")=0,"",_xlfn.MINIFS(Fact_Work!$AN:$AN,Fact_Work!$B:$B,$A243,Fact_Work!$AL:$AL,$B243,Fact_Work!$AN:$AN,"&gt;0")))</f>
        <v/>
      </c>
      <c r="G243" s="37" t="str">
        <f aca="false">IF($A243="","",IF($F243="","",$A243+$F243/24))</f>
        <v/>
      </c>
      <c r="H243" s="38" t="str">
        <f aca="false">IF($A243="","",IF($G243="","",ROUND(($C243-$G243)*1440,0)))</f>
        <v/>
      </c>
      <c r="I243" s="4" t="str">
        <f aca="false">IF($A243="","",IF($H243="","",IF($H243&lt;=0,"Yes","No")))</f>
        <v/>
      </c>
      <c r="J243" s="4" t="str">
        <f aca="false">IF($A243="","",IF($I243="No",$E243,0))</f>
        <v/>
      </c>
      <c r="K243" s="22" t="str">
        <f aca="false">IF($A243="","",IF($F243="","",FLOOR($F243,0.5)))</f>
        <v/>
      </c>
      <c r="L243" s="39" t="str">
        <f aca="false">IF($A243="","",IF($H243="","",MAX(0,$H243)))</f>
        <v/>
      </c>
      <c r="M243" s="29" t="str">
        <f aca="false">IF($A243="","",IF($F243="","",COUNTIFS(Fact_Work!$B:$B,$A243,Fact_Work!$AL:$AL,$B243,Fact_Work!$AI:$AI,"Yes")))</f>
        <v/>
      </c>
    </row>
    <row r="244" customFormat="false" ht="15" hidden="false" customHeight="true" outlineLevel="0" collapsed="false">
      <c r="D244" s="4" t="str">
        <f aca="false">IF($A244="","",IFERROR(VLOOKUP($B244,Dim_TOP!$A:$B,2,0),""))</f>
        <v/>
      </c>
      <c r="E244" s="36" t="str">
        <f aca="false">IF($A244="","",COUNTIFS(Fact_Work!$B:$B,$A244,Fact_Work!$AL:$AL,$B244))</f>
        <v/>
      </c>
      <c r="F244" s="22" t="str">
        <f aca="false">IF($A244="","",IF(COUNTIFS(Fact_Work!$B:$B,$A244,Fact_Work!$AL:$AL,$B244,Fact_Work!$AN:$AN,"&gt;0")=0,"",_xlfn.MINIFS(Fact_Work!$AN:$AN,Fact_Work!$B:$B,$A244,Fact_Work!$AL:$AL,$B244,Fact_Work!$AN:$AN,"&gt;0")))</f>
        <v/>
      </c>
      <c r="G244" s="37" t="str">
        <f aca="false">IF($A244="","",IF($F244="","",$A244+$F244/24))</f>
        <v/>
      </c>
      <c r="H244" s="38" t="str">
        <f aca="false">IF($A244="","",IF($G244="","",ROUND(($C244-$G244)*1440,0)))</f>
        <v/>
      </c>
      <c r="I244" s="4" t="str">
        <f aca="false">IF($A244="","",IF($H244="","",IF($H244&lt;=0,"Yes","No")))</f>
        <v/>
      </c>
      <c r="J244" s="4" t="str">
        <f aca="false">IF($A244="","",IF($I244="No",$E244,0))</f>
        <v/>
      </c>
      <c r="K244" s="22" t="str">
        <f aca="false">IF($A244="","",IF($F244="","",FLOOR($F244,0.5)))</f>
        <v/>
      </c>
      <c r="L244" s="39" t="str">
        <f aca="false">IF($A244="","",IF($H244="","",MAX(0,$H244)))</f>
        <v/>
      </c>
      <c r="M244" s="29" t="str">
        <f aca="false">IF($A244="","",IF($F244="","",COUNTIFS(Fact_Work!$B:$B,$A244,Fact_Work!$AL:$AL,$B244,Fact_Work!$AI:$AI,"Yes")))</f>
        <v/>
      </c>
    </row>
    <row r="245" customFormat="false" ht="15" hidden="false" customHeight="true" outlineLevel="0" collapsed="false">
      <c r="D245" s="4" t="str">
        <f aca="false">IF($A245="","",IFERROR(VLOOKUP($B245,Dim_TOP!$A:$B,2,0),""))</f>
        <v/>
      </c>
      <c r="E245" s="36" t="str">
        <f aca="false">IF($A245="","",COUNTIFS(Fact_Work!$B:$B,$A245,Fact_Work!$AL:$AL,$B245))</f>
        <v/>
      </c>
      <c r="F245" s="22" t="str">
        <f aca="false">IF($A245="","",IF(COUNTIFS(Fact_Work!$B:$B,$A245,Fact_Work!$AL:$AL,$B245,Fact_Work!$AN:$AN,"&gt;0")=0,"",_xlfn.MINIFS(Fact_Work!$AN:$AN,Fact_Work!$B:$B,$A245,Fact_Work!$AL:$AL,$B245,Fact_Work!$AN:$AN,"&gt;0")))</f>
        <v/>
      </c>
      <c r="G245" s="37" t="str">
        <f aca="false">IF($A245="","",IF($F245="","",$A245+$F245/24))</f>
        <v/>
      </c>
      <c r="H245" s="38" t="str">
        <f aca="false">IF($A245="","",IF($G245="","",ROUND(($C245-$G245)*1440,0)))</f>
        <v/>
      </c>
      <c r="I245" s="4" t="str">
        <f aca="false">IF($A245="","",IF($H245="","",IF($H245&lt;=0,"Yes","No")))</f>
        <v/>
      </c>
      <c r="J245" s="4" t="str">
        <f aca="false">IF($A245="","",IF($I245="No",$E245,0))</f>
        <v/>
      </c>
      <c r="K245" s="22" t="str">
        <f aca="false">IF($A245="","",IF($F245="","",FLOOR($F245,0.5)))</f>
        <v/>
      </c>
      <c r="L245" s="39" t="str">
        <f aca="false">IF($A245="","",IF($H245="","",MAX(0,$H245)))</f>
        <v/>
      </c>
      <c r="M245" s="29" t="str">
        <f aca="false">IF($A245="","",IF($F245="","",COUNTIFS(Fact_Work!$B:$B,$A245,Fact_Work!$AL:$AL,$B245,Fact_Work!$AI:$AI,"Yes")))</f>
        <v/>
      </c>
    </row>
    <row r="246" customFormat="false" ht="15" hidden="false" customHeight="true" outlineLevel="0" collapsed="false">
      <c r="D246" s="4" t="str">
        <f aca="false">IF($A246="","",IFERROR(VLOOKUP($B246,Dim_TOP!$A:$B,2,0),""))</f>
        <v/>
      </c>
      <c r="E246" s="36" t="str">
        <f aca="false">IF($A246="","",COUNTIFS(Fact_Work!$B:$B,$A246,Fact_Work!$AL:$AL,$B246))</f>
        <v/>
      </c>
      <c r="F246" s="22" t="str">
        <f aca="false">IF($A246="","",IF(COUNTIFS(Fact_Work!$B:$B,$A246,Fact_Work!$AL:$AL,$B246,Fact_Work!$AN:$AN,"&gt;0")=0,"",_xlfn.MINIFS(Fact_Work!$AN:$AN,Fact_Work!$B:$B,$A246,Fact_Work!$AL:$AL,$B246,Fact_Work!$AN:$AN,"&gt;0")))</f>
        <v/>
      </c>
      <c r="G246" s="37" t="str">
        <f aca="false">IF($A246="","",IF($F246="","",$A246+$F246/24))</f>
        <v/>
      </c>
      <c r="H246" s="38" t="str">
        <f aca="false">IF($A246="","",IF($G246="","",ROUND(($C246-$G246)*1440,0)))</f>
        <v/>
      </c>
      <c r="I246" s="4" t="str">
        <f aca="false">IF($A246="","",IF($H246="","",IF($H246&lt;=0,"Yes","No")))</f>
        <v/>
      </c>
      <c r="J246" s="4" t="str">
        <f aca="false">IF($A246="","",IF($I246="No",$E246,0))</f>
        <v/>
      </c>
      <c r="K246" s="22" t="str">
        <f aca="false">IF($A246="","",IF($F246="","",FLOOR($F246,0.5)))</f>
        <v/>
      </c>
      <c r="L246" s="39" t="str">
        <f aca="false">IF($A246="","",IF($H246="","",MAX(0,$H246)))</f>
        <v/>
      </c>
      <c r="M246" s="29" t="str">
        <f aca="false">IF($A246="","",IF($F246="","",COUNTIFS(Fact_Work!$B:$B,$A246,Fact_Work!$AL:$AL,$B246,Fact_Work!$AI:$AI,"Yes")))</f>
        <v/>
      </c>
    </row>
    <row r="247" customFormat="false" ht="15" hidden="false" customHeight="true" outlineLevel="0" collapsed="false">
      <c r="D247" s="4" t="str">
        <f aca="false">IF($A247="","",IFERROR(VLOOKUP($B247,Dim_TOP!$A:$B,2,0),""))</f>
        <v/>
      </c>
      <c r="E247" s="36" t="str">
        <f aca="false">IF($A247="","",COUNTIFS(Fact_Work!$B:$B,$A247,Fact_Work!$AL:$AL,$B247))</f>
        <v/>
      </c>
      <c r="F247" s="22" t="str">
        <f aca="false">IF($A247="","",IF(COUNTIFS(Fact_Work!$B:$B,$A247,Fact_Work!$AL:$AL,$B247,Fact_Work!$AN:$AN,"&gt;0")=0,"",_xlfn.MINIFS(Fact_Work!$AN:$AN,Fact_Work!$B:$B,$A247,Fact_Work!$AL:$AL,$B247,Fact_Work!$AN:$AN,"&gt;0")))</f>
        <v/>
      </c>
      <c r="G247" s="37" t="str">
        <f aca="false">IF($A247="","",IF($F247="","",$A247+$F247/24))</f>
        <v/>
      </c>
      <c r="H247" s="38" t="str">
        <f aca="false">IF($A247="","",IF($G247="","",ROUND(($C247-$G247)*1440,0)))</f>
        <v/>
      </c>
      <c r="I247" s="4" t="str">
        <f aca="false">IF($A247="","",IF($H247="","",IF($H247&lt;=0,"Yes","No")))</f>
        <v/>
      </c>
      <c r="J247" s="4" t="str">
        <f aca="false">IF($A247="","",IF($I247="No",$E247,0))</f>
        <v/>
      </c>
      <c r="K247" s="22" t="str">
        <f aca="false">IF($A247="","",IF($F247="","",FLOOR($F247,0.5)))</f>
        <v/>
      </c>
      <c r="L247" s="39" t="str">
        <f aca="false">IF($A247="","",IF($H247="","",MAX(0,$H247)))</f>
        <v/>
      </c>
      <c r="M247" s="29" t="str">
        <f aca="false">IF($A247="","",IF($F247="","",COUNTIFS(Fact_Work!$B:$B,$A247,Fact_Work!$AL:$AL,$B247,Fact_Work!$AI:$AI,"Yes")))</f>
        <v/>
      </c>
    </row>
    <row r="248" customFormat="false" ht="15" hidden="false" customHeight="true" outlineLevel="0" collapsed="false">
      <c r="D248" s="4" t="str">
        <f aca="false">IF($A248="","",IFERROR(VLOOKUP($B248,Dim_TOP!$A:$B,2,0),""))</f>
        <v/>
      </c>
      <c r="E248" s="36" t="str">
        <f aca="false">IF($A248="","",COUNTIFS(Fact_Work!$B:$B,$A248,Fact_Work!$AL:$AL,$B248))</f>
        <v/>
      </c>
      <c r="F248" s="22" t="str">
        <f aca="false">IF($A248="","",IF(COUNTIFS(Fact_Work!$B:$B,$A248,Fact_Work!$AL:$AL,$B248,Fact_Work!$AN:$AN,"&gt;0")=0,"",_xlfn.MINIFS(Fact_Work!$AN:$AN,Fact_Work!$B:$B,$A248,Fact_Work!$AL:$AL,$B248,Fact_Work!$AN:$AN,"&gt;0")))</f>
        <v/>
      </c>
      <c r="G248" s="37" t="str">
        <f aca="false">IF($A248="","",IF($F248="","",$A248+$F248/24))</f>
        <v/>
      </c>
      <c r="H248" s="38" t="str">
        <f aca="false">IF($A248="","",IF($G248="","",ROUND(($C248-$G248)*1440,0)))</f>
        <v/>
      </c>
      <c r="I248" s="4" t="str">
        <f aca="false">IF($A248="","",IF($H248="","",IF($H248&lt;=0,"Yes","No")))</f>
        <v/>
      </c>
      <c r="J248" s="4" t="str">
        <f aca="false">IF($A248="","",IF($I248="No",$E248,0))</f>
        <v/>
      </c>
      <c r="K248" s="22" t="str">
        <f aca="false">IF($A248="","",IF($F248="","",FLOOR($F248,0.5)))</f>
        <v/>
      </c>
      <c r="L248" s="39" t="str">
        <f aca="false">IF($A248="","",IF($H248="","",MAX(0,$H248)))</f>
        <v/>
      </c>
      <c r="M248" s="29" t="str">
        <f aca="false">IF($A248="","",IF($F248="","",COUNTIFS(Fact_Work!$B:$B,$A248,Fact_Work!$AL:$AL,$B248,Fact_Work!$AI:$AI,"Yes")))</f>
        <v/>
      </c>
    </row>
    <row r="249" customFormat="false" ht="15" hidden="false" customHeight="true" outlineLevel="0" collapsed="false">
      <c r="D249" s="4" t="str">
        <f aca="false">IF($A249="","",IFERROR(VLOOKUP($B249,Dim_TOP!$A:$B,2,0),""))</f>
        <v/>
      </c>
      <c r="E249" s="36" t="str">
        <f aca="false">IF($A249="","",COUNTIFS(Fact_Work!$B:$B,$A249,Fact_Work!$AL:$AL,$B249))</f>
        <v/>
      </c>
      <c r="F249" s="22" t="str">
        <f aca="false">IF($A249="","",IF(COUNTIFS(Fact_Work!$B:$B,$A249,Fact_Work!$AL:$AL,$B249,Fact_Work!$AN:$AN,"&gt;0")=0,"",_xlfn.MINIFS(Fact_Work!$AN:$AN,Fact_Work!$B:$B,$A249,Fact_Work!$AL:$AL,$B249,Fact_Work!$AN:$AN,"&gt;0")))</f>
        <v/>
      </c>
      <c r="G249" s="37" t="str">
        <f aca="false">IF($A249="","",IF($F249="","",$A249+$F249/24))</f>
        <v/>
      </c>
      <c r="H249" s="38" t="str">
        <f aca="false">IF($A249="","",IF($G249="","",ROUND(($C249-$G249)*1440,0)))</f>
        <v/>
      </c>
      <c r="I249" s="4" t="str">
        <f aca="false">IF($A249="","",IF($H249="","",IF($H249&lt;=0,"Yes","No")))</f>
        <v/>
      </c>
      <c r="J249" s="4" t="str">
        <f aca="false">IF($A249="","",IF($I249="No",$E249,0))</f>
        <v/>
      </c>
      <c r="K249" s="22" t="str">
        <f aca="false">IF($A249="","",IF($F249="","",FLOOR($F249,0.5)))</f>
        <v/>
      </c>
      <c r="L249" s="39" t="str">
        <f aca="false">IF($A249="","",IF($H249="","",MAX(0,$H249)))</f>
        <v/>
      </c>
      <c r="M249" s="29" t="str">
        <f aca="false">IF($A249="","",IF($F249="","",COUNTIFS(Fact_Work!$B:$B,$A249,Fact_Work!$AL:$AL,$B249,Fact_Work!$AI:$AI,"Yes")))</f>
        <v/>
      </c>
    </row>
    <row r="250" customFormat="false" ht="15" hidden="false" customHeight="true" outlineLevel="0" collapsed="false">
      <c r="D250" s="4" t="str">
        <f aca="false">IF($A250="","",IFERROR(VLOOKUP($B250,Dim_TOP!$A:$B,2,0),""))</f>
        <v/>
      </c>
      <c r="E250" s="36" t="str">
        <f aca="false">IF($A250="","",COUNTIFS(Fact_Work!$B:$B,$A250,Fact_Work!$AL:$AL,$B250))</f>
        <v/>
      </c>
      <c r="F250" s="22" t="str">
        <f aca="false">IF($A250="","",IF(COUNTIFS(Fact_Work!$B:$B,$A250,Fact_Work!$AL:$AL,$B250,Fact_Work!$AN:$AN,"&gt;0")=0,"",_xlfn.MINIFS(Fact_Work!$AN:$AN,Fact_Work!$B:$B,$A250,Fact_Work!$AL:$AL,$B250,Fact_Work!$AN:$AN,"&gt;0")))</f>
        <v/>
      </c>
      <c r="G250" s="37" t="str">
        <f aca="false">IF($A250="","",IF($F250="","",$A250+$F250/24))</f>
        <v/>
      </c>
      <c r="H250" s="38" t="str">
        <f aca="false">IF($A250="","",IF($G250="","",ROUND(($C250-$G250)*1440,0)))</f>
        <v/>
      </c>
      <c r="I250" s="4" t="str">
        <f aca="false">IF($A250="","",IF($H250="","",IF($H250&lt;=0,"Yes","No")))</f>
        <v/>
      </c>
      <c r="J250" s="4" t="str">
        <f aca="false">IF($A250="","",IF($I250="No",$E250,0))</f>
        <v/>
      </c>
      <c r="K250" s="22" t="str">
        <f aca="false">IF($A250="","",IF($F250="","",FLOOR($F250,0.5)))</f>
        <v/>
      </c>
      <c r="L250" s="39" t="str">
        <f aca="false">IF($A250="","",IF($H250="","",MAX(0,$H250)))</f>
        <v/>
      </c>
      <c r="M250" s="29" t="str">
        <f aca="false">IF($A250="","",IF($F250="","",COUNTIFS(Fact_Work!$B:$B,$A250,Fact_Work!$AL:$AL,$B250,Fact_Work!$AI:$AI,"Yes")))</f>
        <v/>
      </c>
    </row>
    <row r="251" customFormat="false" ht="15" hidden="false" customHeight="true" outlineLevel="0" collapsed="false">
      <c r="D251" s="4" t="str">
        <f aca="false">IF($A251="","",IFERROR(VLOOKUP($B251,Dim_TOP!$A:$B,2,0),""))</f>
        <v/>
      </c>
      <c r="E251" s="36" t="str">
        <f aca="false">IF($A251="","",COUNTIFS(Fact_Work!$B:$B,$A251,Fact_Work!$AL:$AL,$B251))</f>
        <v/>
      </c>
      <c r="F251" s="22" t="str">
        <f aca="false">IF($A251="","",IF(COUNTIFS(Fact_Work!$B:$B,$A251,Fact_Work!$AL:$AL,$B251,Fact_Work!$AN:$AN,"&gt;0")=0,"",_xlfn.MINIFS(Fact_Work!$AN:$AN,Fact_Work!$B:$B,$A251,Fact_Work!$AL:$AL,$B251,Fact_Work!$AN:$AN,"&gt;0")))</f>
        <v/>
      </c>
      <c r="G251" s="37" t="str">
        <f aca="false">IF($A251="","",IF($F251="","",$A251+$F251/24))</f>
        <v/>
      </c>
      <c r="H251" s="38" t="str">
        <f aca="false">IF($A251="","",IF($G251="","",ROUND(($C251-$G251)*1440,0)))</f>
        <v/>
      </c>
      <c r="I251" s="4" t="str">
        <f aca="false">IF($A251="","",IF($H251="","",IF($H251&lt;=0,"Yes","No")))</f>
        <v/>
      </c>
      <c r="J251" s="4" t="str">
        <f aca="false">IF($A251="","",IF($I251="No",$E251,0))</f>
        <v/>
      </c>
      <c r="K251" s="22" t="str">
        <f aca="false">IF($A251="","",IF($F251="","",FLOOR($F251,0.5)))</f>
        <v/>
      </c>
      <c r="L251" s="39" t="str">
        <f aca="false">IF($A251="","",IF($H251="","",MAX(0,$H251)))</f>
        <v/>
      </c>
      <c r="M251" s="29" t="str">
        <f aca="false">IF($A251="","",IF($F251="","",COUNTIFS(Fact_Work!$B:$B,$A251,Fact_Work!$AL:$AL,$B251,Fact_Work!$AI:$AI,"Yes")))</f>
        <v/>
      </c>
    </row>
    <row r="252" customFormat="false" ht="15" hidden="false" customHeight="true" outlineLevel="0" collapsed="false">
      <c r="D252" s="4" t="str">
        <f aca="false">IF($A252="","",IFERROR(VLOOKUP($B252,Dim_TOP!$A:$B,2,0),""))</f>
        <v/>
      </c>
      <c r="E252" s="36" t="str">
        <f aca="false">IF($A252="","",COUNTIFS(Fact_Work!$B:$B,$A252,Fact_Work!$AL:$AL,$B252))</f>
        <v/>
      </c>
      <c r="F252" s="22" t="str">
        <f aca="false">IF($A252="","",IF(COUNTIFS(Fact_Work!$B:$B,$A252,Fact_Work!$AL:$AL,$B252,Fact_Work!$AN:$AN,"&gt;0")=0,"",_xlfn.MINIFS(Fact_Work!$AN:$AN,Fact_Work!$B:$B,$A252,Fact_Work!$AL:$AL,$B252,Fact_Work!$AN:$AN,"&gt;0")))</f>
        <v/>
      </c>
      <c r="G252" s="37" t="str">
        <f aca="false">IF($A252="","",IF($F252="","",$A252+$F252/24))</f>
        <v/>
      </c>
      <c r="H252" s="38" t="str">
        <f aca="false">IF($A252="","",IF($G252="","",ROUND(($C252-$G252)*1440,0)))</f>
        <v/>
      </c>
      <c r="I252" s="4" t="str">
        <f aca="false">IF($A252="","",IF($H252="","",IF($H252&lt;=0,"Yes","No")))</f>
        <v/>
      </c>
      <c r="J252" s="4" t="str">
        <f aca="false">IF($A252="","",IF($I252="No",$E252,0))</f>
        <v/>
      </c>
      <c r="K252" s="22" t="str">
        <f aca="false">IF($A252="","",IF($F252="","",FLOOR($F252,0.5)))</f>
        <v/>
      </c>
      <c r="L252" s="39" t="str">
        <f aca="false">IF($A252="","",IF($H252="","",MAX(0,$H252)))</f>
        <v/>
      </c>
      <c r="M252" s="29" t="str">
        <f aca="false">IF($A252="","",IF($F252="","",COUNTIFS(Fact_Work!$B:$B,$A252,Fact_Work!$AL:$AL,$B252,Fact_Work!$AI:$AI,"Yes")))</f>
        <v/>
      </c>
    </row>
    <row r="253" customFormat="false" ht="15" hidden="false" customHeight="true" outlineLevel="0" collapsed="false">
      <c r="D253" s="4" t="str">
        <f aca="false">IF($A253="","",IFERROR(VLOOKUP($B253,Dim_TOP!$A:$B,2,0),""))</f>
        <v/>
      </c>
      <c r="E253" s="36" t="str">
        <f aca="false">IF($A253="","",COUNTIFS(Fact_Work!$B:$B,$A253,Fact_Work!$AL:$AL,$B253))</f>
        <v/>
      </c>
      <c r="F253" s="22" t="str">
        <f aca="false">IF($A253="","",IF(COUNTIFS(Fact_Work!$B:$B,$A253,Fact_Work!$AL:$AL,$B253,Fact_Work!$AN:$AN,"&gt;0")=0,"",_xlfn.MINIFS(Fact_Work!$AN:$AN,Fact_Work!$B:$B,$A253,Fact_Work!$AL:$AL,$B253,Fact_Work!$AN:$AN,"&gt;0")))</f>
        <v/>
      </c>
      <c r="G253" s="37" t="str">
        <f aca="false">IF($A253="","",IF($F253="","",$A253+$F253/24))</f>
        <v/>
      </c>
      <c r="H253" s="38" t="str">
        <f aca="false">IF($A253="","",IF($G253="","",ROUND(($C253-$G253)*1440,0)))</f>
        <v/>
      </c>
      <c r="I253" s="4" t="str">
        <f aca="false">IF($A253="","",IF($H253="","",IF($H253&lt;=0,"Yes","No")))</f>
        <v/>
      </c>
      <c r="J253" s="4" t="str">
        <f aca="false">IF($A253="","",IF($I253="No",$E253,0))</f>
        <v/>
      </c>
      <c r="K253" s="22" t="str">
        <f aca="false">IF($A253="","",IF($F253="","",FLOOR($F253,0.5)))</f>
        <v/>
      </c>
      <c r="L253" s="39" t="str">
        <f aca="false">IF($A253="","",IF($H253="","",MAX(0,$H253)))</f>
        <v/>
      </c>
      <c r="M253" s="29" t="str">
        <f aca="false">IF($A253="","",IF($F253="","",COUNTIFS(Fact_Work!$B:$B,$A253,Fact_Work!$AL:$AL,$B253,Fact_Work!$AI:$AI,"Yes")))</f>
        <v/>
      </c>
    </row>
    <row r="254" customFormat="false" ht="15" hidden="false" customHeight="true" outlineLevel="0" collapsed="false">
      <c r="D254" s="4" t="str">
        <f aca="false">IF($A254="","",IFERROR(VLOOKUP($B254,Dim_TOP!$A:$B,2,0),""))</f>
        <v/>
      </c>
      <c r="E254" s="36" t="str">
        <f aca="false">IF($A254="","",COUNTIFS(Fact_Work!$B:$B,$A254,Fact_Work!$AL:$AL,$B254))</f>
        <v/>
      </c>
      <c r="F254" s="22" t="str">
        <f aca="false">IF($A254="","",IF(COUNTIFS(Fact_Work!$B:$B,$A254,Fact_Work!$AL:$AL,$B254,Fact_Work!$AN:$AN,"&gt;0")=0,"",_xlfn.MINIFS(Fact_Work!$AN:$AN,Fact_Work!$B:$B,$A254,Fact_Work!$AL:$AL,$B254,Fact_Work!$AN:$AN,"&gt;0")))</f>
        <v/>
      </c>
      <c r="G254" s="37" t="str">
        <f aca="false">IF($A254="","",IF($F254="","",$A254+$F254/24))</f>
        <v/>
      </c>
      <c r="H254" s="38" t="str">
        <f aca="false">IF($A254="","",IF($G254="","",ROUND(($C254-$G254)*1440,0)))</f>
        <v/>
      </c>
      <c r="I254" s="4" t="str">
        <f aca="false">IF($A254="","",IF($H254="","",IF($H254&lt;=0,"Yes","No")))</f>
        <v/>
      </c>
      <c r="J254" s="4" t="str">
        <f aca="false">IF($A254="","",IF($I254="No",$E254,0))</f>
        <v/>
      </c>
      <c r="K254" s="22" t="str">
        <f aca="false">IF($A254="","",IF($F254="","",FLOOR($F254,0.5)))</f>
        <v/>
      </c>
      <c r="L254" s="39" t="str">
        <f aca="false">IF($A254="","",IF($H254="","",MAX(0,$H254)))</f>
        <v/>
      </c>
      <c r="M254" s="29" t="str">
        <f aca="false">IF($A254="","",IF($F254="","",COUNTIFS(Fact_Work!$B:$B,$A254,Fact_Work!$AL:$AL,$B254,Fact_Work!$AI:$AI,"Yes")))</f>
        <v/>
      </c>
    </row>
    <row r="255" customFormat="false" ht="15" hidden="false" customHeight="true" outlineLevel="0" collapsed="false">
      <c r="D255" s="4" t="str">
        <f aca="false">IF($A255="","",IFERROR(VLOOKUP($B255,Dim_TOP!$A:$B,2,0),""))</f>
        <v/>
      </c>
      <c r="E255" s="36" t="str">
        <f aca="false">IF($A255="","",COUNTIFS(Fact_Work!$B:$B,$A255,Fact_Work!$AL:$AL,$B255))</f>
        <v/>
      </c>
      <c r="F255" s="22" t="str">
        <f aca="false">IF($A255="","",IF(COUNTIFS(Fact_Work!$B:$B,$A255,Fact_Work!$AL:$AL,$B255,Fact_Work!$AN:$AN,"&gt;0")=0,"",_xlfn.MINIFS(Fact_Work!$AN:$AN,Fact_Work!$B:$B,$A255,Fact_Work!$AL:$AL,$B255,Fact_Work!$AN:$AN,"&gt;0")))</f>
        <v/>
      </c>
      <c r="G255" s="37" t="str">
        <f aca="false">IF($A255="","",IF($F255="","",$A255+$F255/24))</f>
        <v/>
      </c>
      <c r="H255" s="38" t="str">
        <f aca="false">IF($A255="","",IF($G255="","",ROUND(($C255-$G255)*1440,0)))</f>
        <v/>
      </c>
      <c r="I255" s="4" t="str">
        <f aca="false">IF($A255="","",IF($H255="","",IF($H255&lt;=0,"Yes","No")))</f>
        <v/>
      </c>
      <c r="J255" s="4" t="str">
        <f aca="false">IF($A255="","",IF($I255="No",$E255,0))</f>
        <v/>
      </c>
      <c r="K255" s="22" t="str">
        <f aca="false">IF($A255="","",IF($F255="","",FLOOR($F255,0.5)))</f>
        <v/>
      </c>
      <c r="L255" s="39" t="str">
        <f aca="false">IF($A255="","",IF($H255="","",MAX(0,$H255)))</f>
        <v/>
      </c>
      <c r="M255" s="29" t="str">
        <f aca="false">IF($A255="","",IF($F255="","",COUNTIFS(Fact_Work!$B:$B,$A255,Fact_Work!$AL:$AL,$B255,Fact_Work!$AI:$AI,"Yes")))</f>
        <v/>
      </c>
    </row>
    <row r="256" customFormat="false" ht="15" hidden="false" customHeight="true" outlineLevel="0" collapsed="false">
      <c r="D256" s="4" t="str">
        <f aca="false">IF($A256="","",IFERROR(VLOOKUP($B256,Dim_TOP!$A:$B,2,0),""))</f>
        <v/>
      </c>
      <c r="E256" s="36" t="str">
        <f aca="false">IF($A256="","",COUNTIFS(Fact_Work!$B:$B,$A256,Fact_Work!$AL:$AL,$B256))</f>
        <v/>
      </c>
      <c r="F256" s="22" t="str">
        <f aca="false">IF($A256="","",IF(COUNTIFS(Fact_Work!$B:$B,$A256,Fact_Work!$AL:$AL,$B256,Fact_Work!$AN:$AN,"&gt;0")=0,"",_xlfn.MINIFS(Fact_Work!$AN:$AN,Fact_Work!$B:$B,$A256,Fact_Work!$AL:$AL,$B256,Fact_Work!$AN:$AN,"&gt;0")))</f>
        <v/>
      </c>
      <c r="G256" s="37" t="str">
        <f aca="false">IF($A256="","",IF($F256="","",$A256+$F256/24))</f>
        <v/>
      </c>
      <c r="H256" s="38" t="str">
        <f aca="false">IF($A256="","",IF($G256="","",ROUND(($C256-$G256)*1440,0)))</f>
        <v/>
      </c>
      <c r="I256" s="4" t="str">
        <f aca="false">IF($A256="","",IF($H256="","",IF($H256&lt;=0,"Yes","No")))</f>
        <v/>
      </c>
      <c r="J256" s="4" t="str">
        <f aca="false">IF($A256="","",IF($I256="No",$E256,0))</f>
        <v/>
      </c>
      <c r="K256" s="22" t="str">
        <f aca="false">IF($A256="","",IF($F256="","",FLOOR($F256,0.5)))</f>
        <v/>
      </c>
      <c r="L256" s="39" t="str">
        <f aca="false">IF($A256="","",IF($H256="","",MAX(0,$H256)))</f>
        <v/>
      </c>
      <c r="M256" s="29" t="str">
        <f aca="false">IF($A256="","",IF($F256="","",COUNTIFS(Fact_Work!$B:$B,$A256,Fact_Work!$AL:$AL,$B256,Fact_Work!$AI:$AI,"Yes")))</f>
        <v/>
      </c>
    </row>
    <row r="257" customFormat="false" ht="15" hidden="false" customHeight="true" outlineLevel="0" collapsed="false">
      <c r="D257" s="4" t="str">
        <f aca="false">IF($A257="","",IFERROR(VLOOKUP($B257,Dim_TOP!$A:$B,2,0),""))</f>
        <v/>
      </c>
      <c r="E257" s="36" t="str">
        <f aca="false">IF($A257="","",COUNTIFS(Fact_Work!$B:$B,$A257,Fact_Work!$AL:$AL,$B257))</f>
        <v/>
      </c>
      <c r="F257" s="22" t="str">
        <f aca="false">IF($A257="","",IF(COUNTIFS(Fact_Work!$B:$B,$A257,Fact_Work!$AL:$AL,$B257,Fact_Work!$AN:$AN,"&gt;0")=0,"",_xlfn.MINIFS(Fact_Work!$AN:$AN,Fact_Work!$B:$B,$A257,Fact_Work!$AL:$AL,$B257,Fact_Work!$AN:$AN,"&gt;0")))</f>
        <v/>
      </c>
      <c r="G257" s="37" t="str">
        <f aca="false">IF($A257="","",IF($F257="","",$A257+$F257/24))</f>
        <v/>
      </c>
      <c r="H257" s="38" t="str">
        <f aca="false">IF($A257="","",IF($G257="","",ROUND(($C257-$G257)*1440,0)))</f>
        <v/>
      </c>
      <c r="I257" s="4" t="str">
        <f aca="false">IF($A257="","",IF($H257="","",IF($H257&lt;=0,"Yes","No")))</f>
        <v/>
      </c>
      <c r="J257" s="4" t="str">
        <f aca="false">IF($A257="","",IF($I257="No",$E257,0))</f>
        <v/>
      </c>
      <c r="K257" s="22" t="str">
        <f aca="false">IF($A257="","",IF($F257="","",FLOOR($F257,0.5)))</f>
        <v/>
      </c>
      <c r="L257" s="39" t="str">
        <f aca="false">IF($A257="","",IF($H257="","",MAX(0,$H257)))</f>
        <v/>
      </c>
      <c r="M257" s="29" t="str">
        <f aca="false">IF($A257="","",IF($F257="","",COUNTIFS(Fact_Work!$B:$B,$A257,Fact_Work!$AL:$AL,$B257,Fact_Work!$AI:$AI,"Yes")))</f>
        <v/>
      </c>
    </row>
    <row r="258" customFormat="false" ht="15" hidden="false" customHeight="true" outlineLevel="0" collapsed="false">
      <c r="D258" s="4" t="str">
        <f aca="false">IF($A258="","",IFERROR(VLOOKUP($B258,Dim_TOP!$A:$B,2,0),""))</f>
        <v/>
      </c>
      <c r="E258" s="36" t="str">
        <f aca="false">IF($A258="","",COUNTIFS(Fact_Work!$B:$B,$A258,Fact_Work!$AL:$AL,$B258))</f>
        <v/>
      </c>
      <c r="F258" s="22" t="str">
        <f aca="false">IF($A258="","",IF(COUNTIFS(Fact_Work!$B:$B,$A258,Fact_Work!$AL:$AL,$B258,Fact_Work!$AN:$AN,"&gt;0")=0,"",_xlfn.MINIFS(Fact_Work!$AN:$AN,Fact_Work!$B:$B,$A258,Fact_Work!$AL:$AL,$B258,Fact_Work!$AN:$AN,"&gt;0")))</f>
        <v/>
      </c>
      <c r="G258" s="37" t="str">
        <f aca="false">IF($A258="","",IF($F258="","",$A258+$F258/24))</f>
        <v/>
      </c>
      <c r="H258" s="38" t="str">
        <f aca="false">IF($A258="","",IF($G258="","",ROUND(($C258-$G258)*1440,0)))</f>
        <v/>
      </c>
      <c r="I258" s="4" t="str">
        <f aca="false">IF($A258="","",IF($H258="","",IF($H258&lt;=0,"Yes","No")))</f>
        <v/>
      </c>
      <c r="J258" s="4" t="str">
        <f aca="false">IF($A258="","",IF($I258="No",$E258,0))</f>
        <v/>
      </c>
      <c r="K258" s="22" t="str">
        <f aca="false">IF($A258="","",IF($F258="","",FLOOR($F258,0.5)))</f>
        <v/>
      </c>
      <c r="L258" s="39" t="str">
        <f aca="false">IF($A258="","",IF($H258="","",MAX(0,$H258)))</f>
        <v/>
      </c>
      <c r="M258" s="29" t="str">
        <f aca="false">IF($A258="","",IF($F258="","",COUNTIFS(Fact_Work!$B:$B,$A258,Fact_Work!$AL:$AL,$B258,Fact_Work!$AI:$AI,"Yes")))</f>
        <v/>
      </c>
    </row>
    <row r="259" customFormat="false" ht="15" hidden="false" customHeight="true" outlineLevel="0" collapsed="false">
      <c r="D259" s="4" t="str">
        <f aca="false">IF($A259="","",IFERROR(VLOOKUP($B259,Dim_TOP!$A:$B,2,0),""))</f>
        <v/>
      </c>
      <c r="E259" s="36" t="str">
        <f aca="false">IF($A259="","",COUNTIFS(Fact_Work!$B:$B,$A259,Fact_Work!$AL:$AL,$B259))</f>
        <v/>
      </c>
      <c r="F259" s="22" t="str">
        <f aca="false">IF($A259="","",IF(COUNTIFS(Fact_Work!$B:$B,$A259,Fact_Work!$AL:$AL,$B259,Fact_Work!$AN:$AN,"&gt;0")=0,"",_xlfn.MINIFS(Fact_Work!$AN:$AN,Fact_Work!$B:$B,$A259,Fact_Work!$AL:$AL,$B259,Fact_Work!$AN:$AN,"&gt;0")))</f>
        <v/>
      </c>
      <c r="G259" s="37" t="str">
        <f aca="false">IF($A259="","",IF($F259="","",$A259+$F259/24))</f>
        <v/>
      </c>
      <c r="H259" s="38" t="str">
        <f aca="false">IF($A259="","",IF($G259="","",ROUND(($C259-$G259)*1440,0)))</f>
        <v/>
      </c>
      <c r="I259" s="4" t="str">
        <f aca="false">IF($A259="","",IF($H259="","",IF($H259&lt;=0,"Yes","No")))</f>
        <v/>
      </c>
      <c r="J259" s="4" t="str">
        <f aca="false">IF($A259="","",IF($I259="No",$E259,0))</f>
        <v/>
      </c>
      <c r="K259" s="22" t="str">
        <f aca="false">IF($A259="","",IF($F259="","",FLOOR($F259,0.5)))</f>
        <v/>
      </c>
      <c r="L259" s="39" t="str">
        <f aca="false">IF($A259="","",IF($H259="","",MAX(0,$H259)))</f>
        <v/>
      </c>
      <c r="M259" s="29" t="str">
        <f aca="false">IF($A259="","",IF($F259="","",COUNTIFS(Fact_Work!$B:$B,$A259,Fact_Work!$AL:$AL,$B259,Fact_Work!$AI:$AI,"Yes")))</f>
        <v/>
      </c>
    </row>
    <row r="260" customFormat="false" ht="15" hidden="false" customHeight="true" outlineLevel="0" collapsed="false">
      <c r="D260" s="4" t="str">
        <f aca="false">IF($A260="","",IFERROR(VLOOKUP($B260,Dim_TOP!$A:$B,2,0),""))</f>
        <v/>
      </c>
      <c r="E260" s="36" t="str">
        <f aca="false">IF($A260="","",COUNTIFS(Fact_Work!$B:$B,$A260,Fact_Work!$AL:$AL,$B260))</f>
        <v/>
      </c>
      <c r="F260" s="22" t="str">
        <f aca="false">IF($A260="","",IF(COUNTIFS(Fact_Work!$B:$B,$A260,Fact_Work!$AL:$AL,$B260,Fact_Work!$AN:$AN,"&gt;0")=0,"",_xlfn.MINIFS(Fact_Work!$AN:$AN,Fact_Work!$B:$B,$A260,Fact_Work!$AL:$AL,$B260,Fact_Work!$AN:$AN,"&gt;0")))</f>
        <v/>
      </c>
      <c r="G260" s="37" t="str">
        <f aca="false">IF($A260="","",IF($F260="","",$A260+$F260/24))</f>
        <v/>
      </c>
      <c r="H260" s="38" t="str">
        <f aca="false">IF($A260="","",IF($G260="","",ROUND(($C260-$G260)*1440,0)))</f>
        <v/>
      </c>
      <c r="I260" s="4" t="str">
        <f aca="false">IF($A260="","",IF($H260="","",IF($H260&lt;=0,"Yes","No")))</f>
        <v/>
      </c>
      <c r="J260" s="4" t="str">
        <f aca="false">IF($A260="","",IF($I260="No",$E260,0))</f>
        <v/>
      </c>
      <c r="K260" s="22" t="str">
        <f aca="false">IF($A260="","",IF($F260="","",FLOOR($F260,0.5)))</f>
        <v/>
      </c>
      <c r="L260" s="39" t="str">
        <f aca="false">IF($A260="","",IF($H260="","",MAX(0,$H260)))</f>
        <v/>
      </c>
      <c r="M260" s="29" t="str">
        <f aca="false">IF($A260="","",IF($F260="","",COUNTIFS(Fact_Work!$B:$B,$A260,Fact_Work!$AL:$AL,$B260,Fact_Work!$AI:$AI,"Yes")))</f>
        <v/>
      </c>
    </row>
    <row r="261" customFormat="false" ht="15" hidden="false" customHeight="true" outlineLevel="0" collapsed="false">
      <c r="D261" s="4" t="str">
        <f aca="false">IF($A261="","",IFERROR(VLOOKUP($B261,Dim_TOP!$A:$B,2,0),""))</f>
        <v/>
      </c>
      <c r="E261" s="36" t="str">
        <f aca="false">IF($A261="","",COUNTIFS(Fact_Work!$B:$B,$A261,Fact_Work!$AL:$AL,$B261))</f>
        <v/>
      </c>
      <c r="F261" s="22" t="str">
        <f aca="false">IF($A261="","",IF(COUNTIFS(Fact_Work!$B:$B,$A261,Fact_Work!$AL:$AL,$B261,Fact_Work!$AN:$AN,"&gt;0")=0,"",_xlfn.MINIFS(Fact_Work!$AN:$AN,Fact_Work!$B:$B,$A261,Fact_Work!$AL:$AL,$B261,Fact_Work!$AN:$AN,"&gt;0")))</f>
        <v/>
      </c>
      <c r="G261" s="37" t="str">
        <f aca="false">IF($A261="","",IF($F261="","",$A261+$F261/24))</f>
        <v/>
      </c>
      <c r="H261" s="38" t="str">
        <f aca="false">IF($A261="","",IF($G261="","",ROUND(($C261-$G261)*1440,0)))</f>
        <v/>
      </c>
      <c r="I261" s="4" t="str">
        <f aca="false">IF($A261="","",IF($H261="","",IF($H261&lt;=0,"Yes","No")))</f>
        <v/>
      </c>
      <c r="J261" s="4" t="str">
        <f aca="false">IF($A261="","",IF($I261="No",$E261,0))</f>
        <v/>
      </c>
      <c r="K261" s="22" t="str">
        <f aca="false">IF($A261="","",IF($F261="","",FLOOR($F261,0.5)))</f>
        <v/>
      </c>
      <c r="L261" s="39" t="str">
        <f aca="false">IF($A261="","",IF($H261="","",MAX(0,$H261)))</f>
        <v/>
      </c>
      <c r="M261" s="29" t="str">
        <f aca="false">IF($A261="","",IF($F261="","",COUNTIFS(Fact_Work!$B:$B,$A261,Fact_Work!$AL:$AL,$B261,Fact_Work!$AI:$AI,"Yes")))</f>
        <v/>
      </c>
    </row>
    <row r="262" customFormat="false" ht="15" hidden="false" customHeight="true" outlineLevel="0" collapsed="false">
      <c r="D262" s="4" t="str">
        <f aca="false">IF($A262="","",IFERROR(VLOOKUP($B262,Dim_TOP!$A:$B,2,0),""))</f>
        <v/>
      </c>
      <c r="E262" s="36" t="str">
        <f aca="false">IF($A262="","",COUNTIFS(Fact_Work!$B:$B,$A262,Fact_Work!$AL:$AL,$B262))</f>
        <v/>
      </c>
      <c r="F262" s="22" t="str">
        <f aca="false">IF($A262="","",IF(COUNTIFS(Fact_Work!$B:$B,$A262,Fact_Work!$AL:$AL,$B262,Fact_Work!$AN:$AN,"&gt;0")=0,"",_xlfn.MINIFS(Fact_Work!$AN:$AN,Fact_Work!$B:$B,$A262,Fact_Work!$AL:$AL,$B262,Fact_Work!$AN:$AN,"&gt;0")))</f>
        <v/>
      </c>
      <c r="G262" s="37" t="str">
        <f aca="false">IF($A262="","",IF($F262="","",$A262+$F262/24))</f>
        <v/>
      </c>
      <c r="H262" s="38" t="str">
        <f aca="false">IF($A262="","",IF($G262="","",ROUND(($C262-$G262)*1440,0)))</f>
        <v/>
      </c>
      <c r="I262" s="4" t="str">
        <f aca="false">IF($A262="","",IF($H262="","",IF($H262&lt;=0,"Yes","No")))</f>
        <v/>
      </c>
      <c r="J262" s="4" t="str">
        <f aca="false">IF($A262="","",IF($I262="No",$E262,0))</f>
        <v/>
      </c>
      <c r="K262" s="22" t="str">
        <f aca="false">IF($A262="","",IF($F262="","",FLOOR($F262,0.5)))</f>
        <v/>
      </c>
      <c r="L262" s="39" t="str">
        <f aca="false">IF($A262="","",IF($H262="","",MAX(0,$H262)))</f>
        <v/>
      </c>
      <c r="M262" s="29" t="str">
        <f aca="false">IF($A262="","",IF($F262="","",COUNTIFS(Fact_Work!$B:$B,$A262,Fact_Work!$AL:$AL,$B262,Fact_Work!$AI:$AI,"Yes")))</f>
        <v/>
      </c>
    </row>
    <row r="263" customFormat="false" ht="15" hidden="false" customHeight="true" outlineLevel="0" collapsed="false">
      <c r="D263" s="4" t="str">
        <f aca="false">IF($A263="","",IFERROR(VLOOKUP($B263,Dim_TOP!$A:$B,2,0),""))</f>
        <v/>
      </c>
      <c r="E263" s="36" t="str">
        <f aca="false">IF($A263="","",COUNTIFS(Fact_Work!$B:$B,$A263,Fact_Work!$AL:$AL,$B263))</f>
        <v/>
      </c>
      <c r="F263" s="22" t="str">
        <f aca="false">IF($A263="","",IF(COUNTIFS(Fact_Work!$B:$B,$A263,Fact_Work!$AL:$AL,$B263,Fact_Work!$AN:$AN,"&gt;0")=0,"",_xlfn.MINIFS(Fact_Work!$AN:$AN,Fact_Work!$B:$B,$A263,Fact_Work!$AL:$AL,$B263,Fact_Work!$AN:$AN,"&gt;0")))</f>
        <v/>
      </c>
      <c r="G263" s="37" t="str">
        <f aca="false">IF($A263="","",IF($F263="","",$A263+$F263/24))</f>
        <v/>
      </c>
      <c r="H263" s="38" t="str">
        <f aca="false">IF($A263="","",IF($G263="","",ROUND(($C263-$G263)*1440,0)))</f>
        <v/>
      </c>
      <c r="I263" s="4" t="str">
        <f aca="false">IF($A263="","",IF($H263="","",IF($H263&lt;=0,"Yes","No")))</f>
        <v/>
      </c>
      <c r="J263" s="4" t="str">
        <f aca="false">IF($A263="","",IF($I263="No",$E263,0))</f>
        <v/>
      </c>
      <c r="K263" s="22" t="str">
        <f aca="false">IF($A263="","",IF($F263="","",FLOOR($F263,0.5)))</f>
        <v/>
      </c>
      <c r="L263" s="39" t="str">
        <f aca="false">IF($A263="","",IF($H263="","",MAX(0,$H263)))</f>
        <v/>
      </c>
      <c r="M263" s="29" t="str">
        <f aca="false">IF($A263="","",IF($F263="","",COUNTIFS(Fact_Work!$B:$B,$A263,Fact_Work!$AL:$AL,$B263,Fact_Work!$AI:$AI,"Yes")))</f>
        <v/>
      </c>
    </row>
    <row r="264" customFormat="false" ht="15" hidden="false" customHeight="true" outlineLevel="0" collapsed="false">
      <c r="D264" s="4" t="str">
        <f aca="false">IF($A264="","",IFERROR(VLOOKUP($B264,Dim_TOP!$A:$B,2,0),""))</f>
        <v/>
      </c>
      <c r="E264" s="36" t="str">
        <f aca="false">IF($A264="","",COUNTIFS(Fact_Work!$B:$B,$A264,Fact_Work!$AL:$AL,$B264))</f>
        <v/>
      </c>
      <c r="F264" s="22" t="str">
        <f aca="false">IF($A264="","",IF(COUNTIFS(Fact_Work!$B:$B,$A264,Fact_Work!$AL:$AL,$B264,Fact_Work!$AN:$AN,"&gt;0")=0,"",_xlfn.MINIFS(Fact_Work!$AN:$AN,Fact_Work!$B:$B,$A264,Fact_Work!$AL:$AL,$B264,Fact_Work!$AN:$AN,"&gt;0")))</f>
        <v/>
      </c>
      <c r="G264" s="37" t="str">
        <f aca="false">IF($A264="","",IF($F264="","",$A264+$F264/24))</f>
        <v/>
      </c>
      <c r="H264" s="38" t="str">
        <f aca="false">IF($A264="","",IF($G264="","",ROUND(($C264-$G264)*1440,0)))</f>
        <v/>
      </c>
      <c r="I264" s="4" t="str">
        <f aca="false">IF($A264="","",IF($H264="","",IF($H264&lt;=0,"Yes","No")))</f>
        <v/>
      </c>
      <c r="J264" s="4" t="str">
        <f aca="false">IF($A264="","",IF($I264="No",$E264,0))</f>
        <v/>
      </c>
      <c r="K264" s="22" t="str">
        <f aca="false">IF($A264="","",IF($F264="","",FLOOR($F264,0.5)))</f>
        <v/>
      </c>
      <c r="L264" s="39" t="str">
        <f aca="false">IF($A264="","",IF($H264="","",MAX(0,$H264)))</f>
        <v/>
      </c>
      <c r="M264" s="29" t="str">
        <f aca="false">IF($A264="","",IF($F264="","",COUNTIFS(Fact_Work!$B:$B,$A264,Fact_Work!$AL:$AL,$B264,Fact_Work!$AI:$AI,"Yes")))</f>
        <v/>
      </c>
    </row>
    <row r="265" customFormat="false" ht="15" hidden="false" customHeight="true" outlineLevel="0" collapsed="false">
      <c r="D265" s="4" t="str">
        <f aca="false">IF($A265="","",IFERROR(VLOOKUP($B265,Dim_TOP!$A:$B,2,0),""))</f>
        <v/>
      </c>
      <c r="E265" s="36" t="str">
        <f aca="false">IF($A265="","",COUNTIFS(Fact_Work!$B:$B,$A265,Fact_Work!$AL:$AL,$B265))</f>
        <v/>
      </c>
      <c r="F265" s="22" t="str">
        <f aca="false">IF($A265="","",IF(COUNTIFS(Fact_Work!$B:$B,$A265,Fact_Work!$AL:$AL,$B265,Fact_Work!$AN:$AN,"&gt;0")=0,"",_xlfn.MINIFS(Fact_Work!$AN:$AN,Fact_Work!$B:$B,$A265,Fact_Work!$AL:$AL,$B265,Fact_Work!$AN:$AN,"&gt;0")))</f>
        <v/>
      </c>
      <c r="G265" s="37" t="str">
        <f aca="false">IF($A265="","",IF($F265="","",$A265+$F265/24))</f>
        <v/>
      </c>
      <c r="H265" s="38" t="str">
        <f aca="false">IF($A265="","",IF($G265="","",ROUND(($C265-$G265)*1440,0)))</f>
        <v/>
      </c>
      <c r="I265" s="4" t="str">
        <f aca="false">IF($A265="","",IF($H265="","",IF($H265&lt;=0,"Yes","No")))</f>
        <v/>
      </c>
      <c r="J265" s="4" t="str">
        <f aca="false">IF($A265="","",IF($I265="No",$E265,0))</f>
        <v/>
      </c>
      <c r="K265" s="22" t="str">
        <f aca="false">IF($A265="","",IF($F265="","",FLOOR($F265,0.5)))</f>
        <v/>
      </c>
      <c r="L265" s="39" t="str">
        <f aca="false">IF($A265="","",IF($H265="","",MAX(0,$H265)))</f>
        <v/>
      </c>
      <c r="M265" s="29" t="str">
        <f aca="false">IF($A265="","",IF($F265="","",COUNTIFS(Fact_Work!$B:$B,$A265,Fact_Work!$AL:$AL,$B265,Fact_Work!$AI:$AI,"Yes")))</f>
        <v/>
      </c>
    </row>
    <row r="266" customFormat="false" ht="15" hidden="false" customHeight="true" outlineLevel="0" collapsed="false">
      <c r="D266" s="4" t="str">
        <f aca="false">IF($A266="","",IFERROR(VLOOKUP($B266,Dim_TOP!$A:$B,2,0),""))</f>
        <v/>
      </c>
      <c r="E266" s="36" t="str">
        <f aca="false">IF($A266="","",COUNTIFS(Fact_Work!$B:$B,$A266,Fact_Work!$AL:$AL,$B266))</f>
        <v/>
      </c>
      <c r="F266" s="22" t="str">
        <f aca="false">IF($A266="","",IF(COUNTIFS(Fact_Work!$B:$B,$A266,Fact_Work!$AL:$AL,$B266,Fact_Work!$AN:$AN,"&gt;0")=0,"",_xlfn.MINIFS(Fact_Work!$AN:$AN,Fact_Work!$B:$B,$A266,Fact_Work!$AL:$AL,$B266,Fact_Work!$AN:$AN,"&gt;0")))</f>
        <v/>
      </c>
      <c r="G266" s="37" t="str">
        <f aca="false">IF($A266="","",IF($F266="","",$A266+$F266/24))</f>
        <v/>
      </c>
      <c r="H266" s="38" t="str">
        <f aca="false">IF($A266="","",IF($G266="","",ROUND(($C266-$G266)*1440,0)))</f>
        <v/>
      </c>
      <c r="I266" s="4" t="str">
        <f aca="false">IF($A266="","",IF($H266="","",IF($H266&lt;=0,"Yes","No")))</f>
        <v/>
      </c>
      <c r="J266" s="4" t="str">
        <f aca="false">IF($A266="","",IF($I266="No",$E266,0))</f>
        <v/>
      </c>
      <c r="K266" s="22" t="str">
        <f aca="false">IF($A266="","",IF($F266="","",FLOOR($F266,0.5)))</f>
        <v/>
      </c>
      <c r="L266" s="39" t="str">
        <f aca="false">IF($A266="","",IF($H266="","",MAX(0,$H266)))</f>
        <v/>
      </c>
      <c r="M266" s="29" t="str">
        <f aca="false">IF($A266="","",IF($F266="","",COUNTIFS(Fact_Work!$B:$B,$A266,Fact_Work!$AL:$AL,$B266,Fact_Work!$AI:$AI,"Yes")))</f>
        <v/>
      </c>
    </row>
    <row r="267" customFormat="false" ht="15" hidden="false" customHeight="true" outlineLevel="0" collapsed="false">
      <c r="D267" s="4" t="str">
        <f aca="false">IF($A267="","",IFERROR(VLOOKUP($B267,Dim_TOP!$A:$B,2,0),""))</f>
        <v/>
      </c>
      <c r="E267" s="36" t="str">
        <f aca="false">IF($A267="","",COUNTIFS(Fact_Work!$B:$B,$A267,Fact_Work!$AL:$AL,$B267))</f>
        <v/>
      </c>
      <c r="F267" s="22" t="str">
        <f aca="false">IF($A267="","",IF(COUNTIFS(Fact_Work!$B:$B,$A267,Fact_Work!$AL:$AL,$B267,Fact_Work!$AN:$AN,"&gt;0")=0,"",_xlfn.MINIFS(Fact_Work!$AN:$AN,Fact_Work!$B:$B,$A267,Fact_Work!$AL:$AL,$B267,Fact_Work!$AN:$AN,"&gt;0")))</f>
        <v/>
      </c>
      <c r="G267" s="37" t="str">
        <f aca="false">IF($A267="","",IF($F267="","",$A267+$F267/24))</f>
        <v/>
      </c>
      <c r="H267" s="38" t="str">
        <f aca="false">IF($A267="","",IF($G267="","",ROUND(($C267-$G267)*1440,0)))</f>
        <v/>
      </c>
      <c r="I267" s="4" t="str">
        <f aca="false">IF($A267="","",IF($H267="","",IF($H267&lt;=0,"Yes","No")))</f>
        <v/>
      </c>
      <c r="J267" s="4" t="str">
        <f aca="false">IF($A267="","",IF($I267="No",$E267,0))</f>
        <v/>
      </c>
      <c r="K267" s="22" t="str">
        <f aca="false">IF($A267="","",IF($F267="","",FLOOR($F267,0.5)))</f>
        <v/>
      </c>
      <c r="L267" s="39" t="str">
        <f aca="false">IF($A267="","",IF($H267="","",MAX(0,$H267)))</f>
        <v/>
      </c>
      <c r="M267" s="29" t="str">
        <f aca="false">IF($A267="","",IF($F267="","",COUNTIFS(Fact_Work!$B:$B,$A267,Fact_Work!$AL:$AL,$B267,Fact_Work!$AI:$AI,"Yes")))</f>
        <v/>
      </c>
    </row>
    <row r="268" customFormat="false" ht="15" hidden="false" customHeight="true" outlineLevel="0" collapsed="false">
      <c r="D268" s="4" t="str">
        <f aca="false">IF($A268="","",IFERROR(VLOOKUP($B268,Dim_TOP!$A:$B,2,0),""))</f>
        <v/>
      </c>
      <c r="E268" s="36" t="str">
        <f aca="false">IF($A268="","",COUNTIFS(Fact_Work!$B:$B,$A268,Fact_Work!$AL:$AL,$B268))</f>
        <v/>
      </c>
      <c r="F268" s="22" t="str">
        <f aca="false">IF($A268="","",IF(COUNTIFS(Fact_Work!$B:$B,$A268,Fact_Work!$AL:$AL,$B268,Fact_Work!$AN:$AN,"&gt;0")=0,"",_xlfn.MINIFS(Fact_Work!$AN:$AN,Fact_Work!$B:$B,$A268,Fact_Work!$AL:$AL,$B268,Fact_Work!$AN:$AN,"&gt;0")))</f>
        <v/>
      </c>
      <c r="G268" s="37" t="str">
        <f aca="false">IF($A268="","",IF($F268="","",$A268+$F268/24))</f>
        <v/>
      </c>
      <c r="H268" s="38" t="str">
        <f aca="false">IF($A268="","",IF($G268="","",ROUND(($C268-$G268)*1440,0)))</f>
        <v/>
      </c>
      <c r="I268" s="4" t="str">
        <f aca="false">IF($A268="","",IF($H268="","",IF($H268&lt;=0,"Yes","No")))</f>
        <v/>
      </c>
      <c r="J268" s="4" t="str">
        <f aca="false">IF($A268="","",IF($I268="No",$E268,0))</f>
        <v/>
      </c>
      <c r="K268" s="22" t="str">
        <f aca="false">IF($A268="","",IF($F268="","",FLOOR($F268,0.5)))</f>
        <v/>
      </c>
      <c r="L268" s="39" t="str">
        <f aca="false">IF($A268="","",IF($H268="","",MAX(0,$H268)))</f>
        <v/>
      </c>
      <c r="M268" s="29" t="str">
        <f aca="false">IF($A268="","",IF($F268="","",COUNTIFS(Fact_Work!$B:$B,$A268,Fact_Work!$AL:$AL,$B268,Fact_Work!$AI:$AI,"Yes")))</f>
        <v/>
      </c>
    </row>
    <row r="269" customFormat="false" ht="15" hidden="false" customHeight="true" outlineLevel="0" collapsed="false">
      <c r="D269" s="4" t="str">
        <f aca="false">IF($A269="","",IFERROR(VLOOKUP($B269,Dim_TOP!$A:$B,2,0),""))</f>
        <v/>
      </c>
      <c r="E269" s="36" t="str">
        <f aca="false">IF($A269="","",COUNTIFS(Fact_Work!$B:$B,$A269,Fact_Work!$AL:$AL,$B269))</f>
        <v/>
      </c>
      <c r="F269" s="22" t="str">
        <f aca="false">IF($A269="","",IF(COUNTIFS(Fact_Work!$B:$B,$A269,Fact_Work!$AL:$AL,$B269,Fact_Work!$AN:$AN,"&gt;0")=0,"",_xlfn.MINIFS(Fact_Work!$AN:$AN,Fact_Work!$B:$B,$A269,Fact_Work!$AL:$AL,$B269,Fact_Work!$AN:$AN,"&gt;0")))</f>
        <v/>
      </c>
      <c r="G269" s="37" t="str">
        <f aca="false">IF($A269="","",IF($F269="","",$A269+$F269/24))</f>
        <v/>
      </c>
      <c r="H269" s="38" t="str">
        <f aca="false">IF($A269="","",IF($G269="","",ROUND(($C269-$G269)*1440,0)))</f>
        <v/>
      </c>
      <c r="I269" s="4" t="str">
        <f aca="false">IF($A269="","",IF($H269="","",IF($H269&lt;=0,"Yes","No")))</f>
        <v/>
      </c>
      <c r="J269" s="4" t="str">
        <f aca="false">IF($A269="","",IF($I269="No",$E269,0))</f>
        <v/>
      </c>
      <c r="K269" s="22" t="str">
        <f aca="false">IF($A269="","",IF($F269="","",FLOOR($F269,0.5)))</f>
        <v/>
      </c>
      <c r="L269" s="39" t="str">
        <f aca="false">IF($A269="","",IF($H269="","",MAX(0,$H269)))</f>
        <v/>
      </c>
      <c r="M269" s="29" t="str">
        <f aca="false">IF($A269="","",IF($F269="","",COUNTIFS(Fact_Work!$B:$B,$A269,Fact_Work!$AL:$AL,$B269,Fact_Work!$AI:$AI,"Yes")))</f>
        <v/>
      </c>
    </row>
    <row r="270" customFormat="false" ht="15" hidden="false" customHeight="true" outlineLevel="0" collapsed="false">
      <c r="D270" s="4" t="str">
        <f aca="false">IF($A270="","",IFERROR(VLOOKUP($B270,Dim_TOP!$A:$B,2,0),""))</f>
        <v/>
      </c>
      <c r="E270" s="36" t="str">
        <f aca="false">IF($A270="","",COUNTIFS(Fact_Work!$B:$B,$A270,Fact_Work!$AL:$AL,$B270))</f>
        <v/>
      </c>
      <c r="F270" s="22" t="str">
        <f aca="false">IF($A270="","",IF(COUNTIFS(Fact_Work!$B:$B,$A270,Fact_Work!$AL:$AL,$B270,Fact_Work!$AN:$AN,"&gt;0")=0,"",_xlfn.MINIFS(Fact_Work!$AN:$AN,Fact_Work!$B:$B,$A270,Fact_Work!$AL:$AL,$B270,Fact_Work!$AN:$AN,"&gt;0")))</f>
        <v/>
      </c>
      <c r="G270" s="37" t="str">
        <f aca="false">IF($A270="","",IF($F270="","",$A270+$F270/24))</f>
        <v/>
      </c>
      <c r="H270" s="38" t="str">
        <f aca="false">IF($A270="","",IF($G270="","",ROUND(($C270-$G270)*1440,0)))</f>
        <v/>
      </c>
      <c r="I270" s="4" t="str">
        <f aca="false">IF($A270="","",IF($H270="","",IF($H270&lt;=0,"Yes","No")))</f>
        <v/>
      </c>
      <c r="J270" s="4" t="str">
        <f aca="false">IF($A270="","",IF($I270="No",$E270,0))</f>
        <v/>
      </c>
      <c r="K270" s="22" t="str">
        <f aca="false">IF($A270="","",IF($F270="","",FLOOR($F270,0.5)))</f>
        <v/>
      </c>
      <c r="L270" s="39" t="str">
        <f aca="false">IF($A270="","",IF($H270="","",MAX(0,$H270)))</f>
        <v/>
      </c>
      <c r="M270" s="29" t="str">
        <f aca="false">IF($A270="","",IF($F270="","",COUNTIFS(Fact_Work!$B:$B,$A270,Fact_Work!$AL:$AL,$B270,Fact_Work!$AI:$AI,"Yes")))</f>
        <v/>
      </c>
    </row>
    <row r="271" customFormat="false" ht="15" hidden="false" customHeight="true" outlineLevel="0" collapsed="false">
      <c r="D271" s="4" t="str">
        <f aca="false">IF($A271="","",IFERROR(VLOOKUP($B271,Dim_TOP!$A:$B,2,0),""))</f>
        <v/>
      </c>
      <c r="E271" s="36" t="str">
        <f aca="false">IF($A271="","",COUNTIFS(Fact_Work!$B:$B,$A271,Fact_Work!$AL:$AL,$B271))</f>
        <v/>
      </c>
      <c r="F271" s="22" t="str">
        <f aca="false">IF($A271="","",IF(COUNTIFS(Fact_Work!$B:$B,$A271,Fact_Work!$AL:$AL,$B271,Fact_Work!$AN:$AN,"&gt;0")=0,"",_xlfn.MINIFS(Fact_Work!$AN:$AN,Fact_Work!$B:$B,$A271,Fact_Work!$AL:$AL,$B271,Fact_Work!$AN:$AN,"&gt;0")))</f>
        <v/>
      </c>
      <c r="G271" s="37" t="str">
        <f aca="false">IF($A271="","",IF($F271="","",$A271+$F271/24))</f>
        <v/>
      </c>
      <c r="H271" s="38" t="str">
        <f aca="false">IF($A271="","",IF($G271="","",ROUND(($C271-$G271)*1440,0)))</f>
        <v/>
      </c>
      <c r="I271" s="4" t="str">
        <f aca="false">IF($A271="","",IF($H271="","",IF($H271&lt;=0,"Yes","No")))</f>
        <v/>
      </c>
      <c r="J271" s="4" t="str">
        <f aca="false">IF($A271="","",IF($I271="No",$E271,0))</f>
        <v/>
      </c>
      <c r="K271" s="22" t="str">
        <f aca="false">IF($A271="","",IF($F271="","",FLOOR($F271,0.5)))</f>
        <v/>
      </c>
      <c r="L271" s="39" t="str">
        <f aca="false">IF($A271="","",IF($H271="","",MAX(0,$H271)))</f>
        <v/>
      </c>
      <c r="M271" s="29" t="str">
        <f aca="false">IF($A271="","",IF($F271="","",COUNTIFS(Fact_Work!$B:$B,$A271,Fact_Work!$AL:$AL,$B271,Fact_Work!$AI:$AI,"Yes")))</f>
        <v/>
      </c>
    </row>
    <row r="272" customFormat="false" ht="15" hidden="false" customHeight="true" outlineLevel="0" collapsed="false">
      <c r="D272" s="4" t="str">
        <f aca="false">IF($A272="","",IFERROR(VLOOKUP($B272,Dim_TOP!$A:$B,2,0),""))</f>
        <v/>
      </c>
      <c r="E272" s="36" t="str">
        <f aca="false">IF($A272="","",COUNTIFS(Fact_Work!$B:$B,$A272,Fact_Work!$AL:$AL,$B272))</f>
        <v/>
      </c>
      <c r="F272" s="22" t="str">
        <f aca="false">IF($A272="","",IF(COUNTIFS(Fact_Work!$B:$B,$A272,Fact_Work!$AL:$AL,$B272,Fact_Work!$AN:$AN,"&gt;0")=0,"",_xlfn.MINIFS(Fact_Work!$AN:$AN,Fact_Work!$B:$B,$A272,Fact_Work!$AL:$AL,$B272,Fact_Work!$AN:$AN,"&gt;0")))</f>
        <v/>
      </c>
      <c r="G272" s="37" t="str">
        <f aca="false">IF($A272="","",IF($F272="","",$A272+$F272/24))</f>
        <v/>
      </c>
      <c r="H272" s="38" t="str">
        <f aca="false">IF($A272="","",IF($G272="","",ROUND(($C272-$G272)*1440,0)))</f>
        <v/>
      </c>
      <c r="I272" s="4" t="str">
        <f aca="false">IF($A272="","",IF($H272="","",IF($H272&lt;=0,"Yes","No")))</f>
        <v/>
      </c>
      <c r="J272" s="4" t="str">
        <f aca="false">IF($A272="","",IF($I272="No",$E272,0))</f>
        <v/>
      </c>
      <c r="K272" s="22" t="str">
        <f aca="false">IF($A272="","",IF($F272="","",FLOOR($F272,0.5)))</f>
        <v/>
      </c>
      <c r="L272" s="39" t="str">
        <f aca="false">IF($A272="","",IF($H272="","",MAX(0,$H272)))</f>
        <v/>
      </c>
      <c r="M272" s="29" t="str">
        <f aca="false">IF($A272="","",IF($F272="","",COUNTIFS(Fact_Work!$B:$B,$A272,Fact_Work!$AL:$AL,$B272,Fact_Work!$AI:$AI,"Yes")))</f>
        <v/>
      </c>
    </row>
    <row r="273" customFormat="false" ht="15" hidden="false" customHeight="true" outlineLevel="0" collapsed="false">
      <c r="D273" s="4" t="str">
        <f aca="false">IF($A273="","",IFERROR(VLOOKUP($B273,Dim_TOP!$A:$B,2,0),""))</f>
        <v/>
      </c>
      <c r="E273" s="36" t="str">
        <f aca="false">IF($A273="","",COUNTIFS(Fact_Work!$B:$B,$A273,Fact_Work!$AL:$AL,$B273))</f>
        <v/>
      </c>
      <c r="F273" s="22" t="str">
        <f aca="false">IF($A273="","",IF(COUNTIFS(Fact_Work!$B:$B,$A273,Fact_Work!$AL:$AL,$B273,Fact_Work!$AN:$AN,"&gt;0")=0,"",_xlfn.MINIFS(Fact_Work!$AN:$AN,Fact_Work!$B:$B,$A273,Fact_Work!$AL:$AL,$B273,Fact_Work!$AN:$AN,"&gt;0")))</f>
        <v/>
      </c>
      <c r="G273" s="37" t="str">
        <f aca="false">IF($A273="","",IF($F273="","",$A273+$F273/24))</f>
        <v/>
      </c>
      <c r="H273" s="38" t="str">
        <f aca="false">IF($A273="","",IF($G273="","",ROUND(($C273-$G273)*1440,0)))</f>
        <v/>
      </c>
      <c r="I273" s="4" t="str">
        <f aca="false">IF($A273="","",IF($H273="","",IF($H273&lt;=0,"Yes","No")))</f>
        <v/>
      </c>
      <c r="J273" s="4" t="str">
        <f aca="false">IF($A273="","",IF($I273="No",$E273,0))</f>
        <v/>
      </c>
      <c r="K273" s="22" t="str">
        <f aca="false">IF($A273="","",IF($F273="","",FLOOR($F273,0.5)))</f>
        <v/>
      </c>
      <c r="L273" s="39" t="str">
        <f aca="false">IF($A273="","",IF($H273="","",MAX(0,$H273)))</f>
        <v/>
      </c>
      <c r="M273" s="29" t="str">
        <f aca="false">IF($A273="","",IF($F273="","",COUNTIFS(Fact_Work!$B:$B,$A273,Fact_Work!$AL:$AL,$B273,Fact_Work!$AI:$AI,"Yes")))</f>
        <v/>
      </c>
    </row>
    <row r="274" customFormat="false" ht="15" hidden="false" customHeight="true" outlineLevel="0" collapsed="false">
      <c r="D274" s="4" t="str">
        <f aca="false">IF($A274="","",IFERROR(VLOOKUP($B274,Dim_TOP!$A:$B,2,0),""))</f>
        <v/>
      </c>
      <c r="E274" s="36" t="str">
        <f aca="false">IF($A274="","",COUNTIFS(Fact_Work!$B:$B,$A274,Fact_Work!$AL:$AL,$B274))</f>
        <v/>
      </c>
      <c r="F274" s="22" t="str">
        <f aca="false">IF($A274="","",IF(COUNTIFS(Fact_Work!$B:$B,$A274,Fact_Work!$AL:$AL,$B274,Fact_Work!$AN:$AN,"&gt;0")=0,"",_xlfn.MINIFS(Fact_Work!$AN:$AN,Fact_Work!$B:$B,$A274,Fact_Work!$AL:$AL,$B274,Fact_Work!$AN:$AN,"&gt;0")))</f>
        <v/>
      </c>
      <c r="G274" s="37" t="str">
        <f aca="false">IF($A274="","",IF($F274="","",$A274+$F274/24))</f>
        <v/>
      </c>
      <c r="H274" s="38" t="str">
        <f aca="false">IF($A274="","",IF($G274="","",ROUND(($C274-$G274)*1440,0)))</f>
        <v/>
      </c>
      <c r="I274" s="4" t="str">
        <f aca="false">IF($A274="","",IF($H274="","",IF($H274&lt;=0,"Yes","No")))</f>
        <v/>
      </c>
      <c r="J274" s="4" t="str">
        <f aca="false">IF($A274="","",IF($I274="No",$E274,0))</f>
        <v/>
      </c>
      <c r="K274" s="22" t="str">
        <f aca="false">IF($A274="","",IF($F274="","",FLOOR($F274,0.5)))</f>
        <v/>
      </c>
      <c r="L274" s="39" t="str">
        <f aca="false">IF($A274="","",IF($H274="","",MAX(0,$H274)))</f>
        <v/>
      </c>
      <c r="M274" s="29" t="str">
        <f aca="false">IF($A274="","",IF($F274="","",COUNTIFS(Fact_Work!$B:$B,$A274,Fact_Work!$AL:$AL,$B274,Fact_Work!$AI:$AI,"Yes")))</f>
        <v/>
      </c>
    </row>
    <row r="275" customFormat="false" ht="15" hidden="false" customHeight="true" outlineLevel="0" collapsed="false">
      <c r="D275" s="4" t="str">
        <f aca="false">IF($A275="","",IFERROR(VLOOKUP($B275,Dim_TOP!$A:$B,2,0),""))</f>
        <v/>
      </c>
      <c r="E275" s="36" t="str">
        <f aca="false">IF($A275="","",COUNTIFS(Fact_Work!$B:$B,$A275,Fact_Work!$AL:$AL,$B275))</f>
        <v/>
      </c>
      <c r="F275" s="22" t="str">
        <f aca="false">IF($A275="","",IF(COUNTIFS(Fact_Work!$B:$B,$A275,Fact_Work!$AL:$AL,$B275,Fact_Work!$AN:$AN,"&gt;0")=0,"",_xlfn.MINIFS(Fact_Work!$AN:$AN,Fact_Work!$B:$B,$A275,Fact_Work!$AL:$AL,$B275,Fact_Work!$AN:$AN,"&gt;0")))</f>
        <v/>
      </c>
      <c r="G275" s="37" t="str">
        <f aca="false">IF($A275="","",IF($F275="","",$A275+$F275/24))</f>
        <v/>
      </c>
      <c r="H275" s="38" t="str">
        <f aca="false">IF($A275="","",IF($G275="","",ROUND(($C275-$G275)*1440,0)))</f>
        <v/>
      </c>
      <c r="I275" s="4" t="str">
        <f aca="false">IF($A275="","",IF($H275="","",IF($H275&lt;=0,"Yes","No")))</f>
        <v/>
      </c>
      <c r="J275" s="4" t="str">
        <f aca="false">IF($A275="","",IF($I275="No",$E275,0))</f>
        <v/>
      </c>
      <c r="K275" s="22" t="str">
        <f aca="false">IF($A275="","",IF($F275="","",FLOOR($F275,0.5)))</f>
        <v/>
      </c>
      <c r="L275" s="39" t="str">
        <f aca="false">IF($A275="","",IF($H275="","",MAX(0,$H275)))</f>
        <v/>
      </c>
      <c r="M275" s="29" t="str">
        <f aca="false">IF($A275="","",IF($F275="","",COUNTIFS(Fact_Work!$B:$B,$A275,Fact_Work!$AL:$AL,$B275,Fact_Work!$AI:$AI,"Yes")))</f>
        <v/>
      </c>
    </row>
    <row r="276" customFormat="false" ht="15" hidden="false" customHeight="true" outlineLevel="0" collapsed="false">
      <c r="D276" s="4" t="str">
        <f aca="false">IF($A276="","",IFERROR(VLOOKUP($B276,Dim_TOP!$A:$B,2,0),""))</f>
        <v/>
      </c>
      <c r="E276" s="36" t="str">
        <f aca="false">IF($A276="","",COUNTIFS(Fact_Work!$B:$B,$A276,Fact_Work!$AL:$AL,$B276))</f>
        <v/>
      </c>
      <c r="F276" s="22" t="str">
        <f aca="false">IF($A276="","",IF(COUNTIFS(Fact_Work!$B:$B,$A276,Fact_Work!$AL:$AL,$B276,Fact_Work!$AN:$AN,"&gt;0")=0,"",_xlfn.MINIFS(Fact_Work!$AN:$AN,Fact_Work!$B:$B,$A276,Fact_Work!$AL:$AL,$B276,Fact_Work!$AN:$AN,"&gt;0")))</f>
        <v/>
      </c>
      <c r="G276" s="37" t="str">
        <f aca="false">IF($A276="","",IF($F276="","",$A276+$F276/24))</f>
        <v/>
      </c>
      <c r="H276" s="38" t="str">
        <f aca="false">IF($A276="","",IF($G276="","",ROUND(($C276-$G276)*1440,0)))</f>
        <v/>
      </c>
      <c r="I276" s="4" t="str">
        <f aca="false">IF($A276="","",IF($H276="","",IF($H276&lt;=0,"Yes","No")))</f>
        <v/>
      </c>
      <c r="J276" s="4" t="str">
        <f aca="false">IF($A276="","",IF($I276="No",$E276,0))</f>
        <v/>
      </c>
      <c r="K276" s="22" t="str">
        <f aca="false">IF($A276="","",IF($F276="","",FLOOR($F276,0.5)))</f>
        <v/>
      </c>
      <c r="L276" s="39" t="str">
        <f aca="false">IF($A276="","",IF($H276="","",MAX(0,$H276)))</f>
        <v/>
      </c>
      <c r="M276" s="29" t="str">
        <f aca="false">IF($A276="","",IF($F276="","",COUNTIFS(Fact_Work!$B:$B,$A276,Fact_Work!$AL:$AL,$B276,Fact_Work!$AI:$AI,"Yes")))</f>
        <v/>
      </c>
    </row>
    <row r="277" customFormat="false" ht="15" hidden="false" customHeight="true" outlineLevel="0" collapsed="false">
      <c r="D277" s="4" t="str">
        <f aca="false">IF($A277="","",IFERROR(VLOOKUP($B277,Dim_TOP!$A:$B,2,0),""))</f>
        <v/>
      </c>
      <c r="E277" s="36" t="str">
        <f aca="false">IF($A277="","",COUNTIFS(Fact_Work!$B:$B,$A277,Fact_Work!$AL:$AL,$B277))</f>
        <v/>
      </c>
      <c r="F277" s="22" t="str">
        <f aca="false">IF($A277="","",IF(COUNTIFS(Fact_Work!$B:$B,$A277,Fact_Work!$AL:$AL,$B277,Fact_Work!$AN:$AN,"&gt;0")=0,"",_xlfn.MINIFS(Fact_Work!$AN:$AN,Fact_Work!$B:$B,$A277,Fact_Work!$AL:$AL,$B277,Fact_Work!$AN:$AN,"&gt;0")))</f>
        <v/>
      </c>
      <c r="G277" s="37" t="str">
        <f aca="false">IF($A277="","",IF($F277="","",$A277+$F277/24))</f>
        <v/>
      </c>
      <c r="H277" s="38" t="str">
        <f aca="false">IF($A277="","",IF($G277="","",ROUND(($C277-$G277)*1440,0)))</f>
        <v/>
      </c>
      <c r="I277" s="4" t="str">
        <f aca="false">IF($A277="","",IF($H277="","",IF($H277&lt;=0,"Yes","No")))</f>
        <v/>
      </c>
      <c r="J277" s="4" t="str">
        <f aca="false">IF($A277="","",IF($I277="No",$E277,0))</f>
        <v/>
      </c>
      <c r="K277" s="22" t="str">
        <f aca="false">IF($A277="","",IF($F277="","",FLOOR($F277,0.5)))</f>
        <v/>
      </c>
      <c r="L277" s="39" t="str">
        <f aca="false">IF($A277="","",IF($H277="","",MAX(0,$H277)))</f>
        <v/>
      </c>
      <c r="M277" s="29" t="str">
        <f aca="false">IF($A277="","",IF($F277="","",COUNTIFS(Fact_Work!$B:$B,$A277,Fact_Work!$AL:$AL,$B277,Fact_Work!$AI:$AI,"Yes")))</f>
        <v/>
      </c>
    </row>
    <row r="278" customFormat="false" ht="15" hidden="false" customHeight="true" outlineLevel="0" collapsed="false">
      <c r="D278" s="4" t="str">
        <f aca="false">IF($A278="","",IFERROR(VLOOKUP($B278,Dim_TOP!$A:$B,2,0),""))</f>
        <v/>
      </c>
      <c r="E278" s="36" t="str">
        <f aca="false">IF($A278="","",COUNTIFS(Fact_Work!$B:$B,$A278,Fact_Work!$AL:$AL,$B278))</f>
        <v/>
      </c>
      <c r="F278" s="22" t="str">
        <f aca="false">IF($A278="","",IF(COUNTIFS(Fact_Work!$B:$B,$A278,Fact_Work!$AL:$AL,$B278,Fact_Work!$AN:$AN,"&gt;0")=0,"",_xlfn.MINIFS(Fact_Work!$AN:$AN,Fact_Work!$B:$B,$A278,Fact_Work!$AL:$AL,$B278,Fact_Work!$AN:$AN,"&gt;0")))</f>
        <v/>
      </c>
      <c r="G278" s="37" t="str">
        <f aca="false">IF($A278="","",IF($F278="","",$A278+$F278/24))</f>
        <v/>
      </c>
      <c r="H278" s="38" t="str">
        <f aca="false">IF($A278="","",IF($G278="","",ROUND(($C278-$G278)*1440,0)))</f>
        <v/>
      </c>
      <c r="I278" s="4" t="str">
        <f aca="false">IF($A278="","",IF($H278="","",IF($H278&lt;=0,"Yes","No")))</f>
        <v/>
      </c>
      <c r="J278" s="4" t="str">
        <f aca="false">IF($A278="","",IF($I278="No",$E278,0))</f>
        <v/>
      </c>
      <c r="K278" s="22" t="str">
        <f aca="false">IF($A278="","",IF($F278="","",FLOOR($F278,0.5)))</f>
        <v/>
      </c>
      <c r="L278" s="39" t="str">
        <f aca="false">IF($A278="","",IF($H278="","",MAX(0,$H278)))</f>
        <v/>
      </c>
      <c r="M278" s="29" t="str">
        <f aca="false">IF($A278="","",IF($F278="","",COUNTIFS(Fact_Work!$B:$B,$A278,Fact_Work!$AL:$AL,$B278,Fact_Work!$AI:$AI,"Yes")))</f>
        <v/>
      </c>
    </row>
    <row r="279" customFormat="false" ht="15" hidden="false" customHeight="true" outlineLevel="0" collapsed="false">
      <c r="D279" s="4" t="str">
        <f aca="false">IF($A279="","",IFERROR(VLOOKUP($B279,Dim_TOP!$A:$B,2,0),""))</f>
        <v/>
      </c>
      <c r="E279" s="36" t="str">
        <f aca="false">IF($A279="","",COUNTIFS(Fact_Work!$B:$B,$A279,Fact_Work!$AL:$AL,$B279))</f>
        <v/>
      </c>
      <c r="F279" s="22" t="str">
        <f aca="false">IF($A279="","",IF(COUNTIFS(Fact_Work!$B:$B,$A279,Fact_Work!$AL:$AL,$B279,Fact_Work!$AN:$AN,"&gt;0")=0,"",_xlfn.MINIFS(Fact_Work!$AN:$AN,Fact_Work!$B:$B,$A279,Fact_Work!$AL:$AL,$B279,Fact_Work!$AN:$AN,"&gt;0")))</f>
        <v/>
      </c>
      <c r="G279" s="37" t="str">
        <f aca="false">IF($A279="","",IF($F279="","",$A279+$F279/24))</f>
        <v/>
      </c>
      <c r="H279" s="38" t="str">
        <f aca="false">IF($A279="","",IF($G279="","",ROUND(($C279-$G279)*1440,0)))</f>
        <v/>
      </c>
      <c r="I279" s="4" t="str">
        <f aca="false">IF($A279="","",IF($H279="","",IF($H279&lt;=0,"Yes","No")))</f>
        <v/>
      </c>
      <c r="J279" s="4" t="str">
        <f aca="false">IF($A279="","",IF($I279="No",$E279,0))</f>
        <v/>
      </c>
      <c r="K279" s="22" t="str">
        <f aca="false">IF($A279="","",IF($F279="","",FLOOR($F279,0.5)))</f>
        <v/>
      </c>
      <c r="L279" s="39" t="str">
        <f aca="false">IF($A279="","",IF($H279="","",MAX(0,$H279)))</f>
        <v/>
      </c>
      <c r="M279" s="29" t="str">
        <f aca="false">IF($A279="","",IF($F279="","",COUNTIFS(Fact_Work!$B:$B,$A279,Fact_Work!$AL:$AL,$B279,Fact_Work!$AI:$AI,"Yes")))</f>
        <v/>
      </c>
    </row>
    <row r="280" customFormat="false" ht="15" hidden="false" customHeight="true" outlineLevel="0" collapsed="false">
      <c r="D280" s="4" t="str">
        <f aca="false">IF($A280="","",IFERROR(VLOOKUP($B280,Dim_TOP!$A:$B,2,0),""))</f>
        <v/>
      </c>
      <c r="E280" s="36" t="str">
        <f aca="false">IF($A280="","",COUNTIFS(Fact_Work!$B:$B,$A280,Fact_Work!$AL:$AL,$B280))</f>
        <v/>
      </c>
      <c r="F280" s="22" t="str">
        <f aca="false">IF($A280="","",IF(COUNTIFS(Fact_Work!$B:$B,$A280,Fact_Work!$AL:$AL,$B280,Fact_Work!$AN:$AN,"&gt;0")=0,"",_xlfn.MINIFS(Fact_Work!$AN:$AN,Fact_Work!$B:$B,$A280,Fact_Work!$AL:$AL,$B280,Fact_Work!$AN:$AN,"&gt;0")))</f>
        <v/>
      </c>
      <c r="G280" s="37" t="str">
        <f aca="false">IF($A280="","",IF($F280="","",$A280+$F280/24))</f>
        <v/>
      </c>
      <c r="H280" s="38" t="str">
        <f aca="false">IF($A280="","",IF($G280="","",ROUND(($C280-$G280)*1440,0)))</f>
        <v/>
      </c>
      <c r="I280" s="4" t="str">
        <f aca="false">IF($A280="","",IF($H280="","",IF($H280&lt;=0,"Yes","No")))</f>
        <v/>
      </c>
      <c r="J280" s="4" t="str">
        <f aca="false">IF($A280="","",IF($I280="No",$E280,0))</f>
        <v/>
      </c>
      <c r="K280" s="22" t="str">
        <f aca="false">IF($A280="","",IF($F280="","",FLOOR($F280,0.5)))</f>
        <v/>
      </c>
      <c r="L280" s="39" t="str">
        <f aca="false">IF($A280="","",IF($H280="","",MAX(0,$H280)))</f>
        <v/>
      </c>
      <c r="M280" s="29" t="str">
        <f aca="false">IF($A280="","",IF($F280="","",COUNTIFS(Fact_Work!$B:$B,$A280,Fact_Work!$AL:$AL,$B280,Fact_Work!$AI:$AI,"Yes")))</f>
        <v/>
      </c>
    </row>
    <row r="281" customFormat="false" ht="15" hidden="false" customHeight="true" outlineLevel="0" collapsed="false">
      <c r="D281" s="4" t="str">
        <f aca="false">IF($A281="","",IFERROR(VLOOKUP($B281,Dim_TOP!$A:$B,2,0),""))</f>
        <v/>
      </c>
      <c r="E281" s="36" t="str">
        <f aca="false">IF($A281="","",COUNTIFS(Fact_Work!$B:$B,$A281,Fact_Work!$AL:$AL,$B281))</f>
        <v/>
      </c>
      <c r="F281" s="22" t="str">
        <f aca="false">IF($A281="","",IF(COUNTIFS(Fact_Work!$B:$B,$A281,Fact_Work!$AL:$AL,$B281,Fact_Work!$AN:$AN,"&gt;0")=0,"",_xlfn.MINIFS(Fact_Work!$AN:$AN,Fact_Work!$B:$B,$A281,Fact_Work!$AL:$AL,$B281,Fact_Work!$AN:$AN,"&gt;0")))</f>
        <v/>
      </c>
      <c r="G281" s="37" t="str">
        <f aca="false">IF($A281="","",IF($F281="","",$A281+$F281/24))</f>
        <v/>
      </c>
      <c r="H281" s="38" t="str">
        <f aca="false">IF($A281="","",IF($G281="","",ROUND(($C281-$G281)*1440,0)))</f>
        <v/>
      </c>
      <c r="I281" s="4" t="str">
        <f aca="false">IF($A281="","",IF($H281="","",IF($H281&lt;=0,"Yes","No")))</f>
        <v/>
      </c>
      <c r="J281" s="4" t="str">
        <f aca="false">IF($A281="","",IF($I281="No",$E281,0))</f>
        <v/>
      </c>
      <c r="K281" s="22" t="str">
        <f aca="false">IF($A281="","",IF($F281="","",FLOOR($F281,0.5)))</f>
        <v/>
      </c>
      <c r="L281" s="39" t="str">
        <f aca="false">IF($A281="","",IF($H281="","",MAX(0,$H281)))</f>
        <v/>
      </c>
      <c r="M281" s="29" t="str">
        <f aca="false">IF($A281="","",IF($F281="","",COUNTIFS(Fact_Work!$B:$B,$A281,Fact_Work!$AL:$AL,$B281,Fact_Work!$AI:$AI,"Yes")))</f>
        <v/>
      </c>
    </row>
    <row r="282" customFormat="false" ht="15" hidden="false" customHeight="true" outlineLevel="0" collapsed="false">
      <c r="D282" s="4" t="str">
        <f aca="false">IF($A282="","",IFERROR(VLOOKUP($B282,Dim_TOP!$A:$B,2,0),""))</f>
        <v/>
      </c>
      <c r="E282" s="36" t="str">
        <f aca="false">IF($A282="","",COUNTIFS(Fact_Work!$B:$B,$A282,Fact_Work!$AL:$AL,$B282))</f>
        <v/>
      </c>
      <c r="F282" s="22" t="str">
        <f aca="false">IF($A282="","",IF(COUNTIFS(Fact_Work!$B:$B,$A282,Fact_Work!$AL:$AL,$B282,Fact_Work!$AN:$AN,"&gt;0")=0,"",_xlfn.MINIFS(Fact_Work!$AN:$AN,Fact_Work!$B:$B,$A282,Fact_Work!$AL:$AL,$B282,Fact_Work!$AN:$AN,"&gt;0")))</f>
        <v/>
      </c>
      <c r="G282" s="37" t="str">
        <f aca="false">IF($A282="","",IF($F282="","",$A282+$F282/24))</f>
        <v/>
      </c>
      <c r="H282" s="38" t="str">
        <f aca="false">IF($A282="","",IF($G282="","",ROUND(($C282-$G282)*1440,0)))</f>
        <v/>
      </c>
      <c r="I282" s="4" t="str">
        <f aca="false">IF($A282="","",IF($H282="","",IF($H282&lt;=0,"Yes","No")))</f>
        <v/>
      </c>
      <c r="J282" s="4" t="str">
        <f aca="false">IF($A282="","",IF($I282="No",$E282,0))</f>
        <v/>
      </c>
      <c r="K282" s="22" t="str">
        <f aca="false">IF($A282="","",IF($F282="","",FLOOR($F282,0.5)))</f>
        <v/>
      </c>
      <c r="L282" s="39" t="str">
        <f aca="false">IF($A282="","",IF($H282="","",MAX(0,$H282)))</f>
        <v/>
      </c>
      <c r="M282" s="29" t="str">
        <f aca="false">IF($A282="","",IF($F282="","",COUNTIFS(Fact_Work!$B:$B,$A282,Fact_Work!$AL:$AL,$B282,Fact_Work!$AI:$AI,"Yes")))</f>
        <v/>
      </c>
    </row>
    <row r="283" customFormat="false" ht="15" hidden="false" customHeight="true" outlineLevel="0" collapsed="false">
      <c r="D283" s="4" t="str">
        <f aca="false">IF($A283="","",IFERROR(VLOOKUP($B283,Dim_TOP!$A:$B,2,0),""))</f>
        <v/>
      </c>
      <c r="E283" s="36" t="str">
        <f aca="false">IF($A283="","",COUNTIFS(Fact_Work!$B:$B,$A283,Fact_Work!$AL:$AL,$B283))</f>
        <v/>
      </c>
      <c r="F283" s="22" t="str">
        <f aca="false">IF($A283="","",IF(COUNTIFS(Fact_Work!$B:$B,$A283,Fact_Work!$AL:$AL,$B283,Fact_Work!$AN:$AN,"&gt;0")=0,"",_xlfn.MINIFS(Fact_Work!$AN:$AN,Fact_Work!$B:$B,$A283,Fact_Work!$AL:$AL,$B283,Fact_Work!$AN:$AN,"&gt;0")))</f>
        <v/>
      </c>
      <c r="G283" s="37" t="str">
        <f aca="false">IF($A283="","",IF($F283="","",$A283+$F283/24))</f>
        <v/>
      </c>
      <c r="H283" s="38" t="str">
        <f aca="false">IF($A283="","",IF($G283="","",ROUND(($C283-$G283)*1440,0)))</f>
        <v/>
      </c>
      <c r="I283" s="4" t="str">
        <f aca="false">IF($A283="","",IF($H283="","",IF($H283&lt;=0,"Yes","No")))</f>
        <v/>
      </c>
      <c r="J283" s="4" t="str">
        <f aca="false">IF($A283="","",IF($I283="No",$E283,0))</f>
        <v/>
      </c>
      <c r="K283" s="22" t="str">
        <f aca="false">IF($A283="","",IF($F283="","",FLOOR($F283,0.5)))</f>
        <v/>
      </c>
      <c r="L283" s="39" t="str">
        <f aca="false">IF($A283="","",IF($H283="","",MAX(0,$H283)))</f>
        <v/>
      </c>
      <c r="M283" s="29" t="str">
        <f aca="false">IF($A283="","",IF($F283="","",COUNTIFS(Fact_Work!$B:$B,$A283,Fact_Work!$AL:$AL,$B283,Fact_Work!$AI:$AI,"Yes")))</f>
        <v/>
      </c>
    </row>
    <row r="284" customFormat="false" ht="15" hidden="false" customHeight="true" outlineLevel="0" collapsed="false">
      <c r="D284" s="4" t="str">
        <f aca="false">IF($A284="","",IFERROR(VLOOKUP($B284,Dim_TOP!$A:$B,2,0),""))</f>
        <v/>
      </c>
      <c r="E284" s="36" t="str">
        <f aca="false">IF($A284="","",COUNTIFS(Fact_Work!$B:$B,$A284,Fact_Work!$AL:$AL,$B284))</f>
        <v/>
      </c>
      <c r="F284" s="22" t="str">
        <f aca="false">IF($A284="","",IF(COUNTIFS(Fact_Work!$B:$B,$A284,Fact_Work!$AL:$AL,$B284,Fact_Work!$AN:$AN,"&gt;0")=0,"",_xlfn.MINIFS(Fact_Work!$AN:$AN,Fact_Work!$B:$B,$A284,Fact_Work!$AL:$AL,$B284,Fact_Work!$AN:$AN,"&gt;0")))</f>
        <v/>
      </c>
      <c r="G284" s="37" t="str">
        <f aca="false">IF($A284="","",IF($F284="","",$A284+$F284/24))</f>
        <v/>
      </c>
      <c r="H284" s="38" t="str">
        <f aca="false">IF($A284="","",IF($G284="","",ROUND(($C284-$G284)*1440,0)))</f>
        <v/>
      </c>
      <c r="I284" s="4" t="str">
        <f aca="false">IF($A284="","",IF($H284="","",IF($H284&lt;=0,"Yes","No")))</f>
        <v/>
      </c>
      <c r="J284" s="4" t="str">
        <f aca="false">IF($A284="","",IF($I284="No",$E284,0))</f>
        <v/>
      </c>
      <c r="K284" s="22" t="str">
        <f aca="false">IF($A284="","",IF($F284="","",FLOOR($F284,0.5)))</f>
        <v/>
      </c>
      <c r="L284" s="39" t="str">
        <f aca="false">IF($A284="","",IF($H284="","",MAX(0,$H284)))</f>
        <v/>
      </c>
      <c r="M284" s="29" t="str">
        <f aca="false">IF($A284="","",IF($F284="","",COUNTIFS(Fact_Work!$B:$B,$A284,Fact_Work!$AL:$AL,$B284,Fact_Work!$AI:$AI,"Yes")))</f>
        <v/>
      </c>
    </row>
    <row r="285" customFormat="false" ht="15" hidden="false" customHeight="true" outlineLevel="0" collapsed="false">
      <c r="D285" s="4" t="str">
        <f aca="false">IF($A285="","",IFERROR(VLOOKUP($B285,Dim_TOP!$A:$B,2,0),""))</f>
        <v/>
      </c>
      <c r="E285" s="36" t="str">
        <f aca="false">IF($A285="","",COUNTIFS(Fact_Work!$B:$B,$A285,Fact_Work!$AL:$AL,$B285))</f>
        <v/>
      </c>
      <c r="F285" s="22" t="str">
        <f aca="false">IF($A285="","",IF(COUNTIFS(Fact_Work!$B:$B,$A285,Fact_Work!$AL:$AL,$B285,Fact_Work!$AN:$AN,"&gt;0")=0,"",_xlfn.MINIFS(Fact_Work!$AN:$AN,Fact_Work!$B:$B,$A285,Fact_Work!$AL:$AL,$B285,Fact_Work!$AN:$AN,"&gt;0")))</f>
        <v/>
      </c>
      <c r="G285" s="37" t="str">
        <f aca="false">IF($A285="","",IF($F285="","",$A285+$F285/24))</f>
        <v/>
      </c>
      <c r="H285" s="38" t="str">
        <f aca="false">IF($A285="","",IF($G285="","",ROUND(($C285-$G285)*1440,0)))</f>
        <v/>
      </c>
      <c r="I285" s="4" t="str">
        <f aca="false">IF($A285="","",IF($H285="","",IF($H285&lt;=0,"Yes","No")))</f>
        <v/>
      </c>
      <c r="J285" s="4" t="str">
        <f aca="false">IF($A285="","",IF($I285="No",$E285,0))</f>
        <v/>
      </c>
      <c r="K285" s="22" t="str">
        <f aca="false">IF($A285="","",IF($F285="","",FLOOR($F285,0.5)))</f>
        <v/>
      </c>
      <c r="L285" s="39" t="str">
        <f aca="false">IF($A285="","",IF($H285="","",MAX(0,$H285)))</f>
        <v/>
      </c>
      <c r="M285" s="29" t="str">
        <f aca="false">IF($A285="","",IF($F285="","",COUNTIFS(Fact_Work!$B:$B,$A285,Fact_Work!$AL:$AL,$B285,Fact_Work!$AI:$AI,"Yes")))</f>
        <v/>
      </c>
    </row>
    <row r="286" customFormat="false" ht="15" hidden="false" customHeight="true" outlineLevel="0" collapsed="false">
      <c r="D286" s="4" t="str">
        <f aca="false">IF($A286="","",IFERROR(VLOOKUP($B286,Dim_TOP!$A:$B,2,0),""))</f>
        <v/>
      </c>
      <c r="E286" s="36" t="str">
        <f aca="false">IF($A286="","",COUNTIFS(Fact_Work!$B:$B,$A286,Fact_Work!$AL:$AL,$B286))</f>
        <v/>
      </c>
      <c r="F286" s="22" t="str">
        <f aca="false">IF($A286="","",IF(COUNTIFS(Fact_Work!$B:$B,$A286,Fact_Work!$AL:$AL,$B286,Fact_Work!$AN:$AN,"&gt;0")=0,"",_xlfn.MINIFS(Fact_Work!$AN:$AN,Fact_Work!$B:$B,$A286,Fact_Work!$AL:$AL,$B286,Fact_Work!$AN:$AN,"&gt;0")))</f>
        <v/>
      </c>
      <c r="G286" s="37" t="str">
        <f aca="false">IF($A286="","",IF($F286="","",$A286+$F286/24))</f>
        <v/>
      </c>
      <c r="H286" s="38" t="str">
        <f aca="false">IF($A286="","",IF($G286="","",ROUND(($C286-$G286)*1440,0)))</f>
        <v/>
      </c>
      <c r="I286" s="4" t="str">
        <f aca="false">IF($A286="","",IF($H286="","",IF($H286&lt;=0,"Yes","No")))</f>
        <v/>
      </c>
      <c r="J286" s="4" t="str">
        <f aca="false">IF($A286="","",IF($I286="No",$E286,0))</f>
        <v/>
      </c>
      <c r="K286" s="22" t="str">
        <f aca="false">IF($A286="","",IF($F286="","",FLOOR($F286,0.5)))</f>
        <v/>
      </c>
      <c r="L286" s="39" t="str">
        <f aca="false">IF($A286="","",IF($H286="","",MAX(0,$H286)))</f>
        <v/>
      </c>
      <c r="M286" s="29" t="str">
        <f aca="false">IF($A286="","",IF($F286="","",COUNTIFS(Fact_Work!$B:$B,$A286,Fact_Work!$AL:$AL,$B286,Fact_Work!$AI:$AI,"Yes")))</f>
        <v/>
      </c>
    </row>
    <row r="287" customFormat="false" ht="15" hidden="false" customHeight="true" outlineLevel="0" collapsed="false">
      <c r="D287" s="4" t="str">
        <f aca="false">IF($A287="","",IFERROR(VLOOKUP($B287,Dim_TOP!$A:$B,2,0),""))</f>
        <v/>
      </c>
      <c r="E287" s="36" t="str">
        <f aca="false">IF($A287="","",COUNTIFS(Fact_Work!$B:$B,$A287,Fact_Work!$AL:$AL,$B287))</f>
        <v/>
      </c>
      <c r="F287" s="22" t="str">
        <f aca="false">IF($A287="","",IF(COUNTIFS(Fact_Work!$B:$B,$A287,Fact_Work!$AL:$AL,$B287,Fact_Work!$AN:$AN,"&gt;0")=0,"",_xlfn.MINIFS(Fact_Work!$AN:$AN,Fact_Work!$B:$B,$A287,Fact_Work!$AL:$AL,$B287,Fact_Work!$AN:$AN,"&gt;0")))</f>
        <v/>
      </c>
      <c r="G287" s="37" t="str">
        <f aca="false">IF($A287="","",IF($F287="","",$A287+$F287/24))</f>
        <v/>
      </c>
      <c r="H287" s="38" t="str">
        <f aca="false">IF($A287="","",IF($G287="","",ROUND(($C287-$G287)*1440,0)))</f>
        <v/>
      </c>
      <c r="I287" s="4" t="str">
        <f aca="false">IF($A287="","",IF($H287="","",IF($H287&lt;=0,"Yes","No")))</f>
        <v/>
      </c>
      <c r="J287" s="4" t="str">
        <f aca="false">IF($A287="","",IF($I287="No",$E287,0))</f>
        <v/>
      </c>
      <c r="K287" s="22" t="str">
        <f aca="false">IF($A287="","",IF($F287="","",FLOOR($F287,0.5)))</f>
        <v/>
      </c>
      <c r="L287" s="39" t="str">
        <f aca="false">IF($A287="","",IF($H287="","",MAX(0,$H287)))</f>
        <v/>
      </c>
      <c r="M287" s="29" t="str">
        <f aca="false">IF($A287="","",IF($F287="","",COUNTIFS(Fact_Work!$B:$B,$A287,Fact_Work!$AL:$AL,$B287,Fact_Work!$AI:$AI,"Yes")))</f>
        <v/>
      </c>
    </row>
    <row r="288" customFormat="false" ht="15" hidden="false" customHeight="true" outlineLevel="0" collapsed="false">
      <c r="D288" s="4" t="str">
        <f aca="false">IF($A288="","",IFERROR(VLOOKUP($B288,Dim_TOP!$A:$B,2,0),""))</f>
        <v/>
      </c>
      <c r="E288" s="36" t="str">
        <f aca="false">IF($A288="","",COUNTIFS(Fact_Work!$B:$B,$A288,Fact_Work!$AL:$AL,$B288))</f>
        <v/>
      </c>
      <c r="F288" s="22" t="str">
        <f aca="false">IF($A288="","",IF(COUNTIFS(Fact_Work!$B:$B,$A288,Fact_Work!$AL:$AL,$B288,Fact_Work!$AN:$AN,"&gt;0")=0,"",_xlfn.MINIFS(Fact_Work!$AN:$AN,Fact_Work!$B:$B,$A288,Fact_Work!$AL:$AL,$B288,Fact_Work!$AN:$AN,"&gt;0")))</f>
        <v/>
      </c>
      <c r="G288" s="37" t="str">
        <f aca="false">IF($A288="","",IF($F288="","",$A288+$F288/24))</f>
        <v/>
      </c>
      <c r="H288" s="38" t="str">
        <f aca="false">IF($A288="","",IF($G288="","",ROUND(($C288-$G288)*1440,0)))</f>
        <v/>
      </c>
      <c r="I288" s="4" t="str">
        <f aca="false">IF($A288="","",IF($H288="","",IF($H288&lt;=0,"Yes","No")))</f>
        <v/>
      </c>
      <c r="J288" s="4" t="str">
        <f aca="false">IF($A288="","",IF($I288="No",$E288,0))</f>
        <v/>
      </c>
      <c r="K288" s="22" t="str">
        <f aca="false">IF($A288="","",IF($F288="","",FLOOR($F288,0.5)))</f>
        <v/>
      </c>
      <c r="L288" s="39" t="str">
        <f aca="false">IF($A288="","",IF($H288="","",MAX(0,$H288)))</f>
        <v/>
      </c>
      <c r="M288" s="29" t="str">
        <f aca="false">IF($A288="","",IF($F288="","",COUNTIFS(Fact_Work!$B:$B,$A288,Fact_Work!$AL:$AL,$B288,Fact_Work!$AI:$AI,"Yes")))</f>
        <v/>
      </c>
    </row>
    <row r="289" customFormat="false" ht="15" hidden="false" customHeight="true" outlineLevel="0" collapsed="false">
      <c r="D289" s="4" t="str">
        <f aca="false">IF($A289="","",IFERROR(VLOOKUP($B289,Dim_TOP!$A:$B,2,0),""))</f>
        <v/>
      </c>
      <c r="E289" s="36" t="str">
        <f aca="false">IF($A289="","",COUNTIFS(Fact_Work!$B:$B,$A289,Fact_Work!$AL:$AL,$B289))</f>
        <v/>
      </c>
      <c r="F289" s="22" t="str">
        <f aca="false">IF($A289="","",IF(COUNTIFS(Fact_Work!$B:$B,$A289,Fact_Work!$AL:$AL,$B289,Fact_Work!$AN:$AN,"&gt;0")=0,"",_xlfn.MINIFS(Fact_Work!$AN:$AN,Fact_Work!$B:$B,$A289,Fact_Work!$AL:$AL,$B289,Fact_Work!$AN:$AN,"&gt;0")))</f>
        <v/>
      </c>
      <c r="G289" s="37" t="str">
        <f aca="false">IF($A289="","",IF($F289="","",$A289+$F289/24))</f>
        <v/>
      </c>
      <c r="H289" s="38" t="str">
        <f aca="false">IF($A289="","",IF($G289="","",ROUND(($C289-$G289)*1440,0)))</f>
        <v/>
      </c>
      <c r="I289" s="4" t="str">
        <f aca="false">IF($A289="","",IF($H289="","",IF($H289&lt;=0,"Yes","No")))</f>
        <v/>
      </c>
      <c r="J289" s="4" t="str">
        <f aca="false">IF($A289="","",IF($I289="No",$E289,0))</f>
        <v/>
      </c>
      <c r="K289" s="22" t="str">
        <f aca="false">IF($A289="","",IF($F289="","",FLOOR($F289,0.5)))</f>
        <v/>
      </c>
      <c r="L289" s="39" t="str">
        <f aca="false">IF($A289="","",IF($H289="","",MAX(0,$H289)))</f>
        <v/>
      </c>
      <c r="M289" s="29" t="str">
        <f aca="false">IF($A289="","",IF($F289="","",COUNTIFS(Fact_Work!$B:$B,$A289,Fact_Work!$AL:$AL,$B289,Fact_Work!$AI:$AI,"Yes")))</f>
        <v/>
      </c>
    </row>
    <row r="290" customFormat="false" ht="15" hidden="false" customHeight="true" outlineLevel="0" collapsed="false">
      <c r="D290" s="4" t="str">
        <f aca="false">IF($A290="","",IFERROR(VLOOKUP($B290,Dim_TOP!$A:$B,2,0),""))</f>
        <v/>
      </c>
      <c r="E290" s="36" t="str">
        <f aca="false">IF($A290="","",COUNTIFS(Fact_Work!$B:$B,$A290,Fact_Work!$AL:$AL,$B290))</f>
        <v/>
      </c>
      <c r="F290" s="22" t="str">
        <f aca="false">IF($A290="","",IF(COUNTIFS(Fact_Work!$B:$B,$A290,Fact_Work!$AL:$AL,$B290,Fact_Work!$AN:$AN,"&gt;0")=0,"",_xlfn.MINIFS(Fact_Work!$AN:$AN,Fact_Work!$B:$B,$A290,Fact_Work!$AL:$AL,$B290,Fact_Work!$AN:$AN,"&gt;0")))</f>
        <v/>
      </c>
      <c r="G290" s="37" t="str">
        <f aca="false">IF($A290="","",IF($F290="","",$A290+$F290/24))</f>
        <v/>
      </c>
      <c r="H290" s="38" t="str">
        <f aca="false">IF($A290="","",IF($G290="","",ROUND(($C290-$G290)*1440,0)))</f>
        <v/>
      </c>
      <c r="I290" s="4" t="str">
        <f aca="false">IF($A290="","",IF($H290="","",IF($H290&lt;=0,"Yes","No")))</f>
        <v/>
      </c>
      <c r="J290" s="4" t="str">
        <f aca="false">IF($A290="","",IF($I290="No",$E290,0))</f>
        <v/>
      </c>
      <c r="K290" s="22" t="str">
        <f aca="false">IF($A290="","",IF($F290="","",FLOOR($F290,0.5)))</f>
        <v/>
      </c>
      <c r="L290" s="39" t="str">
        <f aca="false">IF($A290="","",IF($H290="","",MAX(0,$H290)))</f>
        <v/>
      </c>
      <c r="M290" s="29" t="str">
        <f aca="false">IF($A290="","",IF($F290="","",COUNTIFS(Fact_Work!$B:$B,$A290,Fact_Work!$AL:$AL,$B290,Fact_Work!$AI:$AI,"Yes")))</f>
        <v/>
      </c>
    </row>
    <row r="291" customFormat="false" ht="15" hidden="false" customHeight="true" outlineLevel="0" collapsed="false">
      <c r="D291" s="4" t="str">
        <f aca="false">IF($A291="","",IFERROR(VLOOKUP($B291,Dim_TOP!$A:$B,2,0),""))</f>
        <v/>
      </c>
      <c r="E291" s="36" t="str">
        <f aca="false">IF($A291="","",COUNTIFS(Fact_Work!$B:$B,$A291,Fact_Work!$AL:$AL,$B291))</f>
        <v/>
      </c>
      <c r="F291" s="22" t="str">
        <f aca="false">IF($A291="","",IF(COUNTIFS(Fact_Work!$B:$B,$A291,Fact_Work!$AL:$AL,$B291,Fact_Work!$AN:$AN,"&gt;0")=0,"",_xlfn.MINIFS(Fact_Work!$AN:$AN,Fact_Work!$B:$B,$A291,Fact_Work!$AL:$AL,$B291,Fact_Work!$AN:$AN,"&gt;0")))</f>
        <v/>
      </c>
      <c r="G291" s="37" t="str">
        <f aca="false">IF($A291="","",IF($F291="","",$A291+$F291/24))</f>
        <v/>
      </c>
      <c r="H291" s="38" t="str">
        <f aca="false">IF($A291="","",IF($G291="","",ROUND(($C291-$G291)*1440,0)))</f>
        <v/>
      </c>
      <c r="I291" s="4" t="str">
        <f aca="false">IF($A291="","",IF($H291="","",IF($H291&lt;=0,"Yes","No")))</f>
        <v/>
      </c>
      <c r="J291" s="4" t="str">
        <f aca="false">IF($A291="","",IF($I291="No",$E291,0))</f>
        <v/>
      </c>
      <c r="K291" s="22" t="str">
        <f aca="false">IF($A291="","",IF($F291="","",FLOOR($F291,0.5)))</f>
        <v/>
      </c>
      <c r="L291" s="39" t="str">
        <f aca="false">IF($A291="","",IF($H291="","",MAX(0,$H291)))</f>
        <v/>
      </c>
      <c r="M291" s="29" t="str">
        <f aca="false">IF($A291="","",IF($F291="","",COUNTIFS(Fact_Work!$B:$B,$A291,Fact_Work!$AL:$AL,$B291,Fact_Work!$AI:$AI,"Yes")))</f>
        <v/>
      </c>
    </row>
    <row r="292" customFormat="false" ht="15" hidden="false" customHeight="true" outlineLevel="0" collapsed="false">
      <c r="D292" s="4" t="str">
        <f aca="false">IF($A292="","",IFERROR(VLOOKUP($B292,Dim_TOP!$A:$B,2,0),""))</f>
        <v/>
      </c>
      <c r="E292" s="36" t="str">
        <f aca="false">IF($A292="","",COUNTIFS(Fact_Work!$B:$B,$A292,Fact_Work!$AL:$AL,$B292))</f>
        <v/>
      </c>
      <c r="F292" s="22" t="str">
        <f aca="false">IF($A292="","",IF(COUNTIFS(Fact_Work!$B:$B,$A292,Fact_Work!$AL:$AL,$B292,Fact_Work!$AN:$AN,"&gt;0")=0,"",_xlfn.MINIFS(Fact_Work!$AN:$AN,Fact_Work!$B:$B,$A292,Fact_Work!$AL:$AL,$B292,Fact_Work!$AN:$AN,"&gt;0")))</f>
        <v/>
      </c>
      <c r="G292" s="37" t="str">
        <f aca="false">IF($A292="","",IF($F292="","",$A292+$F292/24))</f>
        <v/>
      </c>
      <c r="H292" s="38" t="str">
        <f aca="false">IF($A292="","",IF($G292="","",ROUND(($C292-$G292)*1440,0)))</f>
        <v/>
      </c>
      <c r="I292" s="4" t="str">
        <f aca="false">IF($A292="","",IF($H292="","",IF($H292&lt;=0,"Yes","No")))</f>
        <v/>
      </c>
      <c r="J292" s="4" t="str">
        <f aca="false">IF($A292="","",IF($I292="No",$E292,0))</f>
        <v/>
      </c>
      <c r="K292" s="22" t="str">
        <f aca="false">IF($A292="","",IF($F292="","",FLOOR($F292,0.5)))</f>
        <v/>
      </c>
      <c r="L292" s="39" t="str">
        <f aca="false">IF($A292="","",IF($H292="","",MAX(0,$H292)))</f>
        <v/>
      </c>
      <c r="M292" s="29" t="str">
        <f aca="false">IF($A292="","",IF($F292="","",COUNTIFS(Fact_Work!$B:$B,$A292,Fact_Work!$AL:$AL,$B292,Fact_Work!$AI:$AI,"Yes")))</f>
        <v/>
      </c>
    </row>
    <row r="293" customFormat="false" ht="15" hidden="false" customHeight="true" outlineLevel="0" collapsed="false">
      <c r="D293" s="4" t="str">
        <f aca="false">IF($A293="","",IFERROR(VLOOKUP($B293,Dim_TOP!$A:$B,2,0),""))</f>
        <v/>
      </c>
      <c r="E293" s="36" t="str">
        <f aca="false">IF($A293="","",COUNTIFS(Fact_Work!$B:$B,$A293,Fact_Work!$AL:$AL,$B293))</f>
        <v/>
      </c>
      <c r="F293" s="22" t="str">
        <f aca="false">IF($A293="","",IF(COUNTIFS(Fact_Work!$B:$B,$A293,Fact_Work!$AL:$AL,$B293,Fact_Work!$AN:$AN,"&gt;0")=0,"",_xlfn.MINIFS(Fact_Work!$AN:$AN,Fact_Work!$B:$B,$A293,Fact_Work!$AL:$AL,$B293,Fact_Work!$AN:$AN,"&gt;0")))</f>
        <v/>
      </c>
      <c r="G293" s="37" t="str">
        <f aca="false">IF($A293="","",IF($F293="","",$A293+$F293/24))</f>
        <v/>
      </c>
      <c r="H293" s="38" t="str">
        <f aca="false">IF($A293="","",IF($G293="","",ROUND(($C293-$G293)*1440,0)))</f>
        <v/>
      </c>
      <c r="I293" s="4" t="str">
        <f aca="false">IF($A293="","",IF($H293="","",IF($H293&lt;=0,"Yes","No")))</f>
        <v/>
      </c>
      <c r="J293" s="4" t="str">
        <f aca="false">IF($A293="","",IF($I293="No",$E293,0))</f>
        <v/>
      </c>
      <c r="K293" s="22" t="str">
        <f aca="false">IF($A293="","",IF($F293="","",FLOOR($F293,0.5)))</f>
        <v/>
      </c>
      <c r="L293" s="39" t="str">
        <f aca="false">IF($A293="","",IF($H293="","",MAX(0,$H293)))</f>
        <v/>
      </c>
      <c r="M293" s="29" t="str">
        <f aca="false">IF($A293="","",IF($F293="","",COUNTIFS(Fact_Work!$B:$B,$A293,Fact_Work!$AL:$AL,$B293,Fact_Work!$AI:$AI,"Yes")))</f>
        <v/>
      </c>
    </row>
    <row r="294" customFormat="false" ht="15" hidden="false" customHeight="true" outlineLevel="0" collapsed="false">
      <c r="D294" s="4" t="str">
        <f aca="false">IF($A294="","",IFERROR(VLOOKUP($B294,Dim_TOP!$A:$B,2,0),""))</f>
        <v/>
      </c>
      <c r="E294" s="36" t="str">
        <f aca="false">IF($A294="","",COUNTIFS(Fact_Work!$B:$B,$A294,Fact_Work!$AL:$AL,$B294))</f>
        <v/>
      </c>
      <c r="F294" s="22" t="str">
        <f aca="false">IF($A294="","",IF(COUNTIFS(Fact_Work!$B:$B,$A294,Fact_Work!$AL:$AL,$B294,Fact_Work!$AN:$AN,"&gt;0")=0,"",_xlfn.MINIFS(Fact_Work!$AN:$AN,Fact_Work!$B:$B,$A294,Fact_Work!$AL:$AL,$B294,Fact_Work!$AN:$AN,"&gt;0")))</f>
        <v/>
      </c>
      <c r="G294" s="37" t="str">
        <f aca="false">IF($A294="","",IF($F294="","",$A294+$F294/24))</f>
        <v/>
      </c>
      <c r="H294" s="38" t="str">
        <f aca="false">IF($A294="","",IF($G294="","",ROUND(($C294-$G294)*1440,0)))</f>
        <v/>
      </c>
      <c r="I294" s="4" t="str">
        <f aca="false">IF($A294="","",IF($H294="","",IF($H294&lt;=0,"Yes","No")))</f>
        <v/>
      </c>
      <c r="J294" s="4" t="str">
        <f aca="false">IF($A294="","",IF($I294="No",$E294,0))</f>
        <v/>
      </c>
      <c r="K294" s="22" t="str">
        <f aca="false">IF($A294="","",IF($F294="","",FLOOR($F294,0.5)))</f>
        <v/>
      </c>
      <c r="L294" s="39" t="str">
        <f aca="false">IF($A294="","",IF($H294="","",MAX(0,$H294)))</f>
        <v/>
      </c>
      <c r="M294" s="29" t="str">
        <f aca="false">IF($A294="","",IF($F294="","",COUNTIFS(Fact_Work!$B:$B,$A294,Fact_Work!$AL:$AL,$B294,Fact_Work!$AI:$AI,"Yes")))</f>
        <v/>
      </c>
    </row>
    <row r="295" customFormat="false" ht="15" hidden="false" customHeight="true" outlineLevel="0" collapsed="false">
      <c r="D295" s="4" t="str">
        <f aca="false">IF($A295="","",IFERROR(VLOOKUP($B295,Dim_TOP!$A:$B,2,0),""))</f>
        <v/>
      </c>
      <c r="E295" s="36" t="str">
        <f aca="false">IF($A295="","",COUNTIFS(Fact_Work!$B:$B,$A295,Fact_Work!$AL:$AL,$B295))</f>
        <v/>
      </c>
      <c r="F295" s="22" t="str">
        <f aca="false">IF($A295="","",IF(COUNTIFS(Fact_Work!$B:$B,$A295,Fact_Work!$AL:$AL,$B295,Fact_Work!$AN:$AN,"&gt;0")=0,"",_xlfn.MINIFS(Fact_Work!$AN:$AN,Fact_Work!$B:$B,$A295,Fact_Work!$AL:$AL,$B295,Fact_Work!$AN:$AN,"&gt;0")))</f>
        <v/>
      </c>
      <c r="G295" s="37" t="str">
        <f aca="false">IF($A295="","",IF($F295="","",$A295+$F295/24))</f>
        <v/>
      </c>
      <c r="H295" s="38" t="str">
        <f aca="false">IF($A295="","",IF($G295="","",ROUND(($C295-$G295)*1440,0)))</f>
        <v/>
      </c>
      <c r="I295" s="4" t="str">
        <f aca="false">IF($A295="","",IF($H295="","",IF($H295&lt;=0,"Yes","No")))</f>
        <v/>
      </c>
      <c r="J295" s="4" t="str">
        <f aca="false">IF($A295="","",IF($I295="No",$E295,0))</f>
        <v/>
      </c>
      <c r="K295" s="22" t="str">
        <f aca="false">IF($A295="","",IF($F295="","",FLOOR($F295,0.5)))</f>
        <v/>
      </c>
      <c r="L295" s="39" t="str">
        <f aca="false">IF($A295="","",IF($H295="","",MAX(0,$H295)))</f>
        <v/>
      </c>
      <c r="M295" s="29" t="str">
        <f aca="false">IF($A295="","",IF($F295="","",COUNTIFS(Fact_Work!$B:$B,$A295,Fact_Work!$AL:$AL,$B295,Fact_Work!$AI:$AI,"Yes")))</f>
        <v/>
      </c>
    </row>
    <row r="296" customFormat="false" ht="15" hidden="false" customHeight="true" outlineLevel="0" collapsed="false">
      <c r="D296" s="4" t="str">
        <f aca="false">IF($A296="","",IFERROR(VLOOKUP($B296,Dim_TOP!$A:$B,2,0),""))</f>
        <v/>
      </c>
      <c r="E296" s="36" t="str">
        <f aca="false">IF($A296="","",COUNTIFS(Fact_Work!$B:$B,$A296,Fact_Work!$AL:$AL,$B296))</f>
        <v/>
      </c>
      <c r="F296" s="22" t="str">
        <f aca="false">IF($A296="","",IF(COUNTIFS(Fact_Work!$B:$B,$A296,Fact_Work!$AL:$AL,$B296,Fact_Work!$AN:$AN,"&gt;0")=0,"",_xlfn.MINIFS(Fact_Work!$AN:$AN,Fact_Work!$B:$B,$A296,Fact_Work!$AL:$AL,$B296,Fact_Work!$AN:$AN,"&gt;0")))</f>
        <v/>
      </c>
      <c r="G296" s="37" t="str">
        <f aca="false">IF($A296="","",IF($F296="","",$A296+$F296/24))</f>
        <v/>
      </c>
      <c r="H296" s="38" t="str">
        <f aca="false">IF($A296="","",IF($G296="","",ROUND(($C296-$G296)*1440,0)))</f>
        <v/>
      </c>
      <c r="I296" s="4" t="str">
        <f aca="false">IF($A296="","",IF($H296="","",IF($H296&lt;=0,"Yes","No")))</f>
        <v/>
      </c>
      <c r="J296" s="4" t="str">
        <f aca="false">IF($A296="","",IF($I296="No",$E296,0))</f>
        <v/>
      </c>
      <c r="K296" s="22" t="str">
        <f aca="false">IF($A296="","",IF($F296="","",FLOOR($F296,0.5)))</f>
        <v/>
      </c>
      <c r="L296" s="39" t="str">
        <f aca="false">IF($A296="","",IF($H296="","",MAX(0,$H296)))</f>
        <v/>
      </c>
      <c r="M296" s="29" t="str">
        <f aca="false">IF($A296="","",IF($F296="","",COUNTIFS(Fact_Work!$B:$B,$A296,Fact_Work!$AL:$AL,$B296,Fact_Work!$AI:$AI,"Yes")))</f>
        <v/>
      </c>
    </row>
    <row r="297" customFormat="false" ht="15" hidden="false" customHeight="true" outlineLevel="0" collapsed="false">
      <c r="D297" s="4" t="str">
        <f aca="false">IF($A297="","",IFERROR(VLOOKUP($B297,Dim_TOP!$A:$B,2,0),""))</f>
        <v/>
      </c>
      <c r="E297" s="36" t="str">
        <f aca="false">IF($A297="","",COUNTIFS(Fact_Work!$B:$B,$A297,Fact_Work!$AL:$AL,$B297))</f>
        <v/>
      </c>
      <c r="F297" s="22" t="str">
        <f aca="false">IF($A297="","",IF(COUNTIFS(Fact_Work!$B:$B,$A297,Fact_Work!$AL:$AL,$B297,Fact_Work!$AN:$AN,"&gt;0")=0,"",_xlfn.MINIFS(Fact_Work!$AN:$AN,Fact_Work!$B:$B,$A297,Fact_Work!$AL:$AL,$B297,Fact_Work!$AN:$AN,"&gt;0")))</f>
        <v/>
      </c>
      <c r="G297" s="37" t="str">
        <f aca="false">IF($A297="","",IF($F297="","",$A297+$F297/24))</f>
        <v/>
      </c>
      <c r="H297" s="38" t="str">
        <f aca="false">IF($A297="","",IF($G297="","",ROUND(($C297-$G297)*1440,0)))</f>
        <v/>
      </c>
      <c r="I297" s="4" t="str">
        <f aca="false">IF($A297="","",IF($H297="","",IF($H297&lt;=0,"Yes","No")))</f>
        <v/>
      </c>
      <c r="J297" s="4" t="str">
        <f aca="false">IF($A297="","",IF($I297="No",$E297,0))</f>
        <v/>
      </c>
      <c r="K297" s="22" t="str">
        <f aca="false">IF($A297="","",IF($F297="","",FLOOR($F297,0.5)))</f>
        <v/>
      </c>
      <c r="L297" s="39" t="str">
        <f aca="false">IF($A297="","",IF($H297="","",MAX(0,$H297)))</f>
        <v/>
      </c>
      <c r="M297" s="29" t="str">
        <f aca="false">IF($A297="","",IF($F297="","",COUNTIFS(Fact_Work!$B:$B,$A297,Fact_Work!$AL:$AL,$B297,Fact_Work!$AI:$AI,"Yes")))</f>
        <v/>
      </c>
    </row>
    <row r="298" customFormat="false" ht="15" hidden="false" customHeight="true" outlineLevel="0" collapsed="false">
      <c r="D298" s="4" t="str">
        <f aca="false">IF($A298="","",IFERROR(VLOOKUP($B298,Dim_TOP!$A:$B,2,0),""))</f>
        <v/>
      </c>
      <c r="E298" s="36" t="str">
        <f aca="false">IF($A298="","",COUNTIFS(Fact_Work!$B:$B,$A298,Fact_Work!$AL:$AL,$B298))</f>
        <v/>
      </c>
      <c r="F298" s="22" t="str">
        <f aca="false">IF($A298="","",IF(COUNTIFS(Fact_Work!$B:$B,$A298,Fact_Work!$AL:$AL,$B298,Fact_Work!$AN:$AN,"&gt;0")=0,"",_xlfn.MINIFS(Fact_Work!$AN:$AN,Fact_Work!$B:$B,$A298,Fact_Work!$AL:$AL,$B298,Fact_Work!$AN:$AN,"&gt;0")))</f>
        <v/>
      </c>
      <c r="G298" s="37" t="str">
        <f aca="false">IF($A298="","",IF($F298="","",$A298+$F298/24))</f>
        <v/>
      </c>
      <c r="H298" s="38" t="str">
        <f aca="false">IF($A298="","",IF($G298="","",ROUND(($C298-$G298)*1440,0)))</f>
        <v/>
      </c>
      <c r="I298" s="4" t="str">
        <f aca="false">IF($A298="","",IF($H298="","",IF($H298&lt;=0,"Yes","No")))</f>
        <v/>
      </c>
      <c r="J298" s="4" t="str">
        <f aca="false">IF($A298="","",IF($I298="No",$E298,0))</f>
        <v/>
      </c>
      <c r="K298" s="22" t="str">
        <f aca="false">IF($A298="","",IF($F298="","",FLOOR($F298,0.5)))</f>
        <v/>
      </c>
      <c r="L298" s="39" t="str">
        <f aca="false">IF($A298="","",IF($H298="","",MAX(0,$H298)))</f>
        <v/>
      </c>
      <c r="M298" s="29" t="str">
        <f aca="false">IF($A298="","",IF($F298="","",COUNTIFS(Fact_Work!$B:$B,$A298,Fact_Work!$AL:$AL,$B298,Fact_Work!$AI:$AI,"Yes")))</f>
        <v/>
      </c>
    </row>
    <row r="299" customFormat="false" ht="15" hidden="false" customHeight="true" outlineLevel="0" collapsed="false">
      <c r="D299" s="4" t="str">
        <f aca="false">IF($A299="","",IFERROR(VLOOKUP($B299,Dim_TOP!$A:$B,2,0),""))</f>
        <v/>
      </c>
      <c r="E299" s="36" t="str">
        <f aca="false">IF($A299="","",COUNTIFS(Fact_Work!$B:$B,$A299,Fact_Work!$AL:$AL,$B299))</f>
        <v/>
      </c>
      <c r="F299" s="22" t="str">
        <f aca="false">IF($A299="","",IF(COUNTIFS(Fact_Work!$B:$B,$A299,Fact_Work!$AL:$AL,$B299,Fact_Work!$AN:$AN,"&gt;0")=0,"",_xlfn.MINIFS(Fact_Work!$AN:$AN,Fact_Work!$B:$B,$A299,Fact_Work!$AL:$AL,$B299,Fact_Work!$AN:$AN,"&gt;0")))</f>
        <v/>
      </c>
      <c r="G299" s="37" t="str">
        <f aca="false">IF($A299="","",IF($F299="","",$A299+$F299/24))</f>
        <v/>
      </c>
      <c r="H299" s="38" t="str">
        <f aca="false">IF($A299="","",IF($G299="","",ROUND(($C299-$G299)*1440,0)))</f>
        <v/>
      </c>
      <c r="I299" s="4" t="str">
        <f aca="false">IF($A299="","",IF($H299="","",IF($H299&lt;=0,"Yes","No")))</f>
        <v/>
      </c>
      <c r="J299" s="4" t="str">
        <f aca="false">IF($A299="","",IF($I299="No",$E299,0))</f>
        <v/>
      </c>
      <c r="K299" s="22" t="str">
        <f aca="false">IF($A299="","",IF($F299="","",FLOOR($F299,0.5)))</f>
        <v/>
      </c>
      <c r="L299" s="39" t="str">
        <f aca="false">IF($A299="","",IF($H299="","",MAX(0,$H299)))</f>
        <v/>
      </c>
      <c r="M299" s="29" t="str">
        <f aca="false">IF($A299="","",IF($F299="","",COUNTIFS(Fact_Work!$B:$B,$A299,Fact_Work!$AL:$AL,$B299,Fact_Work!$AI:$AI,"Yes")))</f>
        <v/>
      </c>
    </row>
    <row r="300" customFormat="false" ht="15" hidden="false" customHeight="true" outlineLevel="0" collapsed="false">
      <c r="D300" s="4" t="str">
        <f aca="false">IF($A300="","",IFERROR(VLOOKUP($B300,Dim_TOP!$A:$B,2,0),""))</f>
        <v/>
      </c>
      <c r="E300" s="36" t="str">
        <f aca="false">IF($A300="","",COUNTIFS(Fact_Work!$B:$B,$A300,Fact_Work!$AL:$AL,$B300))</f>
        <v/>
      </c>
      <c r="F300" s="22" t="str">
        <f aca="false">IF($A300="","",IF(COUNTIFS(Fact_Work!$B:$B,$A300,Fact_Work!$AL:$AL,$B300,Fact_Work!$AN:$AN,"&gt;0")=0,"",_xlfn.MINIFS(Fact_Work!$AN:$AN,Fact_Work!$B:$B,$A300,Fact_Work!$AL:$AL,$B300,Fact_Work!$AN:$AN,"&gt;0")))</f>
        <v/>
      </c>
      <c r="G300" s="37" t="str">
        <f aca="false">IF($A300="","",IF($F300="","",$A300+$F300/24))</f>
        <v/>
      </c>
      <c r="H300" s="38" t="str">
        <f aca="false">IF($A300="","",IF($G300="","",ROUND(($C300-$G300)*1440,0)))</f>
        <v/>
      </c>
      <c r="I300" s="4" t="str">
        <f aca="false">IF($A300="","",IF($H300="","",IF($H300&lt;=0,"Yes","No")))</f>
        <v/>
      </c>
      <c r="J300" s="4" t="str">
        <f aca="false">IF($A300="","",IF($I300="No",$E300,0))</f>
        <v/>
      </c>
      <c r="K300" s="22" t="str">
        <f aca="false">IF($A300="","",IF($F300="","",FLOOR($F300,0.5)))</f>
        <v/>
      </c>
      <c r="L300" s="39" t="str">
        <f aca="false">IF($A300="","",IF($H300="","",MAX(0,$H300)))</f>
        <v/>
      </c>
      <c r="M300" s="29" t="str">
        <f aca="false">IF($A300="","",IF($F300="","",COUNTIFS(Fact_Work!$B:$B,$A300,Fact_Work!$AL:$AL,$B300,Fact_Work!$AI:$AI,"Yes")))</f>
        <v/>
      </c>
    </row>
    <row r="301" customFormat="false" ht="15" hidden="false" customHeight="true" outlineLevel="0" collapsed="false">
      <c r="D301" s="4" t="str">
        <f aca="false">IF($A301="","",IFERROR(VLOOKUP($B301,Dim_TOP!$A:$B,2,0),""))</f>
        <v/>
      </c>
      <c r="E301" s="36" t="str">
        <f aca="false">IF($A301="","",COUNTIFS(Fact_Work!$B:$B,$A301,Fact_Work!$AL:$AL,$B301))</f>
        <v/>
      </c>
      <c r="F301" s="22" t="str">
        <f aca="false">IF($A301="","",IF(COUNTIFS(Fact_Work!$B:$B,$A301,Fact_Work!$AL:$AL,$B301,Fact_Work!$AN:$AN,"&gt;0")=0,"",_xlfn.MINIFS(Fact_Work!$AN:$AN,Fact_Work!$B:$B,$A301,Fact_Work!$AL:$AL,$B301,Fact_Work!$AN:$AN,"&gt;0")))</f>
        <v/>
      </c>
      <c r="G301" s="37" t="str">
        <f aca="false">IF($A301="","",IF($F301="","",$A301+$F301/24))</f>
        <v/>
      </c>
      <c r="H301" s="38" t="str">
        <f aca="false">IF($A301="","",IF($G301="","",ROUND(($C301-$G301)*1440,0)))</f>
        <v/>
      </c>
      <c r="I301" s="4" t="str">
        <f aca="false">IF($A301="","",IF($H301="","",IF($H301&lt;=0,"Yes","No")))</f>
        <v/>
      </c>
      <c r="J301" s="4" t="str">
        <f aca="false">IF($A301="","",IF($I301="No",$E301,0))</f>
        <v/>
      </c>
      <c r="K301" s="22" t="str">
        <f aca="false">IF($A301="","",IF($F301="","",FLOOR($F301,0.5)))</f>
        <v/>
      </c>
      <c r="L301" s="39" t="str">
        <f aca="false">IF($A301="","",IF($H301="","",MAX(0,$H301)))</f>
        <v/>
      </c>
      <c r="M301" s="29" t="str">
        <f aca="false">IF($A301="","",IF($F301="","",COUNTIFS(Fact_Work!$B:$B,$A301,Fact_Work!$AL:$AL,$B301,Fact_Work!$AI:$AI,"Yes")))</f>
        <v/>
      </c>
    </row>
    <row r="302" customFormat="false" ht="15" hidden="false" customHeight="true" outlineLevel="0" collapsed="false">
      <c r="D302" s="4" t="str">
        <f aca="false">IF($A302="","",IFERROR(VLOOKUP($B302,Dim_TOP!$A:$B,2,0),""))</f>
        <v/>
      </c>
      <c r="E302" s="36" t="str">
        <f aca="false">IF($A302="","",COUNTIFS(Fact_Work!$B:$B,$A302,Fact_Work!$AL:$AL,$B302))</f>
        <v/>
      </c>
      <c r="F302" s="22" t="str">
        <f aca="false">IF($A302="","",IF(COUNTIFS(Fact_Work!$B:$B,$A302,Fact_Work!$AL:$AL,$B302,Fact_Work!$AN:$AN,"&gt;0")=0,"",_xlfn.MINIFS(Fact_Work!$AN:$AN,Fact_Work!$B:$B,$A302,Fact_Work!$AL:$AL,$B302,Fact_Work!$AN:$AN,"&gt;0")))</f>
        <v/>
      </c>
      <c r="G302" s="37" t="str">
        <f aca="false">IF($A302="","",IF($F302="","",$A302+$F302/24))</f>
        <v/>
      </c>
      <c r="H302" s="38" t="str">
        <f aca="false">IF($A302="","",IF($G302="","",ROUND(($C302-$G302)*1440,0)))</f>
        <v/>
      </c>
      <c r="I302" s="4" t="str">
        <f aca="false">IF($A302="","",IF($H302="","",IF($H302&lt;=0,"Yes","No")))</f>
        <v/>
      </c>
      <c r="J302" s="4" t="str">
        <f aca="false">IF($A302="","",IF($I302="No",$E302,0))</f>
        <v/>
      </c>
      <c r="K302" s="22" t="str">
        <f aca="false">IF($A302="","",IF($F302="","",FLOOR($F302,0.5)))</f>
        <v/>
      </c>
      <c r="L302" s="39" t="str">
        <f aca="false">IF($A302="","",IF($H302="","",MAX(0,$H302)))</f>
        <v/>
      </c>
      <c r="M302" s="29" t="str">
        <f aca="false">IF($A302="","",IF($F302="","",COUNTIFS(Fact_Work!$B:$B,$A302,Fact_Work!$AL:$AL,$B302,Fact_Work!$AI:$AI,"Yes")))</f>
        <v/>
      </c>
    </row>
    <row r="303" customFormat="false" ht="15" hidden="false" customHeight="true" outlineLevel="0" collapsed="false">
      <c r="D303" s="4" t="str">
        <f aca="false">IF($A303="","",IFERROR(VLOOKUP($B303,Dim_TOP!$A:$B,2,0),""))</f>
        <v/>
      </c>
      <c r="E303" s="36" t="str">
        <f aca="false">IF($A303="","",COUNTIFS(Fact_Work!$B:$B,$A303,Fact_Work!$AL:$AL,$B303))</f>
        <v/>
      </c>
      <c r="F303" s="22" t="str">
        <f aca="false">IF($A303="","",IF(COUNTIFS(Fact_Work!$B:$B,$A303,Fact_Work!$AL:$AL,$B303,Fact_Work!$AN:$AN,"&gt;0")=0,"",_xlfn.MINIFS(Fact_Work!$AN:$AN,Fact_Work!$B:$B,$A303,Fact_Work!$AL:$AL,$B303,Fact_Work!$AN:$AN,"&gt;0")))</f>
        <v/>
      </c>
      <c r="G303" s="37" t="str">
        <f aca="false">IF($A303="","",IF($F303="","",$A303+$F303/24))</f>
        <v/>
      </c>
      <c r="H303" s="38" t="str">
        <f aca="false">IF($A303="","",IF($G303="","",ROUND(($C303-$G303)*1440,0)))</f>
        <v/>
      </c>
      <c r="I303" s="4" t="str">
        <f aca="false">IF($A303="","",IF($H303="","",IF($H303&lt;=0,"Yes","No")))</f>
        <v/>
      </c>
      <c r="J303" s="4" t="str">
        <f aca="false">IF($A303="","",IF($I303="No",$E303,0))</f>
        <v/>
      </c>
      <c r="K303" s="22" t="str">
        <f aca="false">IF($A303="","",IF($F303="","",FLOOR($F303,0.5)))</f>
        <v/>
      </c>
      <c r="L303" s="39" t="str">
        <f aca="false">IF($A303="","",IF($H303="","",MAX(0,$H303)))</f>
        <v/>
      </c>
      <c r="M303" s="29" t="str">
        <f aca="false">IF($A303="","",IF($F303="","",COUNTIFS(Fact_Work!$B:$B,$A303,Fact_Work!$AL:$AL,$B303,Fact_Work!$AI:$AI,"Yes")))</f>
        <v/>
      </c>
    </row>
    <row r="304" customFormat="false" ht="15" hidden="false" customHeight="true" outlineLevel="0" collapsed="false">
      <c r="D304" s="4" t="str">
        <f aca="false">IF($A304="","",IFERROR(VLOOKUP($B304,Dim_TOP!$A:$B,2,0),""))</f>
        <v/>
      </c>
      <c r="E304" s="36" t="str">
        <f aca="false">IF($A304="","",COUNTIFS(Fact_Work!$B:$B,$A304,Fact_Work!$AL:$AL,$B304))</f>
        <v/>
      </c>
      <c r="F304" s="22" t="str">
        <f aca="false">IF($A304="","",IF(COUNTIFS(Fact_Work!$B:$B,$A304,Fact_Work!$AL:$AL,$B304,Fact_Work!$AN:$AN,"&gt;0")=0,"",_xlfn.MINIFS(Fact_Work!$AN:$AN,Fact_Work!$B:$B,$A304,Fact_Work!$AL:$AL,$B304,Fact_Work!$AN:$AN,"&gt;0")))</f>
        <v/>
      </c>
      <c r="G304" s="37" t="str">
        <f aca="false">IF($A304="","",IF($F304="","",$A304+$F304/24))</f>
        <v/>
      </c>
      <c r="H304" s="38" t="str">
        <f aca="false">IF($A304="","",IF($G304="","",ROUND(($C304-$G304)*1440,0)))</f>
        <v/>
      </c>
      <c r="I304" s="4" t="str">
        <f aca="false">IF($A304="","",IF($H304="","",IF($H304&lt;=0,"Yes","No")))</f>
        <v/>
      </c>
      <c r="J304" s="4" t="str">
        <f aca="false">IF($A304="","",IF($I304="No",$E304,0))</f>
        <v/>
      </c>
      <c r="K304" s="22" t="str">
        <f aca="false">IF($A304="","",IF($F304="","",FLOOR($F304,0.5)))</f>
        <v/>
      </c>
      <c r="L304" s="39" t="str">
        <f aca="false">IF($A304="","",IF($H304="","",MAX(0,$H304)))</f>
        <v/>
      </c>
      <c r="M304" s="29" t="str">
        <f aca="false">IF($A304="","",IF($F304="","",COUNTIFS(Fact_Work!$B:$B,$A304,Fact_Work!$AL:$AL,$B304,Fact_Work!$AI:$AI,"Yes")))</f>
        <v/>
      </c>
    </row>
    <row r="305" customFormat="false" ht="15" hidden="false" customHeight="true" outlineLevel="0" collapsed="false">
      <c r="D305" s="4" t="str">
        <f aca="false">IF($A305="","",IFERROR(VLOOKUP($B305,Dim_TOP!$A:$B,2,0),""))</f>
        <v/>
      </c>
      <c r="E305" s="36" t="str">
        <f aca="false">IF($A305="","",COUNTIFS(Fact_Work!$B:$B,$A305,Fact_Work!$AL:$AL,$B305))</f>
        <v/>
      </c>
      <c r="F305" s="22" t="str">
        <f aca="false">IF($A305="","",IF(COUNTIFS(Fact_Work!$B:$B,$A305,Fact_Work!$AL:$AL,$B305,Fact_Work!$AN:$AN,"&gt;0")=0,"",_xlfn.MINIFS(Fact_Work!$AN:$AN,Fact_Work!$B:$B,$A305,Fact_Work!$AL:$AL,$B305,Fact_Work!$AN:$AN,"&gt;0")))</f>
        <v/>
      </c>
      <c r="G305" s="37" t="str">
        <f aca="false">IF($A305="","",IF($F305="","",$A305+$F305/24))</f>
        <v/>
      </c>
      <c r="H305" s="38" t="str">
        <f aca="false">IF($A305="","",IF($G305="","",ROUND(($C305-$G305)*1440,0)))</f>
        <v/>
      </c>
      <c r="I305" s="4" t="str">
        <f aca="false">IF($A305="","",IF($H305="","",IF($H305&lt;=0,"Yes","No")))</f>
        <v/>
      </c>
      <c r="J305" s="4" t="str">
        <f aca="false">IF($A305="","",IF($I305="No",$E305,0))</f>
        <v/>
      </c>
      <c r="K305" s="22" t="str">
        <f aca="false">IF($A305="","",IF($F305="","",FLOOR($F305,0.5)))</f>
        <v/>
      </c>
      <c r="L305" s="39" t="str">
        <f aca="false">IF($A305="","",IF($H305="","",MAX(0,$H305)))</f>
        <v/>
      </c>
      <c r="M305" s="29" t="str">
        <f aca="false">IF($A305="","",IF($F305="","",COUNTIFS(Fact_Work!$B:$B,$A305,Fact_Work!$AL:$AL,$B305,Fact_Work!$AI:$AI,"Yes")))</f>
        <v/>
      </c>
    </row>
    <row r="306" customFormat="false" ht="15" hidden="false" customHeight="true" outlineLevel="0" collapsed="false">
      <c r="D306" s="4" t="str">
        <f aca="false">IF($A306="","",IFERROR(VLOOKUP($B306,Dim_TOP!$A:$B,2,0),""))</f>
        <v/>
      </c>
      <c r="E306" s="36" t="str">
        <f aca="false">IF($A306="","",COUNTIFS(Fact_Work!$B:$B,$A306,Fact_Work!$AL:$AL,$B306))</f>
        <v/>
      </c>
      <c r="F306" s="22" t="str">
        <f aca="false">IF($A306="","",IF(COUNTIFS(Fact_Work!$B:$B,$A306,Fact_Work!$AL:$AL,$B306,Fact_Work!$AN:$AN,"&gt;0")=0,"",_xlfn.MINIFS(Fact_Work!$AN:$AN,Fact_Work!$B:$B,$A306,Fact_Work!$AL:$AL,$B306,Fact_Work!$AN:$AN,"&gt;0")))</f>
        <v/>
      </c>
      <c r="G306" s="37" t="str">
        <f aca="false">IF($A306="","",IF($F306="","",$A306+$F306/24))</f>
        <v/>
      </c>
      <c r="H306" s="38" t="str">
        <f aca="false">IF($A306="","",IF($G306="","",ROUND(($C306-$G306)*1440,0)))</f>
        <v/>
      </c>
      <c r="I306" s="4" t="str">
        <f aca="false">IF($A306="","",IF($H306="","",IF($H306&lt;=0,"Yes","No")))</f>
        <v/>
      </c>
      <c r="J306" s="4" t="str">
        <f aca="false">IF($A306="","",IF($I306="No",$E306,0))</f>
        <v/>
      </c>
      <c r="K306" s="22" t="str">
        <f aca="false">IF($A306="","",IF($F306="","",FLOOR($F306,0.5)))</f>
        <v/>
      </c>
      <c r="L306" s="39" t="str">
        <f aca="false">IF($A306="","",IF($H306="","",MAX(0,$H306)))</f>
        <v/>
      </c>
      <c r="M306" s="29" t="str">
        <f aca="false">IF($A306="","",IF($F306="","",COUNTIFS(Fact_Work!$B:$B,$A306,Fact_Work!$AL:$AL,$B306,Fact_Work!$AI:$AI,"Yes")))</f>
        <v/>
      </c>
    </row>
    <row r="307" customFormat="false" ht="15" hidden="false" customHeight="true" outlineLevel="0" collapsed="false">
      <c r="D307" s="4" t="str">
        <f aca="false">IF($A307="","",IFERROR(VLOOKUP($B307,Dim_TOP!$A:$B,2,0),""))</f>
        <v/>
      </c>
      <c r="E307" s="36" t="str">
        <f aca="false">IF($A307="","",COUNTIFS(Fact_Work!$B:$B,$A307,Fact_Work!$AL:$AL,$B307))</f>
        <v/>
      </c>
      <c r="F307" s="22" t="str">
        <f aca="false">IF($A307="","",IF(COUNTIFS(Fact_Work!$B:$B,$A307,Fact_Work!$AL:$AL,$B307,Fact_Work!$AN:$AN,"&gt;0")=0,"",_xlfn.MINIFS(Fact_Work!$AN:$AN,Fact_Work!$B:$B,$A307,Fact_Work!$AL:$AL,$B307,Fact_Work!$AN:$AN,"&gt;0")))</f>
        <v/>
      </c>
      <c r="G307" s="37" t="str">
        <f aca="false">IF($A307="","",IF($F307="","",$A307+$F307/24))</f>
        <v/>
      </c>
      <c r="H307" s="38" t="str">
        <f aca="false">IF($A307="","",IF($G307="","",ROUND(($C307-$G307)*1440,0)))</f>
        <v/>
      </c>
      <c r="I307" s="4" t="str">
        <f aca="false">IF($A307="","",IF($H307="","",IF($H307&lt;=0,"Yes","No")))</f>
        <v/>
      </c>
      <c r="J307" s="4" t="str">
        <f aca="false">IF($A307="","",IF($I307="No",$E307,0))</f>
        <v/>
      </c>
      <c r="K307" s="22" t="str">
        <f aca="false">IF($A307="","",IF($F307="","",FLOOR($F307,0.5)))</f>
        <v/>
      </c>
      <c r="L307" s="39" t="str">
        <f aca="false">IF($A307="","",IF($H307="","",MAX(0,$H307)))</f>
        <v/>
      </c>
      <c r="M307" s="29" t="str">
        <f aca="false">IF($A307="","",IF($F307="","",COUNTIFS(Fact_Work!$B:$B,$A307,Fact_Work!$AL:$AL,$B307,Fact_Work!$AI:$AI,"Yes")))</f>
        <v/>
      </c>
    </row>
    <row r="308" customFormat="false" ht="15" hidden="false" customHeight="true" outlineLevel="0" collapsed="false">
      <c r="D308" s="4" t="str">
        <f aca="false">IF($A308="","",IFERROR(VLOOKUP($B308,Dim_TOP!$A:$B,2,0),""))</f>
        <v/>
      </c>
      <c r="E308" s="36" t="str">
        <f aca="false">IF($A308="","",COUNTIFS(Fact_Work!$B:$B,$A308,Fact_Work!$AL:$AL,$B308))</f>
        <v/>
      </c>
      <c r="F308" s="22" t="str">
        <f aca="false">IF($A308="","",IF(COUNTIFS(Fact_Work!$B:$B,$A308,Fact_Work!$AL:$AL,$B308,Fact_Work!$AN:$AN,"&gt;0")=0,"",_xlfn.MINIFS(Fact_Work!$AN:$AN,Fact_Work!$B:$B,$A308,Fact_Work!$AL:$AL,$B308,Fact_Work!$AN:$AN,"&gt;0")))</f>
        <v/>
      </c>
      <c r="G308" s="37" t="str">
        <f aca="false">IF($A308="","",IF($F308="","",$A308+$F308/24))</f>
        <v/>
      </c>
      <c r="H308" s="38" t="str">
        <f aca="false">IF($A308="","",IF($G308="","",ROUND(($C308-$G308)*1440,0)))</f>
        <v/>
      </c>
      <c r="I308" s="4" t="str">
        <f aca="false">IF($A308="","",IF($H308="","",IF($H308&lt;=0,"Yes","No")))</f>
        <v/>
      </c>
      <c r="J308" s="4" t="str">
        <f aca="false">IF($A308="","",IF($I308="No",$E308,0))</f>
        <v/>
      </c>
      <c r="K308" s="22" t="str">
        <f aca="false">IF($A308="","",IF($F308="","",FLOOR($F308,0.5)))</f>
        <v/>
      </c>
      <c r="L308" s="39" t="str">
        <f aca="false">IF($A308="","",IF($H308="","",MAX(0,$H308)))</f>
        <v/>
      </c>
      <c r="M308" s="29" t="str">
        <f aca="false">IF($A308="","",IF($F308="","",COUNTIFS(Fact_Work!$B:$B,$A308,Fact_Work!$AL:$AL,$B308,Fact_Work!$AI:$AI,"Yes")))</f>
        <v/>
      </c>
    </row>
    <row r="309" customFormat="false" ht="15" hidden="false" customHeight="true" outlineLevel="0" collapsed="false">
      <c r="D309" s="4" t="str">
        <f aca="false">IF($A309="","",IFERROR(VLOOKUP($B309,Dim_TOP!$A:$B,2,0),""))</f>
        <v/>
      </c>
      <c r="E309" s="36" t="str">
        <f aca="false">IF($A309="","",COUNTIFS(Fact_Work!$B:$B,$A309,Fact_Work!$AL:$AL,$B309))</f>
        <v/>
      </c>
      <c r="F309" s="22" t="str">
        <f aca="false">IF($A309="","",IF(COUNTIFS(Fact_Work!$B:$B,$A309,Fact_Work!$AL:$AL,$B309,Fact_Work!$AN:$AN,"&gt;0")=0,"",_xlfn.MINIFS(Fact_Work!$AN:$AN,Fact_Work!$B:$B,$A309,Fact_Work!$AL:$AL,$B309,Fact_Work!$AN:$AN,"&gt;0")))</f>
        <v/>
      </c>
      <c r="G309" s="37" t="str">
        <f aca="false">IF($A309="","",IF($F309="","",$A309+$F309/24))</f>
        <v/>
      </c>
      <c r="H309" s="38" t="str">
        <f aca="false">IF($A309="","",IF($G309="","",ROUND(($C309-$G309)*1440,0)))</f>
        <v/>
      </c>
      <c r="I309" s="4" t="str">
        <f aca="false">IF($A309="","",IF($H309="","",IF($H309&lt;=0,"Yes","No")))</f>
        <v/>
      </c>
      <c r="J309" s="4" t="str">
        <f aca="false">IF($A309="","",IF($I309="No",$E309,0))</f>
        <v/>
      </c>
      <c r="K309" s="22" t="str">
        <f aca="false">IF($A309="","",IF($F309="","",FLOOR($F309,0.5)))</f>
        <v/>
      </c>
      <c r="L309" s="39" t="str">
        <f aca="false">IF($A309="","",IF($H309="","",MAX(0,$H309)))</f>
        <v/>
      </c>
      <c r="M309" s="29" t="str">
        <f aca="false">IF($A309="","",IF($F309="","",COUNTIFS(Fact_Work!$B:$B,$A309,Fact_Work!$AL:$AL,$B309,Fact_Work!$AI:$AI,"Yes")))</f>
        <v/>
      </c>
    </row>
    <row r="310" customFormat="false" ht="15" hidden="false" customHeight="true" outlineLevel="0" collapsed="false">
      <c r="D310" s="4" t="str">
        <f aca="false">IF($A310="","",IFERROR(VLOOKUP($B310,Dim_TOP!$A:$B,2,0),""))</f>
        <v/>
      </c>
      <c r="E310" s="36" t="str">
        <f aca="false">IF($A310="","",COUNTIFS(Fact_Work!$B:$B,$A310,Fact_Work!$AL:$AL,$B310))</f>
        <v/>
      </c>
      <c r="F310" s="22" t="str">
        <f aca="false">IF($A310="","",IF(COUNTIFS(Fact_Work!$B:$B,$A310,Fact_Work!$AL:$AL,$B310,Fact_Work!$AN:$AN,"&gt;0")=0,"",_xlfn.MINIFS(Fact_Work!$AN:$AN,Fact_Work!$B:$B,$A310,Fact_Work!$AL:$AL,$B310,Fact_Work!$AN:$AN,"&gt;0")))</f>
        <v/>
      </c>
      <c r="G310" s="37" t="str">
        <f aca="false">IF($A310="","",IF($F310="","",$A310+$F310/24))</f>
        <v/>
      </c>
      <c r="H310" s="38" t="str">
        <f aca="false">IF($A310="","",IF($G310="","",ROUND(($C310-$G310)*1440,0)))</f>
        <v/>
      </c>
      <c r="I310" s="4" t="str">
        <f aca="false">IF($A310="","",IF($H310="","",IF($H310&lt;=0,"Yes","No")))</f>
        <v/>
      </c>
      <c r="J310" s="4" t="str">
        <f aca="false">IF($A310="","",IF($I310="No",$E310,0))</f>
        <v/>
      </c>
      <c r="K310" s="22" t="str">
        <f aca="false">IF($A310="","",IF($F310="","",FLOOR($F310,0.5)))</f>
        <v/>
      </c>
      <c r="L310" s="39" t="str">
        <f aca="false">IF($A310="","",IF($H310="","",MAX(0,$H310)))</f>
        <v/>
      </c>
      <c r="M310" s="29" t="str">
        <f aca="false">IF($A310="","",IF($F310="","",COUNTIFS(Fact_Work!$B:$B,$A310,Fact_Work!$AL:$AL,$B310,Fact_Work!$AI:$AI,"Yes")))</f>
        <v/>
      </c>
    </row>
    <row r="311" customFormat="false" ht="15" hidden="false" customHeight="true" outlineLevel="0" collapsed="false">
      <c r="D311" s="4" t="str">
        <f aca="false">IF($A311="","",IFERROR(VLOOKUP($B311,Dim_TOP!$A:$B,2,0),""))</f>
        <v/>
      </c>
      <c r="E311" s="36" t="str">
        <f aca="false">IF($A311="","",COUNTIFS(Fact_Work!$B:$B,$A311,Fact_Work!$AL:$AL,$B311))</f>
        <v/>
      </c>
      <c r="F311" s="22" t="str">
        <f aca="false">IF($A311="","",IF(COUNTIFS(Fact_Work!$B:$B,$A311,Fact_Work!$AL:$AL,$B311,Fact_Work!$AN:$AN,"&gt;0")=0,"",_xlfn.MINIFS(Fact_Work!$AN:$AN,Fact_Work!$B:$B,$A311,Fact_Work!$AL:$AL,$B311,Fact_Work!$AN:$AN,"&gt;0")))</f>
        <v/>
      </c>
      <c r="G311" s="37" t="str">
        <f aca="false">IF($A311="","",IF($F311="","",$A311+$F311/24))</f>
        <v/>
      </c>
      <c r="H311" s="38" t="str">
        <f aca="false">IF($A311="","",IF($G311="","",ROUND(($C311-$G311)*1440,0)))</f>
        <v/>
      </c>
      <c r="I311" s="4" t="str">
        <f aca="false">IF($A311="","",IF($H311="","",IF($H311&lt;=0,"Yes","No")))</f>
        <v/>
      </c>
      <c r="J311" s="4" t="str">
        <f aca="false">IF($A311="","",IF($I311="No",$E311,0))</f>
        <v/>
      </c>
      <c r="K311" s="22" t="str">
        <f aca="false">IF($A311="","",IF($F311="","",FLOOR($F311,0.5)))</f>
        <v/>
      </c>
      <c r="L311" s="39" t="str">
        <f aca="false">IF($A311="","",IF($H311="","",MAX(0,$H311)))</f>
        <v/>
      </c>
      <c r="M311" s="29" t="str">
        <f aca="false">IF($A311="","",IF($F311="","",COUNTIFS(Fact_Work!$B:$B,$A311,Fact_Work!$AL:$AL,$B311,Fact_Work!$AI:$AI,"Yes")))</f>
        <v/>
      </c>
    </row>
    <row r="312" customFormat="false" ht="15" hidden="false" customHeight="true" outlineLevel="0" collapsed="false">
      <c r="D312" s="4" t="str">
        <f aca="false">IF($A312="","",IFERROR(VLOOKUP($B312,Dim_TOP!$A:$B,2,0),""))</f>
        <v/>
      </c>
      <c r="E312" s="36" t="str">
        <f aca="false">IF($A312="","",COUNTIFS(Fact_Work!$B:$B,$A312,Fact_Work!$AL:$AL,$B312))</f>
        <v/>
      </c>
      <c r="F312" s="22" t="str">
        <f aca="false">IF($A312="","",IF(COUNTIFS(Fact_Work!$B:$B,$A312,Fact_Work!$AL:$AL,$B312,Fact_Work!$AN:$AN,"&gt;0")=0,"",_xlfn.MINIFS(Fact_Work!$AN:$AN,Fact_Work!$B:$B,$A312,Fact_Work!$AL:$AL,$B312,Fact_Work!$AN:$AN,"&gt;0")))</f>
        <v/>
      </c>
      <c r="G312" s="37" t="str">
        <f aca="false">IF($A312="","",IF($F312="","",$A312+$F312/24))</f>
        <v/>
      </c>
      <c r="H312" s="38" t="str">
        <f aca="false">IF($A312="","",IF($G312="","",ROUND(($C312-$G312)*1440,0)))</f>
        <v/>
      </c>
      <c r="I312" s="4" t="str">
        <f aca="false">IF($A312="","",IF($H312="","",IF($H312&lt;=0,"Yes","No")))</f>
        <v/>
      </c>
      <c r="J312" s="4" t="str">
        <f aca="false">IF($A312="","",IF($I312="No",$E312,0))</f>
        <v/>
      </c>
      <c r="K312" s="22" t="str">
        <f aca="false">IF($A312="","",IF($F312="","",FLOOR($F312,0.5)))</f>
        <v/>
      </c>
      <c r="L312" s="39" t="str">
        <f aca="false">IF($A312="","",IF($H312="","",MAX(0,$H312)))</f>
        <v/>
      </c>
      <c r="M312" s="29" t="str">
        <f aca="false">IF($A312="","",IF($F312="","",COUNTIFS(Fact_Work!$B:$B,$A312,Fact_Work!$AL:$AL,$B312,Fact_Work!$AI:$AI,"Yes")))</f>
        <v/>
      </c>
    </row>
    <row r="313" customFormat="false" ht="15" hidden="false" customHeight="true" outlineLevel="0" collapsed="false">
      <c r="D313" s="4" t="str">
        <f aca="false">IF($A313="","",IFERROR(VLOOKUP($B313,Dim_TOP!$A:$B,2,0),""))</f>
        <v/>
      </c>
      <c r="E313" s="36" t="str">
        <f aca="false">IF($A313="","",COUNTIFS(Fact_Work!$B:$B,$A313,Fact_Work!$AL:$AL,$B313))</f>
        <v/>
      </c>
      <c r="F313" s="22" t="str">
        <f aca="false">IF($A313="","",IF(COUNTIFS(Fact_Work!$B:$B,$A313,Fact_Work!$AL:$AL,$B313,Fact_Work!$AN:$AN,"&gt;0")=0,"",_xlfn.MINIFS(Fact_Work!$AN:$AN,Fact_Work!$B:$B,$A313,Fact_Work!$AL:$AL,$B313,Fact_Work!$AN:$AN,"&gt;0")))</f>
        <v/>
      </c>
      <c r="G313" s="37" t="str">
        <f aca="false">IF($A313="","",IF($F313="","",$A313+$F313/24))</f>
        <v/>
      </c>
      <c r="H313" s="38" t="str">
        <f aca="false">IF($A313="","",IF($G313="","",ROUND(($C313-$G313)*1440,0)))</f>
        <v/>
      </c>
      <c r="I313" s="4" t="str">
        <f aca="false">IF($A313="","",IF($H313="","",IF($H313&lt;=0,"Yes","No")))</f>
        <v/>
      </c>
      <c r="J313" s="4" t="str">
        <f aca="false">IF($A313="","",IF($I313="No",$E313,0))</f>
        <v/>
      </c>
      <c r="K313" s="22" t="str">
        <f aca="false">IF($A313="","",IF($F313="","",FLOOR($F313,0.5)))</f>
        <v/>
      </c>
      <c r="L313" s="39" t="str">
        <f aca="false">IF($A313="","",IF($H313="","",MAX(0,$H313)))</f>
        <v/>
      </c>
      <c r="M313" s="29" t="str">
        <f aca="false">IF($A313="","",IF($F313="","",COUNTIFS(Fact_Work!$B:$B,$A313,Fact_Work!$AL:$AL,$B313,Fact_Work!$AI:$AI,"Yes")))</f>
        <v/>
      </c>
    </row>
    <row r="314" customFormat="false" ht="15" hidden="false" customHeight="true" outlineLevel="0" collapsed="false">
      <c r="D314" s="4" t="str">
        <f aca="false">IF($A314="","",IFERROR(VLOOKUP($B314,Dim_TOP!$A:$B,2,0),""))</f>
        <v/>
      </c>
      <c r="E314" s="36" t="str">
        <f aca="false">IF($A314="","",COUNTIFS(Fact_Work!$B:$B,$A314,Fact_Work!$AL:$AL,$B314))</f>
        <v/>
      </c>
      <c r="F314" s="22" t="str">
        <f aca="false">IF($A314="","",IF(COUNTIFS(Fact_Work!$B:$B,$A314,Fact_Work!$AL:$AL,$B314,Fact_Work!$AN:$AN,"&gt;0")=0,"",_xlfn.MINIFS(Fact_Work!$AN:$AN,Fact_Work!$B:$B,$A314,Fact_Work!$AL:$AL,$B314,Fact_Work!$AN:$AN,"&gt;0")))</f>
        <v/>
      </c>
      <c r="G314" s="37" t="str">
        <f aca="false">IF($A314="","",IF($F314="","",$A314+$F314/24))</f>
        <v/>
      </c>
      <c r="H314" s="38" t="str">
        <f aca="false">IF($A314="","",IF($G314="","",ROUND(($C314-$G314)*1440,0)))</f>
        <v/>
      </c>
      <c r="I314" s="4" t="str">
        <f aca="false">IF($A314="","",IF($H314="","",IF($H314&lt;=0,"Yes","No")))</f>
        <v/>
      </c>
      <c r="J314" s="4" t="str">
        <f aca="false">IF($A314="","",IF($I314="No",$E314,0))</f>
        <v/>
      </c>
      <c r="K314" s="22" t="str">
        <f aca="false">IF($A314="","",IF($F314="","",FLOOR($F314,0.5)))</f>
        <v/>
      </c>
      <c r="L314" s="39" t="str">
        <f aca="false">IF($A314="","",IF($H314="","",MAX(0,$H314)))</f>
        <v/>
      </c>
      <c r="M314" s="29" t="str">
        <f aca="false">IF($A314="","",IF($F314="","",COUNTIFS(Fact_Work!$B:$B,$A314,Fact_Work!$AL:$AL,$B314,Fact_Work!$AI:$AI,"Yes")))</f>
        <v/>
      </c>
    </row>
    <row r="315" customFormat="false" ht="15" hidden="false" customHeight="true" outlineLevel="0" collapsed="false">
      <c r="D315" s="4" t="str">
        <f aca="false">IF($A315="","",IFERROR(VLOOKUP($B315,Dim_TOP!$A:$B,2,0),""))</f>
        <v/>
      </c>
      <c r="E315" s="36" t="str">
        <f aca="false">IF($A315="","",COUNTIFS(Fact_Work!$B:$B,$A315,Fact_Work!$AL:$AL,$B315))</f>
        <v/>
      </c>
      <c r="F315" s="22" t="str">
        <f aca="false">IF($A315="","",IF(COUNTIFS(Fact_Work!$B:$B,$A315,Fact_Work!$AL:$AL,$B315,Fact_Work!$AN:$AN,"&gt;0")=0,"",_xlfn.MINIFS(Fact_Work!$AN:$AN,Fact_Work!$B:$B,$A315,Fact_Work!$AL:$AL,$B315,Fact_Work!$AN:$AN,"&gt;0")))</f>
        <v/>
      </c>
      <c r="G315" s="37" t="str">
        <f aca="false">IF($A315="","",IF($F315="","",$A315+$F315/24))</f>
        <v/>
      </c>
      <c r="H315" s="38" t="str">
        <f aca="false">IF($A315="","",IF($G315="","",ROUND(($C315-$G315)*1440,0)))</f>
        <v/>
      </c>
      <c r="I315" s="4" t="str">
        <f aca="false">IF($A315="","",IF($H315="","",IF($H315&lt;=0,"Yes","No")))</f>
        <v/>
      </c>
      <c r="J315" s="4" t="str">
        <f aca="false">IF($A315="","",IF($I315="No",$E315,0))</f>
        <v/>
      </c>
      <c r="K315" s="22" t="str">
        <f aca="false">IF($A315="","",IF($F315="","",FLOOR($F315,0.5)))</f>
        <v/>
      </c>
      <c r="L315" s="39" t="str">
        <f aca="false">IF($A315="","",IF($H315="","",MAX(0,$H315)))</f>
        <v/>
      </c>
      <c r="M315" s="29" t="str">
        <f aca="false">IF($A315="","",IF($F315="","",COUNTIFS(Fact_Work!$B:$B,$A315,Fact_Work!$AL:$AL,$B315,Fact_Work!$AI:$AI,"Yes")))</f>
        <v/>
      </c>
    </row>
    <row r="316" customFormat="false" ht="15" hidden="false" customHeight="true" outlineLevel="0" collapsed="false">
      <c r="D316" s="4" t="str">
        <f aca="false">IF($A316="","",IFERROR(VLOOKUP($B316,Dim_TOP!$A:$B,2,0),""))</f>
        <v/>
      </c>
      <c r="E316" s="36" t="str">
        <f aca="false">IF($A316="","",COUNTIFS(Fact_Work!$B:$B,$A316,Fact_Work!$AL:$AL,$B316))</f>
        <v/>
      </c>
      <c r="F316" s="22" t="str">
        <f aca="false">IF($A316="","",IF(COUNTIFS(Fact_Work!$B:$B,$A316,Fact_Work!$AL:$AL,$B316,Fact_Work!$AN:$AN,"&gt;0")=0,"",_xlfn.MINIFS(Fact_Work!$AN:$AN,Fact_Work!$B:$B,$A316,Fact_Work!$AL:$AL,$B316,Fact_Work!$AN:$AN,"&gt;0")))</f>
        <v/>
      </c>
      <c r="G316" s="37" t="str">
        <f aca="false">IF($A316="","",IF($F316="","",$A316+$F316/24))</f>
        <v/>
      </c>
      <c r="H316" s="38" t="str">
        <f aca="false">IF($A316="","",IF($G316="","",ROUND(($C316-$G316)*1440,0)))</f>
        <v/>
      </c>
      <c r="I316" s="4" t="str">
        <f aca="false">IF($A316="","",IF($H316="","",IF($H316&lt;=0,"Yes","No")))</f>
        <v/>
      </c>
      <c r="J316" s="4" t="str">
        <f aca="false">IF($A316="","",IF($I316="No",$E316,0))</f>
        <v/>
      </c>
      <c r="K316" s="22" t="str">
        <f aca="false">IF($A316="","",IF($F316="","",FLOOR($F316,0.5)))</f>
        <v/>
      </c>
      <c r="L316" s="39" t="str">
        <f aca="false">IF($A316="","",IF($H316="","",MAX(0,$H316)))</f>
        <v/>
      </c>
      <c r="M316" s="29" t="str">
        <f aca="false">IF($A316="","",IF($F316="","",COUNTIFS(Fact_Work!$B:$B,$A316,Fact_Work!$AL:$AL,$B316,Fact_Work!$AI:$AI,"Yes")))</f>
        <v/>
      </c>
    </row>
    <row r="317" customFormat="false" ht="15" hidden="false" customHeight="true" outlineLevel="0" collapsed="false">
      <c r="D317" s="4" t="str">
        <f aca="false">IF($A317="","",IFERROR(VLOOKUP($B317,Dim_TOP!$A:$B,2,0),""))</f>
        <v/>
      </c>
      <c r="E317" s="36" t="str">
        <f aca="false">IF($A317="","",COUNTIFS(Fact_Work!$B:$B,$A317,Fact_Work!$AL:$AL,$B317))</f>
        <v/>
      </c>
      <c r="F317" s="22" t="str">
        <f aca="false">IF($A317="","",IF(COUNTIFS(Fact_Work!$B:$B,$A317,Fact_Work!$AL:$AL,$B317,Fact_Work!$AN:$AN,"&gt;0")=0,"",_xlfn.MINIFS(Fact_Work!$AN:$AN,Fact_Work!$B:$B,$A317,Fact_Work!$AL:$AL,$B317,Fact_Work!$AN:$AN,"&gt;0")))</f>
        <v/>
      </c>
      <c r="G317" s="37" t="str">
        <f aca="false">IF($A317="","",IF($F317="","",$A317+$F317/24))</f>
        <v/>
      </c>
      <c r="H317" s="38" t="str">
        <f aca="false">IF($A317="","",IF($G317="","",ROUND(($C317-$G317)*1440,0)))</f>
        <v/>
      </c>
      <c r="I317" s="4" t="str">
        <f aca="false">IF($A317="","",IF($H317="","",IF($H317&lt;=0,"Yes","No")))</f>
        <v/>
      </c>
      <c r="J317" s="4" t="str">
        <f aca="false">IF($A317="","",IF($I317="No",$E317,0))</f>
        <v/>
      </c>
      <c r="K317" s="22" t="str">
        <f aca="false">IF($A317="","",IF($F317="","",FLOOR($F317,0.5)))</f>
        <v/>
      </c>
      <c r="L317" s="39" t="str">
        <f aca="false">IF($A317="","",IF($H317="","",MAX(0,$H317)))</f>
        <v/>
      </c>
      <c r="M317" s="29" t="str">
        <f aca="false">IF($A317="","",IF($F317="","",COUNTIFS(Fact_Work!$B:$B,$A317,Fact_Work!$AL:$AL,$B317,Fact_Work!$AI:$AI,"Yes")))</f>
        <v/>
      </c>
    </row>
    <row r="318" customFormat="false" ht="15" hidden="false" customHeight="true" outlineLevel="0" collapsed="false">
      <c r="D318" s="4" t="str">
        <f aca="false">IF($A318="","",IFERROR(VLOOKUP($B318,Dim_TOP!$A:$B,2,0),""))</f>
        <v/>
      </c>
      <c r="E318" s="36" t="str">
        <f aca="false">IF($A318="","",COUNTIFS(Fact_Work!$B:$B,$A318,Fact_Work!$AL:$AL,$B318))</f>
        <v/>
      </c>
      <c r="F318" s="22" t="str">
        <f aca="false">IF($A318="","",IF(COUNTIFS(Fact_Work!$B:$B,$A318,Fact_Work!$AL:$AL,$B318,Fact_Work!$AN:$AN,"&gt;0")=0,"",_xlfn.MINIFS(Fact_Work!$AN:$AN,Fact_Work!$B:$B,$A318,Fact_Work!$AL:$AL,$B318,Fact_Work!$AN:$AN,"&gt;0")))</f>
        <v/>
      </c>
      <c r="G318" s="37" t="str">
        <f aca="false">IF($A318="","",IF($F318="","",$A318+$F318/24))</f>
        <v/>
      </c>
      <c r="H318" s="38" t="str">
        <f aca="false">IF($A318="","",IF($G318="","",ROUND(($C318-$G318)*1440,0)))</f>
        <v/>
      </c>
      <c r="I318" s="4" t="str">
        <f aca="false">IF($A318="","",IF($H318="","",IF($H318&lt;=0,"Yes","No")))</f>
        <v/>
      </c>
      <c r="J318" s="4" t="str">
        <f aca="false">IF($A318="","",IF($I318="No",$E318,0))</f>
        <v/>
      </c>
      <c r="K318" s="22" t="str">
        <f aca="false">IF($A318="","",IF($F318="","",FLOOR($F318,0.5)))</f>
        <v/>
      </c>
      <c r="L318" s="39" t="str">
        <f aca="false">IF($A318="","",IF($H318="","",MAX(0,$H318)))</f>
        <v/>
      </c>
      <c r="M318" s="29" t="str">
        <f aca="false">IF($A318="","",IF($F318="","",COUNTIFS(Fact_Work!$B:$B,$A318,Fact_Work!$AL:$AL,$B318,Fact_Work!$AI:$AI,"Yes")))</f>
        <v/>
      </c>
    </row>
    <row r="319" customFormat="false" ht="15" hidden="false" customHeight="true" outlineLevel="0" collapsed="false">
      <c r="D319" s="4" t="str">
        <f aca="false">IF($A319="","",IFERROR(VLOOKUP($B319,Dim_TOP!$A:$B,2,0),""))</f>
        <v/>
      </c>
      <c r="E319" s="36" t="str">
        <f aca="false">IF($A319="","",COUNTIFS(Fact_Work!$B:$B,$A319,Fact_Work!$AL:$AL,$B319))</f>
        <v/>
      </c>
      <c r="F319" s="22" t="str">
        <f aca="false">IF($A319="","",IF(COUNTIFS(Fact_Work!$B:$B,$A319,Fact_Work!$AL:$AL,$B319,Fact_Work!$AN:$AN,"&gt;0")=0,"",_xlfn.MINIFS(Fact_Work!$AN:$AN,Fact_Work!$B:$B,$A319,Fact_Work!$AL:$AL,$B319,Fact_Work!$AN:$AN,"&gt;0")))</f>
        <v/>
      </c>
      <c r="G319" s="37" t="str">
        <f aca="false">IF($A319="","",IF($F319="","",$A319+$F319/24))</f>
        <v/>
      </c>
      <c r="H319" s="38" t="str">
        <f aca="false">IF($A319="","",IF($G319="","",ROUND(($C319-$G319)*1440,0)))</f>
        <v/>
      </c>
      <c r="I319" s="4" t="str">
        <f aca="false">IF($A319="","",IF($H319="","",IF($H319&lt;=0,"Yes","No")))</f>
        <v/>
      </c>
      <c r="J319" s="4" t="str">
        <f aca="false">IF($A319="","",IF($I319="No",$E319,0))</f>
        <v/>
      </c>
      <c r="K319" s="22" t="str">
        <f aca="false">IF($A319="","",IF($F319="","",FLOOR($F319,0.5)))</f>
        <v/>
      </c>
      <c r="L319" s="39" t="str">
        <f aca="false">IF($A319="","",IF($H319="","",MAX(0,$H319)))</f>
        <v/>
      </c>
      <c r="M319" s="29" t="str">
        <f aca="false">IF($A319="","",IF($F319="","",COUNTIFS(Fact_Work!$B:$B,$A319,Fact_Work!$AL:$AL,$B319,Fact_Work!$AI:$AI,"Yes")))</f>
        <v/>
      </c>
    </row>
    <row r="320" customFormat="false" ht="15" hidden="false" customHeight="true" outlineLevel="0" collapsed="false">
      <c r="D320" s="4" t="str">
        <f aca="false">IF($A320="","",IFERROR(VLOOKUP($B320,Dim_TOP!$A:$B,2,0),""))</f>
        <v/>
      </c>
      <c r="E320" s="36" t="str">
        <f aca="false">IF($A320="","",COUNTIFS(Fact_Work!$B:$B,$A320,Fact_Work!$AL:$AL,$B320))</f>
        <v/>
      </c>
      <c r="F320" s="22" t="str">
        <f aca="false">IF($A320="","",IF(COUNTIFS(Fact_Work!$B:$B,$A320,Fact_Work!$AL:$AL,$B320,Fact_Work!$AN:$AN,"&gt;0")=0,"",_xlfn.MINIFS(Fact_Work!$AN:$AN,Fact_Work!$B:$B,$A320,Fact_Work!$AL:$AL,$B320,Fact_Work!$AN:$AN,"&gt;0")))</f>
        <v/>
      </c>
      <c r="G320" s="37" t="str">
        <f aca="false">IF($A320="","",IF($F320="","",$A320+$F320/24))</f>
        <v/>
      </c>
      <c r="H320" s="38" t="str">
        <f aca="false">IF($A320="","",IF($G320="","",ROUND(($C320-$G320)*1440,0)))</f>
        <v/>
      </c>
      <c r="I320" s="4" t="str">
        <f aca="false">IF($A320="","",IF($H320="","",IF($H320&lt;=0,"Yes","No")))</f>
        <v/>
      </c>
      <c r="J320" s="4" t="str">
        <f aca="false">IF($A320="","",IF($I320="No",$E320,0))</f>
        <v/>
      </c>
      <c r="K320" s="22" t="str">
        <f aca="false">IF($A320="","",IF($F320="","",FLOOR($F320,0.5)))</f>
        <v/>
      </c>
      <c r="L320" s="39" t="str">
        <f aca="false">IF($A320="","",IF($H320="","",MAX(0,$H320)))</f>
        <v/>
      </c>
      <c r="M320" s="29" t="str">
        <f aca="false">IF($A320="","",IF($F320="","",COUNTIFS(Fact_Work!$B:$B,$A320,Fact_Work!$AL:$AL,$B320,Fact_Work!$AI:$AI,"Yes")))</f>
        <v/>
      </c>
    </row>
    <row r="321" customFormat="false" ht="15" hidden="false" customHeight="true" outlineLevel="0" collapsed="false">
      <c r="D321" s="4" t="str">
        <f aca="false">IF($A321="","",IFERROR(VLOOKUP($B321,Dim_TOP!$A:$B,2,0),""))</f>
        <v/>
      </c>
      <c r="E321" s="36" t="str">
        <f aca="false">IF($A321="","",COUNTIFS(Fact_Work!$B:$B,$A321,Fact_Work!$AL:$AL,$B321))</f>
        <v/>
      </c>
      <c r="F321" s="22" t="str">
        <f aca="false">IF($A321="","",IF(COUNTIFS(Fact_Work!$B:$B,$A321,Fact_Work!$AL:$AL,$B321,Fact_Work!$AN:$AN,"&gt;0")=0,"",_xlfn.MINIFS(Fact_Work!$AN:$AN,Fact_Work!$B:$B,$A321,Fact_Work!$AL:$AL,$B321,Fact_Work!$AN:$AN,"&gt;0")))</f>
        <v/>
      </c>
      <c r="G321" s="37" t="str">
        <f aca="false">IF($A321="","",IF($F321="","",$A321+$F321/24))</f>
        <v/>
      </c>
      <c r="H321" s="38" t="str">
        <f aca="false">IF($A321="","",IF($G321="","",ROUND(($C321-$G321)*1440,0)))</f>
        <v/>
      </c>
      <c r="I321" s="4" t="str">
        <f aca="false">IF($A321="","",IF($H321="","",IF($H321&lt;=0,"Yes","No")))</f>
        <v/>
      </c>
      <c r="J321" s="4" t="str">
        <f aca="false">IF($A321="","",IF($I321="No",$E321,0))</f>
        <v/>
      </c>
      <c r="K321" s="22" t="str">
        <f aca="false">IF($A321="","",IF($F321="","",FLOOR($F321,0.5)))</f>
        <v/>
      </c>
      <c r="L321" s="39" t="str">
        <f aca="false">IF($A321="","",IF($H321="","",MAX(0,$H321)))</f>
        <v/>
      </c>
      <c r="M321" s="29" t="str">
        <f aca="false">IF($A321="","",IF($F321="","",COUNTIFS(Fact_Work!$B:$B,$A321,Fact_Work!$AL:$AL,$B321,Fact_Work!$AI:$AI,"Yes")))</f>
        <v/>
      </c>
    </row>
    <row r="322" customFormat="false" ht="15" hidden="false" customHeight="true" outlineLevel="0" collapsed="false">
      <c r="D322" s="4" t="str">
        <f aca="false">IF($A322="","",IFERROR(VLOOKUP($B322,Dim_TOP!$A:$B,2,0),""))</f>
        <v/>
      </c>
      <c r="E322" s="36" t="str">
        <f aca="false">IF($A322="","",COUNTIFS(Fact_Work!$B:$B,$A322,Fact_Work!$AL:$AL,$B322))</f>
        <v/>
      </c>
      <c r="F322" s="22" t="str">
        <f aca="false">IF($A322="","",IF(COUNTIFS(Fact_Work!$B:$B,$A322,Fact_Work!$AL:$AL,$B322,Fact_Work!$AN:$AN,"&gt;0")=0,"",_xlfn.MINIFS(Fact_Work!$AN:$AN,Fact_Work!$B:$B,$A322,Fact_Work!$AL:$AL,$B322,Fact_Work!$AN:$AN,"&gt;0")))</f>
        <v/>
      </c>
      <c r="G322" s="37" t="str">
        <f aca="false">IF($A322="","",IF($F322="","",$A322+$F322/24))</f>
        <v/>
      </c>
      <c r="H322" s="38" t="str">
        <f aca="false">IF($A322="","",IF($G322="","",ROUND(($C322-$G322)*1440,0)))</f>
        <v/>
      </c>
      <c r="I322" s="4" t="str">
        <f aca="false">IF($A322="","",IF($H322="","",IF($H322&lt;=0,"Yes","No")))</f>
        <v/>
      </c>
      <c r="J322" s="4" t="str">
        <f aca="false">IF($A322="","",IF($I322="No",$E322,0))</f>
        <v/>
      </c>
      <c r="K322" s="22" t="str">
        <f aca="false">IF($A322="","",IF($F322="","",FLOOR($F322,0.5)))</f>
        <v/>
      </c>
      <c r="L322" s="39" t="str">
        <f aca="false">IF($A322="","",IF($H322="","",MAX(0,$H322)))</f>
        <v/>
      </c>
      <c r="M322" s="29" t="str">
        <f aca="false">IF($A322="","",IF($F322="","",COUNTIFS(Fact_Work!$B:$B,$A322,Fact_Work!$AL:$AL,$B322,Fact_Work!$AI:$AI,"Yes")))</f>
        <v/>
      </c>
    </row>
    <row r="323" customFormat="false" ht="15" hidden="false" customHeight="true" outlineLevel="0" collapsed="false">
      <c r="D323" s="4" t="str">
        <f aca="false">IF($A323="","",IFERROR(VLOOKUP($B323,Dim_TOP!$A:$B,2,0),""))</f>
        <v/>
      </c>
      <c r="E323" s="36" t="str">
        <f aca="false">IF($A323="","",COUNTIFS(Fact_Work!$B:$B,$A323,Fact_Work!$AL:$AL,$B323))</f>
        <v/>
      </c>
      <c r="F323" s="22" t="str">
        <f aca="false">IF($A323="","",IF(COUNTIFS(Fact_Work!$B:$B,$A323,Fact_Work!$AL:$AL,$B323,Fact_Work!$AN:$AN,"&gt;0")=0,"",_xlfn.MINIFS(Fact_Work!$AN:$AN,Fact_Work!$B:$B,$A323,Fact_Work!$AL:$AL,$B323,Fact_Work!$AN:$AN,"&gt;0")))</f>
        <v/>
      </c>
      <c r="G323" s="37" t="str">
        <f aca="false">IF($A323="","",IF($F323="","",$A323+$F323/24))</f>
        <v/>
      </c>
      <c r="H323" s="38" t="str">
        <f aca="false">IF($A323="","",IF($G323="","",ROUND(($C323-$G323)*1440,0)))</f>
        <v/>
      </c>
      <c r="I323" s="4" t="str">
        <f aca="false">IF($A323="","",IF($H323="","",IF($H323&lt;=0,"Yes","No")))</f>
        <v/>
      </c>
      <c r="J323" s="4" t="str">
        <f aca="false">IF($A323="","",IF($I323="No",$E323,0))</f>
        <v/>
      </c>
      <c r="K323" s="22" t="str">
        <f aca="false">IF($A323="","",IF($F323="","",FLOOR($F323,0.5)))</f>
        <v/>
      </c>
      <c r="L323" s="39" t="str">
        <f aca="false">IF($A323="","",IF($H323="","",MAX(0,$H323)))</f>
        <v/>
      </c>
      <c r="M323" s="29" t="str">
        <f aca="false">IF($A323="","",IF($F323="","",COUNTIFS(Fact_Work!$B:$B,$A323,Fact_Work!$AL:$AL,$B323,Fact_Work!$AI:$AI,"Yes")))</f>
        <v/>
      </c>
    </row>
    <row r="324" customFormat="false" ht="15" hidden="false" customHeight="true" outlineLevel="0" collapsed="false">
      <c r="D324" s="4" t="str">
        <f aca="false">IF($A324="","",IFERROR(VLOOKUP($B324,Dim_TOP!$A:$B,2,0),""))</f>
        <v/>
      </c>
      <c r="E324" s="36" t="str">
        <f aca="false">IF($A324="","",COUNTIFS(Fact_Work!$B:$B,$A324,Fact_Work!$AL:$AL,$B324))</f>
        <v/>
      </c>
      <c r="F324" s="22" t="str">
        <f aca="false">IF($A324="","",IF(COUNTIFS(Fact_Work!$B:$B,$A324,Fact_Work!$AL:$AL,$B324,Fact_Work!$AN:$AN,"&gt;0")=0,"",_xlfn.MINIFS(Fact_Work!$AN:$AN,Fact_Work!$B:$B,$A324,Fact_Work!$AL:$AL,$B324,Fact_Work!$AN:$AN,"&gt;0")))</f>
        <v/>
      </c>
      <c r="G324" s="37" t="str">
        <f aca="false">IF($A324="","",IF($F324="","",$A324+$F324/24))</f>
        <v/>
      </c>
      <c r="H324" s="38" t="str">
        <f aca="false">IF($A324="","",IF($G324="","",ROUND(($C324-$G324)*1440,0)))</f>
        <v/>
      </c>
      <c r="I324" s="4" t="str">
        <f aca="false">IF($A324="","",IF($H324="","",IF($H324&lt;=0,"Yes","No")))</f>
        <v/>
      </c>
      <c r="J324" s="4" t="str">
        <f aca="false">IF($A324="","",IF($I324="No",$E324,0))</f>
        <v/>
      </c>
      <c r="K324" s="22" t="str">
        <f aca="false">IF($A324="","",IF($F324="","",FLOOR($F324,0.5)))</f>
        <v/>
      </c>
      <c r="L324" s="39" t="str">
        <f aca="false">IF($A324="","",IF($H324="","",MAX(0,$H324)))</f>
        <v/>
      </c>
      <c r="M324" s="29" t="str">
        <f aca="false">IF($A324="","",IF($F324="","",COUNTIFS(Fact_Work!$B:$B,$A324,Fact_Work!$AL:$AL,$B324,Fact_Work!$AI:$AI,"Yes")))</f>
        <v/>
      </c>
    </row>
    <row r="325" customFormat="false" ht="15" hidden="false" customHeight="true" outlineLevel="0" collapsed="false">
      <c r="D325" s="4" t="str">
        <f aca="false">IF($A325="","",IFERROR(VLOOKUP($B325,Dim_TOP!$A:$B,2,0),""))</f>
        <v/>
      </c>
      <c r="E325" s="36" t="str">
        <f aca="false">IF($A325="","",COUNTIFS(Fact_Work!$B:$B,$A325,Fact_Work!$AL:$AL,$B325))</f>
        <v/>
      </c>
      <c r="F325" s="22" t="str">
        <f aca="false">IF($A325="","",IF(COUNTIFS(Fact_Work!$B:$B,$A325,Fact_Work!$AL:$AL,$B325,Fact_Work!$AN:$AN,"&gt;0")=0,"",_xlfn.MINIFS(Fact_Work!$AN:$AN,Fact_Work!$B:$B,$A325,Fact_Work!$AL:$AL,$B325,Fact_Work!$AN:$AN,"&gt;0")))</f>
        <v/>
      </c>
      <c r="G325" s="37" t="str">
        <f aca="false">IF($A325="","",IF($F325="","",$A325+$F325/24))</f>
        <v/>
      </c>
      <c r="H325" s="38" t="str">
        <f aca="false">IF($A325="","",IF($G325="","",ROUND(($C325-$G325)*1440,0)))</f>
        <v/>
      </c>
      <c r="I325" s="4" t="str">
        <f aca="false">IF($A325="","",IF($H325="","",IF($H325&lt;=0,"Yes","No")))</f>
        <v/>
      </c>
      <c r="J325" s="4" t="str">
        <f aca="false">IF($A325="","",IF($I325="No",$E325,0))</f>
        <v/>
      </c>
      <c r="K325" s="22" t="str">
        <f aca="false">IF($A325="","",IF($F325="","",FLOOR($F325,0.5)))</f>
        <v/>
      </c>
      <c r="L325" s="39" t="str">
        <f aca="false">IF($A325="","",IF($H325="","",MAX(0,$H325)))</f>
        <v/>
      </c>
      <c r="M325" s="29" t="str">
        <f aca="false">IF($A325="","",IF($F325="","",COUNTIFS(Fact_Work!$B:$B,$A325,Fact_Work!$AL:$AL,$B325,Fact_Work!$AI:$AI,"Yes")))</f>
        <v/>
      </c>
    </row>
    <row r="326" customFormat="false" ht="15" hidden="false" customHeight="true" outlineLevel="0" collapsed="false">
      <c r="D326" s="4" t="str">
        <f aca="false">IF($A326="","",IFERROR(VLOOKUP($B326,Dim_TOP!$A:$B,2,0),""))</f>
        <v/>
      </c>
      <c r="E326" s="36" t="str">
        <f aca="false">IF($A326="","",COUNTIFS(Fact_Work!$B:$B,$A326,Fact_Work!$AL:$AL,$B326))</f>
        <v/>
      </c>
      <c r="F326" s="22" t="str">
        <f aca="false">IF($A326="","",IF(COUNTIFS(Fact_Work!$B:$B,$A326,Fact_Work!$AL:$AL,$B326,Fact_Work!$AN:$AN,"&gt;0")=0,"",_xlfn.MINIFS(Fact_Work!$AN:$AN,Fact_Work!$B:$B,$A326,Fact_Work!$AL:$AL,$B326,Fact_Work!$AN:$AN,"&gt;0")))</f>
        <v/>
      </c>
      <c r="G326" s="37" t="str">
        <f aca="false">IF($A326="","",IF($F326="","",$A326+$F326/24))</f>
        <v/>
      </c>
      <c r="H326" s="38" t="str">
        <f aca="false">IF($A326="","",IF($G326="","",ROUND(($C326-$G326)*1440,0)))</f>
        <v/>
      </c>
      <c r="I326" s="4" t="str">
        <f aca="false">IF($A326="","",IF($H326="","",IF($H326&lt;=0,"Yes","No")))</f>
        <v/>
      </c>
      <c r="J326" s="4" t="str">
        <f aca="false">IF($A326="","",IF($I326="No",$E326,0))</f>
        <v/>
      </c>
      <c r="K326" s="22" t="str">
        <f aca="false">IF($A326="","",IF($F326="","",FLOOR($F326,0.5)))</f>
        <v/>
      </c>
      <c r="L326" s="39" t="str">
        <f aca="false">IF($A326="","",IF($H326="","",MAX(0,$H326)))</f>
        <v/>
      </c>
      <c r="M326" s="29" t="str">
        <f aca="false">IF($A326="","",IF($F326="","",COUNTIFS(Fact_Work!$B:$B,$A326,Fact_Work!$AL:$AL,$B326,Fact_Work!$AI:$AI,"Yes")))</f>
        <v/>
      </c>
    </row>
    <row r="327" customFormat="false" ht="15" hidden="false" customHeight="true" outlineLevel="0" collapsed="false">
      <c r="D327" s="4" t="str">
        <f aca="false">IF($A327="","",IFERROR(VLOOKUP($B327,Dim_TOP!$A:$B,2,0),""))</f>
        <v/>
      </c>
      <c r="E327" s="36" t="str">
        <f aca="false">IF($A327="","",COUNTIFS(Fact_Work!$B:$B,$A327,Fact_Work!$AL:$AL,$B327))</f>
        <v/>
      </c>
      <c r="F327" s="22" t="str">
        <f aca="false">IF($A327="","",IF(COUNTIFS(Fact_Work!$B:$B,$A327,Fact_Work!$AL:$AL,$B327,Fact_Work!$AN:$AN,"&gt;0")=0,"",_xlfn.MINIFS(Fact_Work!$AN:$AN,Fact_Work!$B:$B,$A327,Fact_Work!$AL:$AL,$B327,Fact_Work!$AN:$AN,"&gt;0")))</f>
        <v/>
      </c>
      <c r="G327" s="37" t="str">
        <f aca="false">IF($A327="","",IF($F327="","",$A327+$F327/24))</f>
        <v/>
      </c>
      <c r="H327" s="38" t="str">
        <f aca="false">IF($A327="","",IF($G327="","",ROUND(($C327-$G327)*1440,0)))</f>
        <v/>
      </c>
      <c r="I327" s="4" t="str">
        <f aca="false">IF($A327="","",IF($H327="","",IF($H327&lt;=0,"Yes","No")))</f>
        <v/>
      </c>
      <c r="J327" s="4" t="str">
        <f aca="false">IF($A327="","",IF($I327="No",$E327,0))</f>
        <v/>
      </c>
      <c r="K327" s="22" t="str">
        <f aca="false">IF($A327="","",IF($F327="","",FLOOR($F327,0.5)))</f>
        <v/>
      </c>
      <c r="L327" s="39" t="str">
        <f aca="false">IF($A327="","",IF($H327="","",MAX(0,$H327)))</f>
        <v/>
      </c>
      <c r="M327" s="29" t="str">
        <f aca="false">IF($A327="","",IF($F327="","",COUNTIFS(Fact_Work!$B:$B,$A327,Fact_Work!$AL:$AL,$B327,Fact_Work!$AI:$AI,"Yes")))</f>
        <v/>
      </c>
    </row>
    <row r="328" customFormat="false" ht="15" hidden="false" customHeight="true" outlineLevel="0" collapsed="false">
      <c r="D328" s="4" t="str">
        <f aca="false">IF($A328="","",IFERROR(VLOOKUP($B328,Dim_TOP!$A:$B,2,0),""))</f>
        <v/>
      </c>
      <c r="E328" s="36" t="str">
        <f aca="false">IF($A328="","",COUNTIFS(Fact_Work!$B:$B,$A328,Fact_Work!$AL:$AL,$B328))</f>
        <v/>
      </c>
      <c r="F328" s="22" t="str">
        <f aca="false">IF($A328="","",IF(COUNTIFS(Fact_Work!$B:$B,$A328,Fact_Work!$AL:$AL,$B328,Fact_Work!$AN:$AN,"&gt;0")=0,"",_xlfn.MINIFS(Fact_Work!$AN:$AN,Fact_Work!$B:$B,$A328,Fact_Work!$AL:$AL,$B328,Fact_Work!$AN:$AN,"&gt;0")))</f>
        <v/>
      </c>
      <c r="G328" s="37" t="str">
        <f aca="false">IF($A328="","",IF($F328="","",$A328+$F328/24))</f>
        <v/>
      </c>
      <c r="H328" s="38" t="str">
        <f aca="false">IF($A328="","",IF($G328="","",ROUND(($C328-$G328)*1440,0)))</f>
        <v/>
      </c>
      <c r="I328" s="4" t="str">
        <f aca="false">IF($A328="","",IF($H328="","",IF($H328&lt;=0,"Yes","No")))</f>
        <v/>
      </c>
      <c r="J328" s="4" t="str">
        <f aca="false">IF($A328="","",IF($I328="No",$E328,0))</f>
        <v/>
      </c>
      <c r="K328" s="22" t="str">
        <f aca="false">IF($A328="","",IF($F328="","",FLOOR($F328,0.5)))</f>
        <v/>
      </c>
      <c r="L328" s="39" t="str">
        <f aca="false">IF($A328="","",IF($H328="","",MAX(0,$H328)))</f>
        <v/>
      </c>
      <c r="M328" s="29" t="str">
        <f aca="false">IF($A328="","",IF($F328="","",COUNTIFS(Fact_Work!$B:$B,$A328,Fact_Work!$AL:$AL,$B328,Fact_Work!$AI:$AI,"Yes")))</f>
        <v/>
      </c>
    </row>
    <row r="329" customFormat="false" ht="15" hidden="false" customHeight="true" outlineLevel="0" collapsed="false">
      <c r="D329" s="4" t="str">
        <f aca="false">IF($A329="","",IFERROR(VLOOKUP($B329,Dim_TOP!$A:$B,2,0),""))</f>
        <v/>
      </c>
      <c r="E329" s="36" t="str">
        <f aca="false">IF($A329="","",COUNTIFS(Fact_Work!$B:$B,$A329,Fact_Work!$AL:$AL,$B329))</f>
        <v/>
      </c>
      <c r="F329" s="22" t="str">
        <f aca="false">IF($A329="","",IF(COUNTIFS(Fact_Work!$B:$B,$A329,Fact_Work!$AL:$AL,$B329,Fact_Work!$AN:$AN,"&gt;0")=0,"",_xlfn.MINIFS(Fact_Work!$AN:$AN,Fact_Work!$B:$B,$A329,Fact_Work!$AL:$AL,$B329,Fact_Work!$AN:$AN,"&gt;0")))</f>
        <v/>
      </c>
      <c r="G329" s="37" t="str">
        <f aca="false">IF($A329="","",IF($F329="","",$A329+$F329/24))</f>
        <v/>
      </c>
      <c r="H329" s="38" t="str">
        <f aca="false">IF($A329="","",IF($G329="","",ROUND(($C329-$G329)*1440,0)))</f>
        <v/>
      </c>
      <c r="I329" s="4" t="str">
        <f aca="false">IF($A329="","",IF($H329="","",IF($H329&lt;=0,"Yes","No")))</f>
        <v/>
      </c>
      <c r="J329" s="4" t="str">
        <f aca="false">IF($A329="","",IF($I329="No",$E329,0))</f>
        <v/>
      </c>
      <c r="K329" s="22" t="str">
        <f aca="false">IF($A329="","",IF($F329="","",FLOOR($F329,0.5)))</f>
        <v/>
      </c>
      <c r="L329" s="39" t="str">
        <f aca="false">IF($A329="","",IF($H329="","",MAX(0,$H329)))</f>
        <v/>
      </c>
      <c r="M329" s="29" t="str">
        <f aca="false">IF($A329="","",IF($F329="","",COUNTIFS(Fact_Work!$B:$B,$A329,Fact_Work!$AL:$AL,$B329,Fact_Work!$AI:$AI,"Yes")))</f>
        <v/>
      </c>
    </row>
    <row r="330" customFormat="false" ht="15" hidden="false" customHeight="true" outlineLevel="0" collapsed="false">
      <c r="D330" s="4" t="str">
        <f aca="false">IF($A330="","",IFERROR(VLOOKUP($B330,Dim_TOP!$A:$B,2,0),""))</f>
        <v/>
      </c>
      <c r="E330" s="36" t="str">
        <f aca="false">IF($A330="","",COUNTIFS(Fact_Work!$B:$B,$A330,Fact_Work!$AL:$AL,$B330))</f>
        <v/>
      </c>
      <c r="F330" s="22" t="str">
        <f aca="false">IF($A330="","",IF(COUNTIFS(Fact_Work!$B:$B,$A330,Fact_Work!$AL:$AL,$B330,Fact_Work!$AN:$AN,"&gt;0")=0,"",_xlfn.MINIFS(Fact_Work!$AN:$AN,Fact_Work!$B:$B,$A330,Fact_Work!$AL:$AL,$B330,Fact_Work!$AN:$AN,"&gt;0")))</f>
        <v/>
      </c>
      <c r="G330" s="37" t="str">
        <f aca="false">IF($A330="","",IF($F330="","",$A330+$F330/24))</f>
        <v/>
      </c>
      <c r="H330" s="38" t="str">
        <f aca="false">IF($A330="","",IF($G330="","",ROUND(($C330-$G330)*1440,0)))</f>
        <v/>
      </c>
      <c r="I330" s="4" t="str">
        <f aca="false">IF($A330="","",IF($H330="","",IF($H330&lt;=0,"Yes","No")))</f>
        <v/>
      </c>
      <c r="J330" s="4" t="str">
        <f aca="false">IF($A330="","",IF($I330="No",$E330,0))</f>
        <v/>
      </c>
      <c r="K330" s="22" t="str">
        <f aca="false">IF($A330="","",IF($F330="","",FLOOR($F330,0.5)))</f>
        <v/>
      </c>
      <c r="L330" s="39" t="str">
        <f aca="false">IF($A330="","",IF($H330="","",MAX(0,$H330)))</f>
        <v/>
      </c>
      <c r="M330" s="29" t="str">
        <f aca="false">IF($A330="","",IF($F330="","",COUNTIFS(Fact_Work!$B:$B,$A330,Fact_Work!$AL:$AL,$B330,Fact_Work!$AI:$AI,"Yes")))</f>
        <v/>
      </c>
    </row>
    <row r="331" customFormat="false" ht="15" hidden="false" customHeight="true" outlineLevel="0" collapsed="false">
      <c r="D331" s="4" t="str">
        <f aca="false">IF($A331="","",IFERROR(VLOOKUP($B331,Dim_TOP!$A:$B,2,0),""))</f>
        <v/>
      </c>
      <c r="E331" s="36" t="str">
        <f aca="false">IF($A331="","",COUNTIFS(Fact_Work!$B:$B,$A331,Fact_Work!$AL:$AL,$B331))</f>
        <v/>
      </c>
      <c r="F331" s="22" t="str">
        <f aca="false">IF($A331="","",IF(COUNTIFS(Fact_Work!$B:$B,$A331,Fact_Work!$AL:$AL,$B331,Fact_Work!$AN:$AN,"&gt;0")=0,"",_xlfn.MINIFS(Fact_Work!$AN:$AN,Fact_Work!$B:$B,$A331,Fact_Work!$AL:$AL,$B331,Fact_Work!$AN:$AN,"&gt;0")))</f>
        <v/>
      </c>
      <c r="G331" s="37" t="str">
        <f aca="false">IF($A331="","",IF($F331="","",$A331+$F331/24))</f>
        <v/>
      </c>
      <c r="H331" s="38" t="str">
        <f aca="false">IF($A331="","",IF($G331="","",ROUND(($C331-$G331)*1440,0)))</f>
        <v/>
      </c>
      <c r="I331" s="4" t="str">
        <f aca="false">IF($A331="","",IF($H331="","",IF($H331&lt;=0,"Yes","No")))</f>
        <v/>
      </c>
      <c r="J331" s="4" t="str">
        <f aca="false">IF($A331="","",IF($I331="No",$E331,0))</f>
        <v/>
      </c>
      <c r="K331" s="22" t="str">
        <f aca="false">IF($A331="","",IF($F331="","",FLOOR($F331,0.5)))</f>
        <v/>
      </c>
      <c r="L331" s="39" t="str">
        <f aca="false">IF($A331="","",IF($H331="","",MAX(0,$H331)))</f>
        <v/>
      </c>
      <c r="M331" s="29" t="str">
        <f aca="false">IF($A331="","",IF($F331="","",COUNTIFS(Fact_Work!$B:$B,$A331,Fact_Work!$AL:$AL,$B331,Fact_Work!$AI:$AI,"Yes")))</f>
        <v/>
      </c>
    </row>
    <row r="332" customFormat="false" ht="15" hidden="false" customHeight="true" outlineLevel="0" collapsed="false">
      <c r="D332" s="4" t="str">
        <f aca="false">IF($A332="","",IFERROR(VLOOKUP($B332,Dim_TOP!$A:$B,2,0),""))</f>
        <v/>
      </c>
      <c r="E332" s="36" t="str">
        <f aca="false">IF($A332="","",COUNTIFS(Fact_Work!$B:$B,$A332,Fact_Work!$AL:$AL,$B332))</f>
        <v/>
      </c>
      <c r="F332" s="22" t="str">
        <f aca="false">IF($A332="","",IF(COUNTIFS(Fact_Work!$B:$B,$A332,Fact_Work!$AL:$AL,$B332,Fact_Work!$AN:$AN,"&gt;0")=0,"",_xlfn.MINIFS(Fact_Work!$AN:$AN,Fact_Work!$B:$B,$A332,Fact_Work!$AL:$AL,$B332,Fact_Work!$AN:$AN,"&gt;0")))</f>
        <v/>
      </c>
      <c r="G332" s="37" t="str">
        <f aca="false">IF($A332="","",IF($F332="","",$A332+$F332/24))</f>
        <v/>
      </c>
      <c r="H332" s="38" t="str">
        <f aca="false">IF($A332="","",IF($G332="","",ROUND(($C332-$G332)*1440,0)))</f>
        <v/>
      </c>
      <c r="I332" s="4" t="str">
        <f aca="false">IF($A332="","",IF($H332="","",IF($H332&lt;=0,"Yes","No")))</f>
        <v/>
      </c>
      <c r="J332" s="4" t="str">
        <f aca="false">IF($A332="","",IF($I332="No",$E332,0))</f>
        <v/>
      </c>
      <c r="K332" s="22" t="str">
        <f aca="false">IF($A332="","",IF($F332="","",FLOOR($F332,0.5)))</f>
        <v/>
      </c>
      <c r="L332" s="39" t="str">
        <f aca="false">IF($A332="","",IF($H332="","",MAX(0,$H332)))</f>
        <v/>
      </c>
      <c r="M332" s="29" t="str">
        <f aca="false">IF($A332="","",IF($F332="","",COUNTIFS(Fact_Work!$B:$B,$A332,Fact_Work!$AL:$AL,$B332,Fact_Work!$AI:$AI,"Yes")))</f>
        <v/>
      </c>
    </row>
    <row r="333" customFormat="false" ht="15" hidden="false" customHeight="true" outlineLevel="0" collapsed="false">
      <c r="D333" s="4" t="str">
        <f aca="false">IF($A333="","",IFERROR(VLOOKUP($B333,Dim_TOP!$A:$B,2,0),""))</f>
        <v/>
      </c>
      <c r="E333" s="36" t="str">
        <f aca="false">IF($A333="","",COUNTIFS(Fact_Work!$B:$B,$A333,Fact_Work!$AL:$AL,$B333))</f>
        <v/>
      </c>
      <c r="F333" s="22" t="str">
        <f aca="false">IF($A333="","",IF(COUNTIFS(Fact_Work!$B:$B,$A333,Fact_Work!$AL:$AL,$B333,Fact_Work!$AN:$AN,"&gt;0")=0,"",_xlfn.MINIFS(Fact_Work!$AN:$AN,Fact_Work!$B:$B,$A333,Fact_Work!$AL:$AL,$B333,Fact_Work!$AN:$AN,"&gt;0")))</f>
        <v/>
      </c>
      <c r="G333" s="37" t="str">
        <f aca="false">IF($A333="","",IF($F333="","",$A333+$F333/24))</f>
        <v/>
      </c>
      <c r="H333" s="38" t="str">
        <f aca="false">IF($A333="","",IF($G333="","",ROUND(($C333-$G333)*1440,0)))</f>
        <v/>
      </c>
      <c r="I333" s="4" t="str">
        <f aca="false">IF($A333="","",IF($H333="","",IF($H333&lt;=0,"Yes","No")))</f>
        <v/>
      </c>
      <c r="J333" s="4" t="str">
        <f aca="false">IF($A333="","",IF($I333="No",$E333,0))</f>
        <v/>
      </c>
      <c r="K333" s="22" t="str">
        <f aca="false">IF($A333="","",IF($F333="","",FLOOR($F333,0.5)))</f>
        <v/>
      </c>
      <c r="L333" s="39" t="str">
        <f aca="false">IF($A333="","",IF($H333="","",MAX(0,$H333)))</f>
        <v/>
      </c>
      <c r="M333" s="29" t="str">
        <f aca="false">IF($A333="","",IF($F333="","",COUNTIFS(Fact_Work!$B:$B,$A333,Fact_Work!$AL:$AL,$B333,Fact_Work!$AI:$AI,"Yes")))</f>
        <v/>
      </c>
    </row>
    <row r="334" customFormat="false" ht="15" hidden="false" customHeight="true" outlineLevel="0" collapsed="false">
      <c r="D334" s="4" t="str">
        <f aca="false">IF($A334="","",IFERROR(VLOOKUP($B334,Dim_TOP!$A:$B,2,0),""))</f>
        <v/>
      </c>
      <c r="E334" s="36" t="str">
        <f aca="false">IF($A334="","",COUNTIFS(Fact_Work!$B:$B,$A334,Fact_Work!$AL:$AL,$B334))</f>
        <v/>
      </c>
      <c r="F334" s="22" t="str">
        <f aca="false">IF($A334="","",IF(COUNTIFS(Fact_Work!$B:$B,$A334,Fact_Work!$AL:$AL,$B334,Fact_Work!$AN:$AN,"&gt;0")=0,"",_xlfn.MINIFS(Fact_Work!$AN:$AN,Fact_Work!$B:$B,$A334,Fact_Work!$AL:$AL,$B334,Fact_Work!$AN:$AN,"&gt;0")))</f>
        <v/>
      </c>
      <c r="G334" s="37" t="str">
        <f aca="false">IF($A334="","",IF($F334="","",$A334+$F334/24))</f>
        <v/>
      </c>
      <c r="H334" s="38" t="str">
        <f aca="false">IF($A334="","",IF($G334="","",ROUND(($C334-$G334)*1440,0)))</f>
        <v/>
      </c>
      <c r="I334" s="4" t="str">
        <f aca="false">IF($A334="","",IF($H334="","",IF($H334&lt;=0,"Yes","No")))</f>
        <v/>
      </c>
      <c r="J334" s="4" t="str">
        <f aca="false">IF($A334="","",IF($I334="No",$E334,0))</f>
        <v/>
      </c>
      <c r="K334" s="22" t="str">
        <f aca="false">IF($A334="","",IF($F334="","",FLOOR($F334,0.5)))</f>
        <v/>
      </c>
      <c r="L334" s="39" t="str">
        <f aca="false">IF($A334="","",IF($H334="","",MAX(0,$H334)))</f>
        <v/>
      </c>
      <c r="M334" s="29" t="str">
        <f aca="false">IF($A334="","",IF($F334="","",COUNTIFS(Fact_Work!$B:$B,$A334,Fact_Work!$AL:$AL,$B334,Fact_Work!$AI:$AI,"Yes")))</f>
        <v/>
      </c>
    </row>
    <row r="335" customFormat="false" ht="15" hidden="false" customHeight="true" outlineLevel="0" collapsed="false">
      <c r="D335" s="4" t="str">
        <f aca="false">IF($A335="","",IFERROR(VLOOKUP($B335,Dim_TOP!$A:$B,2,0),""))</f>
        <v/>
      </c>
      <c r="E335" s="36" t="str">
        <f aca="false">IF($A335="","",COUNTIFS(Fact_Work!$B:$B,$A335,Fact_Work!$AL:$AL,$B335))</f>
        <v/>
      </c>
      <c r="F335" s="22" t="str">
        <f aca="false">IF($A335="","",IF(COUNTIFS(Fact_Work!$B:$B,$A335,Fact_Work!$AL:$AL,$B335,Fact_Work!$AN:$AN,"&gt;0")=0,"",_xlfn.MINIFS(Fact_Work!$AN:$AN,Fact_Work!$B:$B,$A335,Fact_Work!$AL:$AL,$B335,Fact_Work!$AN:$AN,"&gt;0")))</f>
        <v/>
      </c>
      <c r="G335" s="37" t="str">
        <f aca="false">IF($A335="","",IF($F335="","",$A335+$F335/24))</f>
        <v/>
      </c>
      <c r="H335" s="38" t="str">
        <f aca="false">IF($A335="","",IF($G335="","",ROUND(($C335-$G335)*1440,0)))</f>
        <v/>
      </c>
      <c r="I335" s="4" t="str">
        <f aca="false">IF($A335="","",IF($H335="","",IF($H335&lt;=0,"Yes","No")))</f>
        <v/>
      </c>
      <c r="J335" s="4" t="str">
        <f aca="false">IF($A335="","",IF($I335="No",$E335,0))</f>
        <v/>
      </c>
      <c r="K335" s="22" t="str">
        <f aca="false">IF($A335="","",IF($F335="","",FLOOR($F335,0.5)))</f>
        <v/>
      </c>
      <c r="L335" s="39" t="str">
        <f aca="false">IF($A335="","",IF($H335="","",MAX(0,$H335)))</f>
        <v/>
      </c>
      <c r="M335" s="29" t="str">
        <f aca="false">IF($A335="","",IF($F335="","",COUNTIFS(Fact_Work!$B:$B,$A335,Fact_Work!$AL:$AL,$B335,Fact_Work!$AI:$AI,"Yes")))</f>
        <v/>
      </c>
    </row>
    <row r="336" customFormat="false" ht="15" hidden="false" customHeight="true" outlineLevel="0" collapsed="false">
      <c r="D336" s="4" t="str">
        <f aca="false">IF($A336="","",IFERROR(VLOOKUP($B336,Dim_TOP!$A:$B,2,0),""))</f>
        <v/>
      </c>
      <c r="E336" s="36" t="str">
        <f aca="false">IF($A336="","",COUNTIFS(Fact_Work!$B:$B,$A336,Fact_Work!$AL:$AL,$B336))</f>
        <v/>
      </c>
      <c r="F336" s="22" t="str">
        <f aca="false">IF($A336="","",IF(COUNTIFS(Fact_Work!$B:$B,$A336,Fact_Work!$AL:$AL,$B336,Fact_Work!$AN:$AN,"&gt;0")=0,"",_xlfn.MINIFS(Fact_Work!$AN:$AN,Fact_Work!$B:$B,$A336,Fact_Work!$AL:$AL,$B336,Fact_Work!$AN:$AN,"&gt;0")))</f>
        <v/>
      </c>
      <c r="G336" s="37" t="str">
        <f aca="false">IF($A336="","",IF($F336="","",$A336+$F336/24))</f>
        <v/>
      </c>
      <c r="H336" s="38" t="str">
        <f aca="false">IF($A336="","",IF($G336="","",ROUND(($C336-$G336)*1440,0)))</f>
        <v/>
      </c>
      <c r="I336" s="4" t="str">
        <f aca="false">IF($A336="","",IF($H336="","",IF($H336&lt;=0,"Yes","No")))</f>
        <v/>
      </c>
      <c r="J336" s="4" t="str">
        <f aca="false">IF($A336="","",IF($I336="No",$E336,0))</f>
        <v/>
      </c>
      <c r="K336" s="22" t="str">
        <f aca="false">IF($A336="","",IF($F336="","",FLOOR($F336,0.5)))</f>
        <v/>
      </c>
      <c r="L336" s="39" t="str">
        <f aca="false">IF($A336="","",IF($H336="","",MAX(0,$H336)))</f>
        <v/>
      </c>
      <c r="M336" s="29" t="str">
        <f aca="false">IF($A336="","",IF($F336="","",COUNTIFS(Fact_Work!$B:$B,$A336,Fact_Work!$AL:$AL,$B336,Fact_Work!$AI:$AI,"Yes")))</f>
        <v/>
      </c>
    </row>
    <row r="337" customFormat="false" ht="15" hidden="false" customHeight="true" outlineLevel="0" collapsed="false">
      <c r="D337" s="4" t="str">
        <f aca="false">IF($A337="","",IFERROR(VLOOKUP($B337,Dim_TOP!$A:$B,2,0),""))</f>
        <v/>
      </c>
      <c r="E337" s="36" t="str">
        <f aca="false">IF($A337="","",COUNTIFS(Fact_Work!$B:$B,$A337,Fact_Work!$AL:$AL,$B337))</f>
        <v/>
      </c>
      <c r="F337" s="22" t="str">
        <f aca="false">IF($A337="","",IF(COUNTIFS(Fact_Work!$B:$B,$A337,Fact_Work!$AL:$AL,$B337,Fact_Work!$AN:$AN,"&gt;0")=0,"",_xlfn.MINIFS(Fact_Work!$AN:$AN,Fact_Work!$B:$B,$A337,Fact_Work!$AL:$AL,$B337,Fact_Work!$AN:$AN,"&gt;0")))</f>
        <v/>
      </c>
      <c r="G337" s="37" t="str">
        <f aca="false">IF($A337="","",IF($F337="","",$A337+$F337/24))</f>
        <v/>
      </c>
      <c r="H337" s="38" t="str">
        <f aca="false">IF($A337="","",IF($G337="","",ROUND(($C337-$G337)*1440,0)))</f>
        <v/>
      </c>
      <c r="I337" s="4" t="str">
        <f aca="false">IF($A337="","",IF($H337="","",IF($H337&lt;=0,"Yes","No")))</f>
        <v/>
      </c>
      <c r="J337" s="4" t="str">
        <f aca="false">IF($A337="","",IF($I337="No",$E337,0))</f>
        <v/>
      </c>
      <c r="K337" s="22" t="str">
        <f aca="false">IF($A337="","",IF($F337="","",FLOOR($F337,0.5)))</f>
        <v/>
      </c>
      <c r="L337" s="39" t="str">
        <f aca="false">IF($A337="","",IF($H337="","",MAX(0,$H337)))</f>
        <v/>
      </c>
      <c r="M337" s="29" t="str">
        <f aca="false">IF($A337="","",IF($F337="","",COUNTIFS(Fact_Work!$B:$B,$A337,Fact_Work!$AL:$AL,$B337,Fact_Work!$AI:$AI,"Yes")))</f>
        <v/>
      </c>
    </row>
    <row r="338" customFormat="false" ht="15" hidden="false" customHeight="true" outlineLevel="0" collapsed="false">
      <c r="D338" s="4" t="str">
        <f aca="false">IF($A338="","",IFERROR(VLOOKUP($B338,Dim_TOP!$A:$B,2,0),""))</f>
        <v/>
      </c>
      <c r="E338" s="36" t="str">
        <f aca="false">IF($A338="","",COUNTIFS(Fact_Work!$B:$B,$A338,Fact_Work!$AL:$AL,$B338))</f>
        <v/>
      </c>
      <c r="F338" s="22" t="str">
        <f aca="false">IF($A338="","",IF(COUNTIFS(Fact_Work!$B:$B,$A338,Fact_Work!$AL:$AL,$B338,Fact_Work!$AN:$AN,"&gt;0")=0,"",_xlfn.MINIFS(Fact_Work!$AN:$AN,Fact_Work!$B:$B,$A338,Fact_Work!$AL:$AL,$B338,Fact_Work!$AN:$AN,"&gt;0")))</f>
        <v/>
      </c>
      <c r="G338" s="37" t="str">
        <f aca="false">IF($A338="","",IF($F338="","",$A338+$F338/24))</f>
        <v/>
      </c>
      <c r="H338" s="38" t="str">
        <f aca="false">IF($A338="","",IF($G338="","",ROUND(($C338-$G338)*1440,0)))</f>
        <v/>
      </c>
      <c r="I338" s="4" t="str">
        <f aca="false">IF($A338="","",IF($H338="","",IF($H338&lt;=0,"Yes","No")))</f>
        <v/>
      </c>
      <c r="J338" s="4" t="str">
        <f aca="false">IF($A338="","",IF($I338="No",$E338,0))</f>
        <v/>
      </c>
      <c r="K338" s="22" t="str">
        <f aca="false">IF($A338="","",IF($F338="","",FLOOR($F338,0.5)))</f>
        <v/>
      </c>
      <c r="L338" s="39" t="str">
        <f aca="false">IF($A338="","",IF($H338="","",MAX(0,$H338)))</f>
        <v/>
      </c>
      <c r="M338" s="29" t="str">
        <f aca="false">IF($A338="","",IF($F338="","",COUNTIFS(Fact_Work!$B:$B,$A338,Fact_Work!$AL:$AL,$B338,Fact_Work!$AI:$AI,"Yes")))</f>
        <v/>
      </c>
    </row>
    <row r="339" customFormat="false" ht="15" hidden="false" customHeight="true" outlineLevel="0" collapsed="false">
      <c r="D339" s="4" t="str">
        <f aca="false">IF($A339="","",IFERROR(VLOOKUP($B339,Dim_TOP!$A:$B,2,0),""))</f>
        <v/>
      </c>
      <c r="E339" s="36" t="str">
        <f aca="false">IF($A339="","",COUNTIFS(Fact_Work!$B:$B,$A339,Fact_Work!$AL:$AL,$B339))</f>
        <v/>
      </c>
      <c r="F339" s="22" t="str">
        <f aca="false">IF($A339="","",IF(COUNTIFS(Fact_Work!$B:$B,$A339,Fact_Work!$AL:$AL,$B339,Fact_Work!$AN:$AN,"&gt;0")=0,"",_xlfn.MINIFS(Fact_Work!$AN:$AN,Fact_Work!$B:$B,$A339,Fact_Work!$AL:$AL,$B339,Fact_Work!$AN:$AN,"&gt;0")))</f>
        <v/>
      </c>
      <c r="G339" s="37" t="str">
        <f aca="false">IF($A339="","",IF($F339="","",$A339+$F339/24))</f>
        <v/>
      </c>
      <c r="H339" s="38" t="str">
        <f aca="false">IF($A339="","",IF($G339="","",ROUND(($C339-$G339)*1440,0)))</f>
        <v/>
      </c>
      <c r="I339" s="4" t="str">
        <f aca="false">IF($A339="","",IF($H339="","",IF($H339&lt;=0,"Yes","No")))</f>
        <v/>
      </c>
      <c r="J339" s="4" t="str">
        <f aca="false">IF($A339="","",IF($I339="No",$E339,0))</f>
        <v/>
      </c>
      <c r="K339" s="22" t="str">
        <f aca="false">IF($A339="","",IF($F339="","",FLOOR($F339,0.5)))</f>
        <v/>
      </c>
      <c r="L339" s="39" t="str">
        <f aca="false">IF($A339="","",IF($H339="","",MAX(0,$H339)))</f>
        <v/>
      </c>
      <c r="M339" s="29" t="str">
        <f aca="false">IF($A339="","",IF($F339="","",COUNTIFS(Fact_Work!$B:$B,$A339,Fact_Work!$AL:$AL,$B339,Fact_Work!$AI:$AI,"Yes")))</f>
        <v/>
      </c>
    </row>
    <row r="340" customFormat="false" ht="15" hidden="false" customHeight="true" outlineLevel="0" collapsed="false">
      <c r="D340" s="4" t="str">
        <f aca="false">IF($A340="","",IFERROR(VLOOKUP($B340,Dim_TOP!$A:$B,2,0),""))</f>
        <v/>
      </c>
      <c r="E340" s="36" t="str">
        <f aca="false">IF($A340="","",COUNTIFS(Fact_Work!$B:$B,$A340,Fact_Work!$AL:$AL,$B340))</f>
        <v/>
      </c>
      <c r="F340" s="22" t="str">
        <f aca="false">IF($A340="","",IF(COUNTIFS(Fact_Work!$B:$B,$A340,Fact_Work!$AL:$AL,$B340,Fact_Work!$AN:$AN,"&gt;0")=0,"",_xlfn.MINIFS(Fact_Work!$AN:$AN,Fact_Work!$B:$B,$A340,Fact_Work!$AL:$AL,$B340,Fact_Work!$AN:$AN,"&gt;0")))</f>
        <v/>
      </c>
      <c r="G340" s="37" t="str">
        <f aca="false">IF($A340="","",IF($F340="","",$A340+$F340/24))</f>
        <v/>
      </c>
      <c r="H340" s="38" t="str">
        <f aca="false">IF($A340="","",IF($G340="","",ROUND(($C340-$G340)*1440,0)))</f>
        <v/>
      </c>
      <c r="I340" s="4" t="str">
        <f aca="false">IF($A340="","",IF($H340="","",IF($H340&lt;=0,"Yes","No")))</f>
        <v/>
      </c>
      <c r="J340" s="4" t="str">
        <f aca="false">IF($A340="","",IF($I340="No",$E340,0))</f>
        <v/>
      </c>
      <c r="K340" s="22" t="str">
        <f aca="false">IF($A340="","",IF($F340="","",FLOOR($F340,0.5)))</f>
        <v/>
      </c>
      <c r="L340" s="39" t="str">
        <f aca="false">IF($A340="","",IF($H340="","",MAX(0,$H340)))</f>
        <v/>
      </c>
      <c r="M340" s="29" t="str">
        <f aca="false">IF($A340="","",IF($F340="","",COUNTIFS(Fact_Work!$B:$B,$A340,Fact_Work!$AL:$AL,$B340,Fact_Work!$AI:$AI,"Yes")))</f>
        <v/>
      </c>
    </row>
    <row r="341" customFormat="false" ht="15" hidden="false" customHeight="true" outlineLevel="0" collapsed="false">
      <c r="D341" s="4" t="str">
        <f aca="false">IF($A341="","",IFERROR(VLOOKUP($B341,Dim_TOP!$A:$B,2,0),""))</f>
        <v/>
      </c>
      <c r="E341" s="36" t="str">
        <f aca="false">IF($A341="","",COUNTIFS(Fact_Work!$B:$B,$A341,Fact_Work!$AL:$AL,$B341))</f>
        <v/>
      </c>
      <c r="F341" s="22" t="str">
        <f aca="false">IF($A341="","",IF(COUNTIFS(Fact_Work!$B:$B,$A341,Fact_Work!$AL:$AL,$B341,Fact_Work!$AN:$AN,"&gt;0")=0,"",_xlfn.MINIFS(Fact_Work!$AN:$AN,Fact_Work!$B:$B,$A341,Fact_Work!$AL:$AL,$B341,Fact_Work!$AN:$AN,"&gt;0")))</f>
        <v/>
      </c>
      <c r="G341" s="37" t="str">
        <f aca="false">IF($A341="","",IF($F341="","",$A341+$F341/24))</f>
        <v/>
      </c>
      <c r="H341" s="38" t="str">
        <f aca="false">IF($A341="","",IF($G341="","",ROUND(($C341-$G341)*1440,0)))</f>
        <v/>
      </c>
      <c r="I341" s="4" t="str">
        <f aca="false">IF($A341="","",IF($H341="","",IF($H341&lt;=0,"Yes","No")))</f>
        <v/>
      </c>
      <c r="J341" s="4" t="str">
        <f aca="false">IF($A341="","",IF($I341="No",$E341,0))</f>
        <v/>
      </c>
      <c r="K341" s="22" t="str">
        <f aca="false">IF($A341="","",IF($F341="","",FLOOR($F341,0.5)))</f>
        <v/>
      </c>
      <c r="L341" s="39" t="str">
        <f aca="false">IF($A341="","",IF($H341="","",MAX(0,$H341)))</f>
        <v/>
      </c>
      <c r="M341" s="29" t="str">
        <f aca="false">IF($A341="","",IF($F341="","",COUNTIFS(Fact_Work!$B:$B,$A341,Fact_Work!$AL:$AL,$B341,Fact_Work!$AI:$AI,"Yes")))</f>
        <v/>
      </c>
    </row>
    <row r="342" customFormat="false" ht="15" hidden="false" customHeight="true" outlineLevel="0" collapsed="false">
      <c r="D342" s="4" t="str">
        <f aca="false">IF($A342="","",IFERROR(VLOOKUP($B342,Dim_TOP!$A:$B,2,0),""))</f>
        <v/>
      </c>
      <c r="E342" s="36" t="str">
        <f aca="false">IF($A342="","",COUNTIFS(Fact_Work!$B:$B,$A342,Fact_Work!$AL:$AL,$B342))</f>
        <v/>
      </c>
      <c r="F342" s="22" t="str">
        <f aca="false">IF($A342="","",IF(COUNTIFS(Fact_Work!$B:$B,$A342,Fact_Work!$AL:$AL,$B342,Fact_Work!$AN:$AN,"&gt;0")=0,"",_xlfn.MINIFS(Fact_Work!$AN:$AN,Fact_Work!$B:$B,$A342,Fact_Work!$AL:$AL,$B342,Fact_Work!$AN:$AN,"&gt;0")))</f>
        <v/>
      </c>
      <c r="G342" s="37" t="str">
        <f aca="false">IF($A342="","",IF($F342="","",$A342+$F342/24))</f>
        <v/>
      </c>
      <c r="H342" s="38" t="str">
        <f aca="false">IF($A342="","",IF($G342="","",ROUND(($C342-$G342)*1440,0)))</f>
        <v/>
      </c>
      <c r="I342" s="4" t="str">
        <f aca="false">IF($A342="","",IF($H342="","",IF($H342&lt;=0,"Yes","No")))</f>
        <v/>
      </c>
      <c r="J342" s="4" t="str">
        <f aca="false">IF($A342="","",IF($I342="No",$E342,0))</f>
        <v/>
      </c>
      <c r="K342" s="22" t="str">
        <f aca="false">IF($A342="","",IF($F342="","",FLOOR($F342,0.5)))</f>
        <v/>
      </c>
      <c r="L342" s="39" t="str">
        <f aca="false">IF($A342="","",IF($H342="","",MAX(0,$H342)))</f>
        <v/>
      </c>
      <c r="M342" s="29" t="str">
        <f aca="false">IF($A342="","",IF($F342="","",COUNTIFS(Fact_Work!$B:$B,$A342,Fact_Work!$AL:$AL,$B342,Fact_Work!$AI:$AI,"Yes")))</f>
        <v/>
      </c>
    </row>
    <row r="343" customFormat="false" ht="15" hidden="false" customHeight="true" outlineLevel="0" collapsed="false">
      <c r="D343" s="4" t="str">
        <f aca="false">IF($A343="","",IFERROR(VLOOKUP($B343,Dim_TOP!$A:$B,2,0),""))</f>
        <v/>
      </c>
      <c r="E343" s="36" t="str">
        <f aca="false">IF($A343="","",COUNTIFS(Fact_Work!$B:$B,$A343,Fact_Work!$AL:$AL,$B343))</f>
        <v/>
      </c>
      <c r="F343" s="22" t="str">
        <f aca="false">IF($A343="","",IF(COUNTIFS(Fact_Work!$B:$B,$A343,Fact_Work!$AL:$AL,$B343,Fact_Work!$AN:$AN,"&gt;0")=0,"",_xlfn.MINIFS(Fact_Work!$AN:$AN,Fact_Work!$B:$B,$A343,Fact_Work!$AL:$AL,$B343,Fact_Work!$AN:$AN,"&gt;0")))</f>
        <v/>
      </c>
      <c r="G343" s="37" t="str">
        <f aca="false">IF($A343="","",IF($F343="","",$A343+$F343/24))</f>
        <v/>
      </c>
      <c r="H343" s="38" t="str">
        <f aca="false">IF($A343="","",IF($G343="","",ROUND(($C343-$G343)*1440,0)))</f>
        <v/>
      </c>
      <c r="I343" s="4" t="str">
        <f aca="false">IF($A343="","",IF($H343="","",IF($H343&lt;=0,"Yes","No")))</f>
        <v/>
      </c>
      <c r="J343" s="4" t="str">
        <f aca="false">IF($A343="","",IF($I343="No",$E343,0))</f>
        <v/>
      </c>
      <c r="K343" s="22" t="str">
        <f aca="false">IF($A343="","",IF($F343="","",FLOOR($F343,0.5)))</f>
        <v/>
      </c>
      <c r="L343" s="39" t="str">
        <f aca="false">IF($A343="","",IF($H343="","",MAX(0,$H343)))</f>
        <v/>
      </c>
      <c r="M343" s="29" t="str">
        <f aca="false">IF($A343="","",IF($F343="","",COUNTIFS(Fact_Work!$B:$B,$A343,Fact_Work!$AL:$AL,$B343,Fact_Work!$AI:$AI,"Yes")))</f>
        <v/>
      </c>
    </row>
    <row r="344" customFormat="false" ht="15" hidden="false" customHeight="true" outlineLevel="0" collapsed="false">
      <c r="D344" s="4" t="str">
        <f aca="false">IF($A344="","",IFERROR(VLOOKUP($B344,Dim_TOP!$A:$B,2,0),""))</f>
        <v/>
      </c>
      <c r="E344" s="36" t="str">
        <f aca="false">IF($A344="","",COUNTIFS(Fact_Work!$B:$B,$A344,Fact_Work!$AL:$AL,$B344))</f>
        <v/>
      </c>
      <c r="F344" s="22" t="str">
        <f aca="false">IF($A344="","",IF(COUNTIFS(Fact_Work!$B:$B,$A344,Fact_Work!$AL:$AL,$B344,Fact_Work!$AN:$AN,"&gt;0")=0,"",_xlfn.MINIFS(Fact_Work!$AN:$AN,Fact_Work!$B:$B,$A344,Fact_Work!$AL:$AL,$B344,Fact_Work!$AN:$AN,"&gt;0")))</f>
        <v/>
      </c>
      <c r="G344" s="37" t="str">
        <f aca="false">IF($A344="","",IF($F344="","",$A344+$F344/24))</f>
        <v/>
      </c>
      <c r="H344" s="38" t="str">
        <f aca="false">IF($A344="","",IF($G344="","",ROUND(($C344-$G344)*1440,0)))</f>
        <v/>
      </c>
      <c r="I344" s="4" t="str">
        <f aca="false">IF($A344="","",IF($H344="","",IF($H344&lt;=0,"Yes","No")))</f>
        <v/>
      </c>
      <c r="J344" s="4" t="str">
        <f aca="false">IF($A344="","",IF($I344="No",$E344,0))</f>
        <v/>
      </c>
      <c r="K344" s="22" t="str">
        <f aca="false">IF($A344="","",IF($F344="","",FLOOR($F344,0.5)))</f>
        <v/>
      </c>
      <c r="L344" s="39" t="str">
        <f aca="false">IF($A344="","",IF($H344="","",MAX(0,$H344)))</f>
        <v/>
      </c>
      <c r="M344" s="29" t="str">
        <f aca="false">IF($A344="","",IF($F344="","",COUNTIFS(Fact_Work!$B:$B,$A344,Fact_Work!$AL:$AL,$B344,Fact_Work!$AI:$AI,"Yes")))</f>
        <v/>
      </c>
    </row>
    <row r="345" customFormat="false" ht="15" hidden="false" customHeight="true" outlineLevel="0" collapsed="false">
      <c r="D345" s="4" t="str">
        <f aca="false">IF($A345="","",IFERROR(VLOOKUP($B345,Dim_TOP!$A:$B,2,0),""))</f>
        <v/>
      </c>
      <c r="E345" s="36" t="str">
        <f aca="false">IF($A345="","",COUNTIFS(Fact_Work!$B:$B,$A345,Fact_Work!$AL:$AL,$B345))</f>
        <v/>
      </c>
      <c r="F345" s="22" t="str">
        <f aca="false">IF($A345="","",IF(COUNTIFS(Fact_Work!$B:$B,$A345,Fact_Work!$AL:$AL,$B345,Fact_Work!$AN:$AN,"&gt;0")=0,"",_xlfn.MINIFS(Fact_Work!$AN:$AN,Fact_Work!$B:$B,$A345,Fact_Work!$AL:$AL,$B345,Fact_Work!$AN:$AN,"&gt;0")))</f>
        <v/>
      </c>
      <c r="G345" s="37" t="str">
        <f aca="false">IF($A345="","",IF($F345="","",$A345+$F345/24))</f>
        <v/>
      </c>
      <c r="H345" s="38" t="str">
        <f aca="false">IF($A345="","",IF($G345="","",ROUND(($C345-$G345)*1440,0)))</f>
        <v/>
      </c>
      <c r="I345" s="4" t="str">
        <f aca="false">IF($A345="","",IF($H345="","",IF($H345&lt;=0,"Yes","No")))</f>
        <v/>
      </c>
      <c r="J345" s="4" t="str">
        <f aca="false">IF($A345="","",IF($I345="No",$E345,0))</f>
        <v/>
      </c>
      <c r="K345" s="22" t="str">
        <f aca="false">IF($A345="","",IF($F345="","",FLOOR($F345,0.5)))</f>
        <v/>
      </c>
      <c r="L345" s="39" t="str">
        <f aca="false">IF($A345="","",IF($H345="","",MAX(0,$H345)))</f>
        <v/>
      </c>
      <c r="M345" s="29" t="str">
        <f aca="false">IF($A345="","",IF($F345="","",COUNTIFS(Fact_Work!$B:$B,$A345,Fact_Work!$AL:$AL,$B345,Fact_Work!$AI:$AI,"Yes")))</f>
        <v/>
      </c>
    </row>
    <row r="346" customFormat="false" ht="15" hidden="false" customHeight="true" outlineLevel="0" collapsed="false">
      <c r="D346" s="4" t="str">
        <f aca="false">IF($A346="","",IFERROR(VLOOKUP($B346,Dim_TOP!$A:$B,2,0),""))</f>
        <v/>
      </c>
      <c r="E346" s="36" t="str">
        <f aca="false">IF($A346="","",COUNTIFS(Fact_Work!$B:$B,$A346,Fact_Work!$AL:$AL,$B346))</f>
        <v/>
      </c>
      <c r="F346" s="22" t="str">
        <f aca="false">IF($A346="","",IF(COUNTIFS(Fact_Work!$B:$B,$A346,Fact_Work!$AL:$AL,$B346,Fact_Work!$AN:$AN,"&gt;0")=0,"",_xlfn.MINIFS(Fact_Work!$AN:$AN,Fact_Work!$B:$B,$A346,Fact_Work!$AL:$AL,$B346,Fact_Work!$AN:$AN,"&gt;0")))</f>
        <v/>
      </c>
      <c r="G346" s="37" t="str">
        <f aca="false">IF($A346="","",IF($F346="","",$A346+$F346/24))</f>
        <v/>
      </c>
      <c r="H346" s="38" t="str">
        <f aca="false">IF($A346="","",IF($G346="","",ROUND(($C346-$G346)*1440,0)))</f>
        <v/>
      </c>
      <c r="I346" s="4" t="str">
        <f aca="false">IF($A346="","",IF($H346="","",IF($H346&lt;=0,"Yes","No")))</f>
        <v/>
      </c>
      <c r="J346" s="4" t="str">
        <f aca="false">IF($A346="","",IF($I346="No",$E346,0))</f>
        <v/>
      </c>
      <c r="K346" s="22" t="str">
        <f aca="false">IF($A346="","",IF($F346="","",FLOOR($F346,0.5)))</f>
        <v/>
      </c>
      <c r="L346" s="39" t="str">
        <f aca="false">IF($A346="","",IF($H346="","",MAX(0,$H346)))</f>
        <v/>
      </c>
      <c r="M346" s="29" t="str">
        <f aca="false">IF($A346="","",IF($F346="","",COUNTIFS(Fact_Work!$B:$B,$A346,Fact_Work!$AL:$AL,$B346,Fact_Work!$AI:$AI,"Yes")))</f>
        <v/>
      </c>
    </row>
    <row r="347" customFormat="false" ht="15" hidden="false" customHeight="true" outlineLevel="0" collapsed="false">
      <c r="D347" s="4" t="str">
        <f aca="false">IF($A347="","",IFERROR(VLOOKUP($B347,Dim_TOP!$A:$B,2,0),""))</f>
        <v/>
      </c>
      <c r="E347" s="36" t="str">
        <f aca="false">IF($A347="","",COUNTIFS(Fact_Work!$B:$B,$A347,Fact_Work!$AL:$AL,$B347))</f>
        <v/>
      </c>
      <c r="F347" s="22" t="str">
        <f aca="false">IF($A347="","",IF(COUNTIFS(Fact_Work!$B:$B,$A347,Fact_Work!$AL:$AL,$B347,Fact_Work!$AN:$AN,"&gt;0")=0,"",_xlfn.MINIFS(Fact_Work!$AN:$AN,Fact_Work!$B:$B,$A347,Fact_Work!$AL:$AL,$B347,Fact_Work!$AN:$AN,"&gt;0")))</f>
        <v/>
      </c>
      <c r="G347" s="37" t="str">
        <f aca="false">IF($A347="","",IF($F347="","",$A347+$F347/24))</f>
        <v/>
      </c>
      <c r="H347" s="38" t="str">
        <f aca="false">IF($A347="","",IF($G347="","",ROUND(($C347-$G347)*1440,0)))</f>
        <v/>
      </c>
      <c r="I347" s="4" t="str">
        <f aca="false">IF($A347="","",IF($H347="","",IF($H347&lt;=0,"Yes","No")))</f>
        <v/>
      </c>
      <c r="J347" s="4" t="str">
        <f aca="false">IF($A347="","",IF($I347="No",$E347,0))</f>
        <v/>
      </c>
      <c r="K347" s="22" t="str">
        <f aca="false">IF($A347="","",IF($F347="","",FLOOR($F347,0.5)))</f>
        <v/>
      </c>
      <c r="L347" s="39" t="str">
        <f aca="false">IF($A347="","",IF($H347="","",MAX(0,$H347)))</f>
        <v/>
      </c>
      <c r="M347" s="29" t="str">
        <f aca="false">IF($A347="","",IF($F347="","",COUNTIFS(Fact_Work!$B:$B,$A347,Fact_Work!$AL:$AL,$B347,Fact_Work!$AI:$AI,"Yes")))</f>
        <v/>
      </c>
    </row>
    <row r="348" customFormat="false" ht="15" hidden="false" customHeight="true" outlineLevel="0" collapsed="false">
      <c r="D348" s="4" t="str">
        <f aca="false">IF($A348="","",IFERROR(VLOOKUP($B348,Dim_TOP!$A:$B,2,0),""))</f>
        <v/>
      </c>
      <c r="E348" s="36" t="str">
        <f aca="false">IF($A348="","",COUNTIFS(Fact_Work!$B:$B,$A348,Fact_Work!$AL:$AL,$B348))</f>
        <v/>
      </c>
      <c r="F348" s="22" t="str">
        <f aca="false">IF($A348="","",IF(COUNTIFS(Fact_Work!$B:$B,$A348,Fact_Work!$AL:$AL,$B348,Fact_Work!$AN:$AN,"&gt;0")=0,"",_xlfn.MINIFS(Fact_Work!$AN:$AN,Fact_Work!$B:$B,$A348,Fact_Work!$AL:$AL,$B348,Fact_Work!$AN:$AN,"&gt;0")))</f>
        <v/>
      </c>
      <c r="G348" s="37" t="str">
        <f aca="false">IF($A348="","",IF($F348="","",$A348+$F348/24))</f>
        <v/>
      </c>
      <c r="H348" s="38" t="str">
        <f aca="false">IF($A348="","",IF($G348="","",ROUND(($C348-$G348)*1440,0)))</f>
        <v/>
      </c>
      <c r="I348" s="4" t="str">
        <f aca="false">IF($A348="","",IF($H348="","",IF($H348&lt;=0,"Yes","No")))</f>
        <v/>
      </c>
      <c r="J348" s="4" t="str">
        <f aca="false">IF($A348="","",IF($I348="No",$E348,0))</f>
        <v/>
      </c>
      <c r="K348" s="22" t="str">
        <f aca="false">IF($A348="","",IF($F348="","",FLOOR($F348,0.5)))</f>
        <v/>
      </c>
      <c r="L348" s="39" t="str">
        <f aca="false">IF($A348="","",IF($H348="","",MAX(0,$H348)))</f>
        <v/>
      </c>
      <c r="M348" s="29" t="str">
        <f aca="false">IF($A348="","",IF($F348="","",COUNTIFS(Fact_Work!$B:$B,$A348,Fact_Work!$AL:$AL,$B348,Fact_Work!$AI:$AI,"Yes")))</f>
        <v/>
      </c>
    </row>
    <row r="349" customFormat="false" ht="15" hidden="false" customHeight="true" outlineLevel="0" collapsed="false">
      <c r="D349" s="4" t="str">
        <f aca="false">IF($A349="","",IFERROR(VLOOKUP($B349,Dim_TOP!$A:$B,2,0),""))</f>
        <v/>
      </c>
      <c r="E349" s="36" t="str">
        <f aca="false">IF($A349="","",COUNTIFS(Fact_Work!$B:$B,$A349,Fact_Work!$AL:$AL,$B349))</f>
        <v/>
      </c>
      <c r="F349" s="22" t="str">
        <f aca="false">IF($A349="","",IF(COUNTIFS(Fact_Work!$B:$B,$A349,Fact_Work!$AL:$AL,$B349,Fact_Work!$AN:$AN,"&gt;0")=0,"",_xlfn.MINIFS(Fact_Work!$AN:$AN,Fact_Work!$B:$B,$A349,Fact_Work!$AL:$AL,$B349,Fact_Work!$AN:$AN,"&gt;0")))</f>
        <v/>
      </c>
      <c r="G349" s="37" t="str">
        <f aca="false">IF($A349="","",IF($F349="","",$A349+$F349/24))</f>
        <v/>
      </c>
      <c r="H349" s="38" t="str">
        <f aca="false">IF($A349="","",IF($G349="","",ROUND(($C349-$G349)*1440,0)))</f>
        <v/>
      </c>
      <c r="I349" s="4" t="str">
        <f aca="false">IF($A349="","",IF($H349="","",IF($H349&lt;=0,"Yes","No")))</f>
        <v/>
      </c>
      <c r="J349" s="4" t="str">
        <f aca="false">IF($A349="","",IF($I349="No",$E349,0))</f>
        <v/>
      </c>
      <c r="K349" s="22" t="str">
        <f aca="false">IF($A349="","",IF($F349="","",FLOOR($F349,0.5)))</f>
        <v/>
      </c>
      <c r="L349" s="39" t="str">
        <f aca="false">IF($A349="","",IF($H349="","",MAX(0,$H349)))</f>
        <v/>
      </c>
      <c r="M349" s="29" t="str">
        <f aca="false">IF($A349="","",IF($F349="","",COUNTIFS(Fact_Work!$B:$B,$A349,Fact_Work!$AL:$AL,$B349,Fact_Work!$AI:$AI,"Yes")))</f>
        <v/>
      </c>
    </row>
    <row r="350" customFormat="false" ht="15" hidden="false" customHeight="true" outlineLevel="0" collapsed="false">
      <c r="D350" s="4" t="str">
        <f aca="false">IF($A350="","",IFERROR(VLOOKUP($B350,Dim_TOP!$A:$B,2,0),""))</f>
        <v/>
      </c>
      <c r="E350" s="36" t="str">
        <f aca="false">IF($A350="","",COUNTIFS(Fact_Work!$B:$B,$A350,Fact_Work!$AL:$AL,$B350))</f>
        <v/>
      </c>
      <c r="F350" s="22" t="str">
        <f aca="false">IF($A350="","",IF(COUNTIFS(Fact_Work!$B:$B,$A350,Fact_Work!$AL:$AL,$B350,Fact_Work!$AN:$AN,"&gt;0")=0,"",_xlfn.MINIFS(Fact_Work!$AN:$AN,Fact_Work!$B:$B,$A350,Fact_Work!$AL:$AL,$B350,Fact_Work!$AN:$AN,"&gt;0")))</f>
        <v/>
      </c>
      <c r="G350" s="37" t="str">
        <f aca="false">IF($A350="","",IF($F350="","",$A350+$F350/24))</f>
        <v/>
      </c>
      <c r="H350" s="38" t="str">
        <f aca="false">IF($A350="","",IF($G350="","",ROUND(($C350-$G350)*1440,0)))</f>
        <v/>
      </c>
      <c r="I350" s="4" t="str">
        <f aca="false">IF($A350="","",IF($H350="","",IF($H350&lt;=0,"Yes","No")))</f>
        <v/>
      </c>
      <c r="J350" s="4" t="str">
        <f aca="false">IF($A350="","",IF($I350="No",$E350,0))</f>
        <v/>
      </c>
      <c r="K350" s="22" t="str">
        <f aca="false">IF($A350="","",IF($F350="","",FLOOR($F350,0.5)))</f>
        <v/>
      </c>
      <c r="L350" s="39" t="str">
        <f aca="false">IF($A350="","",IF($H350="","",MAX(0,$H350)))</f>
        <v/>
      </c>
      <c r="M350" s="29" t="str">
        <f aca="false">IF($A350="","",IF($F350="","",COUNTIFS(Fact_Work!$B:$B,$A350,Fact_Work!$AL:$AL,$B350,Fact_Work!$AI:$AI,"Yes")))</f>
        <v/>
      </c>
    </row>
    <row r="351" customFormat="false" ht="15" hidden="false" customHeight="true" outlineLevel="0" collapsed="false">
      <c r="D351" s="4" t="str">
        <f aca="false">IF($A351="","",IFERROR(VLOOKUP($B351,Dim_TOP!$A:$B,2,0),""))</f>
        <v/>
      </c>
      <c r="E351" s="36" t="str">
        <f aca="false">IF($A351="","",COUNTIFS(Fact_Work!$B:$B,$A351,Fact_Work!$AL:$AL,$B351))</f>
        <v/>
      </c>
      <c r="F351" s="22" t="str">
        <f aca="false">IF($A351="","",IF(COUNTIFS(Fact_Work!$B:$B,$A351,Fact_Work!$AL:$AL,$B351,Fact_Work!$AN:$AN,"&gt;0")=0,"",_xlfn.MINIFS(Fact_Work!$AN:$AN,Fact_Work!$B:$B,$A351,Fact_Work!$AL:$AL,$B351,Fact_Work!$AN:$AN,"&gt;0")))</f>
        <v/>
      </c>
      <c r="G351" s="37" t="str">
        <f aca="false">IF($A351="","",IF($F351="","",$A351+$F351/24))</f>
        <v/>
      </c>
      <c r="H351" s="38" t="str">
        <f aca="false">IF($A351="","",IF($G351="","",ROUND(($C351-$G351)*1440,0)))</f>
        <v/>
      </c>
      <c r="I351" s="4" t="str">
        <f aca="false">IF($A351="","",IF($H351="","",IF($H351&lt;=0,"Yes","No")))</f>
        <v/>
      </c>
      <c r="J351" s="4" t="str">
        <f aca="false">IF($A351="","",IF($I351="No",$E351,0))</f>
        <v/>
      </c>
      <c r="K351" s="22" t="str">
        <f aca="false">IF($A351="","",IF($F351="","",FLOOR($F351,0.5)))</f>
        <v/>
      </c>
      <c r="L351" s="39" t="str">
        <f aca="false">IF($A351="","",IF($H351="","",MAX(0,$H351)))</f>
        <v/>
      </c>
      <c r="M351" s="29" t="str">
        <f aca="false">IF($A351="","",IF($F351="","",COUNTIFS(Fact_Work!$B:$B,$A351,Fact_Work!$AL:$AL,$B351,Fact_Work!$AI:$AI,"Yes")))</f>
        <v/>
      </c>
    </row>
    <row r="352" customFormat="false" ht="15" hidden="false" customHeight="true" outlineLevel="0" collapsed="false">
      <c r="D352" s="4" t="str">
        <f aca="false">IF($A352="","",IFERROR(VLOOKUP($B352,Dim_TOP!$A:$B,2,0),""))</f>
        <v/>
      </c>
      <c r="E352" s="36" t="str">
        <f aca="false">IF($A352="","",COUNTIFS(Fact_Work!$B:$B,$A352,Fact_Work!$AL:$AL,$B352))</f>
        <v/>
      </c>
      <c r="F352" s="22" t="str">
        <f aca="false">IF($A352="","",IF(COUNTIFS(Fact_Work!$B:$B,$A352,Fact_Work!$AL:$AL,$B352,Fact_Work!$AN:$AN,"&gt;0")=0,"",_xlfn.MINIFS(Fact_Work!$AN:$AN,Fact_Work!$B:$B,$A352,Fact_Work!$AL:$AL,$B352,Fact_Work!$AN:$AN,"&gt;0")))</f>
        <v/>
      </c>
      <c r="G352" s="37" t="str">
        <f aca="false">IF($A352="","",IF($F352="","",$A352+$F352/24))</f>
        <v/>
      </c>
      <c r="H352" s="38" t="str">
        <f aca="false">IF($A352="","",IF($G352="","",ROUND(($C352-$G352)*1440,0)))</f>
        <v/>
      </c>
      <c r="I352" s="4" t="str">
        <f aca="false">IF($A352="","",IF($H352="","",IF($H352&lt;=0,"Yes","No")))</f>
        <v/>
      </c>
      <c r="J352" s="4" t="str">
        <f aca="false">IF($A352="","",IF($I352="No",$E352,0))</f>
        <v/>
      </c>
      <c r="K352" s="22" t="str">
        <f aca="false">IF($A352="","",IF($F352="","",FLOOR($F352,0.5)))</f>
        <v/>
      </c>
      <c r="L352" s="39" t="str">
        <f aca="false">IF($A352="","",IF($H352="","",MAX(0,$H352)))</f>
        <v/>
      </c>
      <c r="M352" s="29" t="str">
        <f aca="false">IF($A352="","",IF($F352="","",COUNTIFS(Fact_Work!$B:$B,$A352,Fact_Work!$AL:$AL,$B352,Fact_Work!$AI:$AI,"Yes")))</f>
        <v/>
      </c>
    </row>
    <row r="353" customFormat="false" ht="15" hidden="false" customHeight="true" outlineLevel="0" collapsed="false">
      <c r="D353" s="4" t="str">
        <f aca="false">IF($A353="","",IFERROR(VLOOKUP($B353,Dim_TOP!$A:$B,2,0),""))</f>
        <v/>
      </c>
      <c r="E353" s="36" t="str">
        <f aca="false">IF($A353="","",COUNTIFS(Fact_Work!$B:$B,$A353,Fact_Work!$AL:$AL,$B353))</f>
        <v/>
      </c>
      <c r="F353" s="22" t="str">
        <f aca="false">IF($A353="","",IF(COUNTIFS(Fact_Work!$B:$B,$A353,Fact_Work!$AL:$AL,$B353,Fact_Work!$AN:$AN,"&gt;0")=0,"",_xlfn.MINIFS(Fact_Work!$AN:$AN,Fact_Work!$B:$B,$A353,Fact_Work!$AL:$AL,$B353,Fact_Work!$AN:$AN,"&gt;0")))</f>
        <v/>
      </c>
      <c r="G353" s="37" t="str">
        <f aca="false">IF($A353="","",IF($F353="","",$A353+$F353/24))</f>
        <v/>
      </c>
      <c r="H353" s="38" t="str">
        <f aca="false">IF($A353="","",IF($G353="","",ROUND(($C353-$G353)*1440,0)))</f>
        <v/>
      </c>
      <c r="I353" s="4" t="str">
        <f aca="false">IF($A353="","",IF($H353="","",IF($H353&lt;=0,"Yes","No")))</f>
        <v/>
      </c>
      <c r="J353" s="4" t="str">
        <f aca="false">IF($A353="","",IF($I353="No",$E353,0))</f>
        <v/>
      </c>
      <c r="K353" s="22" t="str">
        <f aca="false">IF($A353="","",IF($F353="","",FLOOR($F353,0.5)))</f>
        <v/>
      </c>
      <c r="L353" s="39" t="str">
        <f aca="false">IF($A353="","",IF($H353="","",MAX(0,$H353)))</f>
        <v/>
      </c>
      <c r="M353" s="29" t="str">
        <f aca="false">IF($A353="","",IF($F353="","",COUNTIFS(Fact_Work!$B:$B,$A353,Fact_Work!$AL:$AL,$B353,Fact_Work!$AI:$AI,"Yes")))</f>
        <v/>
      </c>
    </row>
    <row r="354" customFormat="false" ht="15" hidden="false" customHeight="true" outlineLevel="0" collapsed="false">
      <c r="D354" s="4" t="str">
        <f aca="false">IF($A354="","",IFERROR(VLOOKUP($B354,Dim_TOP!$A:$B,2,0),""))</f>
        <v/>
      </c>
      <c r="E354" s="36" t="str">
        <f aca="false">IF($A354="","",COUNTIFS(Fact_Work!$B:$B,$A354,Fact_Work!$AL:$AL,$B354))</f>
        <v/>
      </c>
      <c r="F354" s="22" t="str">
        <f aca="false">IF($A354="","",IF(COUNTIFS(Fact_Work!$B:$B,$A354,Fact_Work!$AL:$AL,$B354,Fact_Work!$AN:$AN,"&gt;0")=0,"",_xlfn.MINIFS(Fact_Work!$AN:$AN,Fact_Work!$B:$B,$A354,Fact_Work!$AL:$AL,$B354,Fact_Work!$AN:$AN,"&gt;0")))</f>
        <v/>
      </c>
      <c r="G354" s="37" t="str">
        <f aca="false">IF($A354="","",IF($F354="","",$A354+$F354/24))</f>
        <v/>
      </c>
      <c r="H354" s="38" t="str">
        <f aca="false">IF($A354="","",IF($G354="","",ROUND(($C354-$G354)*1440,0)))</f>
        <v/>
      </c>
      <c r="I354" s="4" t="str">
        <f aca="false">IF($A354="","",IF($H354="","",IF($H354&lt;=0,"Yes","No")))</f>
        <v/>
      </c>
      <c r="J354" s="4" t="str">
        <f aca="false">IF($A354="","",IF($I354="No",$E354,0))</f>
        <v/>
      </c>
      <c r="K354" s="22" t="str">
        <f aca="false">IF($A354="","",IF($F354="","",FLOOR($F354,0.5)))</f>
        <v/>
      </c>
      <c r="L354" s="39" t="str">
        <f aca="false">IF($A354="","",IF($H354="","",MAX(0,$H354)))</f>
        <v/>
      </c>
      <c r="M354" s="29" t="str">
        <f aca="false">IF($A354="","",IF($F354="","",COUNTIFS(Fact_Work!$B:$B,$A354,Fact_Work!$AL:$AL,$B354,Fact_Work!$AI:$AI,"Yes")))</f>
        <v/>
      </c>
    </row>
    <row r="355" customFormat="false" ht="15" hidden="false" customHeight="true" outlineLevel="0" collapsed="false">
      <c r="D355" s="4" t="str">
        <f aca="false">IF($A355="","",IFERROR(VLOOKUP($B355,Dim_TOP!$A:$B,2,0),""))</f>
        <v/>
      </c>
      <c r="E355" s="36" t="str">
        <f aca="false">IF($A355="","",COUNTIFS(Fact_Work!$B:$B,$A355,Fact_Work!$AL:$AL,$B355))</f>
        <v/>
      </c>
      <c r="F355" s="22" t="str">
        <f aca="false">IF($A355="","",IF(COUNTIFS(Fact_Work!$B:$B,$A355,Fact_Work!$AL:$AL,$B355,Fact_Work!$AN:$AN,"&gt;0")=0,"",_xlfn.MINIFS(Fact_Work!$AN:$AN,Fact_Work!$B:$B,$A355,Fact_Work!$AL:$AL,$B355,Fact_Work!$AN:$AN,"&gt;0")))</f>
        <v/>
      </c>
      <c r="G355" s="37" t="str">
        <f aca="false">IF($A355="","",IF($F355="","",$A355+$F355/24))</f>
        <v/>
      </c>
      <c r="H355" s="38" t="str">
        <f aca="false">IF($A355="","",IF($G355="","",ROUND(($C355-$G355)*1440,0)))</f>
        <v/>
      </c>
      <c r="I355" s="4" t="str">
        <f aca="false">IF($A355="","",IF($H355="","",IF($H355&lt;=0,"Yes","No")))</f>
        <v/>
      </c>
      <c r="J355" s="4" t="str">
        <f aca="false">IF($A355="","",IF($I355="No",$E355,0))</f>
        <v/>
      </c>
      <c r="K355" s="22" t="str">
        <f aca="false">IF($A355="","",IF($F355="","",FLOOR($F355,0.5)))</f>
        <v/>
      </c>
      <c r="L355" s="39" t="str">
        <f aca="false">IF($A355="","",IF($H355="","",MAX(0,$H355)))</f>
        <v/>
      </c>
      <c r="M355" s="29" t="str">
        <f aca="false">IF($A355="","",IF($F355="","",COUNTIFS(Fact_Work!$B:$B,$A355,Fact_Work!$AL:$AL,$B355,Fact_Work!$AI:$AI,"Yes")))</f>
        <v/>
      </c>
    </row>
    <row r="356" customFormat="false" ht="15" hidden="false" customHeight="true" outlineLevel="0" collapsed="false">
      <c r="D356" s="4" t="str">
        <f aca="false">IF($A356="","",IFERROR(VLOOKUP($B356,Dim_TOP!$A:$B,2,0),""))</f>
        <v/>
      </c>
      <c r="E356" s="36" t="str">
        <f aca="false">IF($A356="","",COUNTIFS(Fact_Work!$B:$B,$A356,Fact_Work!$AL:$AL,$B356))</f>
        <v/>
      </c>
      <c r="F356" s="22" t="str">
        <f aca="false">IF($A356="","",IF(COUNTIFS(Fact_Work!$B:$B,$A356,Fact_Work!$AL:$AL,$B356,Fact_Work!$AN:$AN,"&gt;0")=0,"",_xlfn.MINIFS(Fact_Work!$AN:$AN,Fact_Work!$B:$B,$A356,Fact_Work!$AL:$AL,$B356,Fact_Work!$AN:$AN,"&gt;0")))</f>
        <v/>
      </c>
      <c r="G356" s="37" t="str">
        <f aca="false">IF($A356="","",IF($F356="","",$A356+$F356/24))</f>
        <v/>
      </c>
      <c r="H356" s="38" t="str">
        <f aca="false">IF($A356="","",IF($G356="","",ROUND(($C356-$G356)*1440,0)))</f>
        <v/>
      </c>
      <c r="I356" s="4" t="str">
        <f aca="false">IF($A356="","",IF($H356="","",IF($H356&lt;=0,"Yes","No")))</f>
        <v/>
      </c>
      <c r="J356" s="4" t="str">
        <f aca="false">IF($A356="","",IF($I356="No",$E356,0))</f>
        <v/>
      </c>
      <c r="K356" s="22" t="str">
        <f aca="false">IF($A356="","",IF($F356="","",FLOOR($F356,0.5)))</f>
        <v/>
      </c>
      <c r="L356" s="39" t="str">
        <f aca="false">IF($A356="","",IF($H356="","",MAX(0,$H356)))</f>
        <v/>
      </c>
      <c r="M356" s="29" t="str">
        <f aca="false">IF($A356="","",IF($F356="","",COUNTIFS(Fact_Work!$B:$B,$A356,Fact_Work!$AL:$AL,$B356,Fact_Work!$AI:$AI,"Yes")))</f>
        <v/>
      </c>
    </row>
    <row r="357" customFormat="false" ht="15" hidden="false" customHeight="true" outlineLevel="0" collapsed="false">
      <c r="D357" s="4" t="str">
        <f aca="false">IF($A357="","",IFERROR(VLOOKUP($B357,Dim_TOP!$A:$B,2,0),""))</f>
        <v/>
      </c>
      <c r="E357" s="36" t="str">
        <f aca="false">IF($A357="","",COUNTIFS(Fact_Work!$B:$B,$A357,Fact_Work!$AL:$AL,$B357))</f>
        <v/>
      </c>
      <c r="F357" s="22" t="str">
        <f aca="false">IF($A357="","",IF(COUNTIFS(Fact_Work!$B:$B,$A357,Fact_Work!$AL:$AL,$B357,Fact_Work!$AN:$AN,"&gt;0")=0,"",_xlfn.MINIFS(Fact_Work!$AN:$AN,Fact_Work!$B:$B,$A357,Fact_Work!$AL:$AL,$B357,Fact_Work!$AN:$AN,"&gt;0")))</f>
        <v/>
      </c>
      <c r="G357" s="37" t="str">
        <f aca="false">IF($A357="","",IF($F357="","",$A357+$F357/24))</f>
        <v/>
      </c>
      <c r="H357" s="38" t="str">
        <f aca="false">IF($A357="","",IF($G357="","",ROUND(($C357-$G357)*1440,0)))</f>
        <v/>
      </c>
      <c r="I357" s="4" t="str">
        <f aca="false">IF($A357="","",IF($H357="","",IF($H357&lt;=0,"Yes","No")))</f>
        <v/>
      </c>
      <c r="J357" s="4" t="str">
        <f aca="false">IF($A357="","",IF($I357="No",$E357,0))</f>
        <v/>
      </c>
      <c r="K357" s="22" t="str">
        <f aca="false">IF($A357="","",IF($F357="","",FLOOR($F357,0.5)))</f>
        <v/>
      </c>
      <c r="L357" s="39" t="str">
        <f aca="false">IF($A357="","",IF($H357="","",MAX(0,$H357)))</f>
        <v/>
      </c>
      <c r="M357" s="29" t="str">
        <f aca="false">IF($A357="","",IF($F357="","",COUNTIFS(Fact_Work!$B:$B,$A357,Fact_Work!$AL:$AL,$B357,Fact_Work!$AI:$AI,"Yes")))</f>
        <v/>
      </c>
    </row>
    <row r="358" customFormat="false" ht="15" hidden="false" customHeight="true" outlineLevel="0" collapsed="false">
      <c r="D358" s="4" t="str">
        <f aca="false">IF($A358="","",IFERROR(VLOOKUP($B358,Dim_TOP!$A:$B,2,0),""))</f>
        <v/>
      </c>
      <c r="E358" s="36" t="str">
        <f aca="false">IF($A358="","",COUNTIFS(Fact_Work!$B:$B,$A358,Fact_Work!$AL:$AL,$B358))</f>
        <v/>
      </c>
      <c r="F358" s="22" t="str">
        <f aca="false">IF($A358="","",IF(COUNTIFS(Fact_Work!$B:$B,$A358,Fact_Work!$AL:$AL,$B358,Fact_Work!$AN:$AN,"&gt;0")=0,"",_xlfn.MINIFS(Fact_Work!$AN:$AN,Fact_Work!$B:$B,$A358,Fact_Work!$AL:$AL,$B358,Fact_Work!$AN:$AN,"&gt;0")))</f>
        <v/>
      </c>
      <c r="G358" s="37" t="str">
        <f aca="false">IF($A358="","",IF($F358="","",$A358+$F358/24))</f>
        <v/>
      </c>
      <c r="H358" s="38" t="str">
        <f aca="false">IF($A358="","",IF($G358="","",ROUND(($C358-$G358)*1440,0)))</f>
        <v/>
      </c>
      <c r="I358" s="4" t="str">
        <f aca="false">IF($A358="","",IF($H358="","",IF($H358&lt;=0,"Yes","No")))</f>
        <v/>
      </c>
      <c r="J358" s="4" t="str">
        <f aca="false">IF($A358="","",IF($I358="No",$E358,0))</f>
        <v/>
      </c>
      <c r="K358" s="22" t="str">
        <f aca="false">IF($A358="","",IF($F358="","",FLOOR($F358,0.5)))</f>
        <v/>
      </c>
      <c r="L358" s="39" t="str">
        <f aca="false">IF($A358="","",IF($H358="","",MAX(0,$H358)))</f>
        <v/>
      </c>
      <c r="M358" s="29" t="str">
        <f aca="false">IF($A358="","",IF($F358="","",COUNTIFS(Fact_Work!$B:$B,$A358,Fact_Work!$AL:$AL,$B358,Fact_Work!$AI:$AI,"Yes")))</f>
        <v/>
      </c>
    </row>
    <row r="359" customFormat="false" ht="15" hidden="false" customHeight="true" outlineLevel="0" collapsed="false">
      <c r="D359" s="4" t="str">
        <f aca="false">IF($A359="","",IFERROR(VLOOKUP($B359,Dim_TOP!$A:$B,2,0),""))</f>
        <v/>
      </c>
      <c r="E359" s="36" t="str">
        <f aca="false">IF($A359="","",COUNTIFS(Fact_Work!$B:$B,$A359,Fact_Work!$AL:$AL,$B359))</f>
        <v/>
      </c>
      <c r="F359" s="22" t="str">
        <f aca="false">IF($A359="","",IF(COUNTIFS(Fact_Work!$B:$B,$A359,Fact_Work!$AL:$AL,$B359,Fact_Work!$AN:$AN,"&gt;0")=0,"",_xlfn.MINIFS(Fact_Work!$AN:$AN,Fact_Work!$B:$B,$A359,Fact_Work!$AL:$AL,$B359,Fact_Work!$AN:$AN,"&gt;0")))</f>
        <v/>
      </c>
      <c r="G359" s="37" t="str">
        <f aca="false">IF($A359="","",IF($F359="","",$A359+$F359/24))</f>
        <v/>
      </c>
      <c r="H359" s="38" t="str">
        <f aca="false">IF($A359="","",IF($G359="","",ROUND(($C359-$G359)*1440,0)))</f>
        <v/>
      </c>
      <c r="I359" s="4" t="str">
        <f aca="false">IF($A359="","",IF($H359="","",IF($H359&lt;=0,"Yes","No")))</f>
        <v/>
      </c>
      <c r="J359" s="4" t="str">
        <f aca="false">IF($A359="","",IF($I359="No",$E359,0))</f>
        <v/>
      </c>
      <c r="K359" s="22" t="str">
        <f aca="false">IF($A359="","",IF($F359="","",FLOOR($F359,0.5)))</f>
        <v/>
      </c>
      <c r="L359" s="39" t="str">
        <f aca="false">IF($A359="","",IF($H359="","",MAX(0,$H359)))</f>
        <v/>
      </c>
      <c r="M359" s="29" t="str">
        <f aca="false">IF($A359="","",IF($F359="","",COUNTIFS(Fact_Work!$B:$B,$A359,Fact_Work!$AL:$AL,$B359,Fact_Work!$AI:$AI,"Yes")))</f>
        <v/>
      </c>
    </row>
    <row r="360" customFormat="false" ht="15" hidden="false" customHeight="true" outlineLevel="0" collapsed="false">
      <c r="D360" s="4" t="str">
        <f aca="false">IF($A360="","",IFERROR(VLOOKUP($B360,Dim_TOP!$A:$B,2,0),""))</f>
        <v/>
      </c>
      <c r="E360" s="36" t="str">
        <f aca="false">IF($A360="","",COUNTIFS(Fact_Work!$B:$B,$A360,Fact_Work!$AL:$AL,$B360))</f>
        <v/>
      </c>
      <c r="F360" s="22" t="str">
        <f aca="false">IF($A360="","",IF(COUNTIFS(Fact_Work!$B:$B,$A360,Fact_Work!$AL:$AL,$B360,Fact_Work!$AN:$AN,"&gt;0")=0,"",_xlfn.MINIFS(Fact_Work!$AN:$AN,Fact_Work!$B:$B,$A360,Fact_Work!$AL:$AL,$B360,Fact_Work!$AN:$AN,"&gt;0")))</f>
        <v/>
      </c>
      <c r="G360" s="37" t="str">
        <f aca="false">IF($A360="","",IF($F360="","",$A360+$F360/24))</f>
        <v/>
      </c>
      <c r="H360" s="38" t="str">
        <f aca="false">IF($A360="","",IF($G360="","",ROUND(($C360-$G360)*1440,0)))</f>
        <v/>
      </c>
      <c r="I360" s="4" t="str">
        <f aca="false">IF($A360="","",IF($H360="","",IF($H360&lt;=0,"Yes","No")))</f>
        <v/>
      </c>
      <c r="J360" s="4" t="str">
        <f aca="false">IF($A360="","",IF($I360="No",$E360,0))</f>
        <v/>
      </c>
      <c r="K360" s="22" t="str">
        <f aca="false">IF($A360="","",IF($F360="","",FLOOR($F360,0.5)))</f>
        <v/>
      </c>
      <c r="L360" s="39" t="str">
        <f aca="false">IF($A360="","",IF($H360="","",MAX(0,$H360)))</f>
        <v/>
      </c>
      <c r="M360" s="29" t="str">
        <f aca="false">IF($A360="","",IF($F360="","",COUNTIFS(Fact_Work!$B:$B,$A360,Fact_Work!$AL:$AL,$B360,Fact_Work!$AI:$AI,"Yes")))</f>
        <v/>
      </c>
    </row>
    <row r="361" customFormat="false" ht="15" hidden="false" customHeight="true" outlineLevel="0" collapsed="false">
      <c r="D361" s="4" t="str">
        <f aca="false">IF($A361="","",IFERROR(VLOOKUP($B361,Dim_TOP!$A:$B,2,0),""))</f>
        <v/>
      </c>
      <c r="E361" s="36" t="str">
        <f aca="false">IF($A361="","",COUNTIFS(Fact_Work!$B:$B,$A361,Fact_Work!$AL:$AL,$B361))</f>
        <v/>
      </c>
      <c r="F361" s="22" t="str">
        <f aca="false">IF($A361="","",IF(COUNTIFS(Fact_Work!$B:$B,$A361,Fact_Work!$AL:$AL,$B361,Fact_Work!$AN:$AN,"&gt;0")=0,"",_xlfn.MINIFS(Fact_Work!$AN:$AN,Fact_Work!$B:$B,$A361,Fact_Work!$AL:$AL,$B361,Fact_Work!$AN:$AN,"&gt;0")))</f>
        <v/>
      </c>
      <c r="G361" s="37" t="str">
        <f aca="false">IF($A361="","",IF($F361="","",$A361+$F361/24))</f>
        <v/>
      </c>
      <c r="H361" s="38" t="str">
        <f aca="false">IF($A361="","",IF($G361="","",ROUND(($C361-$G361)*1440,0)))</f>
        <v/>
      </c>
      <c r="I361" s="4" t="str">
        <f aca="false">IF($A361="","",IF($H361="","",IF($H361&lt;=0,"Yes","No")))</f>
        <v/>
      </c>
      <c r="J361" s="4" t="str">
        <f aca="false">IF($A361="","",IF($I361="No",$E361,0))</f>
        <v/>
      </c>
      <c r="K361" s="22" t="str">
        <f aca="false">IF($A361="","",IF($F361="","",FLOOR($F361,0.5)))</f>
        <v/>
      </c>
      <c r="L361" s="39" t="str">
        <f aca="false">IF($A361="","",IF($H361="","",MAX(0,$H361)))</f>
        <v/>
      </c>
      <c r="M361" s="29" t="str">
        <f aca="false">IF($A361="","",IF($F361="","",COUNTIFS(Fact_Work!$B:$B,$A361,Fact_Work!$AL:$AL,$B361,Fact_Work!$AI:$AI,"Yes")))</f>
        <v/>
      </c>
    </row>
    <row r="362" customFormat="false" ht="15" hidden="false" customHeight="true" outlineLevel="0" collapsed="false">
      <c r="D362" s="4" t="str">
        <f aca="false">IF($A362="","",IFERROR(VLOOKUP($B362,Dim_TOP!$A:$B,2,0),""))</f>
        <v/>
      </c>
      <c r="E362" s="36" t="str">
        <f aca="false">IF($A362="","",COUNTIFS(Fact_Work!$B:$B,$A362,Fact_Work!$AL:$AL,$B362))</f>
        <v/>
      </c>
      <c r="F362" s="22" t="str">
        <f aca="false">IF($A362="","",IF(COUNTIFS(Fact_Work!$B:$B,$A362,Fact_Work!$AL:$AL,$B362,Fact_Work!$AN:$AN,"&gt;0")=0,"",_xlfn.MINIFS(Fact_Work!$AN:$AN,Fact_Work!$B:$B,$A362,Fact_Work!$AL:$AL,$B362,Fact_Work!$AN:$AN,"&gt;0")))</f>
        <v/>
      </c>
      <c r="G362" s="37" t="str">
        <f aca="false">IF($A362="","",IF($F362="","",$A362+$F362/24))</f>
        <v/>
      </c>
      <c r="H362" s="38" t="str">
        <f aca="false">IF($A362="","",IF($G362="","",ROUND(($C362-$G362)*1440,0)))</f>
        <v/>
      </c>
      <c r="I362" s="4" t="str">
        <f aca="false">IF($A362="","",IF($H362="","",IF($H362&lt;=0,"Yes","No")))</f>
        <v/>
      </c>
      <c r="J362" s="4" t="str">
        <f aca="false">IF($A362="","",IF($I362="No",$E362,0))</f>
        <v/>
      </c>
      <c r="K362" s="22" t="str">
        <f aca="false">IF($A362="","",IF($F362="","",FLOOR($F362,0.5)))</f>
        <v/>
      </c>
      <c r="L362" s="39" t="str">
        <f aca="false">IF($A362="","",IF($H362="","",MAX(0,$H362)))</f>
        <v/>
      </c>
      <c r="M362" s="29" t="str">
        <f aca="false">IF($A362="","",IF($F362="","",COUNTIFS(Fact_Work!$B:$B,$A362,Fact_Work!$AL:$AL,$B362,Fact_Work!$AI:$AI,"Yes")))</f>
        <v/>
      </c>
    </row>
    <row r="363" customFormat="false" ht="15" hidden="false" customHeight="true" outlineLevel="0" collapsed="false">
      <c r="D363" s="4" t="str">
        <f aca="false">IF($A363="","",IFERROR(VLOOKUP($B363,Dim_TOP!$A:$B,2,0),""))</f>
        <v/>
      </c>
      <c r="E363" s="36" t="str">
        <f aca="false">IF($A363="","",COUNTIFS(Fact_Work!$B:$B,$A363,Fact_Work!$AL:$AL,$B363))</f>
        <v/>
      </c>
      <c r="F363" s="22" t="str">
        <f aca="false">IF($A363="","",IF(COUNTIFS(Fact_Work!$B:$B,$A363,Fact_Work!$AL:$AL,$B363,Fact_Work!$AN:$AN,"&gt;0")=0,"",_xlfn.MINIFS(Fact_Work!$AN:$AN,Fact_Work!$B:$B,$A363,Fact_Work!$AL:$AL,$B363,Fact_Work!$AN:$AN,"&gt;0")))</f>
        <v/>
      </c>
      <c r="G363" s="37" t="str">
        <f aca="false">IF($A363="","",IF($F363="","",$A363+$F363/24))</f>
        <v/>
      </c>
      <c r="H363" s="38" t="str">
        <f aca="false">IF($A363="","",IF($G363="","",ROUND(($C363-$G363)*1440,0)))</f>
        <v/>
      </c>
      <c r="I363" s="4" t="str">
        <f aca="false">IF($A363="","",IF($H363="","",IF($H363&lt;=0,"Yes","No")))</f>
        <v/>
      </c>
      <c r="J363" s="4" t="str">
        <f aca="false">IF($A363="","",IF($I363="No",$E363,0))</f>
        <v/>
      </c>
      <c r="K363" s="22" t="str">
        <f aca="false">IF($A363="","",IF($F363="","",FLOOR($F363,0.5)))</f>
        <v/>
      </c>
      <c r="L363" s="39" t="str">
        <f aca="false">IF($A363="","",IF($H363="","",MAX(0,$H363)))</f>
        <v/>
      </c>
      <c r="M363" s="29" t="str">
        <f aca="false">IF($A363="","",IF($F363="","",COUNTIFS(Fact_Work!$B:$B,$A363,Fact_Work!$AL:$AL,$B363,Fact_Work!$AI:$AI,"Yes")))</f>
        <v/>
      </c>
    </row>
    <row r="364" customFormat="false" ht="15" hidden="false" customHeight="true" outlineLevel="0" collapsed="false">
      <c r="D364" s="4" t="str">
        <f aca="false">IF($A364="","",IFERROR(VLOOKUP($B364,Dim_TOP!$A:$B,2,0),""))</f>
        <v/>
      </c>
      <c r="E364" s="36" t="str">
        <f aca="false">IF($A364="","",COUNTIFS(Fact_Work!$B:$B,$A364,Fact_Work!$AL:$AL,$B364))</f>
        <v/>
      </c>
      <c r="F364" s="22" t="str">
        <f aca="false">IF($A364="","",IF(COUNTIFS(Fact_Work!$B:$B,$A364,Fact_Work!$AL:$AL,$B364,Fact_Work!$AN:$AN,"&gt;0")=0,"",_xlfn.MINIFS(Fact_Work!$AN:$AN,Fact_Work!$B:$B,$A364,Fact_Work!$AL:$AL,$B364,Fact_Work!$AN:$AN,"&gt;0")))</f>
        <v/>
      </c>
      <c r="G364" s="37" t="str">
        <f aca="false">IF($A364="","",IF($F364="","",$A364+$F364/24))</f>
        <v/>
      </c>
      <c r="H364" s="38" t="str">
        <f aca="false">IF($A364="","",IF($G364="","",ROUND(($C364-$G364)*1440,0)))</f>
        <v/>
      </c>
      <c r="I364" s="4" t="str">
        <f aca="false">IF($A364="","",IF($H364="","",IF($H364&lt;=0,"Yes","No")))</f>
        <v/>
      </c>
      <c r="J364" s="4" t="str">
        <f aca="false">IF($A364="","",IF($I364="No",$E364,0))</f>
        <v/>
      </c>
      <c r="K364" s="22" t="str">
        <f aca="false">IF($A364="","",IF($F364="","",FLOOR($F364,0.5)))</f>
        <v/>
      </c>
      <c r="L364" s="39" t="str">
        <f aca="false">IF($A364="","",IF($H364="","",MAX(0,$H364)))</f>
        <v/>
      </c>
      <c r="M364" s="29" t="str">
        <f aca="false">IF($A364="","",IF($F364="","",COUNTIFS(Fact_Work!$B:$B,$A364,Fact_Work!$AL:$AL,$B364,Fact_Work!$AI:$AI,"Yes")))</f>
        <v/>
      </c>
    </row>
    <row r="365" customFormat="false" ht="15" hidden="false" customHeight="true" outlineLevel="0" collapsed="false">
      <c r="D365" s="4" t="str">
        <f aca="false">IF($A365="","",IFERROR(VLOOKUP($B365,Dim_TOP!$A:$B,2,0),""))</f>
        <v/>
      </c>
      <c r="E365" s="36" t="str">
        <f aca="false">IF($A365="","",COUNTIFS(Fact_Work!$B:$B,$A365,Fact_Work!$AL:$AL,$B365))</f>
        <v/>
      </c>
      <c r="F365" s="22" t="str">
        <f aca="false">IF($A365="","",IF(COUNTIFS(Fact_Work!$B:$B,$A365,Fact_Work!$AL:$AL,$B365,Fact_Work!$AN:$AN,"&gt;0")=0,"",_xlfn.MINIFS(Fact_Work!$AN:$AN,Fact_Work!$B:$B,$A365,Fact_Work!$AL:$AL,$B365,Fact_Work!$AN:$AN,"&gt;0")))</f>
        <v/>
      </c>
      <c r="G365" s="37" t="str">
        <f aca="false">IF($A365="","",IF($F365="","",$A365+$F365/24))</f>
        <v/>
      </c>
      <c r="H365" s="38" t="str">
        <f aca="false">IF($A365="","",IF($G365="","",ROUND(($C365-$G365)*1440,0)))</f>
        <v/>
      </c>
      <c r="I365" s="4" t="str">
        <f aca="false">IF($A365="","",IF($H365="","",IF($H365&lt;=0,"Yes","No")))</f>
        <v/>
      </c>
      <c r="J365" s="4" t="str">
        <f aca="false">IF($A365="","",IF($I365="No",$E365,0))</f>
        <v/>
      </c>
      <c r="K365" s="22" t="str">
        <f aca="false">IF($A365="","",IF($F365="","",FLOOR($F365,0.5)))</f>
        <v/>
      </c>
      <c r="L365" s="39" t="str">
        <f aca="false">IF($A365="","",IF($H365="","",MAX(0,$H365)))</f>
        <v/>
      </c>
      <c r="M365" s="29" t="str">
        <f aca="false">IF($A365="","",IF($F365="","",COUNTIFS(Fact_Work!$B:$B,$A365,Fact_Work!$AL:$AL,$B365,Fact_Work!$AI:$AI,"Yes")))</f>
        <v/>
      </c>
    </row>
    <row r="366" customFormat="false" ht="15" hidden="false" customHeight="true" outlineLevel="0" collapsed="false">
      <c r="D366" s="4" t="str">
        <f aca="false">IF($A366="","",IFERROR(VLOOKUP($B366,Dim_TOP!$A:$B,2,0),""))</f>
        <v/>
      </c>
      <c r="E366" s="36" t="str">
        <f aca="false">IF($A366="","",COUNTIFS(Fact_Work!$B:$B,$A366,Fact_Work!$AL:$AL,$B366))</f>
        <v/>
      </c>
      <c r="F366" s="22" t="str">
        <f aca="false">IF($A366="","",IF(COUNTIFS(Fact_Work!$B:$B,$A366,Fact_Work!$AL:$AL,$B366,Fact_Work!$AN:$AN,"&gt;0")=0,"",_xlfn.MINIFS(Fact_Work!$AN:$AN,Fact_Work!$B:$B,$A366,Fact_Work!$AL:$AL,$B366,Fact_Work!$AN:$AN,"&gt;0")))</f>
        <v/>
      </c>
      <c r="G366" s="37" t="str">
        <f aca="false">IF($A366="","",IF($F366="","",$A366+$F366/24))</f>
        <v/>
      </c>
      <c r="H366" s="38" t="str">
        <f aca="false">IF($A366="","",IF($G366="","",ROUND(($C366-$G366)*1440,0)))</f>
        <v/>
      </c>
      <c r="I366" s="4" t="str">
        <f aca="false">IF($A366="","",IF($H366="","",IF($H366&lt;=0,"Yes","No")))</f>
        <v/>
      </c>
      <c r="J366" s="4" t="str">
        <f aca="false">IF($A366="","",IF($I366="No",$E366,0))</f>
        <v/>
      </c>
      <c r="K366" s="22" t="str">
        <f aca="false">IF($A366="","",IF($F366="","",FLOOR($F366,0.5)))</f>
        <v/>
      </c>
      <c r="L366" s="39" t="str">
        <f aca="false">IF($A366="","",IF($H366="","",MAX(0,$H366)))</f>
        <v/>
      </c>
      <c r="M366" s="29" t="str">
        <f aca="false">IF($A366="","",IF($F366="","",COUNTIFS(Fact_Work!$B:$B,$A366,Fact_Work!$AL:$AL,$B366,Fact_Work!$AI:$AI,"Yes")))</f>
        <v/>
      </c>
    </row>
    <row r="367" customFormat="false" ht="15" hidden="false" customHeight="true" outlineLevel="0" collapsed="false">
      <c r="D367" s="4" t="str">
        <f aca="false">IF($A367="","",IFERROR(VLOOKUP($B367,Dim_TOP!$A:$B,2,0),""))</f>
        <v/>
      </c>
      <c r="E367" s="36" t="str">
        <f aca="false">IF($A367="","",COUNTIFS(Fact_Work!$B:$B,$A367,Fact_Work!$AL:$AL,$B367))</f>
        <v/>
      </c>
      <c r="F367" s="22" t="str">
        <f aca="false">IF($A367="","",IF(COUNTIFS(Fact_Work!$B:$B,$A367,Fact_Work!$AL:$AL,$B367,Fact_Work!$AN:$AN,"&gt;0")=0,"",_xlfn.MINIFS(Fact_Work!$AN:$AN,Fact_Work!$B:$B,$A367,Fact_Work!$AL:$AL,$B367,Fact_Work!$AN:$AN,"&gt;0")))</f>
        <v/>
      </c>
      <c r="G367" s="37" t="str">
        <f aca="false">IF($A367="","",IF($F367="","",$A367+$F367/24))</f>
        <v/>
      </c>
      <c r="H367" s="38" t="str">
        <f aca="false">IF($A367="","",IF($G367="","",ROUND(($C367-$G367)*1440,0)))</f>
        <v/>
      </c>
      <c r="I367" s="4" t="str">
        <f aca="false">IF($A367="","",IF($H367="","",IF($H367&lt;=0,"Yes","No")))</f>
        <v/>
      </c>
      <c r="J367" s="4" t="str">
        <f aca="false">IF($A367="","",IF($I367="No",$E367,0))</f>
        <v/>
      </c>
      <c r="K367" s="22" t="str">
        <f aca="false">IF($A367="","",IF($F367="","",FLOOR($F367,0.5)))</f>
        <v/>
      </c>
      <c r="L367" s="39" t="str">
        <f aca="false">IF($A367="","",IF($H367="","",MAX(0,$H367)))</f>
        <v/>
      </c>
      <c r="M367" s="29" t="str">
        <f aca="false">IF($A367="","",IF($F367="","",COUNTIFS(Fact_Work!$B:$B,$A367,Fact_Work!$AL:$AL,$B367,Fact_Work!$AI:$AI,"Yes")))</f>
        <v/>
      </c>
    </row>
    <row r="368" customFormat="false" ht="15" hidden="false" customHeight="true" outlineLevel="0" collapsed="false">
      <c r="D368" s="4" t="str">
        <f aca="false">IF($A368="","",IFERROR(VLOOKUP($B368,Dim_TOP!$A:$B,2,0),""))</f>
        <v/>
      </c>
      <c r="E368" s="36" t="str">
        <f aca="false">IF($A368="","",COUNTIFS(Fact_Work!$B:$B,$A368,Fact_Work!$AL:$AL,$B368))</f>
        <v/>
      </c>
      <c r="F368" s="22" t="str">
        <f aca="false">IF($A368="","",IF(COUNTIFS(Fact_Work!$B:$B,$A368,Fact_Work!$AL:$AL,$B368,Fact_Work!$AN:$AN,"&gt;0")=0,"",_xlfn.MINIFS(Fact_Work!$AN:$AN,Fact_Work!$B:$B,$A368,Fact_Work!$AL:$AL,$B368,Fact_Work!$AN:$AN,"&gt;0")))</f>
        <v/>
      </c>
      <c r="G368" s="37" t="str">
        <f aca="false">IF($A368="","",IF($F368="","",$A368+$F368/24))</f>
        <v/>
      </c>
      <c r="H368" s="38" t="str">
        <f aca="false">IF($A368="","",IF($G368="","",ROUND(($C368-$G368)*1440,0)))</f>
        <v/>
      </c>
      <c r="I368" s="4" t="str">
        <f aca="false">IF($A368="","",IF($H368="","",IF($H368&lt;=0,"Yes","No")))</f>
        <v/>
      </c>
      <c r="J368" s="4" t="str">
        <f aca="false">IF($A368="","",IF($I368="No",$E368,0))</f>
        <v/>
      </c>
      <c r="K368" s="22" t="str">
        <f aca="false">IF($A368="","",IF($F368="","",FLOOR($F368,0.5)))</f>
        <v/>
      </c>
      <c r="L368" s="39" t="str">
        <f aca="false">IF($A368="","",IF($H368="","",MAX(0,$H368)))</f>
        <v/>
      </c>
      <c r="M368" s="29" t="str">
        <f aca="false">IF($A368="","",IF($F368="","",COUNTIFS(Fact_Work!$B:$B,$A368,Fact_Work!$AL:$AL,$B368,Fact_Work!$AI:$AI,"Yes")))</f>
        <v/>
      </c>
    </row>
    <row r="369" customFormat="false" ht="15" hidden="false" customHeight="true" outlineLevel="0" collapsed="false">
      <c r="D369" s="4" t="str">
        <f aca="false">IF($A369="","",IFERROR(VLOOKUP($B369,Dim_TOP!$A:$B,2,0),""))</f>
        <v/>
      </c>
      <c r="E369" s="36" t="str">
        <f aca="false">IF($A369="","",COUNTIFS(Fact_Work!$B:$B,$A369,Fact_Work!$AL:$AL,$B369))</f>
        <v/>
      </c>
      <c r="F369" s="22" t="str">
        <f aca="false">IF($A369="","",IF(COUNTIFS(Fact_Work!$B:$B,$A369,Fact_Work!$AL:$AL,$B369,Fact_Work!$AN:$AN,"&gt;0")=0,"",_xlfn.MINIFS(Fact_Work!$AN:$AN,Fact_Work!$B:$B,$A369,Fact_Work!$AL:$AL,$B369,Fact_Work!$AN:$AN,"&gt;0")))</f>
        <v/>
      </c>
      <c r="G369" s="37" t="str">
        <f aca="false">IF($A369="","",IF($F369="","",$A369+$F369/24))</f>
        <v/>
      </c>
      <c r="H369" s="38" t="str">
        <f aca="false">IF($A369="","",IF($G369="","",ROUND(($C369-$G369)*1440,0)))</f>
        <v/>
      </c>
      <c r="I369" s="4" t="str">
        <f aca="false">IF($A369="","",IF($H369="","",IF($H369&lt;=0,"Yes","No")))</f>
        <v/>
      </c>
      <c r="J369" s="4" t="str">
        <f aca="false">IF($A369="","",IF($I369="No",$E369,0))</f>
        <v/>
      </c>
      <c r="K369" s="22" t="str">
        <f aca="false">IF($A369="","",IF($F369="","",FLOOR($F369,0.5)))</f>
        <v/>
      </c>
      <c r="L369" s="39" t="str">
        <f aca="false">IF($A369="","",IF($H369="","",MAX(0,$H369)))</f>
        <v/>
      </c>
      <c r="M369" s="29" t="str">
        <f aca="false">IF($A369="","",IF($F369="","",COUNTIFS(Fact_Work!$B:$B,$A369,Fact_Work!$AL:$AL,$B369,Fact_Work!$AI:$AI,"Yes")))</f>
        <v/>
      </c>
    </row>
    <row r="370" customFormat="false" ht="15" hidden="false" customHeight="true" outlineLevel="0" collapsed="false">
      <c r="D370" s="4" t="str">
        <f aca="false">IF($A370="","",IFERROR(VLOOKUP($B370,Dim_TOP!$A:$B,2,0),""))</f>
        <v/>
      </c>
      <c r="E370" s="36" t="str">
        <f aca="false">IF($A370="","",COUNTIFS(Fact_Work!$B:$B,$A370,Fact_Work!$AL:$AL,$B370))</f>
        <v/>
      </c>
      <c r="F370" s="22" t="str">
        <f aca="false">IF($A370="","",IF(COUNTIFS(Fact_Work!$B:$B,$A370,Fact_Work!$AL:$AL,$B370,Fact_Work!$AN:$AN,"&gt;0")=0,"",_xlfn.MINIFS(Fact_Work!$AN:$AN,Fact_Work!$B:$B,$A370,Fact_Work!$AL:$AL,$B370,Fact_Work!$AN:$AN,"&gt;0")))</f>
        <v/>
      </c>
      <c r="G370" s="37" t="str">
        <f aca="false">IF($A370="","",IF($F370="","",$A370+$F370/24))</f>
        <v/>
      </c>
      <c r="H370" s="38" t="str">
        <f aca="false">IF($A370="","",IF($G370="","",ROUND(($C370-$G370)*1440,0)))</f>
        <v/>
      </c>
      <c r="I370" s="4" t="str">
        <f aca="false">IF($A370="","",IF($H370="","",IF($H370&lt;=0,"Yes","No")))</f>
        <v/>
      </c>
      <c r="J370" s="4" t="str">
        <f aca="false">IF($A370="","",IF($I370="No",$E370,0))</f>
        <v/>
      </c>
      <c r="K370" s="22" t="str">
        <f aca="false">IF($A370="","",IF($F370="","",FLOOR($F370,0.5)))</f>
        <v/>
      </c>
      <c r="L370" s="39" t="str">
        <f aca="false">IF($A370="","",IF($H370="","",MAX(0,$H370)))</f>
        <v/>
      </c>
      <c r="M370" s="29" t="str">
        <f aca="false">IF($A370="","",IF($F370="","",COUNTIFS(Fact_Work!$B:$B,$A370,Fact_Work!$AL:$AL,$B370,Fact_Work!$AI:$AI,"Yes")))</f>
        <v/>
      </c>
    </row>
    <row r="371" customFormat="false" ht="15" hidden="false" customHeight="true" outlineLevel="0" collapsed="false">
      <c r="D371" s="4" t="str">
        <f aca="false">IF($A371="","",IFERROR(VLOOKUP($B371,Dim_TOP!$A:$B,2,0),""))</f>
        <v/>
      </c>
      <c r="E371" s="36" t="str">
        <f aca="false">IF($A371="","",COUNTIFS(Fact_Work!$B:$B,$A371,Fact_Work!$AL:$AL,$B371))</f>
        <v/>
      </c>
      <c r="F371" s="22" t="str">
        <f aca="false">IF($A371="","",IF(COUNTIFS(Fact_Work!$B:$B,$A371,Fact_Work!$AL:$AL,$B371,Fact_Work!$AN:$AN,"&gt;0")=0,"",_xlfn.MINIFS(Fact_Work!$AN:$AN,Fact_Work!$B:$B,$A371,Fact_Work!$AL:$AL,$B371,Fact_Work!$AN:$AN,"&gt;0")))</f>
        <v/>
      </c>
      <c r="G371" s="37" t="str">
        <f aca="false">IF($A371="","",IF($F371="","",$A371+$F371/24))</f>
        <v/>
      </c>
      <c r="H371" s="38" t="str">
        <f aca="false">IF($A371="","",IF($G371="","",ROUND(($C371-$G371)*1440,0)))</f>
        <v/>
      </c>
      <c r="I371" s="4" t="str">
        <f aca="false">IF($A371="","",IF($H371="","",IF($H371&lt;=0,"Yes","No")))</f>
        <v/>
      </c>
      <c r="J371" s="4" t="str">
        <f aca="false">IF($A371="","",IF($I371="No",$E371,0))</f>
        <v/>
      </c>
      <c r="K371" s="22" t="str">
        <f aca="false">IF($A371="","",IF($F371="","",FLOOR($F371,0.5)))</f>
        <v/>
      </c>
      <c r="L371" s="39" t="str">
        <f aca="false">IF($A371="","",IF($H371="","",MAX(0,$H371)))</f>
        <v/>
      </c>
      <c r="M371" s="29" t="str">
        <f aca="false">IF($A371="","",IF($F371="","",COUNTIFS(Fact_Work!$B:$B,$A371,Fact_Work!$AL:$AL,$B371,Fact_Work!$AI:$AI,"Yes")))</f>
        <v/>
      </c>
    </row>
    <row r="372" customFormat="false" ht="15" hidden="false" customHeight="true" outlineLevel="0" collapsed="false">
      <c r="D372" s="4" t="str">
        <f aca="false">IF($A372="","",IFERROR(VLOOKUP($B372,Dim_TOP!$A:$B,2,0),""))</f>
        <v/>
      </c>
      <c r="E372" s="36" t="str">
        <f aca="false">IF($A372="","",COUNTIFS(Fact_Work!$B:$B,$A372,Fact_Work!$AL:$AL,$B372))</f>
        <v/>
      </c>
      <c r="F372" s="22" t="str">
        <f aca="false">IF($A372="","",IF(COUNTIFS(Fact_Work!$B:$B,$A372,Fact_Work!$AL:$AL,$B372,Fact_Work!$AN:$AN,"&gt;0")=0,"",_xlfn.MINIFS(Fact_Work!$AN:$AN,Fact_Work!$B:$B,$A372,Fact_Work!$AL:$AL,$B372,Fact_Work!$AN:$AN,"&gt;0")))</f>
        <v/>
      </c>
      <c r="G372" s="37" t="str">
        <f aca="false">IF($A372="","",IF($F372="","",$A372+$F372/24))</f>
        <v/>
      </c>
      <c r="H372" s="38" t="str">
        <f aca="false">IF($A372="","",IF($G372="","",ROUND(($C372-$G372)*1440,0)))</f>
        <v/>
      </c>
      <c r="I372" s="4" t="str">
        <f aca="false">IF($A372="","",IF($H372="","",IF($H372&lt;=0,"Yes","No")))</f>
        <v/>
      </c>
      <c r="J372" s="4" t="str">
        <f aca="false">IF($A372="","",IF($I372="No",$E372,0))</f>
        <v/>
      </c>
      <c r="K372" s="22" t="str">
        <f aca="false">IF($A372="","",IF($F372="","",FLOOR($F372,0.5)))</f>
        <v/>
      </c>
      <c r="L372" s="39" t="str">
        <f aca="false">IF($A372="","",IF($H372="","",MAX(0,$H372)))</f>
        <v/>
      </c>
      <c r="M372" s="29" t="str">
        <f aca="false">IF($A372="","",IF($F372="","",COUNTIFS(Fact_Work!$B:$B,$A372,Fact_Work!$AL:$AL,$B372,Fact_Work!$AI:$AI,"Yes")))</f>
        <v/>
      </c>
    </row>
    <row r="373" customFormat="false" ht="15" hidden="false" customHeight="true" outlineLevel="0" collapsed="false">
      <c r="D373" s="4" t="str">
        <f aca="false">IF($A373="","",IFERROR(VLOOKUP($B373,Dim_TOP!$A:$B,2,0),""))</f>
        <v/>
      </c>
      <c r="E373" s="36" t="str">
        <f aca="false">IF($A373="","",COUNTIFS(Fact_Work!$B:$B,$A373,Fact_Work!$AL:$AL,$B373))</f>
        <v/>
      </c>
      <c r="F373" s="22" t="str">
        <f aca="false">IF($A373="","",IF(COUNTIFS(Fact_Work!$B:$B,$A373,Fact_Work!$AL:$AL,$B373,Fact_Work!$AN:$AN,"&gt;0")=0,"",_xlfn.MINIFS(Fact_Work!$AN:$AN,Fact_Work!$B:$B,$A373,Fact_Work!$AL:$AL,$B373,Fact_Work!$AN:$AN,"&gt;0")))</f>
        <v/>
      </c>
      <c r="G373" s="37" t="str">
        <f aca="false">IF($A373="","",IF($F373="","",$A373+$F373/24))</f>
        <v/>
      </c>
      <c r="H373" s="38" t="str">
        <f aca="false">IF($A373="","",IF($G373="","",ROUND(($C373-$G373)*1440,0)))</f>
        <v/>
      </c>
      <c r="I373" s="4" t="str">
        <f aca="false">IF($A373="","",IF($H373="","",IF($H373&lt;=0,"Yes","No")))</f>
        <v/>
      </c>
      <c r="J373" s="4" t="str">
        <f aca="false">IF($A373="","",IF($I373="No",$E373,0))</f>
        <v/>
      </c>
      <c r="K373" s="22" t="str">
        <f aca="false">IF($A373="","",IF($F373="","",FLOOR($F373,0.5)))</f>
        <v/>
      </c>
      <c r="L373" s="39" t="str">
        <f aca="false">IF($A373="","",IF($H373="","",MAX(0,$H373)))</f>
        <v/>
      </c>
      <c r="M373" s="29" t="str">
        <f aca="false">IF($A373="","",IF($F373="","",COUNTIFS(Fact_Work!$B:$B,$A373,Fact_Work!$AL:$AL,$B373,Fact_Work!$AI:$AI,"Yes")))</f>
        <v/>
      </c>
    </row>
    <row r="374" customFormat="false" ht="15" hidden="false" customHeight="true" outlineLevel="0" collapsed="false">
      <c r="D374" s="4" t="str">
        <f aca="false">IF($A374="","",IFERROR(VLOOKUP($B374,Dim_TOP!$A:$B,2,0),""))</f>
        <v/>
      </c>
      <c r="E374" s="36" t="str">
        <f aca="false">IF($A374="","",COUNTIFS(Fact_Work!$B:$B,$A374,Fact_Work!$AL:$AL,$B374))</f>
        <v/>
      </c>
      <c r="F374" s="22" t="str">
        <f aca="false">IF($A374="","",IF(COUNTIFS(Fact_Work!$B:$B,$A374,Fact_Work!$AL:$AL,$B374,Fact_Work!$AN:$AN,"&gt;0")=0,"",_xlfn.MINIFS(Fact_Work!$AN:$AN,Fact_Work!$B:$B,$A374,Fact_Work!$AL:$AL,$B374,Fact_Work!$AN:$AN,"&gt;0")))</f>
        <v/>
      </c>
      <c r="G374" s="37" t="str">
        <f aca="false">IF($A374="","",IF($F374="","",$A374+$F374/24))</f>
        <v/>
      </c>
      <c r="H374" s="38" t="str">
        <f aca="false">IF($A374="","",IF($G374="","",ROUND(($C374-$G374)*1440,0)))</f>
        <v/>
      </c>
      <c r="I374" s="4" t="str">
        <f aca="false">IF($A374="","",IF($H374="","",IF($H374&lt;=0,"Yes","No")))</f>
        <v/>
      </c>
      <c r="J374" s="4" t="str">
        <f aca="false">IF($A374="","",IF($I374="No",$E374,0))</f>
        <v/>
      </c>
      <c r="K374" s="22" t="str">
        <f aca="false">IF($A374="","",IF($F374="","",FLOOR($F374,0.5)))</f>
        <v/>
      </c>
      <c r="L374" s="39" t="str">
        <f aca="false">IF($A374="","",IF($H374="","",MAX(0,$H374)))</f>
        <v/>
      </c>
      <c r="M374" s="29" t="str">
        <f aca="false">IF($A374="","",IF($F374="","",COUNTIFS(Fact_Work!$B:$B,$A374,Fact_Work!$AL:$AL,$B374,Fact_Work!$AI:$AI,"Yes")))</f>
        <v/>
      </c>
    </row>
    <row r="375" customFormat="false" ht="15" hidden="false" customHeight="true" outlineLevel="0" collapsed="false">
      <c r="D375" s="4" t="str">
        <f aca="false">IF($A375="","",IFERROR(VLOOKUP($B375,Dim_TOP!$A:$B,2,0),""))</f>
        <v/>
      </c>
      <c r="E375" s="36" t="str">
        <f aca="false">IF($A375="","",COUNTIFS(Fact_Work!$B:$B,$A375,Fact_Work!$AL:$AL,$B375))</f>
        <v/>
      </c>
      <c r="F375" s="22" t="str">
        <f aca="false">IF($A375="","",IF(COUNTIFS(Fact_Work!$B:$B,$A375,Fact_Work!$AL:$AL,$B375,Fact_Work!$AN:$AN,"&gt;0")=0,"",_xlfn.MINIFS(Fact_Work!$AN:$AN,Fact_Work!$B:$B,$A375,Fact_Work!$AL:$AL,$B375,Fact_Work!$AN:$AN,"&gt;0")))</f>
        <v/>
      </c>
      <c r="G375" s="37" t="str">
        <f aca="false">IF($A375="","",IF($F375="","",$A375+$F375/24))</f>
        <v/>
      </c>
      <c r="H375" s="38" t="str">
        <f aca="false">IF($A375="","",IF($G375="","",ROUND(($C375-$G375)*1440,0)))</f>
        <v/>
      </c>
      <c r="I375" s="4" t="str">
        <f aca="false">IF($A375="","",IF($H375="","",IF($H375&lt;=0,"Yes","No")))</f>
        <v/>
      </c>
      <c r="J375" s="4" t="str">
        <f aca="false">IF($A375="","",IF($I375="No",$E375,0))</f>
        <v/>
      </c>
      <c r="K375" s="22" t="str">
        <f aca="false">IF($A375="","",IF($F375="","",FLOOR($F375,0.5)))</f>
        <v/>
      </c>
      <c r="L375" s="39" t="str">
        <f aca="false">IF($A375="","",IF($H375="","",MAX(0,$H375)))</f>
        <v/>
      </c>
      <c r="M375" s="29" t="str">
        <f aca="false">IF($A375="","",IF($F375="","",COUNTIFS(Fact_Work!$B:$B,$A375,Fact_Work!$AL:$AL,$B375,Fact_Work!$AI:$AI,"Yes")))</f>
        <v/>
      </c>
    </row>
    <row r="376" customFormat="false" ht="15" hidden="false" customHeight="true" outlineLevel="0" collapsed="false">
      <c r="D376" s="4" t="str">
        <f aca="false">IF($A376="","",IFERROR(VLOOKUP($B376,Dim_TOP!$A:$B,2,0),""))</f>
        <v/>
      </c>
      <c r="E376" s="36" t="str">
        <f aca="false">IF($A376="","",COUNTIFS(Fact_Work!$B:$B,$A376,Fact_Work!$AL:$AL,$B376))</f>
        <v/>
      </c>
      <c r="F376" s="22" t="str">
        <f aca="false">IF($A376="","",IF(COUNTIFS(Fact_Work!$B:$B,$A376,Fact_Work!$AL:$AL,$B376,Fact_Work!$AN:$AN,"&gt;0")=0,"",_xlfn.MINIFS(Fact_Work!$AN:$AN,Fact_Work!$B:$B,$A376,Fact_Work!$AL:$AL,$B376,Fact_Work!$AN:$AN,"&gt;0")))</f>
        <v/>
      </c>
      <c r="G376" s="37" t="str">
        <f aca="false">IF($A376="","",IF($F376="","",$A376+$F376/24))</f>
        <v/>
      </c>
      <c r="H376" s="38" t="str">
        <f aca="false">IF($A376="","",IF($G376="","",ROUND(($C376-$G376)*1440,0)))</f>
        <v/>
      </c>
      <c r="I376" s="4" t="str">
        <f aca="false">IF($A376="","",IF($H376="","",IF($H376&lt;=0,"Yes","No")))</f>
        <v/>
      </c>
      <c r="J376" s="4" t="str">
        <f aca="false">IF($A376="","",IF($I376="No",$E376,0))</f>
        <v/>
      </c>
      <c r="K376" s="22" t="str">
        <f aca="false">IF($A376="","",IF($F376="","",FLOOR($F376,0.5)))</f>
        <v/>
      </c>
      <c r="L376" s="39" t="str">
        <f aca="false">IF($A376="","",IF($H376="","",MAX(0,$H376)))</f>
        <v/>
      </c>
      <c r="M376" s="29" t="str">
        <f aca="false">IF($A376="","",IF($F376="","",COUNTIFS(Fact_Work!$B:$B,$A376,Fact_Work!$AL:$AL,$B376,Fact_Work!$AI:$AI,"Yes")))</f>
        <v/>
      </c>
    </row>
    <row r="377" customFormat="false" ht="15" hidden="false" customHeight="true" outlineLevel="0" collapsed="false">
      <c r="D377" s="4" t="str">
        <f aca="false">IF($A377="","",IFERROR(VLOOKUP($B377,Dim_TOP!$A:$B,2,0),""))</f>
        <v/>
      </c>
      <c r="E377" s="36" t="str">
        <f aca="false">IF($A377="","",COUNTIFS(Fact_Work!$B:$B,$A377,Fact_Work!$AL:$AL,$B377))</f>
        <v/>
      </c>
      <c r="F377" s="22" t="str">
        <f aca="false">IF($A377="","",IF(COUNTIFS(Fact_Work!$B:$B,$A377,Fact_Work!$AL:$AL,$B377,Fact_Work!$AN:$AN,"&gt;0")=0,"",_xlfn.MINIFS(Fact_Work!$AN:$AN,Fact_Work!$B:$B,$A377,Fact_Work!$AL:$AL,$B377,Fact_Work!$AN:$AN,"&gt;0")))</f>
        <v/>
      </c>
      <c r="G377" s="37" t="str">
        <f aca="false">IF($A377="","",IF($F377="","",$A377+$F377/24))</f>
        <v/>
      </c>
      <c r="H377" s="38" t="str">
        <f aca="false">IF($A377="","",IF($G377="","",ROUND(($C377-$G377)*1440,0)))</f>
        <v/>
      </c>
      <c r="I377" s="4" t="str">
        <f aca="false">IF($A377="","",IF($H377="","",IF($H377&lt;=0,"Yes","No")))</f>
        <v/>
      </c>
      <c r="J377" s="4" t="str">
        <f aca="false">IF($A377="","",IF($I377="No",$E377,0))</f>
        <v/>
      </c>
      <c r="K377" s="22" t="str">
        <f aca="false">IF($A377="","",IF($F377="","",FLOOR($F377,0.5)))</f>
        <v/>
      </c>
      <c r="L377" s="39" t="str">
        <f aca="false">IF($A377="","",IF($H377="","",MAX(0,$H377)))</f>
        <v/>
      </c>
      <c r="M377" s="29" t="str">
        <f aca="false">IF($A377="","",IF($F377="","",COUNTIFS(Fact_Work!$B:$B,$A377,Fact_Work!$AL:$AL,$B377,Fact_Work!$AI:$AI,"Yes")))</f>
        <v/>
      </c>
    </row>
    <row r="378" customFormat="false" ht="15" hidden="false" customHeight="true" outlineLevel="0" collapsed="false">
      <c r="D378" s="4" t="str">
        <f aca="false">IF($A378="","",IFERROR(VLOOKUP($B378,Dim_TOP!$A:$B,2,0),""))</f>
        <v/>
      </c>
      <c r="E378" s="36" t="str">
        <f aca="false">IF($A378="","",COUNTIFS(Fact_Work!$B:$B,$A378,Fact_Work!$AL:$AL,$B378))</f>
        <v/>
      </c>
      <c r="F378" s="22" t="str">
        <f aca="false">IF($A378="","",IF(COUNTIFS(Fact_Work!$B:$B,$A378,Fact_Work!$AL:$AL,$B378,Fact_Work!$AN:$AN,"&gt;0")=0,"",_xlfn.MINIFS(Fact_Work!$AN:$AN,Fact_Work!$B:$B,$A378,Fact_Work!$AL:$AL,$B378,Fact_Work!$AN:$AN,"&gt;0")))</f>
        <v/>
      </c>
      <c r="G378" s="37" t="str">
        <f aca="false">IF($A378="","",IF($F378="","",$A378+$F378/24))</f>
        <v/>
      </c>
      <c r="H378" s="38" t="str">
        <f aca="false">IF($A378="","",IF($G378="","",ROUND(($C378-$G378)*1440,0)))</f>
        <v/>
      </c>
      <c r="I378" s="4" t="str">
        <f aca="false">IF($A378="","",IF($H378="","",IF($H378&lt;=0,"Yes","No")))</f>
        <v/>
      </c>
      <c r="J378" s="4" t="str">
        <f aca="false">IF($A378="","",IF($I378="No",$E378,0))</f>
        <v/>
      </c>
      <c r="K378" s="22" t="str">
        <f aca="false">IF($A378="","",IF($F378="","",FLOOR($F378,0.5)))</f>
        <v/>
      </c>
      <c r="L378" s="39" t="str">
        <f aca="false">IF($A378="","",IF($H378="","",MAX(0,$H378)))</f>
        <v/>
      </c>
      <c r="M378" s="29" t="str">
        <f aca="false">IF($A378="","",IF($F378="","",COUNTIFS(Fact_Work!$B:$B,$A378,Fact_Work!$AL:$AL,$B378,Fact_Work!$AI:$AI,"Yes")))</f>
        <v/>
      </c>
    </row>
    <row r="379" customFormat="false" ht="15" hidden="false" customHeight="true" outlineLevel="0" collapsed="false">
      <c r="D379" s="4" t="str">
        <f aca="false">IF($A379="","",IFERROR(VLOOKUP($B379,Dim_TOP!$A:$B,2,0),""))</f>
        <v/>
      </c>
      <c r="E379" s="36" t="str">
        <f aca="false">IF($A379="","",COUNTIFS(Fact_Work!$B:$B,$A379,Fact_Work!$AL:$AL,$B379))</f>
        <v/>
      </c>
      <c r="F379" s="22" t="str">
        <f aca="false">IF($A379="","",IF(COUNTIFS(Fact_Work!$B:$B,$A379,Fact_Work!$AL:$AL,$B379,Fact_Work!$AN:$AN,"&gt;0")=0,"",_xlfn.MINIFS(Fact_Work!$AN:$AN,Fact_Work!$B:$B,$A379,Fact_Work!$AL:$AL,$B379,Fact_Work!$AN:$AN,"&gt;0")))</f>
        <v/>
      </c>
      <c r="G379" s="37" t="str">
        <f aca="false">IF($A379="","",IF($F379="","",$A379+$F379/24))</f>
        <v/>
      </c>
      <c r="H379" s="38" t="str">
        <f aca="false">IF($A379="","",IF($G379="","",ROUND(($C379-$G379)*1440,0)))</f>
        <v/>
      </c>
      <c r="I379" s="4" t="str">
        <f aca="false">IF($A379="","",IF($H379="","",IF($H379&lt;=0,"Yes","No")))</f>
        <v/>
      </c>
      <c r="J379" s="4" t="str">
        <f aca="false">IF($A379="","",IF($I379="No",$E379,0))</f>
        <v/>
      </c>
      <c r="K379" s="22" t="str">
        <f aca="false">IF($A379="","",IF($F379="","",FLOOR($F379,0.5)))</f>
        <v/>
      </c>
      <c r="L379" s="39" t="str">
        <f aca="false">IF($A379="","",IF($H379="","",MAX(0,$H379)))</f>
        <v/>
      </c>
      <c r="M379" s="29" t="str">
        <f aca="false">IF($A379="","",IF($F379="","",COUNTIFS(Fact_Work!$B:$B,$A379,Fact_Work!$AL:$AL,$B379,Fact_Work!$AI:$AI,"Yes")))</f>
        <v/>
      </c>
    </row>
    <row r="380" customFormat="false" ht="15" hidden="false" customHeight="true" outlineLevel="0" collapsed="false">
      <c r="D380" s="4" t="str">
        <f aca="false">IF($A380="","",IFERROR(VLOOKUP($B380,Dim_TOP!$A:$B,2,0),""))</f>
        <v/>
      </c>
      <c r="E380" s="36" t="str">
        <f aca="false">IF($A380="","",COUNTIFS(Fact_Work!$B:$B,$A380,Fact_Work!$AL:$AL,$B380))</f>
        <v/>
      </c>
      <c r="F380" s="22" t="str">
        <f aca="false">IF($A380="","",IF(COUNTIFS(Fact_Work!$B:$B,$A380,Fact_Work!$AL:$AL,$B380,Fact_Work!$AN:$AN,"&gt;0")=0,"",_xlfn.MINIFS(Fact_Work!$AN:$AN,Fact_Work!$B:$B,$A380,Fact_Work!$AL:$AL,$B380,Fact_Work!$AN:$AN,"&gt;0")))</f>
        <v/>
      </c>
      <c r="G380" s="37" t="str">
        <f aca="false">IF($A380="","",IF($F380="","",$A380+$F380/24))</f>
        <v/>
      </c>
      <c r="H380" s="38" t="str">
        <f aca="false">IF($A380="","",IF($G380="","",ROUND(($C380-$G380)*1440,0)))</f>
        <v/>
      </c>
      <c r="I380" s="4" t="str">
        <f aca="false">IF($A380="","",IF($H380="","",IF($H380&lt;=0,"Yes","No")))</f>
        <v/>
      </c>
      <c r="J380" s="4" t="str">
        <f aca="false">IF($A380="","",IF($I380="No",$E380,0))</f>
        <v/>
      </c>
      <c r="K380" s="22" t="str">
        <f aca="false">IF($A380="","",IF($F380="","",FLOOR($F380,0.5)))</f>
        <v/>
      </c>
      <c r="L380" s="39" t="str">
        <f aca="false">IF($A380="","",IF($H380="","",MAX(0,$H380)))</f>
        <v/>
      </c>
      <c r="M380" s="29" t="str">
        <f aca="false">IF($A380="","",IF($F380="","",COUNTIFS(Fact_Work!$B:$B,$A380,Fact_Work!$AL:$AL,$B380,Fact_Work!$AI:$AI,"Yes")))</f>
        <v/>
      </c>
    </row>
    <row r="381" customFormat="false" ht="15" hidden="false" customHeight="true" outlineLevel="0" collapsed="false">
      <c r="D381" s="4" t="str">
        <f aca="false">IF($A381="","",IFERROR(VLOOKUP($B381,Dim_TOP!$A:$B,2,0),""))</f>
        <v/>
      </c>
      <c r="E381" s="36" t="str">
        <f aca="false">IF($A381="","",COUNTIFS(Fact_Work!$B:$B,$A381,Fact_Work!$AL:$AL,$B381))</f>
        <v/>
      </c>
      <c r="F381" s="22" t="str">
        <f aca="false">IF($A381="","",IF(COUNTIFS(Fact_Work!$B:$B,$A381,Fact_Work!$AL:$AL,$B381,Fact_Work!$AN:$AN,"&gt;0")=0,"",_xlfn.MINIFS(Fact_Work!$AN:$AN,Fact_Work!$B:$B,$A381,Fact_Work!$AL:$AL,$B381,Fact_Work!$AN:$AN,"&gt;0")))</f>
        <v/>
      </c>
      <c r="G381" s="37" t="str">
        <f aca="false">IF($A381="","",IF($F381="","",$A381+$F381/24))</f>
        <v/>
      </c>
      <c r="H381" s="38" t="str">
        <f aca="false">IF($A381="","",IF($G381="","",ROUND(($C381-$G381)*1440,0)))</f>
        <v/>
      </c>
      <c r="I381" s="4" t="str">
        <f aca="false">IF($A381="","",IF($H381="","",IF($H381&lt;=0,"Yes","No")))</f>
        <v/>
      </c>
      <c r="J381" s="4" t="str">
        <f aca="false">IF($A381="","",IF($I381="No",$E381,0))</f>
        <v/>
      </c>
      <c r="K381" s="22" t="str">
        <f aca="false">IF($A381="","",IF($F381="","",FLOOR($F381,0.5)))</f>
        <v/>
      </c>
      <c r="L381" s="39" t="str">
        <f aca="false">IF($A381="","",IF($H381="","",MAX(0,$H381)))</f>
        <v/>
      </c>
      <c r="M381" s="29" t="str">
        <f aca="false">IF($A381="","",IF($F381="","",COUNTIFS(Fact_Work!$B:$B,$A381,Fact_Work!$AL:$AL,$B381,Fact_Work!$AI:$AI,"Yes")))</f>
        <v/>
      </c>
    </row>
    <row r="382" customFormat="false" ht="15" hidden="false" customHeight="true" outlineLevel="0" collapsed="false">
      <c r="D382" s="4" t="str">
        <f aca="false">IF($A382="","",IFERROR(VLOOKUP($B382,Dim_TOP!$A:$B,2,0),""))</f>
        <v/>
      </c>
      <c r="E382" s="36" t="str">
        <f aca="false">IF($A382="","",COUNTIFS(Fact_Work!$B:$B,$A382,Fact_Work!$AL:$AL,$B382))</f>
        <v/>
      </c>
      <c r="F382" s="22" t="str">
        <f aca="false">IF($A382="","",IF(COUNTIFS(Fact_Work!$B:$B,$A382,Fact_Work!$AL:$AL,$B382,Fact_Work!$AN:$AN,"&gt;0")=0,"",_xlfn.MINIFS(Fact_Work!$AN:$AN,Fact_Work!$B:$B,$A382,Fact_Work!$AL:$AL,$B382,Fact_Work!$AN:$AN,"&gt;0")))</f>
        <v/>
      </c>
      <c r="G382" s="37" t="str">
        <f aca="false">IF($A382="","",IF($F382="","",$A382+$F382/24))</f>
        <v/>
      </c>
      <c r="H382" s="38" t="str">
        <f aca="false">IF($A382="","",IF($G382="","",ROUND(($C382-$G382)*1440,0)))</f>
        <v/>
      </c>
      <c r="I382" s="4" t="str">
        <f aca="false">IF($A382="","",IF($H382="","",IF($H382&lt;=0,"Yes","No")))</f>
        <v/>
      </c>
      <c r="J382" s="4" t="str">
        <f aca="false">IF($A382="","",IF($I382="No",$E382,0))</f>
        <v/>
      </c>
      <c r="K382" s="22" t="str">
        <f aca="false">IF($A382="","",IF($F382="","",FLOOR($F382,0.5)))</f>
        <v/>
      </c>
      <c r="L382" s="39" t="str">
        <f aca="false">IF($A382="","",IF($H382="","",MAX(0,$H382)))</f>
        <v/>
      </c>
      <c r="M382" s="29" t="str">
        <f aca="false">IF($A382="","",IF($F382="","",COUNTIFS(Fact_Work!$B:$B,$A382,Fact_Work!$AL:$AL,$B382,Fact_Work!$AI:$AI,"Yes")))</f>
        <v/>
      </c>
    </row>
    <row r="383" customFormat="false" ht="15" hidden="false" customHeight="true" outlineLevel="0" collapsed="false">
      <c r="D383" s="4" t="str">
        <f aca="false">IF($A383="","",IFERROR(VLOOKUP($B383,Dim_TOP!$A:$B,2,0),""))</f>
        <v/>
      </c>
      <c r="E383" s="36" t="str">
        <f aca="false">IF($A383="","",COUNTIFS(Fact_Work!$B:$B,$A383,Fact_Work!$AL:$AL,$B383))</f>
        <v/>
      </c>
      <c r="F383" s="22" t="str">
        <f aca="false">IF($A383="","",IF(COUNTIFS(Fact_Work!$B:$B,$A383,Fact_Work!$AL:$AL,$B383,Fact_Work!$AN:$AN,"&gt;0")=0,"",_xlfn.MINIFS(Fact_Work!$AN:$AN,Fact_Work!$B:$B,$A383,Fact_Work!$AL:$AL,$B383,Fact_Work!$AN:$AN,"&gt;0")))</f>
        <v/>
      </c>
      <c r="G383" s="37" t="str">
        <f aca="false">IF($A383="","",IF($F383="","",$A383+$F383/24))</f>
        <v/>
      </c>
      <c r="H383" s="38" t="str">
        <f aca="false">IF($A383="","",IF($G383="","",ROUND(($C383-$G383)*1440,0)))</f>
        <v/>
      </c>
      <c r="I383" s="4" t="str">
        <f aca="false">IF($A383="","",IF($H383="","",IF($H383&lt;=0,"Yes","No")))</f>
        <v/>
      </c>
      <c r="J383" s="4" t="str">
        <f aca="false">IF($A383="","",IF($I383="No",$E383,0))</f>
        <v/>
      </c>
      <c r="K383" s="22" t="str">
        <f aca="false">IF($A383="","",IF($F383="","",FLOOR($F383,0.5)))</f>
        <v/>
      </c>
      <c r="L383" s="39" t="str">
        <f aca="false">IF($A383="","",IF($H383="","",MAX(0,$H383)))</f>
        <v/>
      </c>
      <c r="M383" s="29" t="str">
        <f aca="false">IF($A383="","",IF($F383="","",COUNTIFS(Fact_Work!$B:$B,$A383,Fact_Work!$AL:$AL,$B383,Fact_Work!$AI:$AI,"Yes")))</f>
        <v/>
      </c>
    </row>
    <row r="384" customFormat="false" ht="15" hidden="false" customHeight="true" outlineLevel="0" collapsed="false">
      <c r="D384" s="4" t="str">
        <f aca="false">IF($A384="","",IFERROR(VLOOKUP($B384,Dim_TOP!$A:$B,2,0),""))</f>
        <v/>
      </c>
      <c r="E384" s="36" t="str">
        <f aca="false">IF($A384="","",COUNTIFS(Fact_Work!$B:$B,$A384,Fact_Work!$AL:$AL,$B384))</f>
        <v/>
      </c>
      <c r="F384" s="22" t="str">
        <f aca="false">IF($A384="","",IF(COUNTIFS(Fact_Work!$B:$B,$A384,Fact_Work!$AL:$AL,$B384,Fact_Work!$AN:$AN,"&gt;0")=0,"",_xlfn.MINIFS(Fact_Work!$AN:$AN,Fact_Work!$B:$B,$A384,Fact_Work!$AL:$AL,$B384,Fact_Work!$AN:$AN,"&gt;0")))</f>
        <v/>
      </c>
      <c r="G384" s="37" t="str">
        <f aca="false">IF($A384="","",IF($F384="","",$A384+$F384/24))</f>
        <v/>
      </c>
      <c r="H384" s="38" t="str">
        <f aca="false">IF($A384="","",IF($G384="","",ROUND(($C384-$G384)*1440,0)))</f>
        <v/>
      </c>
      <c r="I384" s="4" t="str">
        <f aca="false">IF($A384="","",IF($H384="","",IF($H384&lt;=0,"Yes","No")))</f>
        <v/>
      </c>
      <c r="J384" s="4" t="str">
        <f aca="false">IF($A384="","",IF($I384="No",$E384,0))</f>
        <v/>
      </c>
      <c r="K384" s="22" t="str">
        <f aca="false">IF($A384="","",IF($F384="","",FLOOR($F384,0.5)))</f>
        <v/>
      </c>
      <c r="L384" s="39" t="str">
        <f aca="false">IF($A384="","",IF($H384="","",MAX(0,$H384)))</f>
        <v/>
      </c>
      <c r="M384" s="29" t="str">
        <f aca="false">IF($A384="","",IF($F384="","",COUNTIFS(Fact_Work!$B:$B,$A384,Fact_Work!$AL:$AL,$B384,Fact_Work!$AI:$AI,"Yes")))</f>
        <v/>
      </c>
    </row>
    <row r="385" customFormat="false" ht="15" hidden="false" customHeight="true" outlineLevel="0" collapsed="false">
      <c r="D385" s="4" t="str">
        <f aca="false">IF($A385="","",IFERROR(VLOOKUP($B385,Dim_TOP!$A:$B,2,0),""))</f>
        <v/>
      </c>
      <c r="E385" s="36" t="str">
        <f aca="false">IF($A385="","",COUNTIFS(Fact_Work!$B:$B,$A385,Fact_Work!$AL:$AL,$B385))</f>
        <v/>
      </c>
      <c r="F385" s="22" t="str">
        <f aca="false">IF($A385="","",IF(COUNTIFS(Fact_Work!$B:$B,$A385,Fact_Work!$AL:$AL,$B385,Fact_Work!$AN:$AN,"&gt;0")=0,"",_xlfn.MINIFS(Fact_Work!$AN:$AN,Fact_Work!$B:$B,$A385,Fact_Work!$AL:$AL,$B385,Fact_Work!$AN:$AN,"&gt;0")))</f>
        <v/>
      </c>
      <c r="G385" s="37" t="str">
        <f aca="false">IF($A385="","",IF($F385="","",$A385+$F385/24))</f>
        <v/>
      </c>
      <c r="H385" s="38" t="str">
        <f aca="false">IF($A385="","",IF($G385="","",ROUND(($C385-$G385)*1440,0)))</f>
        <v/>
      </c>
      <c r="I385" s="4" t="str">
        <f aca="false">IF($A385="","",IF($H385="","",IF($H385&lt;=0,"Yes","No")))</f>
        <v/>
      </c>
      <c r="J385" s="4" t="str">
        <f aca="false">IF($A385="","",IF($I385="No",$E385,0))</f>
        <v/>
      </c>
      <c r="K385" s="22" t="str">
        <f aca="false">IF($A385="","",IF($F385="","",FLOOR($F385,0.5)))</f>
        <v/>
      </c>
      <c r="L385" s="39" t="str">
        <f aca="false">IF($A385="","",IF($H385="","",MAX(0,$H385)))</f>
        <v/>
      </c>
      <c r="M385" s="29" t="str">
        <f aca="false">IF($A385="","",IF($F385="","",COUNTIFS(Fact_Work!$B:$B,$A385,Fact_Work!$AL:$AL,$B385,Fact_Work!$AI:$AI,"Yes")))</f>
        <v/>
      </c>
    </row>
    <row r="386" customFormat="false" ht="15" hidden="false" customHeight="true" outlineLevel="0" collapsed="false">
      <c r="D386" s="4" t="str">
        <f aca="false">IF($A386="","",IFERROR(VLOOKUP($B386,Dim_TOP!$A:$B,2,0),""))</f>
        <v/>
      </c>
      <c r="E386" s="36" t="str">
        <f aca="false">IF($A386="","",COUNTIFS(Fact_Work!$B:$B,$A386,Fact_Work!$AL:$AL,$B386))</f>
        <v/>
      </c>
      <c r="F386" s="22" t="str">
        <f aca="false">IF($A386="","",IF(COUNTIFS(Fact_Work!$B:$B,$A386,Fact_Work!$AL:$AL,$B386,Fact_Work!$AN:$AN,"&gt;0")=0,"",_xlfn.MINIFS(Fact_Work!$AN:$AN,Fact_Work!$B:$B,$A386,Fact_Work!$AL:$AL,$B386,Fact_Work!$AN:$AN,"&gt;0")))</f>
        <v/>
      </c>
      <c r="G386" s="37" t="str">
        <f aca="false">IF($A386="","",IF($F386="","",$A386+$F386/24))</f>
        <v/>
      </c>
      <c r="H386" s="38" t="str">
        <f aca="false">IF($A386="","",IF($G386="","",ROUND(($C386-$G386)*1440,0)))</f>
        <v/>
      </c>
      <c r="I386" s="4" t="str">
        <f aca="false">IF($A386="","",IF($H386="","",IF($H386&lt;=0,"Yes","No")))</f>
        <v/>
      </c>
      <c r="J386" s="4" t="str">
        <f aca="false">IF($A386="","",IF($I386="No",$E386,0))</f>
        <v/>
      </c>
      <c r="K386" s="22" t="str">
        <f aca="false">IF($A386="","",IF($F386="","",FLOOR($F386,0.5)))</f>
        <v/>
      </c>
      <c r="L386" s="39" t="str">
        <f aca="false">IF($A386="","",IF($H386="","",MAX(0,$H386)))</f>
        <v/>
      </c>
      <c r="M386" s="29" t="str">
        <f aca="false">IF($A386="","",IF($F386="","",COUNTIFS(Fact_Work!$B:$B,$A386,Fact_Work!$AL:$AL,$B386,Fact_Work!$AI:$AI,"Yes")))</f>
        <v/>
      </c>
    </row>
    <row r="387" customFormat="false" ht="15" hidden="false" customHeight="true" outlineLevel="0" collapsed="false">
      <c r="D387" s="4" t="str">
        <f aca="false">IF($A387="","",IFERROR(VLOOKUP($B387,Dim_TOP!$A:$B,2,0),""))</f>
        <v/>
      </c>
      <c r="E387" s="36" t="str">
        <f aca="false">IF($A387="","",COUNTIFS(Fact_Work!$B:$B,$A387,Fact_Work!$AL:$AL,$B387))</f>
        <v/>
      </c>
      <c r="F387" s="22" t="str">
        <f aca="false">IF($A387="","",IF(COUNTIFS(Fact_Work!$B:$B,$A387,Fact_Work!$AL:$AL,$B387,Fact_Work!$AN:$AN,"&gt;0")=0,"",_xlfn.MINIFS(Fact_Work!$AN:$AN,Fact_Work!$B:$B,$A387,Fact_Work!$AL:$AL,$B387,Fact_Work!$AN:$AN,"&gt;0")))</f>
        <v/>
      </c>
      <c r="G387" s="37" t="str">
        <f aca="false">IF($A387="","",IF($F387="","",$A387+$F387/24))</f>
        <v/>
      </c>
      <c r="H387" s="38" t="str">
        <f aca="false">IF($A387="","",IF($G387="","",ROUND(($C387-$G387)*1440,0)))</f>
        <v/>
      </c>
      <c r="I387" s="4" t="str">
        <f aca="false">IF($A387="","",IF($H387="","",IF($H387&lt;=0,"Yes","No")))</f>
        <v/>
      </c>
      <c r="J387" s="4" t="str">
        <f aca="false">IF($A387="","",IF($I387="No",$E387,0))</f>
        <v/>
      </c>
      <c r="K387" s="22" t="str">
        <f aca="false">IF($A387="","",IF($F387="","",FLOOR($F387,0.5)))</f>
        <v/>
      </c>
      <c r="L387" s="39" t="str">
        <f aca="false">IF($A387="","",IF($H387="","",MAX(0,$H387)))</f>
        <v/>
      </c>
      <c r="M387" s="29" t="str">
        <f aca="false">IF($A387="","",IF($F387="","",COUNTIFS(Fact_Work!$B:$B,$A387,Fact_Work!$AL:$AL,$B387,Fact_Work!$AI:$AI,"Yes")))</f>
        <v/>
      </c>
    </row>
    <row r="388" customFormat="false" ht="15" hidden="false" customHeight="true" outlineLevel="0" collapsed="false">
      <c r="D388" s="4" t="str">
        <f aca="false">IF($A388="","",IFERROR(VLOOKUP($B388,Dim_TOP!$A:$B,2,0),""))</f>
        <v/>
      </c>
      <c r="E388" s="36" t="str">
        <f aca="false">IF($A388="","",COUNTIFS(Fact_Work!$B:$B,$A388,Fact_Work!$AL:$AL,$B388))</f>
        <v/>
      </c>
      <c r="F388" s="22" t="str">
        <f aca="false">IF($A388="","",IF(COUNTIFS(Fact_Work!$B:$B,$A388,Fact_Work!$AL:$AL,$B388,Fact_Work!$AN:$AN,"&gt;0")=0,"",_xlfn.MINIFS(Fact_Work!$AN:$AN,Fact_Work!$B:$B,$A388,Fact_Work!$AL:$AL,$B388,Fact_Work!$AN:$AN,"&gt;0")))</f>
        <v/>
      </c>
      <c r="G388" s="37" t="str">
        <f aca="false">IF($A388="","",IF($F388="","",$A388+$F388/24))</f>
        <v/>
      </c>
      <c r="H388" s="38" t="str">
        <f aca="false">IF($A388="","",IF($G388="","",ROUND(($C388-$G388)*1440,0)))</f>
        <v/>
      </c>
      <c r="I388" s="4" t="str">
        <f aca="false">IF($A388="","",IF($H388="","",IF($H388&lt;=0,"Yes","No")))</f>
        <v/>
      </c>
      <c r="J388" s="4" t="str">
        <f aca="false">IF($A388="","",IF($I388="No",$E388,0))</f>
        <v/>
      </c>
      <c r="K388" s="22" t="str">
        <f aca="false">IF($A388="","",IF($F388="","",FLOOR($F388,0.5)))</f>
        <v/>
      </c>
      <c r="L388" s="39" t="str">
        <f aca="false">IF($A388="","",IF($H388="","",MAX(0,$H388)))</f>
        <v/>
      </c>
      <c r="M388" s="29" t="str">
        <f aca="false">IF($A388="","",IF($F388="","",COUNTIFS(Fact_Work!$B:$B,$A388,Fact_Work!$AL:$AL,$B388,Fact_Work!$AI:$AI,"Yes")))</f>
        <v/>
      </c>
    </row>
    <row r="389" customFormat="false" ht="15" hidden="false" customHeight="true" outlineLevel="0" collapsed="false">
      <c r="D389" s="4" t="str">
        <f aca="false">IF($A389="","",IFERROR(VLOOKUP($B389,Dim_TOP!$A:$B,2,0),""))</f>
        <v/>
      </c>
      <c r="E389" s="36" t="str">
        <f aca="false">IF($A389="","",COUNTIFS(Fact_Work!$B:$B,$A389,Fact_Work!$AL:$AL,$B389))</f>
        <v/>
      </c>
      <c r="F389" s="22" t="str">
        <f aca="false">IF($A389="","",IF(COUNTIFS(Fact_Work!$B:$B,$A389,Fact_Work!$AL:$AL,$B389,Fact_Work!$AN:$AN,"&gt;0")=0,"",_xlfn.MINIFS(Fact_Work!$AN:$AN,Fact_Work!$B:$B,$A389,Fact_Work!$AL:$AL,$B389,Fact_Work!$AN:$AN,"&gt;0")))</f>
        <v/>
      </c>
      <c r="G389" s="37" t="str">
        <f aca="false">IF($A389="","",IF($F389="","",$A389+$F389/24))</f>
        <v/>
      </c>
      <c r="H389" s="38" t="str">
        <f aca="false">IF($A389="","",IF($G389="","",ROUND(($C389-$G389)*1440,0)))</f>
        <v/>
      </c>
      <c r="I389" s="4" t="str">
        <f aca="false">IF($A389="","",IF($H389="","",IF($H389&lt;=0,"Yes","No")))</f>
        <v/>
      </c>
      <c r="J389" s="4" t="str">
        <f aca="false">IF($A389="","",IF($I389="No",$E389,0))</f>
        <v/>
      </c>
      <c r="K389" s="22" t="str">
        <f aca="false">IF($A389="","",IF($F389="","",FLOOR($F389,0.5)))</f>
        <v/>
      </c>
      <c r="L389" s="39" t="str">
        <f aca="false">IF($A389="","",IF($H389="","",MAX(0,$H389)))</f>
        <v/>
      </c>
      <c r="M389" s="29" t="str">
        <f aca="false">IF($A389="","",IF($F389="","",COUNTIFS(Fact_Work!$B:$B,$A389,Fact_Work!$AL:$AL,$B389,Fact_Work!$AI:$AI,"Yes")))</f>
        <v/>
      </c>
    </row>
    <row r="390" customFormat="false" ht="15" hidden="false" customHeight="true" outlineLevel="0" collapsed="false">
      <c r="D390" s="4" t="str">
        <f aca="false">IF($A390="","",IFERROR(VLOOKUP($B390,Dim_TOP!$A:$B,2,0),""))</f>
        <v/>
      </c>
      <c r="E390" s="36" t="str">
        <f aca="false">IF($A390="","",COUNTIFS(Fact_Work!$B:$B,$A390,Fact_Work!$AL:$AL,$B390))</f>
        <v/>
      </c>
      <c r="F390" s="22" t="str">
        <f aca="false">IF($A390="","",IF(COUNTIFS(Fact_Work!$B:$B,$A390,Fact_Work!$AL:$AL,$B390,Fact_Work!$AN:$AN,"&gt;0")=0,"",_xlfn.MINIFS(Fact_Work!$AN:$AN,Fact_Work!$B:$B,$A390,Fact_Work!$AL:$AL,$B390,Fact_Work!$AN:$AN,"&gt;0")))</f>
        <v/>
      </c>
      <c r="G390" s="37" t="str">
        <f aca="false">IF($A390="","",IF($F390="","",$A390+$F390/24))</f>
        <v/>
      </c>
      <c r="H390" s="38" t="str">
        <f aca="false">IF($A390="","",IF($G390="","",ROUND(($C390-$G390)*1440,0)))</f>
        <v/>
      </c>
      <c r="I390" s="4" t="str">
        <f aca="false">IF($A390="","",IF($H390="","",IF($H390&lt;=0,"Yes","No")))</f>
        <v/>
      </c>
      <c r="J390" s="4" t="str">
        <f aca="false">IF($A390="","",IF($I390="No",$E390,0))</f>
        <v/>
      </c>
      <c r="K390" s="22" t="str">
        <f aca="false">IF($A390="","",IF($F390="","",FLOOR($F390,0.5)))</f>
        <v/>
      </c>
      <c r="L390" s="39" t="str">
        <f aca="false">IF($A390="","",IF($H390="","",MAX(0,$H390)))</f>
        <v/>
      </c>
      <c r="M390" s="29" t="str">
        <f aca="false">IF($A390="","",IF($F390="","",COUNTIFS(Fact_Work!$B:$B,$A390,Fact_Work!$AL:$AL,$B390,Fact_Work!$AI:$AI,"Yes")))</f>
        <v/>
      </c>
    </row>
    <row r="391" customFormat="false" ht="15" hidden="false" customHeight="true" outlineLevel="0" collapsed="false">
      <c r="D391" s="4" t="str">
        <f aca="false">IF($A391="","",IFERROR(VLOOKUP($B391,Dim_TOP!$A:$B,2,0),""))</f>
        <v/>
      </c>
      <c r="E391" s="36" t="str">
        <f aca="false">IF($A391="","",COUNTIFS(Fact_Work!$B:$B,$A391,Fact_Work!$AL:$AL,$B391))</f>
        <v/>
      </c>
      <c r="F391" s="22" t="str">
        <f aca="false">IF($A391="","",IF(COUNTIFS(Fact_Work!$B:$B,$A391,Fact_Work!$AL:$AL,$B391,Fact_Work!$AN:$AN,"&gt;0")=0,"",_xlfn.MINIFS(Fact_Work!$AN:$AN,Fact_Work!$B:$B,$A391,Fact_Work!$AL:$AL,$B391,Fact_Work!$AN:$AN,"&gt;0")))</f>
        <v/>
      </c>
      <c r="G391" s="37" t="str">
        <f aca="false">IF($A391="","",IF($F391="","",$A391+$F391/24))</f>
        <v/>
      </c>
      <c r="H391" s="38" t="str">
        <f aca="false">IF($A391="","",IF($G391="","",ROUND(($C391-$G391)*1440,0)))</f>
        <v/>
      </c>
      <c r="I391" s="4" t="str">
        <f aca="false">IF($A391="","",IF($H391="","",IF($H391&lt;=0,"Yes","No")))</f>
        <v/>
      </c>
      <c r="J391" s="4" t="str">
        <f aca="false">IF($A391="","",IF($I391="No",$E391,0))</f>
        <v/>
      </c>
      <c r="K391" s="22" t="str">
        <f aca="false">IF($A391="","",IF($F391="","",FLOOR($F391,0.5)))</f>
        <v/>
      </c>
      <c r="L391" s="39" t="str">
        <f aca="false">IF($A391="","",IF($H391="","",MAX(0,$H391)))</f>
        <v/>
      </c>
      <c r="M391" s="29" t="str">
        <f aca="false">IF($A391="","",IF($F391="","",COUNTIFS(Fact_Work!$B:$B,$A391,Fact_Work!$AL:$AL,$B391,Fact_Work!$AI:$AI,"Yes")))</f>
        <v/>
      </c>
    </row>
    <row r="392" customFormat="false" ht="15" hidden="false" customHeight="true" outlineLevel="0" collapsed="false">
      <c r="D392" s="4" t="str">
        <f aca="false">IF($A392="","",IFERROR(VLOOKUP($B392,Dim_TOP!$A:$B,2,0),""))</f>
        <v/>
      </c>
      <c r="E392" s="36" t="str">
        <f aca="false">IF($A392="","",COUNTIFS(Fact_Work!$B:$B,$A392,Fact_Work!$AL:$AL,$B392))</f>
        <v/>
      </c>
      <c r="F392" s="22" t="str">
        <f aca="false">IF($A392="","",IF(COUNTIFS(Fact_Work!$B:$B,$A392,Fact_Work!$AL:$AL,$B392,Fact_Work!$AN:$AN,"&gt;0")=0,"",_xlfn.MINIFS(Fact_Work!$AN:$AN,Fact_Work!$B:$B,$A392,Fact_Work!$AL:$AL,$B392,Fact_Work!$AN:$AN,"&gt;0")))</f>
        <v/>
      </c>
      <c r="G392" s="37" t="str">
        <f aca="false">IF($A392="","",IF($F392="","",$A392+$F392/24))</f>
        <v/>
      </c>
      <c r="H392" s="38" t="str">
        <f aca="false">IF($A392="","",IF($G392="","",ROUND(($C392-$G392)*1440,0)))</f>
        <v/>
      </c>
      <c r="I392" s="4" t="str">
        <f aca="false">IF($A392="","",IF($H392="","",IF($H392&lt;=0,"Yes","No")))</f>
        <v/>
      </c>
      <c r="J392" s="4" t="str">
        <f aca="false">IF($A392="","",IF($I392="No",$E392,0))</f>
        <v/>
      </c>
      <c r="K392" s="22" t="str">
        <f aca="false">IF($A392="","",IF($F392="","",FLOOR($F392,0.5)))</f>
        <v/>
      </c>
      <c r="L392" s="39" t="str">
        <f aca="false">IF($A392="","",IF($H392="","",MAX(0,$H392)))</f>
        <v/>
      </c>
      <c r="M392" s="29" t="str">
        <f aca="false">IF($A392="","",IF($F392="","",COUNTIFS(Fact_Work!$B:$B,$A392,Fact_Work!$AL:$AL,$B392,Fact_Work!$AI:$AI,"Yes")))</f>
        <v/>
      </c>
    </row>
    <row r="393" customFormat="false" ht="15" hidden="false" customHeight="true" outlineLevel="0" collapsed="false">
      <c r="D393" s="4" t="str">
        <f aca="false">IF($A393="","",IFERROR(VLOOKUP($B393,Dim_TOP!$A:$B,2,0),""))</f>
        <v/>
      </c>
      <c r="E393" s="36" t="str">
        <f aca="false">IF($A393="","",COUNTIFS(Fact_Work!$B:$B,$A393,Fact_Work!$AL:$AL,$B393))</f>
        <v/>
      </c>
      <c r="F393" s="22" t="str">
        <f aca="false">IF($A393="","",IF(COUNTIFS(Fact_Work!$B:$B,$A393,Fact_Work!$AL:$AL,$B393,Fact_Work!$AN:$AN,"&gt;0")=0,"",_xlfn.MINIFS(Fact_Work!$AN:$AN,Fact_Work!$B:$B,$A393,Fact_Work!$AL:$AL,$B393,Fact_Work!$AN:$AN,"&gt;0")))</f>
        <v/>
      </c>
      <c r="G393" s="37" t="str">
        <f aca="false">IF($A393="","",IF($F393="","",$A393+$F393/24))</f>
        <v/>
      </c>
      <c r="H393" s="38" t="str">
        <f aca="false">IF($A393="","",IF($G393="","",ROUND(($C393-$G393)*1440,0)))</f>
        <v/>
      </c>
      <c r="I393" s="4" t="str">
        <f aca="false">IF($A393="","",IF($H393="","",IF($H393&lt;=0,"Yes","No")))</f>
        <v/>
      </c>
      <c r="J393" s="4" t="str">
        <f aca="false">IF($A393="","",IF($I393="No",$E393,0))</f>
        <v/>
      </c>
      <c r="K393" s="22" t="str">
        <f aca="false">IF($A393="","",IF($F393="","",FLOOR($F393,0.5)))</f>
        <v/>
      </c>
      <c r="L393" s="39" t="str">
        <f aca="false">IF($A393="","",IF($H393="","",MAX(0,$H393)))</f>
        <v/>
      </c>
      <c r="M393" s="29" t="str">
        <f aca="false">IF($A393="","",IF($F393="","",COUNTIFS(Fact_Work!$B:$B,$A393,Fact_Work!$AL:$AL,$B393,Fact_Work!$AI:$AI,"Yes")))</f>
        <v/>
      </c>
    </row>
    <row r="394" customFormat="false" ht="15" hidden="false" customHeight="true" outlineLevel="0" collapsed="false">
      <c r="D394" s="4" t="str">
        <f aca="false">IF($A394="","",IFERROR(VLOOKUP($B394,Dim_TOP!$A:$B,2,0),""))</f>
        <v/>
      </c>
      <c r="E394" s="36" t="str">
        <f aca="false">IF($A394="","",COUNTIFS(Fact_Work!$B:$B,$A394,Fact_Work!$AL:$AL,$B394))</f>
        <v/>
      </c>
      <c r="F394" s="22" t="str">
        <f aca="false">IF($A394="","",IF(COUNTIFS(Fact_Work!$B:$B,$A394,Fact_Work!$AL:$AL,$B394,Fact_Work!$AN:$AN,"&gt;0")=0,"",_xlfn.MINIFS(Fact_Work!$AN:$AN,Fact_Work!$B:$B,$A394,Fact_Work!$AL:$AL,$B394,Fact_Work!$AN:$AN,"&gt;0")))</f>
        <v/>
      </c>
      <c r="G394" s="37" t="str">
        <f aca="false">IF($A394="","",IF($F394="","",$A394+$F394/24))</f>
        <v/>
      </c>
      <c r="H394" s="38" t="str">
        <f aca="false">IF($A394="","",IF($G394="","",ROUND(($C394-$G394)*1440,0)))</f>
        <v/>
      </c>
      <c r="I394" s="4" t="str">
        <f aca="false">IF($A394="","",IF($H394="","",IF($H394&lt;=0,"Yes","No")))</f>
        <v/>
      </c>
      <c r="J394" s="4" t="str">
        <f aca="false">IF($A394="","",IF($I394="No",$E394,0))</f>
        <v/>
      </c>
      <c r="K394" s="22" t="str">
        <f aca="false">IF($A394="","",IF($F394="","",FLOOR($F394,0.5)))</f>
        <v/>
      </c>
      <c r="L394" s="39" t="str">
        <f aca="false">IF($A394="","",IF($H394="","",MAX(0,$H394)))</f>
        <v/>
      </c>
      <c r="M394" s="29" t="str">
        <f aca="false">IF($A394="","",IF($F394="","",COUNTIFS(Fact_Work!$B:$B,$A394,Fact_Work!$AL:$AL,$B394,Fact_Work!$AI:$AI,"Yes")))</f>
        <v/>
      </c>
    </row>
    <row r="395" customFormat="false" ht="15" hidden="false" customHeight="true" outlineLevel="0" collapsed="false">
      <c r="D395" s="4" t="str">
        <f aca="false">IF($A395="","",IFERROR(VLOOKUP($B395,Dim_TOP!$A:$B,2,0),""))</f>
        <v/>
      </c>
      <c r="E395" s="36" t="str">
        <f aca="false">IF($A395="","",COUNTIFS(Fact_Work!$B:$B,$A395,Fact_Work!$AL:$AL,$B395))</f>
        <v/>
      </c>
      <c r="F395" s="22" t="str">
        <f aca="false">IF($A395="","",IF(COUNTIFS(Fact_Work!$B:$B,$A395,Fact_Work!$AL:$AL,$B395,Fact_Work!$AN:$AN,"&gt;0")=0,"",_xlfn.MINIFS(Fact_Work!$AN:$AN,Fact_Work!$B:$B,$A395,Fact_Work!$AL:$AL,$B395,Fact_Work!$AN:$AN,"&gt;0")))</f>
        <v/>
      </c>
      <c r="G395" s="37" t="str">
        <f aca="false">IF($A395="","",IF($F395="","",$A395+$F395/24))</f>
        <v/>
      </c>
      <c r="H395" s="38" t="str">
        <f aca="false">IF($A395="","",IF($G395="","",ROUND(($C395-$G395)*1440,0)))</f>
        <v/>
      </c>
      <c r="I395" s="4" t="str">
        <f aca="false">IF($A395="","",IF($H395="","",IF($H395&lt;=0,"Yes","No")))</f>
        <v/>
      </c>
      <c r="J395" s="4" t="str">
        <f aca="false">IF($A395="","",IF($I395="No",$E395,0))</f>
        <v/>
      </c>
      <c r="K395" s="22" t="str">
        <f aca="false">IF($A395="","",IF($F395="","",FLOOR($F395,0.5)))</f>
        <v/>
      </c>
      <c r="L395" s="39" t="str">
        <f aca="false">IF($A395="","",IF($H395="","",MAX(0,$H395)))</f>
        <v/>
      </c>
      <c r="M395" s="29" t="str">
        <f aca="false">IF($A395="","",IF($F395="","",COUNTIFS(Fact_Work!$B:$B,$A395,Fact_Work!$AL:$AL,$B395,Fact_Work!$AI:$AI,"Yes")))</f>
        <v/>
      </c>
    </row>
    <row r="396" customFormat="false" ht="15" hidden="false" customHeight="true" outlineLevel="0" collapsed="false">
      <c r="D396" s="4" t="str">
        <f aca="false">IF($A396="","",IFERROR(VLOOKUP($B396,Dim_TOP!$A:$B,2,0),""))</f>
        <v/>
      </c>
      <c r="E396" s="36" t="str">
        <f aca="false">IF($A396="","",COUNTIFS(Fact_Work!$B:$B,$A396,Fact_Work!$AL:$AL,$B396))</f>
        <v/>
      </c>
      <c r="F396" s="22" t="str">
        <f aca="false">IF($A396="","",IF(COUNTIFS(Fact_Work!$B:$B,$A396,Fact_Work!$AL:$AL,$B396,Fact_Work!$AN:$AN,"&gt;0")=0,"",_xlfn.MINIFS(Fact_Work!$AN:$AN,Fact_Work!$B:$B,$A396,Fact_Work!$AL:$AL,$B396,Fact_Work!$AN:$AN,"&gt;0")))</f>
        <v/>
      </c>
      <c r="G396" s="37" t="str">
        <f aca="false">IF($A396="","",IF($F396="","",$A396+$F396/24))</f>
        <v/>
      </c>
      <c r="H396" s="38" t="str">
        <f aca="false">IF($A396="","",IF($G396="","",ROUND(($C396-$G396)*1440,0)))</f>
        <v/>
      </c>
      <c r="I396" s="4" t="str">
        <f aca="false">IF($A396="","",IF($H396="","",IF($H396&lt;=0,"Yes","No")))</f>
        <v/>
      </c>
      <c r="J396" s="4" t="str">
        <f aca="false">IF($A396="","",IF($I396="No",$E396,0))</f>
        <v/>
      </c>
      <c r="K396" s="22" t="str">
        <f aca="false">IF($A396="","",IF($F396="","",FLOOR($F396,0.5)))</f>
        <v/>
      </c>
      <c r="L396" s="39" t="str">
        <f aca="false">IF($A396="","",IF($H396="","",MAX(0,$H396)))</f>
        <v/>
      </c>
      <c r="M396" s="29" t="str">
        <f aca="false">IF($A396="","",IF($F396="","",COUNTIFS(Fact_Work!$B:$B,$A396,Fact_Work!$AL:$AL,$B396,Fact_Work!$AI:$AI,"Yes")))</f>
        <v/>
      </c>
    </row>
    <row r="397" customFormat="false" ht="15" hidden="false" customHeight="true" outlineLevel="0" collapsed="false">
      <c r="D397" s="4" t="str">
        <f aca="false">IF($A397="","",IFERROR(VLOOKUP($B397,Dim_TOP!$A:$B,2,0),""))</f>
        <v/>
      </c>
      <c r="E397" s="36" t="str">
        <f aca="false">IF($A397="","",COUNTIFS(Fact_Work!$B:$B,$A397,Fact_Work!$AL:$AL,$B397))</f>
        <v/>
      </c>
      <c r="F397" s="22" t="str">
        <f aca="false">IF($A397="","",IF(COUNTIFS(Fact_Work!$B:$B,$A397,Fact_Work!$AL:$AL,$B397,Fact_Work!$AN:$AN,"&gt;0")=0,"",_xlfn.MINIFS(Fact_Work!$AN:$AN,Fact_Work!$B:$B,$A397,Fact_Work!$AL:$AL,$B397,Fact_Work!$AN:$AN,"&gt;0")))</f>
        <v/>
      </c>
      <c r="G397" s="37" t="str">
        <f aca="false">IF($A397="","",IF($F397="","",$A397+$F397/24))</f>
        <v/>
      </c>
      <c r="H397" s="38" t="str">
        <f aca="false">IF($A397="","",IF($G397="","",ROUND(($C397-$G397)*1440,0)))</f>
        <v/>
      </c>
      <c r="I397" s="4" t="str">
        <f aca="false">IF($A397="","",IF($H397="","",IF($H397&lt;=0,"Yes","No")))</f>
        <v/>
      </c>
      <c r="J397" s="4" t="str">
        <f aca="false">IF($A397="","",IF($I397="No",$E397,0))</f>
        <v/>
      </c>
      <c r="K397" s="22" t="str">
        <f aca="false">IF($A397="","",IF($F397="","",FLOOR($F397,0.5)))</f>
        <v/>
      </c>
      <c r="L397" s="39" t="str">
        <f aca="false">IF($A397="","",IF($H397="","",MAX(0,$H397)))</f>
        <v/>
      </c>
      <c r="M397" s="29" t="str">
        <f aca="false">IF($A397="","",IF($F397="","",COUNTIFS(Fact_Work!$B:$B,$A397,Fact_Work!$AL:$AL,$B397,Fact_Work!$AI:$AI,"Yes")))</f>
        <v/>
      </c>
    </row>
    <row r="398" customFormat="false" ht="15" hidden="false" customHeight="true" outlineLevel="0" collapsed="false">
      <c r="D398" s="4" t="str">
        <f aca="false">IF($A398="","",IFERROR(VLOOKUP($B398,Dim_TOP!$A:$B,2,0),""))</f>
        <v/>
      </c>
      <c r="E398" s="36" t="str">
        <f aca="false">IF($A398="","",COUNTIFS(Fact_Work!$B:$B,$A398,Fact_Work!$AL:$AL,$B398))</f>
        <v/>
      </c>
      <c r="F398" s="22" t="str">
        <f aca="false">IF($A398="","",IF(COUNTIFS(Fact_Work!$B:$B,$A398,Fact_Work!$AL:$AL,$B398,Fact_Work!$AN:$AN,"&gt;0")=0,"",_xlfn.MINIFS(Fact_Work!$AN:$AN,Fact_Work!$B:$B,$A398,Fact_Work!$AL:$AL,$B398,Fact_Work!$AN:$AN,"&gt;0")))</f>
        <v/>
      </c>
      <c r="G398" s="37" t="str">
        <f aca="false">IF($A398="","",IF($F398="","",$A398+$F398/24))</f>
        <v/>
      </c>
      <c r="H398" s="38" t="str">
        <f aca="false">IF($A398="","",IF($G398="","",ROUND(($C398-$G398)*1440,0)))</f>
        <v/>
      </c>
      <c r="I398" s="4" t="str">
        <f aca="false">IF($A398="","",IF($H398="","",IF($H398&lt;=0,"Yes","No")))</f>
        <v/>
      </c>
      <c r="J398" s="4" t="str">
        <f aca="false">IF($A398="","",IF($I398="No",$E398,0))</f>
        <v/>
      </c>
      <c r="K398" s="22" t="str">
        <f aca="false">IF($A398="","",IF($F398="","",FLOOR($F398,0.5)))</f>
        <v/>
      </c>
      <c r="L398" s="39" t="str">
        <f aca="false">IF($A398="","",IF($H398="","",MAX(0,$H398)))</f>
        <v/>
      </c>
      <c r="M398" s="29" t="str">
        <f aca="false">IF($A398="","",IF($F398="","",COUNTIFS(Fact_Work!$B:$B,$A398,Fact_Work!$AL:$AL,$B398,Fact_Work!$AI:$AI,"Yes")))</f>
        <v/>
      </c>
    </row>
    <row r="399" customFormat="false" ht="15" hidden="false" customHeight="true" outlineLevel="0" collapsed="false">
      <c r="D399" s="4" t="str">
        <f aca="false">IF($A399="","",IFERROR(VLOOKUP($B399,Dim_TOP!$A:$B,2,0),""))</f>
        <v/>
      </c>
      <c r="E399" s="36" t="str">
        <f aca="false">IF($A399="","",COUNTIFS(Fact_Work!$B:$B,$A399,Fact_Work!$AL:$AL,$B399))</f>
        <v/>
      </c>
      <c r="F399" s="22" t="str">
        <f aca="false">IF($A399="","",IF(COUNTIFS(Fact_Work!$B:$B,$A399,Fact_Work!$AL:$AL,$B399,Fact_Work!$AN:$AN,"&gt;0")=0,"",_xlfn.MINIFS(Fact_Work!$AN:$AN,Fact_Work!$B:$B,$A399,Fact_Work!$AL:$AL,$B399,Fact_Work!$AN:$AN,"&gt;0")))</f>
        <v/>
      </c>
      <c r="G399" s="37" t="str">
        <f aca="false">IF($A399="","",IF($F399="","",$A399+$F399/24))</f>
        <v/>
      </c>
      <c r="H399" s="38" t="str">
        <f aca="false">IF($A399="","",IF($G399="","",ROUND(($C399-$G399)*1440,0)))</f>
        <v/>
      </c>
      <c r="I399" s="4" t="str">
        <f aca="false">IF($A399="","",IF($H399="","",IF($H399&lt;=0,"Yes","No")))</f>
        <v/>
      </c>
      <c r="J399" s="4" t="str">
        <f aca="false">IF($A399="","",IF($I399="No",$E399,0))</f>
        <v/>
      </c>
      <c r="K399" s="22" t="str">
        <f aca="false">IF($A399="","",IF($F399="","",FLOOR($F399,0.5)))</f>
        <v/>
      </c>
      <c r="L399" s="39" t="str">
        <f aca="false">IF($A399="","",IF($H399="","",MAX(0,$H399)))</f>
        <v/>
      </c>
      <c r="M399" s="29" t="str">
        <f aca="false">IF($A399="","",IF($F399="","",COUNTIFS(Fact_Work!$B:$B,$A399,Fact_Work!$AL:$AL,$B399,Fact_Work!$AI:$AI,"Yes")))</f>
        <v/>
      </c>
    </row>
    <row r="400" customFormat="false" ht="15" hidden="false" customHeight="true" outlineLevel="0" collapsed="false">
      <c r="D400" s="4" t="str">
        <f aca="false">IF($A400="","",IFERROR(VLOOKUP($B400,Dim_TOP!$A:$B,2,0),""))</f>
        <v/>
      </c>
      <c r="E400" s="36" t="str">
        <f aca="false">IF($A400="","",COUNTIFS(Fact_Work!$B:$B,$A400,Fact_Work!$AL:$AL,$B400))</f>
        <v/>
      </c>
      <c r="F400" s="22" t="str">
        <f aca="false">IF($A400="","",IF(COUNTIFS(Fact_Work!$B:$B,$A400,Fact_Work!$AL:$AL,$B400,Fact_Work!$AN:$AN,"&gt;0")=0,"",_xlfn.MINIFS(Fact_Work!$AN:$AN,Fact_Work!$B:$B,$A400,Fact_Work!$AL:$AL,$B400,Fact_Work!$AN:$AN,"&gt;0")))</f>
        <v/>
      </c>
      <c r="G400" s="37" t="str">
        <f aca="false">IF($A400="","",IF($F400="","",$A400+$F400/24))</f>
        <v/>
      </c>
      <c r="H400" s="38" t="str">
        <f aca="false">IF($A400="","",IF($G400="","",ROUND(($C400-$G400)*1440,0)))</f>
        <v/>
      </c>
      <c r="I400" s="4" t="str">
        <f aca="false">IF($A400="","",IF($H400="","",IF($H400&lt;=0,"Yes","No")))</f>
        <v/>
      </c>
      <c r="J400" s="4" t="str">
        <f aca="false">IF($A400="","",IF($I400="No",$E400,0))</f>
        <v/>
      </c>
      <c r="K400" s="22" t="str">
        <f aca="false">IF($A400="","",IF($F400="","",FLOOR($F400,0.5)))</f>
        <v/>
      </c>
      <c r="L400" s="39" t="str">
        <f aca="false">IF($A400="","",IF($H400="","",MAX(0,$H400)))</f>
        <v/>
      </c>
      <c r="M400" s="29" t="str">
        <f aca="false">IF($A400="","",IF($F400="","",COUNTIFS(Fact_Work!$B:$B,$A400,Fact_Work!$AL:$AL,$B400,Fact_Work!$AI:$AI,"Yes")))</f>
        <v/>
      </c>
    </row>
    <row r="401" customFormat="false" ht="15" hidden="false" customHeight="true" outlineLevel="0" collapsed="false">
      <c r="D401" s="4" t="str">
        <f aca="false">IF($A401="","",IFERROR(VLOOKUP($B401,Dim_TOP!$A:$B,2,0),""))</f>
        <v/>
      </c>
      <c r="E401" s="36" t="str">
        <f aca="false">IF($A401="","",COUNTIFS(Fact_Work!$B:$B,$A401,Fact_Work!$AL:$AL,$B401))</f>
        <v/>
      </c>
      <c r="F401" s="22" t="str">
        <f aca="false">IF($A401="","",IF(COUNTIFS(Fact_Work!$B:$B,$A401,Fact_Work!$AL:$AL,$B401,Fact_Work!$AN:$AN,"&gt;0")=0,"",_xlfn.MINIFS(Fact_Work!$AN:$AN,Fact_Work!$B:$B,$A401,Fact_Work!$AL:$AL,$B401,Fact_Work!$AN:$AN,"&gt;0")))</f>
        <v/>
      </c>
      <c r="G401" s="37" t="str">
        <f aca="false">IF($A401="","",IF($F401="","",$A401+$F401/24))</f>
        <v/>
      </c>
      <c r="H401" s="38" t="str">
        <f aca="false">IF($A401="","",IF($G401="","",ROUND(($C401-$G401)*1440,0)))</f>
        <v/>
      </c>
      <c r="I401" s="4" t="str">
        <f aca="false">IF($A401="","",IF($H401="","",IF($H401&lt;=0,"Yes","No")))</f>
        <v/>
      </c>
      <c r="J401" s="4" t="str">
        <f aca="false">IF($A401="","",IF($I401="No",$E401,0))</f>
        <v/>
      </c>
      <c r="K401" s="22" t="str">
        <f aca="false">IF($A401="","",IF($F401="","",FLOOR($F401,0.5)))</f>
        <v/>
      </c>
      <c r="L401" s="39" t="str">
        <f aca="false">IF($A401="","",IF($H401="","",MAX(0,$H401)))</f>
        <v/>
      </c>
      <c r="M401" s="29" t="str">
        <f aca="false">IF($A401="","",IF($F401="","",COUNTIFS(Fact_Work!$B:$B,$A401,Fact_Work!$AL:$AL,$B401,Fact_Work!$AI:$AI,"Yes")))</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5" ySplit="1" topLeftCell="Z2" activePane="bottomRight" state="frozen"/>
      <selection pane="topLeft" activeCell="A1" activeCellId="0" sqref="A1"/>
      <selection pane="topRight" activeCell="Z1" activeCellId="0" sqref="Z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1"/>
    <col collapsed="false" customWidth="true" hidden="false" outlineLevel="0" max="2" min="2" style="1" width="18"/>
    <col collapsed="false" customWidth="true" hidden="false" outlineLevel="0" max="3" min="3" style="1" width="15"/>
    <col collapsed="false" customWidth="true" hidden="false" outlineLevel="0" max="4" min="4" style="1" width="13"/>
    <col collapsed="false" customWidth="true" hidden="false" outlineLevel="0" max="5" min="5" style="1" width="21"/>
    <col collapsed="false" customWidth="true" hidden="false" outlineLevel="0" max="6" min="6" style="1" width="16"/>
    <col collapsed="false" customWidth="true" hidden="false" outlineLevel="0" max="7" min="7" style="1" width="12"/>
    <col collapsed="false" customWidth="true" hidden="false" outlineLevel="0" max="8" min="8" style="1" width="17"/>
    <col collapsed="false" customWidth="true" hidden="false" outlineLevel="0" max="9" min="9" style="1" width="13"/>
    <col collapsed="false" customWidth="true" hidden="false" outlineLevel="0" max="10" min="10" style="1" width="12"/>
    <col collapsed="false" customWidth="true" hidden="false" outlineLevel="0" max="11" min="11" style="1" width="16"/>
    <col collapsed="false" customWidth="true" hidden="false" outlineLevel="0" max="12" min="12" style="1" width="13"/>
    <col collapsed="false" customWidth="true" hidden="false" outlineLevel="0" max="13" min="13" style="1" width="12"/>
    <col collapsed="false" customWidth="true" hidden="false" outlineLevel="0" max="14" min="14" style="1" width="18"/>
    <col collapsed="false" customWidth="true" hidden="false" outlineLevel="0" max="15" min="15" style="1" width="16"/>
    <col collapsed="false" customWidth="true" hidden="false" outlineLevel="0" max="17" min="16" style="1" width="17"/>
    <col collapsed="false" customWidth="true" hidden="false" outlineLevel="0" max="18" min="18" style="1" width="21"/>
    <col collapsed="false" customWidth="true" hidden="false" outlineLevel="0" max="19" min="19" style="1" width="19"/>
    <col collapsed="false" customWidth="true" hidden="false" outlineLevel="0" max="20" min="20" style="1" width="14"/>
    <col collapsed="false" customWidth="true" hidden="false" outlineLevel="0" max="22" min="21" style="1" width="12"/>
    <col collapsed="false" customWidth="true" hidden="false" outlineLevel="0" max="23" min="23" style="1" width="14"/>
    <col collapsed="false" customWidth="true" hidden="false" outlineLevel="0" max="24" min="24" style="1" width="12"/>
    <col collapsed="false" customWidth="true" hidden="false" outlineLevel="0" max="25" min="25" style="1" width="13"/>
    <col collapsed="false" customWidth="true" hidden="false" outlineLevel="0" max="26" min="26" style="1" width="12"/>
  </cols>
  <sheetData>
    <row r="1" customFormat="false" ht="36" hidden="false" customHeight="true" outlineLevel="0" collapsed="false">
      <c r="A1" s="17" t="s">
        <v>380</v>
      </c>
      <c r="B1" s="17" t="s">
        <v>381</v>
      </c>
      <c r="C1" s="17" t="s">
        <v>382</v>
      </c>
      <c r="D1" s="17" t="s">
        <v>383</v>
      </c>
      <c r="E1" s="17" t="s">
        <v>384</v>
      </c>
      <c r="F1" s="17" t="s">
        <v>385</v>
      </c>
      <c r="G1" s="17" t="s">
        <v>386</v>
      </c>
      <c r="H1" s="17" t="s">
        <v>387</v>
      </c>
      <c r="I1" s="17" t="s">
        <v>388</v>
      </c>
      <c r="J1" s="17" t="s">
        <v>389</v>
      </c>
      <c r="K1" s="17" t="s">
        <v>390</v>
      </c>
      <c r="L1" s="17" t="s">
        <v>391</v>
      </c>
      <c r="M1" s="17" t="s">
        <v>392</v>
      </c>
      <c r="N1" s="17" t="s">
        <v>393</v>
      </c>
      <c r="O1" s="17" t="s">
        <v>394</v>
      </c>
      <c r="P1" s="17" t="s">
        <v>395</v>
      </c>
      <c r="Q1" s="17" t="s">
        <v>396</v>
      </c>
      <c r="R1" s="17" t="s">
        <v>397</v>
      </c>
      <c r="S1" s="17" t="s">
        <v>398</v>
      </c>
      <c r="T1" s="17" t="s">
        <v>399</v>
      </c>
      <c r="U1" s="17" t="s">
        <v>400</v>
      </c>
      <c r="V1" s="17" t="s">
        <v>401</v>
      </c>
      <c r="W1" s="17" t="s">
        <v>402</v>
      </c>
      <c r="X1" s="17" t="s">
        <v>403</v>
      </c>
      <c r="Y1" s="17" t="s">
        <v>404</v>
      </c>
      <c r="Z1" s="17" t="s">
        <v>405</v>
      </c>
    </row>
    <row r="2" customFormat="false" ht="15" hidden="false" customHeight="true" outlineLevel="0" collapsed="false">
      <c r="A2" s="13" t="s">
        <v>308</v>
      </c>
      <c r="B2" s="13" t="s">
        <v>309</v>
      </c>
      <c r="C2" s="13" t="s">
        <v>406</v>
      </c>
      <c r="D2" s="13" t="s">
        <v>310</v>
      </c>
      <c r="E2" s="13" t="s">
        <v>311</v>
      </c>
      <c r="F2" s="13" t="s">
        <v>407</v>
      </c>
      <c r="G2" s="13" t="s">
        <v>229</v>
      </c>
      <c r="H2" s="13" t="s">
        <v>408</v>
      </c>
      <c r="I2" s="13" t="n">
        <v>2.152</v>
      </c>
      <c r="J2" s="13" t="s">
        <v>407</v>
      </c>
      <c r="K2" s="13" t="s">
        <v>409</v>
      </c>
      <c r="L2" s="13" t="s">
        <v>409</v>
      </c>
      <c r="M2" s="13" t="s">
        <v>407</v>
      </c>
      <c r="N2" s="13" t="n">
        <v>451</v>
      </c>
      <c r="O2" s="13" t="n">
        <v>1230</v>
      </c>
      <c r="P2" s="13" t="n">
        <v>1230</v>
      </c>
      <c r="Q2" s="13" t="n">
        <v>1230</v>
      </c>
      <c r="R2" s="13" t="n">
        <v>1644</v>
      </c>
      <c r="S2" s="13" t="n">
        <v>1719</v>
      </c>
      <c r="T2" s="13" t="s">
        <v>241</v>
      </c>
      <c r="U2" s="13" t="s">
        <v>410</v>
      </c>
      <c r="V2" s="13" t="s">
        <v>411</v>
      </c>
      <c r="W2" s="13" t="s">
        <v>312</v>
      </c>
      <c r="X2" s="13" t="s">
        <v>314</v>
      </c>
      <c r="Y2" s="13" t="s">
        <v>314</v>
      </c>
      <c r="Z2" s="13" t="s">
        <v>409</v>
      </c>
    </row>
    <row r="3" customFormat="false" ht="15" hidden="false" customHeight="true" outlineLevel="0" collapsed="false">
      <c r="A3" s="13" t="s">
        <v>317</v>
      </c>
      <c r="B3" s="13" t="s">
        <v>318</v>
      </c>
      <c r="C3" s="13" t="s">
        <v>412</v>
      </c>
      <c r="D3" s="13" t="s">
        <v>319</v>
      </c>
      <c r="E3" s="13" t="s">
        <v>320</v>
      </c>
      <c r="F3" s="13" t="s">
        <v>407</v>
      </c>
      <c r="G3" s="13" t="s">
        <v>229</v>
      </c>
      <c r="H3" s="13" t="s">
        <v>413</v>
      </c>
      <c r="I3" s="13" t="n">
        <v>1.213</v>
      </c>
      <c r="J3" s="13" t="s">
        <v>409</v>
      </c>
      <c r="K3" s="13" t="s">
        <v>409</v>
      </c>
      <c r="L3" s="13" t="s">
        <v>409</v>
      </c>
      <c r="M3" s="13" t="s">
        <v>409</v>
      </c>
      <c r="N3" s="13" t="n">
        <v>442</v>
      </c>
      <c r="O3" s="13" t="n">
        <v>338</v>
      </c>
      <c r="P3" s="13" t="n">
        <v>824</v>
      </c>
      <c r="Q3" s="13" t="n">
        <v>1228</v>
      </c>
      <c r="R3" s="13" t="n">
        <v>1625</v>
      </c>
      <c r="S3" s="13" t="n">
        <v>1703</v>
      </c>
      <c r="T3" s="13" t="s">
        <v>241</v>
      </c>
      <c r="U3" s="13" t="s">
        <v>410</v>
      </c>
      <c r="V3" s="13" t="s">
        <v>411</v>
      </c>
      <c r="W3" s="13" t="s">
        <v>312</v>
      </c>
      <c r="X3" s="13" t="s">
        <v>312</v>
      </c>
      <c r="Y3" s="13" t="s">
        <v>312</v>
      </c>
      <c r="Z3" s="13" t="s">
        <v>407</v>
      </c>
    </row>
    <row r="4" customFormat="false" ht="15" hidden="false" customHeight="true" outlineLevel="0" collapsed="false">
      <c r="A4" s="13" t="s">
        <v>324</v>
      </c>
      <c r="B4" s="13" t="s">
        <v>325</v>
      </c>
      <c r="C4" s="13" t="s">
        <v>414</v>
      </c>
      <c r="D4" s="13" t="s">
        <v>326</v>
      </c>
      <c r="E4" s="13" t="s">
        <v>327</v>
      </c>
      <c r="F4" s="13" t="s">
        <v>409</v>
      </c>
      <c r="G4" s="13" t="s">
        <v>231</v>
      </c>
      <c r="H4" s="13" t="s">
        <v>415</v>
      </c>
      <c r="I4" s="13" t="n">
        <v>2.073</v>
      </c>
      <c r="J4" s="13" t="s">
        <v>409</v>
      </c>
      <c r="K4" s="13" t="s">
        <v>409</v>
      </c>
      <c r="L4" s="13" t="s">
        <v>409</v>
      </c>
      <c r="M4" s="13" t="s">
        <v>409</v>
      </c>
      <c r="N4" s="13" t="n">
        <v>432</v>
      </c>
      <c r="O4" s="13" t="n">
        <v>436</v>
      </c>
      <c r="P4" s="13" t="n">
        <v>737</v>
      </c>
      <c r="Q4" s="13" t="n">
        <v>1144</v>
      </c>
      <c r="R4" s="13" t="n">
        <v>1555</v>
      </c>
      <c r="S4" s="13" t="n">
        <v>1641</v>
      </c>
      <c r="T4" s="13" t="s">
        <v>241</v>
      </c>
      <c r="U4" s="13" t="s">
        <v>410</v>
      </c>
      <c r="V4" s="13" t="s">
        <v>411</v>
      </c>
      <c r="W4" s="13" t="s">
        <v>312</v>
      </c>
      <c r="X4" s="13" t="s">
        <v>312</v>
      </c>
      <c r="Y4" s="13" t="s">
        <v>312</v>
      </c>
      <c r="Z4" s="13" t="s">
        <v>409</v>
      </c>
    </row>
    <row r="5" customFormat="false" ht="15" hidden="false" customHeight="true" outlineLevel="0" collapsed="false">
      <c r="A5" s="13" t="s">
        <v>330</v>
      </c>
      <c r="B5" s="13" t="s">
        <v>331</v>
      </c>
      <c r="C5" s="13" t="s">
        <v>406</v>
      </c>
      <c r="D5" s="13" t="s">
        <v>310</v>
      </c>
      <c r="E5" s="13" t="s">
        <v>311</v>
      </c>
      <c r="F5" s="13" t="s">
        <v>407</v>
      </c>
      <c r="G5" s="13" t="s">
        <v>233</v>
      </c>
      <c r="H5" s="13" t="s">
        <v>416</v>
      </c>
      <c r="I5" s="13" t="n">
        <v>2.099</v>
      </c>
      <c r="J5" s="13" t="s">
        <v>409</v>
      </c>
      <c r="K5" s="13" t="s">
        <v>409</v>
      </c>
      <c r="L5" s="13" t="s">
        <v>409</v>
      </c>
      <c r="M5" s="13" t="s">
        <v>409</v>
      </c>
      <c r="N5" s="13" t="n">
        <v>428</v>
      </c>
      <c r="O5" s="13" t="n">
        <v>352</v>
      </c>
      <c r="P5" s="13" t="n">
        <v>737</v>
      </c>
      <c r="Q5" s="13" t="n">
        <v>1241</v>
      </c>
      <c r="R5" s="13" t="n">
        <v>1658</v>
      </c>
      <c r="S5" s="13" t="n">
        <v>1736</v>
      </c>
      <c r="T5" s="13" t="s">
        <v>244</v>
      </c>
      <c r="U5" s="13" t="s">
        <v>410</v>
      </c>
      <c r="V5" s="13" t="s">
        <v>411</v>
      </c>
      <c r="W5" s="13" t="s">
        <v>312</v>
      </c>
      <c r="X5" s="13" t="s">
        <v>312</v>
      </c>
      <c r="Y5" s="13" t="s">
        <v>312</v>
      </c>
      <c r="Z5" s="13" t="s">
        <v>409</v>
      </c>
    </row>
    <row r="6" customFormat="false" ht="15" hidden="false" customHeight="true" outlineLevel="0" collapsed="false">
      <c r="A6" s="13" t="s">
        <v>334</v>
      </c>
      <c r="B6" s="13" t="s">
        <v>335</v>
      </c>
      <c r="C6" s="13" t="s">
        <v>412</v>
      </c>
      <c r="D6" s="13" t="s">
        <v>319</v>
      </c>
      <c r="E6" s="13" t="s">
        <v>320</v>
      </c>
      <c r="F6" s="13" t="s">
        <v>407</v>
      </c>
      <c r="G6" s="13" t="s">
        <v>233</v>
      </c>
      <c r="H6" s="13" t="s">
        <v>417</v>
      </c>
      <c r="I6" s="13" t="n">
        <v>1.597</v>
      </c>
      <c r="J6" s="13" t="s">
        <v>409</v>
      </c>
      <c r="K6" s="13" t="s">
        <v>409</v>
      </c>
      <c r="L6" s="13" t="s">
        <v>409</v>
      </c>
      <c r="M6" s="13" t="s">
        <v>409</v>
      </c>
      <c r="N6" s="13" t="n">
        <v>435</v>
      </c>
      <c r="O6" s="13" t="n">
        <v>1302</v>
      </c>
      <c r="P6" s="13" t="n">
        <v>703</v>
      </c>
      <c r="Q6" s="13" t="n">
        <v>1302</v>
      </c>
      <c r="R6" s="13" t="n">
        <v>1625</v>
      </c>
      <c r="S6" s="13" t="n">
        <v>1713</v>
      </c>
      <c r="T6" s="13" t="s">
        <v>247</v>
      </c>
      <c r="U6" s="13" t="s">
        <v>410</v>
      </c>
      <c r="V6" s="13" t="s">
        <v>411</v>
      </c>
      <c r="W6" s="13" t="s">
        <v>312</v>
      </c>
      <c r="X6" s="13" t="s">
        <v>314</v>
      </c>
      <c r="Y6" s="13" t="s">
        <v>312</v>
      </c>
      <c r="Z6" s="13" t="s">
        <v>407</v>
      </c>
    </row>
    <row r="7" customFormat="false" ht="15" hidden="false" customHeight="true" outlineLevel="0" collapsed="false">
      <c r="A7" s="13" t="s">
        <v>337</v>
      </c>
      <c r="B7" s="13" t="s">
        <v>338</v>
      </c>
      <c r="C7" s="13" t="s">
        <v>414</v>
      </c>
      <c r="D7" s="13" t="s">
        <v>326</v>
      </c>
      <c r="E7" s="13" t="s">
        <v>327</v>
      </c>
      <c r="F7" s="13" t="s">
        <v>409</v>
      </c>
      <c r="G7" s="13" t="s">
        <v>235</v>
      </c>
      <c r="H7" s="13" t="s">
        <v>418</v>
      </c>
      <c r="I7" s="13" t="n">
        <v>1.147</v>
      </c>
      <c r="J7" s="13" t="s">
        <v>407</v>
      </c>
      <c r="K7" s="13" t="s">
        <v>409</v>
      </c>
      <c r="L7" s="13" t="s">
        <v>409</v>
      </c>
      <c r="M7" s="13" t="s">
        <v>407</v>
      </c>
      <c r="N7" s="13" t="n">
        <v>444</v>
      </c>
      <c r="O7" s="13" t="n">
        <v>354</v>
      </c>
      <c r="P7" s="13" t="n">
        <v>1153</v>
      </c>
      <c r="Q7" s="13" t="n">
        <v>1317</v>
      </c>
      <c r="R7" s="13" t="n">
        <v>1745</v>
      </c>
      <c r="S7" s="13" t="n">
        <v>1823</v>
      </c>
      <c r="T7" s="13" t="s">
        <v>241</v>
      </c>
      <c r="U7" s="13" t="s">
        <v>410</v>
      </c>
      <c r="V7" s="13" t="s">
        <v>411</v>
      </c>
      <c r="W7" s="13" t="s">
        <v>312</v>
      </c>
      <c r="X7" s="13" t="s">
        <v>312</v>
      </c>
      <c r="Y7" s="13" t="s">
        <v>312</v>
      </c>
      <c r="Z7" s="13" t="s">
        <v>409</v>
      </c>
    </row>
    <row r="8" customFormat="false" ht="15" hidden="false" customHeight="true" outlineLevel="0" collapsed="false">
      <c r="A8" s="13" t="s">
        <v>340</v>
      </c>
      <c r="B8" s="13" t="s">
        <v>341</v>
      </c>
      <c r="C8" s="13" t="s">
        <v>406</v>
      </c>
      <c r="D8" s="13" t="s">
        <v>310</v>
      </c>
      <c r="E8" s="13" t="s">
        <v>311</v>
      </c>
      <c r="F8" s="13" t="s">
        <v>407</v>
      </c>
      <c r="G8" s="13" t="s">
        <v>229</v>
      </c>
      <c r="H8" s="13" t="s">
        <v>408</v>
      </c>
      <c r="I8" s="13" t="n">
        <v>1.347</v>
      </c>
      <c r="J8" s="13" t="s">
        <v>409</v>
      </c>
      <c r="K8" s="13" t="s">
        <v>407</v>
      </c>
      <c r="L8" s="13" t="s">
        <v>407</v>
      </c>
      <c r="M8" s="13" t="s">
        <v>407</v>
      </c>
      <c r="N8" s="13" t="n">
        <v>334</v>
      </c>
      <c r="O8" s="13" t="n">
        <v>441</v>
      </c>
      <c r="P8" s="13" t="n">
        <v>1307</v>
      </c>
      <c r="Q8" s="13" t="n">
        <v>1307</v>
      </c>
      <c r="R8" s="13" t="n">
        <v>1722</v>
      </c>
      <c r="S8" s="13" t="n">
        <v>1818</v>
      </c>
      <c r="T8" s="13" t="s">
        <v>241</v>
      </c>
      <c r="U8" s="13" t="s">
        <v>410</v>
      </c>
      <c r="V8" s="13" t="s">
        <v>411</v>
      </c>
      <c r="W8" s="13" t="s">
        <v>312</v>
      </c>
      <c r="X8" s="13" t="s">
        <v>312</v>
      </c>
      <c r="Y8" s="13" t="s">
        <v>314</v>
      </c>
      <c r="Z8" s="13" t="s">
        <v>409</v>
      </c>
    </row>
    <row r="9" customFormat="false" ht="15" hidden="false" customHeight="true" outlineLevel="0" collapsed="false">
      <c r="A9" s="13" t="s">
        <v>342</v>
      </c>
      <c r="B9" s="13" t="s">
        <v>343</v>
      </c>
      <c r="C9" s="13" t="s">
        <v>412</v>
      </c>
      <c r="D9" s="13" t="s">
        <v>319</v>
      </c>
      <c r="E9" s="13" t="s">
        <v>320</v>
      </c>
      <c r="F9" s="13" t="s">
        <v>407</v>
      </c>
      <c r="G9" s="13" t="s">
        <v>229</v>
      </c>
      <c r="H9" s="13" t="s">
        <v>413</v>
      </c>
      <c r="I9" s="13" t="n">
        <v>1.769</v>
      </c>
      <c r="J9" s="13" t="s">
        <v>409</v>
      </c>
      <c r="K9" s="13" t="s">
        <v>409</v>
      </c>
      <c r="L9" s="13" t="s">
        <v>407</v>
      </c>
      <c r="M9" s="13" t="s">
        <v>409</v>
      </c>
      <c r="N9" s="13" t="n">
        <v>430</v>
      </c>
      <c r="O9" s="13" t="n">
        <v>402</v>
      </c>
      <c r="P9" s="13" t="n">
        <v>757</v>
      </c>
      <c r="Q9" s="13" t="n">
        <v>1150</v>
      </c>
      <c r="R9" s="13" t="n">
        <v>1609</v>
      </c>
      <c r="S9" s="13" t="n">
        <v>1647</v>
      </c>
      <c r="T9" s="13" t="s">
        <v>241</v>
      </c>
      <c r="U9" s="13" t="s">
        <v>410</v>
      </c>
      <c r="V9" s="13" t="s">
        <v>411</v>
      </c>
      <c r="W9" s="13" t="s">
        <v>312</v>
      </c>
      <c r="X9" s="13" t="s">
        <v>312</v>
      </c>
      <c r="Y9" s="13" t="s">
        <v>312</v>
      </c>
      <c r="Z9" s="13" t="s">
        <v>407</v>
      </c>
    </row>
    <row r="10" customFormat="false" ht="15" hidden="false" customHeight="true" outlineLevel="0" collapsed="false">
      <c r="A10" s="13" t="s">
        <v>344</v>
      </c>
      <c r="B10" s="13" t="s">
        <v>345</v>
      </c>
      <c r="C10" s="13" t="s">
        <v>414</v>
      </c>
      <c r="D10" s="13" t="s">
        <v>326</v>
      </c>
      <c r="E10" s="13" t="s">
        <v>327</v>
      </c>
      <c r="F10" s="13" t="s">
        <v>409</v>
      </c>
      <c r="G10" s="13" t="s">
        <v>231</v>
      </c>
      <c r="H10" s="13" t="s">
        <v>415</v>
      </c>
      <c r="I10" s="13" t="n">
        <v>1.487</v>
      </c>
      <c r="J10" s="13" t="s">
        <v>409</v>
      </c>
      <c r="K10" s="13" t="s">
        <v>407</v>
      </c>
      <c r="L10" s="13" t="s">
        <v>409</v>
      </c>
      <c r="M10" s="13" t="s">
        <v>409</v>
      </c>
      <c r="N10" s="13" t="n">
        <v>418</v>
      </c>
      <c r="O10" s="13" t="n">
        <v>1139</v>
      </c>
      <c r="P10" s="13" t="n">
        <v>726</v>
      </c>
      <c r="Q10" s="13" t="n">
        <v>1139</v>
      </c>
      <c r="R10" s="13" t="n">
        <v>1511</v>
      </c>
      <c r="S10" s="13" t="n">
        <v>1602</v>
      </c>
      <c r="T10" s="13" t="s">
        <v>244</v>
      </c>
      <c r="U10" s="13" t="s">
        <v>410</v>
      </c>
      <c r="V10" s="13" t="s">
        <v>411</v>
      </c>
      <c r="W10" s="13" t="s">
        <v>312</v>
      </c>
      <c r="X10" s="13" t="s">
        <v>314</v>
      </c>
      <c r="Y10" s="13" t="s">
        <v>312</v>
      </c>
      <c r="Z10" s="13" t="s">
        <v>409</v>
      </c>
    </row>
    <row r="11" customFormat="false" ht="15" hidden="false" customHeight="true" outlineLevel="0" collapsed="false">
      <c r="A11" s="13" t="s">
        <v>346</v>
      </c>
      <c r="B11" s="13" t="s">
        <v>347</v>
      </c>
      <c r="C11" s="13" t="s">
        <v>406</v>
      </c>
      <c r="D11" s="13" t="s">
        <v>310</v>
      </c>
      <c r="E11" s="13" t="s">
        <v>311</v>
      </c>
      <c r="F11" s="13" t="s">
        <v>407</v>
      </c>
      <c r="G11" s="13" t="s">
        <v>233</v>
      </c>
      <c r="H11" s="13" t="s">
        <v>416</v>
      </c>
      <c r="I11" s="13" t="n">
        <v>1.091</v>
      </c>
      <c r="J11" s="13" t="s">
        <v>409</v>
      </c>
      <c r="K11" s="13" t="s">
        <v>409</v>
      </c>
      <c r="L11" s="13" t="s">
        <v>409</v>
      </c>
      <c r="M11" s="13" t="s">
        <v>409</v>
      </c>
      <c r="N11" s="13" t="n">
        <v>358</v>
      </c>
      <c r="O11" s="13" t="n">
        <v>342</v>
      </c>
      <c r="P11" s="13" t="n">
        <v>829</v>
      </c>
      <c r="Q11" s="13" t="n">
        <v>1351</v>
      </c>
      <c r="R11" s="13" t="n">
        <v>1731</v>
      </c>
      <c r="S11" s="13" t="n">
        <v>1818</v>
      </c>
      <c r="T11" s="13" t="s">
        <v>247</v>
      </c>
      <c r="U11" s="13" t="s">
        <v>410</v>
      </c>
      <c r="V11" s="13" t="s">
        <v>411</v>
      </c>
      <c r="W11" s="13" t="s">
        <v>312</v>
      </c>
      <c r="X11" s="13" t="s">
        <v>312</v>
      </c>
      <c r="Y11" s="13" t="s">
        <v>312</v>
      </c>
      <c r="Z11" s="13" t="s">
        <v>409</v>
      </c>
    </row>
    <row r="12" customFormat="false" ht="15" hidden="false" customHeight="true" outlineLevel="0" collapsed="false">
      <c r="A12" s="13" t="s">
        <v>348</v>
      </c>
      <c r="B12" s="13" t="s">
        <v>349</v>
      </c>
      <c r="C12" s="13" t="s">
        <v>412</v>
      </c>
      <c r="D12" s="13" t="s">
        <v>319</v>
      </c>
      <c r="E12" s="13" t="s">
        <v>320</v>
      </c>
      <c r="F12" s="13" t="s">
        <v>407</v>
      </c>
      <c r="G12" s="13" t="s">
        <v>233</v>
      </c>
      <c r="H12" s="13" t="s">
        <v>417</v>
      </c>
      <c r="I12" s="13" t="n">
        <v>1.958</v>
      </c>
      <c r="J12" s="13" t="s">
        <v>407</v>
      </c>
      <c r="K12" s="13" t="s">
        <v>409</v>
      </c>
      <c r="L12" s="13" t="s">
        <v>407</v>
      </c>
      <c r="M12" s="13" t="s">
        <v>409</v>
      </c>
      <c r="N12" s="13" t="n">
        <v>345</v>
      </c>
      <c r="O12" s="13" t="n">
        <v>457</v>
      </c>
      <c r="P12" s="13" t="n">
        <v>1142</v>
      </c>
      <c r="Q12" s="13" t="n">
        <v>1214</v>
      </c>
      <c r="R12" s="13" t="n">
        <v>1646</v>
      </c>
      <c r="S12" s="13" t="n">
        <v>1739</v>
      </c>
      <c r="T12" s="13" t="s">
        <v>241</v>
      </c>
      <c r="U12" s="13" t="s">
        <v>410</v>
      </c>
      <c r="V12" s="13" t="s">
        <v>411</v>
      </c>
      <c r="W12" s="13" t="s">
        <v>312</v>
      </c>
      <c r="X12" s="13" t="s">
        <v>312</v>
      </c>
      <c r="Y12" s="13" t="s">
        <v>312</v>
      </c>
      <c r="Z12" s="13" t="s">
        <v>407</v>
      </c>
    </row>
    <row r="13" customFormat="false" ht="15" hidden="false" customHeight="true" outlineLevel="0" collapsed="false">
      <c r="A13" s="13" t="s">
        <v>350</v>
      </c>
      <c r="B13" s="13" t="s">
        <v>351</v>
      </c>
      <c r="C13" s="13" t="s">
        <v>414</v>
      </c>
      <c r="D13" s="13" t="s">
        <v>326</v>
      </c>
      <c r="E13" s="13" t="s">
        <v>327</v>
      </c>
      <c r="F13" s="13" t="s">
        <v>409</v>
      </c>
      <c r="G13" s="13" t="s">
        <v>235</v>
      </c>
      <c r="H13" s="13" t="s">
        <v>418</v>
      </c>
      <c r="I13" s="13" t="n">
        <v>2.148</v>
      </c>
      <c r="J13" s="13" t="s">
        <v>409</v>
      </c>
      <c r="K13" s="13" t="s">
        <v>409</v>
      </c>
      <c r="L13" s="13" t="s">
        <v>409</v>
      </c>
      <c r="M13" s="13" t="s">
        <v>409</v>
      </c>
      <c r="N13" s="13" t="n">
        <v>343</v>
      </c>
      <c r="O13" s="13" t="n">
        <v>527</v>
      </c>
      <c r="P13" s="13" t="n">
        <v>753</v>
      </c>
      <c r="Q13" s="13" t="n">
        <v>1138</v>
      </c>
      <c r="R13" s="13" t="n">
        <v>1503</v>
      </c>
      <c r="S13" s="13" t="n">
        <v>1553</v>
      </c>
      <c r="T13" s="13" t="s">
        <v>241</v>
      </c>
      <c r="U13" s="13" t="s">
        <v>410</v>
      </c>
      <c r="V13" s="13" t="s">
        <v>411</v>
      </c>
      <c r="W13" s="13" t="s">
        <v>312</v>
      </c>
      <c r="X13" s="13" t="s">
        <v>312</v>
      </c>
      <c r="Y13" s="13" t="s">
        <v>312</v>
      </c>
      <c r="Z13" s="13" t="s">
        <v>409</v>
      </c>
    </row>
    <row r="15" customFormat="false" ht="15" hidden="false" customHeight="true" outlineLevel="0" collapsed="false">
      <c r="A15" s="4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1"/>
    <col collapsed="false" customWidth="true" hidden="false" outlineLevel="0" max="2" min="2" style="1" width="28"/>
    <col collapsed="false" customWidth="true" hidden="false" outlineLevel="0" max="3" min="3" style="1" width="12"/>
    <col collapsed="false" customWidth="true" hidden="false" outlineLevel="0" max="4" min="4" style="1" width="20"/>
    <col collapsed="false" customWidth="true" hidden="false" outlineLevel="0" max="5" min="5" style="1" width="15"/>
  </cols>
  <sheetData>
    <row r="1" customFormat="false" ht="36" hidden="false" customHeight="true" outlineLevel="0" collapsed="false">
      <c r="A1" s="17" t="s">
        <v>419</v>
      </c>
      <c r="B1" s="17" t="s">
        <v>420</v>
      </c>
      <c r="C1" s="17" t="s">
        <v>421</v>
      </c>
      <c r="D1" s="17" t="s">
        <v>422</v>
      </c>
      <c r="E1" s="18" t="s">
        <v>240</v>
      </c>
    </row>
    <row r="2" customFormat="false" ht="15" hidden="false" customHeight="true" outlineLevel="0" collapsed="false">
      <c r="A2" s="4" t="s">
        <v>249</v>
      </c>
      <c r="B2" s="13" t="s">
        <v>380</v>
      </c>
      <c r="C2" s="13"/>
      <c r="D2" s="13"/>
      <c r="E2" s="4" t="str">
        <f aca="false">IF($B2="","Using default",IFERROR(IF(MATCH($B2,Raw_Fund_Import!$1:$1,0)&gt;0,"FOUND"),"NOT FOUND"))</f>
        <v>FOUND</v>
      </c>
    </row>
    <row r="3" customFormat="false" ht="15" hidden="false" customHeight="true" outlineLevel="0" collapsed="false">
      <c r="A3" s="4" t="s">
        <v>250</v>
      </c>
      <c r="B3" s="13" t="s">
        <v>381</v>
      </c>
      <c r="C3" s="13"/>
      <c r="D3" s="13"/>
      <c r="E3" s="4" t="str">
        <f aca="false">IF($B3="","Using default",IFERROR(IF(MATCH($B3,Raw_Fund_Import!$1:$1,0)&gt;0,"FOUND"),"NOT FOUND"))</f>
        <v>FOUND</v>
      </c>
    </row>
    <row r="4" customFormat="false" ht="15" hidden="false" customHeight="true" outlineLevel="0" collapsed="false">
      <c r="A4" s="4" t="s">
        <v>251</v>
      </c>
      <c r="B4" s="13" t="s">
        <v>383</v>
      </c>
      <c r="C4" s="13"/>
      <c r="D4" s="13"/>
      <c r="E4" s="4" t="str">
        <f aca="false">IF($B4="","Using default",IFERROR(IF(MATCH($B4,Raw_Fund_Import!$1:$1,0)&gt;0,"FOUND"),"NOT FOUND"))</f>
        <v>FOUND</v>
      </c>
    </row>
    <row r="5" customFormat="false" ht="15" hidden="false" customHeight="true" outlineLevel="0" collapsed="false">
      <c r="A5" s="4" t="s">
        <v>252</v>
      </c>
      <c r="B5" s="13" t="s">
        <v>384</v>
      </c>
      <c r="C5" s="13"/>
      <c r="D5" s="13"/>
      <c r="E5" s="4" t="str">
        <f aca="false">IF($B5="","Using default",IFERROR(IF(MATCH($B5,Raw_Fund_Import!$1:$1,0)&gt;0,"FOUND"),"NOT FOUND"))</f>
        <v>FOUND</v>
      </c>
    </row>
    <row r="6" customFormat="false" ht="15" hidden="false" customHeight="true" outlineLevel="0" collapsed="false">
      <c r="A6" s="4" t="s">
        <v>253</v>
      </c>
      <c r="B6" s="13" t="s">
        <v>385</v>
      </c>
      <c r="C6" s="13" t="s">
        <v>423</v>
      </c>
      <c r="D6" s="13" t="s">
        <v>314</v>
      </c>
      <c r="E6" s="4" t="str">
        <f aca="false">IF($B6="","Using default",IFERROR(IF(MATCH($B6,Raw_Fund_Import!$1:$1,0)&gt;0,"FOUND"),"NOT FOUND"))</f>
        <v>FOUND</v>
      </c>
    </row>
    <row r="7" customFormat="false" ht="15" hidden="false" customHeight="true" outlineLevel="0" collapsed="false">
      <c r="A7" s="4" t="s">
        <v>222</v>
      </c>
      <c r="B7" s="13" t="s">
        <v>386</v>
      </c>
      <c r="C7" s="13"/>
      <c r="D7" s="13"/>
      <c r="E7" s="4" t="str">
        <f aca="false">IF($B7="","Using default",IFERROR(IF(MATCH($B7,Raw_Fund_Import!$1:$1,0)&gt;0,"FOUND"),"NOT FOUND"))</f>
        <v>FOUND</v>
      </c>
    </row>
    <row r="8" customFormat="false" ht="15" hidden="false" customHeight="true" outlineLevel="0" collapsed="false">
      <c r="A8" s="4" t="s">
        <v>254</v>
      </c>
      <c r="B8" s="13" t="s">
        <v>387</v>
      </c>
      <c r="C8" s="13"/>
      <c r="D8" s="13"/>
      <c r="E8" s="4" t="str">
        <f aca="false">IF($B8="","Using default",IFERROR(IF(MATCH($B8,Raw_Fund_Import!$1:$1,0)&gt;0,"FOUND"),"NOT FOUND"))</f>
        <v>FOUND</v>
      </c>
    </row>
    <row r="9" customFormat="false" ht="15" hidden="false" customHeight="true" outlineLevel="0" collapsed="false">
      <c r="A9" s="4" t="s">
        <v>255</v>
      </c>
      <c r="B9" s="13" t="s">
        <v>388</v>
      </c>
      <c r="C9" s="13"/>
      <c r="D9" s="13"/>
      <c r="E9" s="4" t="str">
        <f aca="false">IF($B9="","Using default",IFERROR(IF(MATCH($B9,Raw_Fund_Import!$1:$1,0)&gt;0,"FOUND"),"NOT FOUND"))</f>
        <v>FOUND</v>
      </c>
    </row>
    <row r="10" customFormat="false" ht="15" hidden="false" customHeight="true" outlineLevel="0" collapsed="false">
      <c r="A10" s="4" t="s">
        <v>256</v>
      </c>
      <c r="B10" s="13" t="s">
        <v>389</v>
      </c>
      <c r="C10" s="13" t="s">
        <v>424</v>
      </c>
      <c r="D10" s="13"/>
      <c r="E10" s="4" t="str">
        <f aca="false">IF($B10="","Using default",IFERROR(IF(MATCH($B10,Raw_Fund_Import!$1:$1,0)&gt;0,"FOUND"),"NOT FOUND"))</f>
        <v>FOUND</v>
      </c>
    </row>
    <row r="11" customFormat="false" ht="15" hidden="false" customHeight="true" outlineLevel="0" collapsed="false">
      <c r="A11" s="4" t="s">
        <v>257</v>
      </c>
      <c r="B11" s="13" t="s">
        <v>390</v>
      </c>
      <c r="C11" s="13" t="s">
        <v>424</v>
      </c>
      <c r="D11" s="13"/>
      <c r="E11" s="4" t="str">
        <f aca="false">IF($B11="","Using default",IFERROR(IF(MATCH($B11,Raw_Fund_Import!$1:$1,0)&gt;0,"FOUND"),"NOT FOUND"))</f>
        <v>FOUND</v>
      </c>
    </row>
    <row r="12" customFormat="false" ht="15" hidden="false" customHeight="true" outlineLevel="0" collapsed="false">
      <c r="A12" s="4" t="s">
        <v>258</v>
      </c>
      <c r="B12" s="13" t="s">
        <v>391</v>
      </c>
      <c r="C12" s="13" t="s">
        <v>424</v>
      </c>
      <c r="D12" s="13"/>
      <c r="E12" s="4" t="str">
        <f aca="false">IF($B12="","Using default",IFERROR(IF(MATCH($B12,Raw_Fund_Import!$1:$1,0)&gt;0,"FOUND"),"NOT FOUND"))</f>
        <v>FOUND</v>
      </c>
    </row>
    <row r="13" customFormat="false" ht="15" hidden="false" customHeight="true" outlineLevel="0" collapsed="false">
      <c r="A13" s="4" t="s">
        <v>259</v>
      </c>
      <c r="B13" s="13" t="s">
        <v>392</v>
      </c>
      <c r="C13" s="13" t="s">
        <v>424</v>
      </c>
      <c r="D13" s="13"/>
      <c r="E13" s="4" t="str">
        <f aca="false">IF($B13="","Using default",IFERROR(IF(MATCH($B13,Raw_Fund_Import!$1:$1,0)&gt;0,"FOUND"),"NOT FOUND"))</f>
        <v>FOUND</v>
      </c>
    </row>
    <row r="14" customFormat="false" ht="15" hidden="false" customHeight="true" outlineLevel="0" collapsed="false">
      <c r="A14" s="4" t="s">
        <v>260</v>
      </c>
      <c r="B14" s="13" t="s">
        <v>405</v>
      </c>
      <c r="C14" s="13" t="s">
        <v>424</v>
      </c>
      <c r="D14" s="13"/>
      <c r="E14" s="4" t="str">
        <f aca="false">IF($B14="","Using default",IFERROR(IF(MATCH($B14,Raw_Fund_Import!$1:$1,0)&gt;0,"FOUND"),"NOT FOUND"))</f>
        <v>FOUND</v>
      </c>
    </row>
    <row r="15" customFormat="false" ht="15" hidden="false" customHeight="true" outlineLevel="0" collapsed="false">
      <c r="A15" s="4" t="s">
        <v>261</v>
      </c>
      <c r="B15" s="13" t="s">
        <v>402</v>
      </c>
      <c r="C15" s="13"/>
      <c r="D15" s="13" t="s">
        <v>312</v>
      </c>
      <c r="E15" s="4" t="str">
        <f aca="false">IF($B15="","Using default",IFERROR(IF(MATCH($B15,Raw_Fund_Import!$1:$1,0)&gt;0,"FOUND"),"NOT FOUND"))</f>
        <v>FOUND</v>
      </c>
    </row>
    <row r="16" customFormat="false" ht="15" hidden="false" customHeight="true" outlineLevel="0" collapsed="false">
      <c r="A16" s="4" t="s">
        <v>262</v>
      </c>
      <c r="B16" s="13" t="s">
        <v>403</v>
      </c>
      <c r="C16" s="13"/>
      <c r="D16" s="13" t="s">
        <v>312</v>
      </c>
      <c r="E16" s="4" t="str">
        <f aca="false">IF($B16="","Using default",IFERROR(IF(MATCH($B16,Raw_Fund_Import!$1:$1,0)&gt;0,"FOUND"),"NOT FOUND"))</f>
        <v>FOUND</v>
      </c>
    </row>
    <row r="17" customFormat="false" ht="15" hidden="false" customHeight="true" outlineLevel="0" collapsed="false">
      <c r="A17" s="4" t="s">
        <v>263</v>
      </c>
      <c r="B17" s="13" t="s">
        <v>404</v>
      </c>
      <c r="C17" s="13"/>
      <c r="D17" s="13" t="s">
        <v>312</v>
      </c>
      <c r="E17" s="4" t="str">
        <f aca="false">IF($B17="","Using default",IFERROR(IF(MATCH($B17,Raw_Fund_Import!$1:$1,0)&gt;0,"FOUND"),"NOT FOUND"))</f>
        <v>FOUND</v>
      </c>
    </row>
    <row r="18" customFormat="false" ht="15" hidden="false" customHeight="true" outlineLevel="0" collapsed="false">
      <c r="A18" s="4" t="s">
        <v>264</v>
      </c>
      <c r="B18" s="13" t="s">
        <v>393</v>
      </c>
      <c r="C18" s="13" t="s">
        <v>425</v>
      </c>
      <c r="D18" s="13"/>
      <c r="E18" s="4" t="str">
        <f aca="false">IF($B18="","Using default",IFERROR(IF(MATCH($B18,Raw_Fund_Import!$1:$1,0)&gt;0,"FOUND"),"NOT FOUND"))</f>
        <v>FOUND</v>
      </c>
    </row>
    <row r="19" customFormat="false" ht="15" hidden="false" customHeight="true" outlineLevel="0" collapsed="false">
      <c r="A19" s="4" t="s">
        <v>265</v>
      </c>
      <c r="B19" s="13" t="s">
        <v>394</v>
      </c>
      <c r="C19" s="13" t="s">
        <v>425</v>
      </c>
      <c r="D19" s="13"/>
      <c r="E19" s="4" t="str">
        <f aca="false">IF($B19="","Using default",IFERROR(IF(MATCH($B19,Raw_Fund_Import!$1:$1,0)&gt;0,"FOUND"),"NOT FOUND"))</f>
        <v>FOUND</v>
      </c>
    </row>
    <row r="20" customFormat="false" ht="15" hidden="false" customHeight="true" outlineLevel="0" collapsed="false">
      <c r="A20" s="4" t="s">
        <v>266</v>
      </c>
      <c r="B20" s="13" t="s">
        <v>395</v>
      </c>
      <c r="C20" s="13" t="s">
        <v>425</v>
      </c>
      <c r="D20" s="13"/>
      <c r="E20" s="4" t="str">
        <f aca="false">IF($B20="","Using default",IFERROR(IF(MATCH($B20,Raw_Fund_Import!$1:$1,0)&gt;0,"FOUND"),"NOT FOUND"))</f>
        <v>FOUND</v>
      </c>
    </row>
    <row r="21" customFormat="false" ht="15" hidden="false" customHeight="true" outlineLevel="0" collapsed="false">
      <c r="A21" s="4" t="s">
        <v>267</v>
      </c>
      <c r="B21" s="13" t="s">
        <v>396</v>
      </c>
      <c r="C21" s="13" t="s">
        <v>425</v>
      </c>
      <c r="D21" s="13"/>
      <c r="E21" s="4" t="str">
        <f aca="false">IF($B21="","Using default",IFERROR(IF(MATCH($B21,Raw_Fund_Import!$1:$1,0)&gt;0,"FOUND"),"NOT FOUND"))</f>
        <v>FOUND</v>
      </c>
    </row>
    <row r="22" customFormat="false" ht="15" hidden="false" customHeight="true" outlineLevel="0" collapsed="false">
      <c r="A22" s="4" t="s">
        <v>269</v>
      </c>
      <c r="B22" s="13" t="s">
        <v>397</v>
      </c>
      <c r="C22" s="13" t="s">
        <v>425</v>
      </c>
      <c r="D22" s="13"/>
      <c r="E22" s="4" t="str">
        <f aca="false">IF($B22="","Using default",IFERROR(IF(MATCH($B22,Raw_Fund_Import!$1:$1,0)&gt;0,"FOUND"),"NOT FOUND"))</f>
        <v>FOUND</v>
      </c>
    </row>
    <row r="23" customFormat="false" ht="15" hidden="false" customHeight="true" outlineLevel="0" collapsed="false">
      <c r="A23" s="4" t="s">
        <v>270</v>
      </c>
      <c r="B23" s="13" t="s">
        <v>398</v>
      </c>
      <c r="C23" s="13" t="s">
        <v>425</v>
      </c>
      <c r="D23" s="13"/>
      <c r="E23" s="4" t="str">
        <f aca="false">IF($B23="","Using default",IFERROR(IF(MATCH($B23,Raw_Fund_Import!$1:$1,0)&gt;0,"FOUND"),"NOT FOUND"))</f>
        <v>FOUND</v>
      </c>
    </row>
    <row r="24" customFormat="false" ht="15" hidden="false" customHeight="true" outlineLevel="0" collapsed="false">
      <c r="A24" s="4" t="s">
        <v>237</v>
      </c>
      <c r="B24" s="13" t="s">
        <v>399</v>
      </c>
      <c r="C24" s="13"/>
      <c r="D24" s="13"/>
      <c r="E24" s="4" t="str">
        <f aca="false">IF($B24="","Using default",IFERROR(IF(MATCH($B24,Raw_Fund_Import!$1:$1,0)&gt;0,"FOUND"),"NOT FOUND"))</f>
        <v>FOUND</v>
      </c>
    </row>
    <row r="25" customFormat="false" ht="15" hidden="false" customHeight="true" outlineLevel="0" collapsed="false">
      <c r="A25" s="4" t="s">
        <v>271</v>
      </c>
      <c r="B25" s="13"/>
      <c r="C25" s="13"/>
      <c r="D25" s="13" t="s">
        <v>323</v>
      </c>
      <c r="E25" s="4" t="str">
        <f aca="false">IF($B25="","Using default",IFERROR(IF(MATCH($B25,Raw_Fund_Import!$1:$1,0)&gt;0,"FOUND"),"NOT FOUND"))</f>
        <v>Using default</v>
      </c>
    </row>
    <row r="26" customFormat="false" ht="15" hidden="false" customHeight="true" outlineLevel="0" collapsed="false"/>
    <row r="27" customFormat="false" ht="15" hidden="false" customHeight="true" outlineLevel="0" collapsed="false">
      <c r="A27" s="41"/>
      <c r="B27" s="42"/>
    </row>
    <row r="28" customFormat="false" ht="15" hidden="false" customHeight="true" outlineLevel="0" collapsed="false">
      <c r="A28" s="2" t="s">
        <v>426</v>
      </c>
      <c r="B28" s="2"/>
      <c r="C28" s="2"/>
      <c r="D28" s="2"/>
      <c r="E28" s="2"/>
    </row>
    <row r="29" customFormat="false" ht="15" hidden="false" customHeight="true" outlineLevel="0" collapsed="false">
      <c r="A29" s="41" t="s">
        <v>427</v>
      </c>
      <c r="B29" s="42" t="s">
        <v>428</v>
      </c>
    </row>
    <row r="30" customFormat="false" ht="15" hidden="false" customHeight="true" outlineLevel="0" collapsed="false">
      <c r="A30" s="41" t="s">
        <v>425</v>
      </c>
      <c r="B30" s="42" t="s">
        <v>429</v>
      </c>
    </row>
    <row r="31" customFormat="false" ht="15" hidden="false" customHeight="true" outlineLevel="0" collapsed="false">
      <c r="A31" s="41" t="s">
        <v>430</v>
      </c>
      <c r="B31" s="42" t="s">
        <v>431</v>
      </c>
    </row>
    <row r="32" customFormat="false" ht="15" hidden="false" customHeight="true" outlineLevel="0" collapsed="false">
      <c r="A32" s="41" t="s">
        <v>432</v>
      </c>
      <c r="B32" s="42" t="s">
        <v>433</v>
      </c>
    </row>
    <row r="33" customFormat="false" ht="15" hidden="false" customHeight="true" outlineLevel="0" collapsed="false">
      <c r="A33" s="41" t="s">
        <v>424</v>
      </c>
      <c r="B33" s="42" t="s">
        <v>434</v>
      </c>
    </row>
    <row r="34" customFormat="false" ht="15" hidden="false" customHeight="true" outlineLevel="0" collapsed="false">
      <c r="A34" s="41" t="s">
        <v>423</v>
      </c>
      <c r="B34" s="42" t="s">
        <v>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4" min="1" style="1" width="21"/>
  </cols>
  <sheetData>
    <row r="1" customFormat="false" ht="36" hidden="false" customHeight="true" outlineLevel="0" collapsed="false">
      <c r="A1" s="18" t="s">
        <v>249</v>
      </c>
      <c r="B1" s="18" t="s">
        <v>250</v>
      </c>
      <c r="C1" s="18" t="s">
        <v>251</v>
      </c>
      <c r="D1" s="18" t="s">
        <v>252</v>
      </c>
      <c r="E1" s="18" t="s">
        <v>253</v>
      </c>
      <c r="F1" s="18" t="s">
        <v>222</v>
      </c>
      <c r="G1" s="18" t="s">
        <v>254</v>
      </c>
      <c r="H1" s="18" t="s">
        <v>255</v>
      </c>
      <c r="I1" s="18" t="s">
        <v>256</v>
      </c>
      <c r="J1" s="18" t="s">
        <v>257</v>
      </c>
      <c r="K1" s="18" t="s">
        <v>258</v>
      </c>
      <c r="L1" s="18" t="s">
        <v>259</v>
      </c>
      <c r="M1" s="18" t="s">
        <v>260</v>
      </c>
      <c r="N1" s="18" t="s">
        <v>261</v>
      </c>
      <c r="O1" s="18" t="s">
        <v>262</v>
      </c>
      <c r="P1" s="18" t="s">
        <v>263</v>
      </c>
      <c r="Q1" s="18" t="s">
        <v>264</v>
      </c>
      <c r="R1" s="18" t="s">
        <v>265</v>
      </c>
      <c r="S1" s="18" t="s">
        <v>266</v>
      </c>
      <c r="T1" s="18" t="s">
        <v>267</v>
      </c>
      <c r="U1" s="18" t="s">
        <v>269</v>
      </c>
      <c r="V1" s="18" t="s">
        <v>270</v>
      </c>
      <c r="W1" s="18" t="s">
        <v>237</v>
      </c>
      <c r="X1" s="18" t="s">
        <v>271</v>
      </c>
      <c r="Y1" s="18" t="s">
        <v>436</v>
      </c>
      <c r="AA1" s="40" t="s">
        <v>437</v>
      </c>
    </row>
    <row r="2" customFormat="false" ht="15" hidden="false" customHeight="true" outlineLevel="0" collapsed="false">
      <c r="A2" s="4" t="str">
        <f aca="false">IF(Raw_Fund_Import!$A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FD-1001</v>
      </c>
      <c r="B2" s="4" t="str">
        <f aca="false">IF(Raw_Fund_Import!$A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1001</v>
      </c>
      <c r="C2" s="4" t="str">
        <f aca="false">IF(Raw_Fund_Import!$A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CL01</v>
      </c>
      <c r="D2" s="4" t="str">
        <f aca="false">IF(Raw_Fund_Import!$A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Meridian Pensions</v>
      </c>
      <c r="E2" s="4" t="str">
        <f aca="false">IF(Raw_Fund_Import!$A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Yes</v>
      </c>
      <c r="F2" s="4" t="str">
        <f aca="false">IF(Raw_Fund_Import!$A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TM01</v>
      </c>
      <c r="G2" s="4" t="str">
        <f aca="false">IF(Raw_Fund_Import!$A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TM01-A1</v>
      </c>
      <c r="H2" s="43" t="n">
        <f aca="false">IF(Raw_Fund_Import!$A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2.152</v>
      </c>
      <c r="I2" s="4" t="n">
        <f aca="false">IF(Raw_Fund_Import!$A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1</v>
      </c>
      <c r="J2" s="4" t="n">
        <f aca="false">IF(Raw_Fund_Import!$A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0</v>
      </c>
      <c r="K2" s="4" t="n">
        <f aca="false">IF(Raw_Fund_Import!$A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0</v>
      </c>
      <c r="L2" s="4" t="n">
        <f aca="false">IF(Raw_Fund_Import!$A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1</v>
      </c>
      <c r="M2" s="4" t="n">
        <f aca="false">IF(Raw_Fund_Import!$A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0</v>
      </c>
      <c r="N2" s="4" t="str">
        <f aca="false">IF(Raw_Fund_Import!$A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2" s="4" t="str">
        <f aca="false">IF(Raw_Fund_Import!$A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No</v>
      </c>
      <c r="P2" s="4" t="str">
        <f aca="false">IF(Raw_Fund_Import!$A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No</v>
      </c>
      <c r="Q2" s="44" t="n">
        <f aca="false">IF(Raw_Fund_Import!$A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0.202083333333333</v>
      </c>
      <c r="R2" s="44" t="n">
        <f aca="false">IF(Raw_Fund_Import!$A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0.520833333333333</v>
      </c>
      <c r="S2" s="44" t="n">
        <f aca="false">IF(Raw_Fund_Import!$A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0.520833333333333</v>
      </c>
      <c r="T2" s="44" t="n">
        <f aca="false">IF(Raw_Fund_Import!$A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0.520833333333333</v>
      </c>
      <c r="U2" s="44" t="n">
        <f aca="false">IF(Raw_Fund_Import!$A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0.697222222222222</v>
      </c>
      <c r="V2" s="44" t="n">
        <f aca="false">IF(Raw_Fund_Import!$A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0.721527777777778</v>
      </c>
      <c r="W2" s="4" t="str">
        <f aca="false">IF(Raw_Fund_Import!$A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FA</v>
      </c>
      <c r="X2" s="4" t="str">
        <f aca="false">IF(Raw_Fund_Import!$A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2" s="4" t="str">
        <f aca="false">IF(Raw_Fund_Import!$A2="","",IF(COUNTBLANK($A2:$X2)&gt;0,"CHECK","OK"))</f>
        <v>OK</v>
      </c>
    </row>
    <row r="3" customFormat="false" ht="15" hidden="false" customHeight="true" outlineLevel="0" collapsed="false">
      <c r="A3" s="4" t="str">
        <f aca="false">IF(Raw_Fund_Import!$A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FD-1002</v>
      </c>
      <c r="B3" s="4" t="str">
        <f aca="false">IF(Raw_Fund_Import!$A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1002</v>
      </c>
      <c r="C3" s="4" t="str">
        <f aca="false">IF(Raw_Fund_Import!$A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CL02</v>
      </c>
      <c r="D3" s="4" t="str">
        <f aca="false">IF(Raw_Fund_Import!$A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Northgate Insurance</v>
      </c>
      <c r="E3" s="4" t="str">
        <f aca="false">IF(Raw_Fund_Import!$A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Yes</v>
      </c>
      <c r="F3" s="4" t="str">
        <f aca="false">IF(Raw_Fund_Import!$A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TM01</v>
      </c>
      <c r="G3" s="4" t="str">
        <f aca="false">IF(Raw_Fund_Import!$A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TM01-A2</v>
      </c>
      <c r="H3" s="43" t="n">
        <f aca="false">IF(Raw_Fund_Import!$A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1.213</v>
      </c>
      <c r="I3" s="4" t="n">
        <f aca="false">IF(Raw_Fund_Import!$A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0</v>
      </c>
      <c r="J3" s="4" t="n">
        <f aca="false">IF(Raw_Fund_Import!$A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0</v>
      </c>
      <c r="K3" s="4" t="n">
        <f aca="false">IF(Raw_Fund_Import!$A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0</v>
      </c>
      <c r="L3" s="4" t="n">
        <f aca="false">IF(Raw_Fund_Import!$A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0</v>
      </c>
      <c r="M3" s="4" t="n">
        <f aca="false">IF(Raw_Fund_Import!$A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1</v>
      </c>
      <c r="N3" s="4" t="str">
        <f aca="false">IF(Raw_Fund_Import!$A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3" s="4" t="str">
        <f aca="false">IF(Raw_Fund_Import!$A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Yes</v>
      </c>
      <c r="P3" s="4" t="str">
        <f aca="false">IF(Raw_Fund_Import!$A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Yes</v>
      </c>
      <c r="Q3" s="44" t="n">
        <f aca="false">IF(Raw_Fund_Import!$A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0.195833333333333</v>
      </c>
      <c r="R3" s="44" t="n">
        <f aca="false">IF(Raw_Fund_Import!$A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0.151388888888889</v>
      </c>
      <c r="S3" s="44" t="n">
        <f aca="false">IF(Raw_Fund_Import!$A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0.35</v>
      </c>
      <c r="T3" s="44" t="n">
        <f aca="false">IF(Raw_Fund_Import!$A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0.519444444444445</v>
      </c>
      <c r="U3" s="44" t="n">
        <f aca="false">IF(Raw_Fund_Import!$A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0.684027777777778</v>
      </c>
      <c r="V3" s="44" t="n">
        <f aca="false">IF(Raw_Fund_Import!$A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0.710416666666667</v>
      </c>
      <c r="W3" s="4" t="str">
        <f aca="false">IF(Raw_Fund_Import!$A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FA</v>
      </c>
      <c r="X3" s="4" t="str">
        <f aca="false">IF(Raw_Fund_Import!$A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3" s="4" t="str">
        <f aca="false">IF(Raw_Fund_Import!$A3="","",IF(COUNTBLANK($A3:$X3)&gt;0,"CHECK","OK"))</f>
        <v>OK</v>
      </c>
    </row>
    <row r="4" customFormat="false" ht="15" hidden="false" customHeight="true" outlineLevel="0" collapsed="false">
      <c r="A4" s="4" t="str">
        <f aca="false">IF(Raw_Fund_Import!$A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FD-1003</v>
      </c>
      <c r="B4" s="4" t="str">
        <f aca="false">IF(Raw_Fund_Import!$A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1003</v>
      </c>
      <c r="C4" s="4" t="str">
        <f aca="false">IF(Raw_Fund_Import!$A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CL03</v>
      </c>
      <c r="D4" s="4" t="str">
        <f aca="false">IF(Raw_Fund_Import!$A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Halvern Wealth</v>
      </c>
      <c r="E4" s="4" t="str">
        <f aca="false">IF(Raw_Fund_Import!$A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No</v>
      </c>
      <c r="F4" s="4" t="str">
        <f aca="false">IF(Raw_Fund_Import!$A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TM02</v>
      </c>
      <c r="G4" s="4" t="str">
        <f aca="false">IF(Raw_Fund_Import!$A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TM02-A1</v>
      </c>
      <c r="H4" s="43" t="n">
        <f aca="false">IF(Raw_Fund_Import!$A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2.073</v>
      </c>
      <c r="I4" s="4" t="n">
        <f aca="false">IF(Raw_Fund_Import!$A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0</v>
      </c>
      <c r="J4" s="4" t="n">
        <f aca="false">IF(Raw_Fund_Import!$A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0</v>
      </c>
      <c r="K4" s="4" t="n">
        <f aca="false">IF(Raw_Fund_Import!$A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0</v>
      </c>
      <c r="L4" s="4" t="n">
        <f aca="false">IF(Raw_Fund_Import!$A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0</v>
      </c>
      <c r="M4" s="4" t="n">
        <f aca="false">IF(Raw_Fund_Import!$A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0</v>
      </c>
      <c r="N4" s="4" t="str">
        <f aca="false">IF(Raw_Fund_Import!$A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4" s="4" t="str">
        <f aca="false">IF(Raw_Fund_Import!$A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Yes</v>
      </c>
      <c r="P4" s="4" t="str">
        <f aca="false">IF(Raw_Fund_Import!$A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Yes</v>
      </c>
      <c r="Q4" s="44" t="n">
        <f aca="false">IF(Raw_Fund_Import!$A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0.188888888888889</v>
      </c>
      <c r="R4" s="44" t="n">
        <f aca="false">IF(Raw_Fund_Import!$A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0.191666666666667</v>
      </c>
      <c r="S4" s="44" t="n">
        <f aca="false">IF(Raw_Fund_Import!$A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0.317361111111111</v>
      </c>
      <c r="T4" s="44" t="n">
        <f aca="false">IF(Raw_Fund_Import!$A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0.488888888888889</v>
      </c>
      <c r="U4" s="44" t="n">
        <f aca="false">IF(Raw_Fund_Import!$A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0.663194444444444</v>
      </c>
      <c r="V4" s="44" t="n">
        <f aca="false">IF(Raw_Fund_Import!$A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0.695138888888889</v>
      </c>
      <c r="W4" s="4" t="str">
        <f aca="false">IF(Raw_Fund_Import!$A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FA</v>
      </c>
      <c r="X4" s="4" t="str">
        <f aca="false">IF(Raw_Fund_Import!$A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4" s="4" t="str">
        <f aca="false">IF(Raw_Fund_Import!$A4="","",IF(COUNTBLANK($A4:$X4)&gt;0,"CHECK","OK"))</f>
        <v>OK</v>
      </c>
    </row>
    <row r="5" customFormat="false" ht="15" hidden="false" customHeight="true" outlineLevel="0" collapsed="false">
      <c r="A5" s="4" t="str">
        <f aca="false">IF(Raw_Fund_Import!$A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FD-1004</v>
      </c>
      <c r="B5" s="4" t="str">
        <f aca="false">IF(Raw_Fund_Import!$A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1004</v>
      </c>
      <c r="C5" s="4" t="str">
        <f aca="false">IF(Raw_Fund_Import!$A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CL01</v>
      </c>
      <c r="D5" s="4" t="str">
        <f aca="false">IF(Raw_Fund_Import!$A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Meridian Pensions</v>
      </c>
      <c r="E5" s="4" t="str">
        <f aca="false">IF(Raw_Fund_Import!$A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Yes</v>
      </c>
      <c r="F5" s="4" t="str">
        <f aca="false">IF(Raw_Fund_Import!$A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TM03</v>
      </c>
      <c r="G5" s="4" t="str">
        <f aca="false">IF(Raw_Fund_Import!$A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TM03-A1</v>
      </c>
      <c r="H5" s="43" t="n">
        <f aca="false">IF(Raw_Fund_Import!$A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2.099</v>
      </c>
      <c r="I5" s="4" t="n">
        <f aca="false">IF(Raw_Fund_Import!$A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0</v>
      </c>
      <c r="J5" s="4" t="n">
        <f aca="false">IF(Raw_Fund_Import!$A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0</v>
      </c>
      <c r="K5" s="4" t="n">
        <f aca="false">IF(Raw_Fund_Import!$A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0</v>
      </c>
      <c r="L5" s="4" t="n">
        <f aca="false">IF(Raw_Fund_Import!$A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0</v>
      </c>
      <c r="M5" s="4" t="n">
        <f aca="false">IF(Raw_Fund_Import!$A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0</v>
      </c>
      <c r="N5" s="4" t="str">
        <f aca="false">IF(Raw_Fund_Import!$A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5" s="4" t="str">
        <f aca="false">IF(Raw_Fund_Import!$A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Yes</v>
      </c>
      <c r="P5" s="4" t="str">
        <f aca="false">IF(Raw_Fund_Import!$A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Yes</v>
      </c>
      <c r="Q5" s="44" t="n">
        <f aca="false">IF(Raw_Fund_Import!$A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0.186111111111111</v>
      </c>
      <c r="R5" s="44" t="n">
        <f aca="false">IF(Raw_Fund_Import!$A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0.161111111111111</v>
      </c>
      <c r="S5" s="44" t="n">
        <f aca="false">IF(Raw_Fund_Import!$A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0.317361111111111</v>
      </c>
      <c r="T5" s="44" t="n">
        <f aca="false">IF(Raw_Fund_Import!$A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0.528472222222222</v>
      </c>
      <c r="U5" s="44" t="n">
        <f aca="false">IF(Raw_Fund_Import!$A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0.706944444444445</v>
      </c>
      <c r="V5" s="44" t="n">
        <f aca="false">IF(Raw_Fund_Import!$A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0.733333333333333</v>
      </c>
      <c r="W5" s="4" t="str">
        <f aca="false">IF(Raw_Fund_Import!$A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Oversight</v>
      </c>
      <c r="X5" s="4" t="str">
        <f aca="false">IF(Raw_Fund_Import!$A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5" s="4" t="str">
        <f aca="false">IF(Raw_Fund_Import!$A5="","",IF(COUNTBLANK($A5:$X5)&gt;0,"CHECK","OK"))</f>
        <v>OK</v>
      </c>
    </row>
    <row r="6" customFormat="false" ht="15" hidden="false" customHeight="true" outlineLevel="0" collapsed="false">
      <c r="A6" s="4" t="str">
        <f aca="false">IF(Raw_Fund_Import!$A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FD-1005</v>
      </c>
      <c r="B6" s="4" t="str">
        <f aca="false">IF(Raw_Fund_Import!$A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1005</v>
      </c>
      <c r="C6" s="4" t="str">
        <f aca="false">IF(Raw_Fund_Import!$A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CL02</v>
      </c>
      <c r="D6" s="4" t="str">
        <f aca="false">IF(Raw_Fund_Import!$A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Northgate Insurance</v>
      </c>
      <c r="E6" s="4" t="str">
        <f aca="false">IF(Raw_Fund_Import!$A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Yes</v>
      </c>
      <c r="F6" s="4" t="str">
        <f aca="false">IF(Raw_Fund_Import!$A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TM03</v>
      </c>
      <c r="G6" s="4" t="str">
        <f aca="false">IF(Raw_Fund_Import!$A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TM03-A2</v>
      </c>
      <c r="H6" s="43" t="n">
        <f aca="false">IF(Raw_Fund_Import!$A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1.597</v>
      </c>
      <c r="I6" s="4" t="n">
        <f aca="false">IF(Raw_Fund_Import!$A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0</v>
      </c>
      <c r="J6" s="4" t="n">
        <f aca="false">IF(Raw_Fund_Import!$A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0</v>
      </c>
      <c r="K6" s="4" t="n">
        <f aca="false">IF(Raw_Fund_Import!$A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0</v>
      </c>
      <c r="L6" s="4" t="n">
        <f aca="false">IF(Raw_Fund_Import!$A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0</v>
      </c>
      <c r="M6" s="4" t="n">
        <f aca="false">IF(Raw_Fund_Import!$A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1</v>
      </c>
      <c r="N6" s="4" t="str">
        <f aca="false">IF(Raw_Fund_Import!$A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6" s="4" t="str">
        <f aca="false">IF(Raw_Fund_Import!$A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No</v>
      </c>
      <c r="P6" s="4" t="str">
        <f aca="false">IF(Raw_Fund_Import!$A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Yes</v>
      </c>
      <c r="Q6" s="44" t="n">
        <f aca="false">IF(Raw_Fund_Import!$A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0.190972222222222</v>
      </c>
      <c r="R6" s="44" t="n">
        <f aca="false">IF(Raw_Fund_Import!$A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0.543055555555556</v>
      </c>
      <c r="S6" s="44" t="n">
        <f aca="false">IF(Raw_Fund_Import!$A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0.29375</v>
      </c>
      <c r="T6" s="44" t="n">
        <f aca="false">IF(Raw_Fund_Import!$A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0.543055555555556</v>
      </c>
      <c r="U6" s="44" t="n">
        <f aca="false">IF(Raw_Fund_Import!$A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0.684027777777778</v>
      </c>
      <c r="V6" s="44" t="n">
        <f aca="false">IF(Raw_Fund_Import!$A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0.717361111111111</v>
      </c>
      <c r="W6" s="4" t="str">
        <f aca="false">IF(Raw_Fund_Import!$A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Client</v>
      </c>
      <c r="X6" s="4" t="str">
        <f aca="false">IF(Raw_Fund_Import!$A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6" s="4" t="str">
        <f aca="false">IF(Raw_Fund_Import!$A6="","",IF(COUNTBLANK($A6:$X6)&gt;0,"CHECK","OK"))</f>
        <v>OK</v>
      </c>
    </row>
    <row r="7" customFormat="false" ht="15" hidden="false" customHeight="true" outlineLevel="0" collapsed="false">
      <c r="A7" s="4" t="str">
        <f aca="false">IF(Raw_Fund_Import!$A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FD-1006</v>
      </c>
      <c r="B7" s="4" t="str">
        <f aca="false">IF(Raw_Fund_Import!$A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1006</v>
      </c>
      <c r="C7" s="4" t="str">
        <f aca="false">IF(Raw_Fund_Import!$A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CL03</v>
      </c>
      <c r="D7" s="4" t="str">
        <f aca="false">IF(Raw_Fund_Import!$A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Halvern Wealth</v>
      </c>
      <c r="E7" s="4" t="str">
        <f aca="false">IF(Raw_Fund_Import!$A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No</v>
      </c>
      <c r="F7" s="4" t="str">
        <f aca="false">IF(Raw_Fund_Import!$A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TM04</v>
      </c>
      <c r="G7" s="4" t="str">
        <f aca="false">IF(Raw_Fund_Import!$A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TM04-A1</v>
      </c>
      <c r="H7" s="43" t="n">
        <f aca="false">IF(Raw_Fund_Import!$A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1.147</v>
      </c>
      <c r="I7" s="4" t="n">
        <f aca="false">IF(Raw_Fund_Import!$A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1</v>
      </c>
      <c r="J7" s="4" t="n">
        <f aca="false">IF(Raw_Fund_Import!$A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0</v>
      </c>
      <c r="K7" s="4" t="n">
        <f aca="false">IF(Raw_Fund_Import!$A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0</v>
      </c>
      <c r="L7" s="4" t="n">
        <f aca="false">IF(Raw_Fund_Import!$A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1</v>
      </c>
      <c r="M7" s="4" t="n">
        <f aca="false">IF(Raw_Fund_Import!$A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0</v>
      </c>
      <c r="N7" s="4" t="str">
        <f aca="false">IF(Raw_Fund_Import!$A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7" s="4" t="str">
        <f aca="false">IF(Raw_Fund_Import!$A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Yes</v>
      </c>
      <c r="P7" s="4" t="str">
        <f aca="false">IF(Raw_Fund_Import!$A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Yes</v>
      </c>
      <c r="Q7" s="44" t="n">
        <f aca="false">IF(Raw_Fund_Import!$A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0.197222222222222</v>
      </c>
      <c r="R7" s="44" t="n">
        <f aca="false">IF(Raw_Fund_Import!$A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0.1625</v>
      </c>
      <c r="S7" s="44" t="n">
        <f aca="false">IF(Raw_Fund_Import!$A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0.495138888888889</v>
      </c>
      <c r="T7" s="44" t="n">
        <f aca="false">IF(Raw_Fund_Import!$A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0.553472222222222</v>
      </c>
      <c r="U7" s="44" t="n">
        <f aca="false">IF(Raw_Fund_Import!$A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0.739583333333333</v>
      </c>
      <c r="V7" s="44" t="n">
        <f aca="false">IF(Raw_Fund_Import!$A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0.765972222222222</v>
      </c>
      <c r="W7" s="4" t="str">
        <f aca="false">IF(Raw_Fund_Import!$A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FA</v>
      </c>
      <c r="X7" s="4" t="str">
        <f aca="false">IF(Raw_Fund_Import!$A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7" s="4" t="str">
        <f aca="false">IF(Raw_Fund_Import!$A7="","",IF(COUNTBLANK($A7:$X7)&gt;0,"CHECK","OK"))</f>
        <v>OK</v>
      </c>
    </row>
    <row r="8" customFormat="false" ht="15" hidden="false" customHeight="true" outlineLevel="0" collapsed="false">
      <c r="A8" s="4" t="str">
        <f aca="false">IF(Raw_Fund_Import!$A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FD-1007</v>
      </c>
      <c r="B8" s="4" t="str">
        <f aca="false">IF(Raw_Fund_Import!$A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1007</v>
      </c>
      <c r="C8" s="4" t="str">
        <f aca="false">IF(Raw_Fund_Import!$A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CL01</v>
      </c>
      <c r="D8" s="4" t="str">
        <f aca="false">IF(Raw_Fund_Import!$A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Meridian Pensions</v>
      </c>
      <c r="E8" s="4" t="str">
        <f aca="false">IF(Raw_Fund_Import!$A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Yes</v>
      </c>
      <c r="F8" s="4" t="str">
        <f aca="false">IF(Raw_Fund_Import!$A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TM01</v>
      </c>
      <c r="G8" s="4" t="str">
        <f aca="false">IF(Raw_Fund_Import!$A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TM01-A1</v>
      </c>
      <c r="H8" s="43" t="n">
        <f aca="false">IF(Raw_Fund_Import!$A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1.347</v>
      </c>
      <c r="I8" s="4" t="n">
        <f aca="false">IF(Raw_Fund_Import!$A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0</v>
      </c>
      <c r="J8" s="4" t="n">
        <f aca="false">IF(Raw_Fund_Import!$A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1</v>
      </c>
      <c r="K8" s="4" t="n">
        <f aca="false">IF(Raw_Fund_Import!$A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1</v>
      </c>
      <c r="L8" s="4" t="n">
        <f aca="false">IF(Raw_Fund_Import!$A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1</v>
      </c>
      <c r="M8" s="4" t="n">
        <f aca="false">IF(Raw_Fund_Import!$A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0</v>
      </c>
      <c r="N8" s="4" t="str">
        <f aca="false">IF(Raw_Fund_Import!$A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8" s="4" t="str">
        <f aca="false">IF(Raw_Fund_Import!$A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Yes</v>
      </c>
      <c r="P8" s="4" t="str">
        <f aca="false">IF(Raw_Fund_Import!$A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No</v>
      </c>
      <c r="Q8" s="44" t="n">
        <f aca="false">IF(Raw_Fund_Import!$A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0.148611111111111</v>
      </c>
      <c r="R8" s="44" t="n">
        <f aca="false">IF(Raw_Fund_Import!$A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0.195138888888889</v>
      </c>
      <c r="S8" s="44" t="n">
        <f aca="false">IF(Raw_Fund_Import!$A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0.546527777777778</v>
      </c>
      <c r="T8" s="44" t="n">
        <f aca="false">IF(Raw_Fund_Import!$A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0.546527777777778</v>
      </c>
      <c r="U8" s="44" t="n">
        <f aca="false">IF(Raw_Fund_Import!$A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0.723611111111111</v>
      </c>
      <c r="V8" s="44" t="n">
        <f aca="false">IF(Raw_Fund_Import!$A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0.7625</v>
      </c>
      <c r="W8" s="4" t="str">
        <f aca="false">IF(Raw_Fund_Import!$A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FA</v>
      </c>
      <c r="X8" s="4" t="str">
        <f aca="false">IF(Raw_Fund_Import!$A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8" s="4" t="str">
        <f aca="false">IF(Raw_Fund_Import!$A8="","",IF(COUNTBLANK($A8:$X8)&gt;0,"CHECK","OK"))</f>
        <v>OK</v>
      </c>
    </row>
    <row r="9" customFormat="false" ht="15" hidden="false" customHeight="true" outlineLevel="0" collapsed="false">
      <c r="A9" s="4" t="str">
        <f aca="false">IF(Raw_Fund_Import!$A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FD-1008</v>
      </c>
      <c r="B9" s="4" t="str">
        <f aca="false">IF(Raw_Fund_Import!$A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1008</v>
      </c>
      <c r="C9" s="4" t="str">
        <f aca="false">IF(Raw_Fund_Import!$A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CL02</v>
      </c>
      <c r="D9" s="4" t="str">
        <f aca="false">IF(Raw_Fund_Import!$A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Northgate Insurance</v>
      </c>
      <c r="E9" s="4" t="str">
        <f aca="false">IF(Raw_Fund_Import!$A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Yes</v>
      </c>
      <c r="F9" s="4" t="str">
        <f aca="false">IF(Raw_Fund_Import!$A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TM01</v>
      </c>
      <c r="G9" s="4" t="str">
        <f aca="false">IF(Raw_Fund_Import!$A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TM01-A2</v>
      </c>
      <c r="H9" s="43" t="n">
        <f aca="false">IF(Raw_Fund_Import!$A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1.769</v>
      </c>
      <c r="I9" s="4" t="n">
        <f aca="false">IF(Raw_Fund_Import!$A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0</v>
      </c>
      <c r="J9" s="4" t="n">
        <f aca="false">IF(Raw_Fund_Import!$A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0</v>
      </c>
      <c r="K9" s="4" t="n">
        <f aca="false">IF(Raw_Fund_Import!$A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1</v>
      </c>
      <c r="L9" s="4" t="n">
        <f aca="false">IF(Raw_Fund_Import!$A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0</v>
      </c>
      <c r="M9" s="4" t="n">
        <f aca="false">IF(Raw_Fund_Import!$A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1</v>
      </c>
      <c r="N9" s="4" t="str">
        <f aca="false">IF(Raw_Fund_Import!$A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9" s="4" t="str">
        <f aca="false">IF(Raw_Fund_Import!$A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Yes</v>
      </c>
      <c r="P9" s="4" t="str">
        <f aca="false">IF(Raw_Fund_Import!$A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Yes</v>
      </c>
      <c r="Q9" s="44" t="n">
        <f aca="false">IF(Raw_Fund_Import!$A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0.1875</v>
      </c>
      <c r="R9" s="44" t="n">
        <f aca="false">IF(Raw_Fund_Import!$A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0.168055555555556</v>
      </c>
      <c r="S9" s="44" t="n">
        <f aca="false">IF(Raw_Fund_Import!$A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0.33125</v>
      </c>
      <c r="T9" s="44" t="n">
        <f aca="false">IF(Raw_Fund_Import!$A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0.493055555555556</v>
      </c>
      <c r="U9" s="44" t="n">
        <f aca="false">IF(Raw_Fund_Import!$A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0.672916666666667</v>
      </c>
      <c r="V9" s="44" t="n">
        <f aca="false">IF(Raw_Fund_Import!$A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0.699305555555556</v>
      </c>
      <c r="W9" s="4" t="str">
        <f aca="false">IF(Raw_Fund_Import!$A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FA</v>
      </c>
      <c r="X9" s="4" t="str">
        <f aca="false">IF(Raw_Fund_Import!$A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9" s="4" t="str">
        <f aca="false">IF(Raw_Fund_Import!$A9="","",IF(COUNTBLANK($A9:$X9)&gt;0,"CHECK","OK"))</f>
        <v>OK</v>
      </c>
    </row>
    <row r="10" customFormat="false" ht="15" hidden="false" customHeight="true" outlineLevel="0" collapsed="false">
      <c r="A10" s="4" t="str">
        <f aca="false">IF(Raw_Fund_Import!$A10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FD-1009</v>
      </c>
      <c r="B10" s="4" t="str">
        <f aca="false">IF(Raw_Fund_Import!$A10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1009</v>
      </c>
      <c r="C10" s="4" t="str">
        <f aca="false">IF(Raw_Fund_Import!$A10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CL03</v>
      </c>
      <c r="D10" s="4" t="str">
        <f aca="false">IF(Raw_Fund_Import!$A10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Halvern Wealth</v>
      </c>
      <c r="E10" s="4" t="str">
        <f aca="false">IF(Raw_Fund_Import!$A10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No</v>
      </c>
      <c r="F10" s="4" t="str">
        <f aca="false">IF(Raw_Fund_Import!$A10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TM02</v>
      </c>
      <c r="G10" s="4" t="str">
        <f aca="false">IF(Raw_Fund_Import!$A10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TM02-A1</v>
      </c>
      <c r="H10" s="43" t="n">
        <f aca="false">IF(Raw_Fund_Import!$A10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1.487</v>
      </c>
      <c r="I10" s="4" t="n">
        <f aca="false">IF(Raw_Fund_Import!$A10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0</v>
      </c>
      <c r="J10" s="4" t="n">
        <f aca="false">IF(Raw_Fund_Import!$A10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1</v>
      </c>
      <c r="K10" s="4" t="n">
        <f aca="false">IF(Raw_Fund_Import!$A10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0</v>
      </c>
      <c r="L10" s="4" t="n">
        <f aca="false">IF(Raw_Fund_Import!$A10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0</v>
      </c>
      <c r="M10" s="4" t="n">
        <f aca="false">IF(Raw_Fund_Import!$A10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0</v>
      </c>
      <c r="N10" s="4" t="str">
        <f aca="false">IF(Raw_Fund_Import!$A10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10" s="4" t="str">
        <f aca="false">IF(Raw_Fund_Import!$A10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No</v>
      </c>
      <c r="P10" s="4" t="str">
        <f aca="false">IF(Raw_Fund_Import!$A10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Yes</v>
      </c>
      <c r="Q10" s="44" t="n">
        <f aca="false">IF(Raw_Fund_Import!$A10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0.179166666666667</v>
      </c>
      <c r="R10" s="44" t="n">
        <f aca="false">IF(Raw_Fund_Import!$A10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0.485416666666667</v>
      </c>
      <c r="S10" s="44" t="n">
        <f aca="false">IF(Raw_Fund_Import!$A10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0.309722222222222</v>
      </c>
      <c r="T10" s="44" t="n">
        <f aca="false">IF(Raw_Fund_Import!$A10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0.485416666666667</v>
      </c>
      <c r="U10" s="44" t="n">
        <f aca="false">IF(Raw_Fund_Import!$A10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0.632638888888889</v>
      </c>
      <c r="V10" s="44" t="n">
        <f aca="false">IF(Raw_Fund_Import!$A10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0.668055555555556</v>
      </c>
      <c r="W10" s="4" t="str">
        <f aca="false">IF(Raw_Fund_Import!$A10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Oversight</v>
      </c>
      <c r="X10" s="4" t="str">
        <f aca="false">IF(Raw_Fund_Import!$A10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10" s="4" t="str">
        <f aca="false">IF(Raw_Fund_Import!$A10="","",IF(COUNTBLANK($A10:$X10)&gt;0,"CHECK","OK"))</f>
        <v>OK</v>
      </c>
    </row>
    <row r="11" customFormat="false" ht="15" hidden="false" customHeight="true" outlineLevel="0" collapsed="false">
      <c r="A11" s="4" t="str">
        <f aca="false">IF(Raw_Fund_Import!$A11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FD-1010</v>
      </c>
      <c r="B11" s="4" t="str">
        <f aca="false">IF(Raw_Fund_Import!$A11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1010</v>
      </c>
      <c r="C11" s="4" t="str">
        <f aca="false">IF(Raw_Fund_Import!$A11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CL01</v>
      </c>
      <c r="D11" s="4" t="str">
        <f aca="false">IF(Raw_Fund_Import!$A11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Meridian Pensions</v>
      </c>
      <c r="E11" s="4" t="str">
        <f aca="false">IF(Raw_Fund_Import!$A11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Yes</v>
      </c>
      <c r="F11" s="4" t="str">
        <f aca="false">IF(Raw_Fund_Import!$A11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TM03</v>
      </c>
      <c r="G11" s="4" t="str">
        <f aca="false">IF(Raw_Fund_Import!$A11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TM03-A1</v>
      </c>
      <c r="H11" s="43" t="n">
        <f aca="false">IF(Raw_Fund_Import!$A11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1.091</v>
      </c>
      <c r="I11" s="4" t="n">
        <f aca="false">IF(Raw_Fund_Import!$A11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0</v>
      </c>
      <c r="J11" s="4" t="n">
        <f aca="false">IF(Raw_Fund_Import!$A11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0</v>
      </c>
      <c r="K11" s="4" t="n">
        <f aca="false">IF(Raw_Fund_Import!$A11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0</v>
      </c>
      <c r="L11" s="4" t="n">
        <f aca="false">IF(Raw_Fund_Import!$A11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0</v>
      </c>
      <c r="M11" s="4" t="n">
        <f aca="false">IF(Raw_Fund_Import!$A11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0</v>
      </c>
      <c r="N11" s="4" t="str">
        <f aca="false">IF(Raw_Fund_Import!$A11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11" s="4" t="str">
        <f aca="false">IF(Raw_Fund_Import!$A11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Yes</v>
      </c>
      <c r="P11" s="4" t="str">
        <f aca="false">IF(Raw_Fund_Import!$A11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Yes</v>
      </c>
      <c r="Q11" s="44" t="n">
        <f aca="false">IF(Raw_Fund_Import!$A11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0.165277777777778</v>
      </c>
      <c r="R11" s="44" t="n">
        <f aca="false">IF(Raw_Fund_Import!$A11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0.154166666666667</v>
      </c>
      <c r="S11" s="44" t="n">
        <f aca="false">IF(Raw_Fund_Import!$A11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0.353472222222222</v>
      </c>
      <c r="T11" s="44" t="n">
        <f aca="false">IF(Raw_Fund_Import!$A11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0.577083333333333</v>
      </c>
      <c r="U11" s="44" t="n">
        <f aca="false">IF(Raw_Fund_Import!$A11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0.729861111111111</v>
      </c>
      <c r="V11" s="44" t="n">
        <f aca="false">IF(Raw_Fund_Import!$A11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0.7625</v>
      </c>
      <c r="W11" s="4" t="str">
        <f aca="false">IF(Raw_Fund_Import!$A11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Client</v>
      </c>
      <c r="X11" s="4" t="str">
        <f aca="false">IF(Raw_Fund_Import!$A11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11" s="4" t="str">
        <f aca="false">IF(Raw_Fund_Import!$A11="","",IF(COUNTBLANK($A11:$X11)&gt;0,"CHECK","OK"))</f>
        <v>OK</v>
      </c>
    </row>
    <row r="12" customFormat="false" ht="15" hidden="false" customHeight="true" outlineLevel="0" collapsed="false">
      <c r="A12" s="4" t="str">
        <f aca="false">IF(Raw_Fund_Import!$A12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FD-1011</v>
      </c>
      <c r="B12" s="4" t="str">
        <f aca="false">IF(Raw_Fund_Import!$A12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1011</v>
      </c>
      <c r="C12" s="4" t="str">
        <f aca="false">IF(Raw_Fund_Import!$A12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CL02</v>
      </c>
      <c r="D12" s="4" t="str">
        <f aca="false">IF(Raw_Fund_Import!$A12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Northgate Insurance</v>
      </c>
      <c r="E12" s="4" t="str">
        <f aca="false">IF(Raw_Fund_Import!$A12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Yes</v>
      </c>
      <c r="F12" s="4" t="str">
        <f aca="false">IF(Raw_Fund_Import!$A12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TM03</v>
      </c>
      <c r="G12" s="4" t="str">
        <f aca="false">IF(Raw_Fund_Import!$A12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TM03-A2</v>
      </c>
      <c r="H12" s="43" t="n">
        <f aca="false">IF(Raw_Fund_Import!$A12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1.958</v>
      </c>
      <c r="I12" s="4" t="n">
        <f aca="false">IF(Raw_Fund_Import!$A12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1</v>
      </c>
      <c r="J12" s="4" t="n">
        <f aca="false">IF(Raw_Fund_Import!$A12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0</v>
      </c>
      <c r="K12" s="4" t="n">
        <f aca="false">IF(Raw_Fund_Import!$A12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1</v>
      </c>
      <c r="L12" s="4" t="n">
        <f aca="false">IF(Raw_Fund_Import!$A12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0</v>
      </c>
      <c r="M12" s="4" t="n">
        <f aca="false">IF(Raw_Fund_Import!$A12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1</v>
      </c>
      <c r="N12" s="4" t="str">
        <f aca="false">IF(Raw_Fund_Import!$A12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12" s="4" t="str">
        <f aca="false">IF(Raw_Fund_Import!$A12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Yes</v>
      </c>
      <c r="P12" s="4" t="str">
        <f aca="false">IF(Raw_Fund_Import!$A12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Yes</v>
      </c>
      <c r="Q12" s="44" t="n">
        <f aca="false">IF(Raw_Fund_Import!$A12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0.15625</v>
      </c>
      <c r="R12" s="44" t="n">
        <f aca="false">IF(Raw_Fund_Import!$A12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0.20625</v>
      </c>
      <c r="S12" s="44" t="n">
        <f aca="false">IF(Raw_Fund_Import!$A12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0.4875</v>
      </c>
      <c r="T12" s="44" t="n">
        <f aca="false">IF(Raw_Fund_Import!$A12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0.509722222222222</v>
      </c>
      <c r="U12" s="44" t="n">
        <f aca="false">IF(Raw_Fund_Import!$A12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0.698611111111111</v>
      </c>
      <c r="V12" s="44" t="n">
        <f aca="false">IF(Raw_Fund_Import!$A12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0.735416666666667</v>
      </c>
      <c r="W12" s="4" t="str">
        <f aca="false">IF(Raw_Fund_Import!$A12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FA</v>
      </c>
      <c r="X12" s="4" t="str">
        <f aca="false">IF(Raw_Fund_Import!$A12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12" s="4" t="str">
        <f aca="false">IF(Raw_Fund_Import!$A12="","",IF(COUNTBLANK($A12:$X12)&gt;0,"CHECK","OK"))</f>
        <v>OK</v>
      </c>
    </row>
    <row r="13" customFormat="false" ht="15" hidden="false" customHeight="true" outlineLevel="0" collapsed="false">
      <c r="A13" s="4" t="str">
        <f aca="false">IF(Raw_Fund_Import!$A13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FD-1012</v>
      </c>
      <c r="B13" s="4" t="str">
        <f aca="false">IF(Raw_Fund_Import!$A13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Sample Fund 1012</v>
      </c>
      <c r="C13" s="4" t="str">
        <f aca="false">IF(Raw_Fund_Import!$A13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CL03</v>
      </c>
      <c r="D13" s="4" t="str">
        <f aca="false">IF(Raw_Fund_Import!$A13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Halvern Wealth</v>
      </c>
      <c r="E13" s="4" t="str">
        <f aca="false">IF(Raw_Fund_Import!$A13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No</v>
      </c>
      <c r="F13" s="4" t="str">
        <f aca="false">IF(Raw_Fund_Import!$A13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TM04</v>
      </c>
      <c r="G13" s="4" t="str">
        <f aca="false">IF(Raw_Fund_Import!$A13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TM04-A1</v>
      </c>
      <c r="H13" s="43" t="n">
        <f aca="false">IF(Raw_Fund_Import!$A13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2.148</v>
      </c>
      <c r="I13" s="4" t="n">
        <f aca="false">IF(Raw_Fund_Import!$A13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0</v>
      </c>
      <c r="J13" s="4" t="n">
        <f aca="false">IF(Raw_Fund_Import!$A13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0</v>
      </c>
      <c r="K13" s="4" t="n">
        <f aca="false">IF(Raw_Fund_Import!$A13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0</v>
      </c>
      <c r="L13" s="4" t="n">
        <f aca="false">IF(Raw_Fund_Import!$A13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0</v>
      </c>
      <c r="M13" s="4" t="n">
        <f aca="false">IF(Raw_Fund_Import!$A13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0</v>
      </c>
      <c r="N13" s="4" t="str">
        <f aca="false">IF(Raw_Fund_Import!$A13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Yes</v>
      </c>
      <c r="O13" s="4" t="str">
        <f aca="false">IF(Raw_Fund_Import!$A13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Yes</v>
      </c>
      <c r="P13" s="4" t="str">
        <f aca="false">IF(Raw_Fund_Import!$A13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Yes</v>
      </c>
      <c r="Q13" s="44" t="n">
        <f aca="false">IF(Raw_Fund_Import!$A13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0.154861111111111</v>
      </c>
      <c r="R13" s="44" t="n">
        <f aca="false">IF(Raw_Fund_Import!$A13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0.227083333333333</v>
      </c>
      <c r="S13" s="44" t="n">
        <f aca="false">IF(Raw_Fund_Import!$A13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0.328472222222222</v>
      </c>
      <c r="T13" s="44" t="n">
        <f aca="false">IF(Raw_Fund_Import!$A13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0.484722222222222</v>
      </c>
      <c r="U13" s="44" t="n">
        <f aca="false">IF(Raw_Fund_Import!$A13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0.627083333333333</v>
      </c>
      <c r="V13" s="44" t="n">
        <f aca="false">IF(Raw_Fund_Import!$A13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0.661805555555556</v>
      </c>
      <c r="W13" s="4" t="str">
        <f aca="false">IF(Raw_Fund_Import!$A13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FA</v>
      </c>
      <c r="X13" s="4" t="str">
        <f aca="false">IF(Raw_Fund_Import!$A13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Confirmed</v>
      </c>
      <c r="Y13" s="4" t="str">
        <f aca="false">IF(Raw_Fund_Import!$A13="","",IF(COUNTBLANK($A13:$X13)&gt;0,"CHECK","OK"))</f>
        <v>OK</v>
      </c>
    </row>
    <row r="14" customFormat="false" ht="15" hidden="false" customHeight="true" outlineLevel="0" collapsed="false">
      <c r="A14" s="4" t="str">
        <f aca="false">IF(Raw_Fund_Import!$A14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 s="4" t="str">
        <f aca="false">IF(Raw_Fund_Import!$A14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 s="4" t="str">
        <f aca="false">IF(Raw_Fund_Import!$A14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 s="4" t="str">
        <f aca="false">IF(Raw_Fund_Import!$A14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 s="4" t="str">
        <f aca="false">IF(Raw_Fund_Import!$A14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 s="4" t="str">
        <f aca="false">IF(Raw_Fund_Import!$A14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 s="4" t="str">
        <f aca="false">IF(Raw_Fund_Import!$A14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 s="43" t="str">
        <f aca="false">IF(Raw_Fund_Import!$A14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 s="4" t="str">
        <f aca="false">IF(Raw_Fund_Import!$A14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 s="4" t="str">
        <f aca="false">IF(Raw_Fund_Import!$A14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 s="4" t="str">
        <f aca="false">IF(Raw_Fund_Import!$A14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 s="4" t="str">
        <f aca="false">IF(Raw_Fund_Import!$A14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 s="4" t="str">
        <f aca="false">IF(Raw_Fund_Import!$A14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 s="4" t="str">
        <f aca="false">IF(Raw_Fund_Import!$A14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 s="4" t="str">
        <f aca="false">IF(Raw_Fund_Import!$A14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 s="4" t="str">
        <f aca="false">IF(Raw_Fund_Import!$A14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 s="44" t="str">
        <f aca="false">IF(Raw_Fund_Import!$A14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 s="44" t="str">
        <f aca="false">IF(Raw_Fund_Import!$A14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 s="44" t="str">
        <f aca="false">IF(Raw_Fund_Import!$A14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 s="44" t="str">
        <f aca="false">IF(Raw_Fund_Import!$A14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 s="44" t="str">
        <f aca="false">IF(Raw_Fund_Import!$A14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 s="44" t="str">
        <f aca="false">IF(Raw_Fund_Import!$A14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 s="4" t="str">
        <f aca="false">IF(Raw_Fund_Import!$A14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 s="4" t="str">
        <f aca="false">IF(Raw_Fund_Import!$A14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 s="4" t="str">
        <f aca="false">IF(Raw_Fund_Import!$A14="","",IF(COUNTBLANK($A14:$X14)&gt;0,"CHECK","OK"))</f>
        <v/>
      </c>
    </row>
    <row r="15" customFormat="false" ht="15" hidden="false" customHeight="true" outlineLevel="0" collapsed="false">
      <c r="A15" s="4" t="str">
        <f aca="false">IF(Raw_Fund_Import!$A15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 s="4" t="str">
        <f aca="false">IF(Raw_Fund_Import!$A15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 s="4" t="str">
        <f aca="false">IF(Raw_Fund_Import!$A15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 s="4" t="str">
        <f aca="false">IF(Raw_Fund_Import!$A15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 s="4" t="str">
        <f aca="false">IF(Raw_Fund_Import!$A15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 s="4" t="str">
        <f aca="false">IF(Raw_Fund_Import!$A15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 s="4" t="str">
        <f aca="false">IF(Raw_Fund_Import!$A15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 s="43" t="str">
        <f aca="false">IF(Raw_Fund_Import!$A15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 s="4" t="str">
        <f aca="false">IF(Raw_Fund_Import!$A15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 s="4" t="str">
        <f aca="false">IF(Raw_Fund_Import!$A15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 s="4" t="str">
        <f aca="false">IF(Raw_Fund_Import!$A15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 s="4" t="str">
        <f aca="false">IF(Raw_Fund_Import!$A15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 s="4" t="str">
        <f aca="false">IF(Raw_Fund_Import!$A15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 s="4" t="str">
        <f aca="false">IF(Raw_Fund_Import!$A15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 s="4" t="str">
        <f aca="false">IF(Raw_Fund_Import!$A15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 s="4" t="str">
        <f aca="false">IF(Raw_Fund_Import!$A15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 s="44" t="str">
        <f aca="false">IF(Raw_Fund_Import!$A15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 s="44" t="str">
        <f aca="false">IF(Raw_Fund_Import!$A15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 s="44" t="str">
        <f aca="false">IF(Raw_Fund_Import!$A15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 s="44" t="str">
        <f aca="false">IF(Raw_Fund_Import!$A15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 s="44" t="str">
        <f aca="false">IF(Raw_Fund_Import!$A15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 s="44" t="str">
        <f aca="false">IF(Raw_Fund_Import!$A15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 s="4" t="str">
        <f aca="false">IF(Raw_Fund_Import!$A15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 s="4" t="str">
        <f aca="false">IF(Raw_Fund_Import!$A15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 s="4" t="str">
        <f aca="false">IF(Raw_Fund_Import!$A15="","",IF(COUNTBLANK($A15:$X15)&gt;0,"CHECK","OK"))</f>
        <v/>
      </c>
    </row>
    <row r="16" customFormat="false" ht="15" hidden="false" customHeight="true" outlineLevel="0" collapsed="false">
      <c r="A16" s="4" t="str">
        <f aca="false">IF(Raw_Fund_Import!$A16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 s="4" t="str">
        <f aca="false">IF(Raw_Fund_Import!$A16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 s="4" t="str">
        <f aca="false">IF(Raw_Fund_Import!$A16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 s="4" t="str">
        <f aca="false">IF(Raw_Fund_Import!$A16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 s="4" t="str">
        <f aca="false">IF(Raw_Fund_Import!$A16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 s="4" t="str">
        <f aca="false">IF(Raw_Fund_Import!$A16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 s="4" t="str">
        <f aca="false">IF(Raw_Fund_Import!$A16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 s="43" t="str">
        <f aca="false">IF(Raw_Fund_Import!$A16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 s="4" t="str">
        <f aca="false">IF(Raw_Fund_Import!$A16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 s="4" t="str">
        <f aca="false">IF(Raw_Fund_Import!$A16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 s="4" t="str">
        <f aca="false">IF(Raw_Fund_Import!$A16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 s="4" t="str">
        <f aca="false">IF(Raw_Fund_Import!$A16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 s="4" t="str">
        <f aca="false">IF(Raw_Fund_Import!$A16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 s="4" t="str">
        <f aca="false">IF(Raw_Fund_Import!$A16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 s="4" t="str">
        <f aca="false">IF(Raw_Fund_Import!$A16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 s="4" t="str">
        <f aca="false">IF(Raw_Fund_Import!$A16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 s="44" t="str">
        <f aca="false">IF(Raw_Fund_Import!$A16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 s="44" t="str">
        <f aca="false">IF(Raw_Fund_Import!$A16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 s="44" t="str">
        <f aca="false">IF(Raw_Fund_Import!$A16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 s="44" t="str">
        <f aca="false">IF(Raw_Fund_Import!$A16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 s="44" t="str">
        <f aca="false">IF(Raw_Fund_Import!$A16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 s="44" t="str">
        <f aca="false">IF(Raw_Fund_Import!$A16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 s="4" t="str">
        <f aca="false">IF(Raw_Fund_Import!$A16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 s="4" t="str">
        <f aca="false">IF(Raw_Fund_Import!$A16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 s="4" t="str">
        <f aca="false">IF(Raw_Fund_Import!$A16="","",IF(COUNTBLANK($A16:$X16)&gt;0,"CHECK","OK"))</f>
        <v/>
      </c>
    </row>
    <row r="17" customFormat="false" ht="15" hidden="false" customHeight="true" outlineLevel="0" collapsed="false">
      <c r="A17" s="4" t="str">
        <f aca="false">IF(Raw_Fund_Import!$A17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 s="4" t="str">
        <f aca="false">IF(Raw_Fund_Import!$A17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 s="4" t="str">
        <f aca="false">IF(Raw_Fund_Import!$A17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 s="4" t="str">
        <f aca="false">IF(Raw_Fund_Import!$A17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 s="4" t="str">
        <f aca="false">IF(Raw_Fund_Import!$A17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 s="4" t="str">
        <f aca="false">IF(Raw_Fund_Import!$A17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 s="4" t="str">
        <f aca="false">IF(Raw_Fund_Import!$A17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 s="43" t="str">
        <f aca="false">IF(Raw_Fund_Import!$A17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 s="4" t="str">
        <f aca="false">IF(Raw_Fund_Import!$A17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 s="4" t="str">
        <f aca="false">IF(Raw_Fund_Import!$A17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 s="4" t="str">
        <f aca="false">IF(Raw_Fund_Import!$A17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 s="4" t="str">
        <f aca="false">IF(Raw_Fund_Import!$A17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 s="4" t="str">
        <f aca="false">IF(Raw_Fund_Import!$A17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 s="4" t="str">
        <f aca="false">IF(Raw_Fund_Import!$A17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 s="4" t="str">
        <f aca="false">IF(Raw_Fund_Import!$A17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 s="4" t="str">
        <f aca="false">IF(Raw_Fund_Import!$A17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 s="44" t="str">
        <f aca="false">IF(Raw_Fund_Import!$A17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 s="44" t="str">
        <f aca="false">IF(Raw_Fund_Import!$A17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 s="44" t="str">
        <f aca="false">IF(Raw_Fund_Import!$A17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 s="44" t="str">
        <f aca="false">IF(Raw_Fund_Import!$A17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 s="44" t="str">
        <f aca="false">IF(Raw_Fund_Import!$A17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 s="44" t="str">
        <f aca="false">IF(Raw_Fund_Import!$A17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 s="4" t="str">
        <f aca="false">IF(Raw_Fund_Import!$A17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 s="4" t="str">
        <f aca="false">IF(Raw_Fund_Import!$A17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 s="4" t="str">
        <f aca="false">IF(Raw_Fund_Import!$A17="","",IF(COUNTBLANK($A17:$X17)&gt;0,"CHECK","OK"))</f>
        <v/>
      </c>
    </row>
    <row r="18" customFormat="false" ht="15" hidden="false" customHeight="true" outlineLevel="0" collapsed="false">
      <c r="A18" s="4" t="str">
        <f aca="false">IF(Raw_Fund_Import!$A18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 s="4" t="str">
        <f aca="false">IF(Raw_Fund_Import!$A18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 s="4" t="str">
        <f aca="false">IF(Raw_Fund_Import!$A18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 s="4" t="str">
        <f aca="false">IF(Raw_Fund_Import!$A18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 s="4" t="str">
        <f aca="false">IF(Raw_Fund_Import!$A18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 s="4" t="str">
        <f aca="false">IF(Raw_Fund_Import!$A18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 s="4" t="str">
        <f aca="false">IF(Raw_Fund_Import!$A18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 s="43" t="str">
        <f aca="false">IF(Raw_Fund_Import!$A18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 s="4" t="str">
        <f aca="false">IF(Raw_Fund_Import!$A18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 s="4" t="str">
        <f aca="false">IF(Raw_Fund_Import!$A18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 s="4" t="str">
        <f aca="false">IF(Raw_Fund_Import!$A18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 s="4" t="str">
        <f aca="false">IF(Raw_Fund_Import!$A18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 s="4" t="str">
        <f aca="false">IF(Raw_Fund_Import!$A18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 s="4" t="str">
        <f aca="false">IF(Raw_Fund_Import!$A18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 s="4" t="str">
        <f aca="false">IF(Raw_Fund_Import!$A18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 s="4" t="str">
        <f aca="false">IF(Raw_Fund_Import!$A18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 s="44" t="str">
        <f aca="false">IF(Raw_Fund_Import!$A18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 s="44" t="str">
        <f aca="false">IF(Raw_Fund_Import!$A18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 s="44" t="str">
        <f aca="false">IF(Raw_Fund_Import!$A18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 s="44" t="str">
        <f aca="false">IF(Raw_Fund_Import!$A18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 s="44" t="str">
        <f aca="false">IF(Raw_Fund_Import!$A18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 s="44" t="str">
        <f aca="false">IF(Raw_Fund_Import!$A18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 s="4" t="str">
        <f aca="false">IF(Raw_Fund_Import!$A18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 s="4" t="str">
        <f aca="false">IF(Raw_Fund_Import!$A18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 s="4" t="str">
        <f aca="false">IF(Raw_Fund_Import!$A18="","",IF(COUNTBLANK($A18:$X18)&gt;0,"CHECK","OK"))</f>
        <v/>
      </c>
    </row>
    <row r="19" customFormat="false" ht="15" hidden="false" customHeight="true" outlineLevel="0" collapsed="false">
      <c r="A19" s="4" t="str">
        <f aca="false">IF(Raw_Fund_Import!$A19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 s="4" t="str">
        <f aca="false">IF(Raw_Fund_Import!$A19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 s="4" t="str">
        <f aca="false">IF(Raw_Fund_Import!$A19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 s="4" t="str">
        <f aca="false">IF(Raw_Fund_Import!$A19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 s="4" t="str">
        <f aca="false">IF(Raw_Fund_Import!$A19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 s="4" t="str">
        <f aca="false">IF(Raw_Fund_Import!$A19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 s="4" t="str">
        <f aca="false">IF(Raw_Fund_Import!$A19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 s="43" t="str">
        <f aca="false">IF(Raw_Fund_Import!$A19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 s="4" t="str">
        <f aca="false">IF(Raw_Fund_Import!$A19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 s="4" t="str">
        <f aca="false">IF(Raw_Fund_Import!$A19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 s="4" t="str">
        <f aca="false">IF(Raw_Fund_Import!$A19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 s="4" t="str">
        <f aca="false">IF(Raw_Fund_Import!$A19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 s="4" t="str">
        <f aca="false">IF(Raw_Fund_Import!$A19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 s="4" t="str">
        <f aca="false">IF(Raw_Fund_Import!$A19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 s="4" t="str">
        <f aca="false">IF(Raw_Fund_Import!$A19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 s="4" t="str">
        <f aca="false">IF(Raw_Fund_Import!$A19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 s="44" t="str">
        <f aca="false">IF(Raw_Fund_Import!$A19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 s="44" t="str">
        <f aca="false">IF(Raw_Fund_Import!$A19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 s="44" t="str">
        <f aca="false">IF(Raw_Fund_Import!$A19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 s="44" t="str">
        <f aca="false">IF(Raw_Fund_Import!$A19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 s="44" t="str">
        <f aca="false">IF(Raw_Fund_Import!$A19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 s="44" t="str">
        <f aca="false">IF(Raw_Fund_Import!$A19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 s="4" t="str">
        <f aca="false">IF(Raw_Fund_Import!$A19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 s="4" t="str">
        <f aca="false">IF(Raw_Fund_Import!$A19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 s="4" t="str">
        <f aca="false">IF(Raw_Fund_Import!$A19="","",IF(COUNTBLANK($A19:$X19)&gt;0,"CHECK","OK"))</f>
        <v/>
      </c>
    </row>
    <row r="20" customFormat="false" ht="15" hidden="false" customHeight="true" outlineLevel="0" collapsed="false">
      <c r="A20" s="4" t="str">
        <f aca="false">IF(Raw_Fund_Import!$A20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0" s="4" t="str">
        <f aca="false">IF(Raw_Fund_Import!$A20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0" s="4" t="str">
        <f aca="false">IF(Raw_Fund_Import!$A20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0" s="4" t="str">
        <f aca="false">IF(Raw_Fund_Import!$A20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0" s="4" t="str">
        <f aca="false">IF(Raw_Fund_Import!$A20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0" s="4" t="str">
        <f aca="false">IF(Raw_Fund_Import!$A20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0" s="4" t="str">
        <f aca="false">IF(Raw_Fund_Import!$A20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0" s="43" t="str">
        <f aca="false">IF(Raw_Fund_Import!$A20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0" s="4" t="str">
        <f aca="false">IF(Raw_Fund_Import!$A20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0" s="4" t="str">
        <f aca="false">IF(Raw_Fund_Import!$A20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0" s="4" t="str">
        <f aca="false">IF(Raw_Fund_Import!$A20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0" s="4" t="str">
        <f aca="false">IF(Raw_Fund_Import!$A20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0" s="4" t="str">
        <f aca="false">IF(Raw_Fund_Import!$A20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0" s="4" t="str">
        <f aca="false">IF(Raw_Fund_Import!$A20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0" s="4" t="str">
        <f aca="false">IF(Raw_Fund_Import!$A20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0" s="4" t="str">
        <f aca="false">IF(Raw_Fund_Import!$A20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0" s="44" t="str">
        <f aca="false">IF(Raw_Fund_Import!$A20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0" s="44" t="str">
        <f aca="false">IF(Raw_Fund_Import!$A20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0" s="44" t="str">
        <f aca="false">IF(Raw_Fund_Import!$A20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0" s="44" t="str">
        <f aca="false">IF(Raw_Fund_Import!$A20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0" s="44" t="str">
        <f aca="false">IF(Raw_Fund_Import!$A20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0" s="44" t="str">
        <f aca="false">IF(Raw_Fund_Import!$A20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0" s="4" t="str">
        <f aca="false">IF(Raw_Fund_Import!$A20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0" s="4" t="str">
        <f aca="false">IF(Raw_Fund_Import!$A20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0" s="4" t="str">
        <f aca="false">IF(Raw_Fund_Import!$A20="","",IF(COUNTBLANK($A20:$X20)&gt;0,"CHECK","OK"))</f>
        <v/>
      </c>
    </row>
    <row r="21" customFormat="false" ht="15" hidden="false" customHeight="true" outlineLevel="0" collapsed="false">
      <c r="A21" s="4" t="str">
        <f aca="false">IF(Raw_Fund_Import!$A21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1" s="4" t="str">
        <f aca="false">IF(Raw_Fund_Import!$A21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1" s="4" t="str">
        <f aca="false">IF(Raw_Fund_Import!$A21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1" s="4" t="str">
        <f aca="false">IF(Raw_Fund_Import!$A21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1" s="4" t="str">
        <f aca="false">IF(Raw_Fund_Import!$A21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1" s="4" t="str">
        <f aca="false">IF(Raw_Fund_Import!$A21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1" s="4" t="str">
        <f aca="false">IF(Raw_Fund_Import!$A21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1" s="43" t="str">
        <f aca="false">IF(Raw_Fund_Import!$A21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1" s="4" t="str">
        <f aca="false">IF(Raw_Fund_Import!$A21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1" s="4" t="str">
        <f aca="false">IF(Raw_Fund_Import!$A21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1" s="4" t="str">
        <f aca="false">IF(Raw_Fund_Import!$A21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1" s="4" t="str">
        <f aca="false">IF(Raw_Fund_Import!$A21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1" s="4" t="str">
        <f aca="false">IF(Raw_Fund_Import!$A21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1" s="4" t="str">
        <f aca="false">IF(Raw_Fund_Import!$A21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1" s="4" t="str">
        <f aca="false">IF(Raw_Fund_Import!$A21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1" s="4" t="str">
        <f aca="false">IF(Raw_Fund_Import!$A21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1" s="44" t="str">
        <f aca="false">IF(Raw_Fund_Import!$A21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1" s="44" t="str">
        <f aca="false">IF(Raw_Fund_Import!$A21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1" s="44" t="str">
        <f aca="false">IF(Raw_Fund_Import!$A21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1" s="44" t="str">
        <f aca="false">IF(Raw_Fund_Import!$A21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1" s="44" t="str">
        <f aca="false">IF(Raw_Fund_Import!$A21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1" s="44" t="str">
        <f aca="false">IF(Raw_Fund_Import!$A21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1" s="4" t="str">
        <f aca="false">IF(Raw_Fund_Import!$A21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1" s="4" t="str">
        <f aca="false">IF(Raw_Fund_Import!$A21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1" s="4" t="str">
        <f aca="false">IF(Raw_Fund_Import!$A21="","",IF(COUNTBLANK($A21:$X21)&gt;0,"CHECK","OK"))</f>
        <v/>
      </c>
    </row>
    <row r="22" customFormat="false" ht="15" hidden="false" customHeight="true" outlineLevel="0" collapsed="false">
      <c r="A22" s="4" t="str">
        <f aca="false">IF(Raw_Fund_Import!$A22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2" s="4" t="str">
        <f aca="false">IF(Raw_Fund_Import!$A22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2" s="4" t="str">
        <f aca="false">IF(Raw_Fund_Import!$A22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2" s="4" t="str">
        <f aca="false">IF(Raw_Fund_Import!$A22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2" s="4" t="str">
        <f aca="false">IF(Raw_Fund_Import!$A22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2" s="4" t="str">
        <f aca="false">IF(Raw_Fund_Import!$A22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2" s="4" t="str">
        <f aca="false">IF(Raw_Fund_Import!$A22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2" s="43" t="str">
        <f aca="false">IF(Raw_Fund_Import!$A22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2" s="4" t="str">
        <f aca="false">IF(Raw_Fund_Import!$A22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2" s="4" t="str">
        <f aca="false">IF(Raw_Fund_Import!$A22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2" s="4" t="str">
        <f aca="false">IF(Raw_Fund_Import!$A22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2" s="4" t="str">
        <f aca="false">IF(Raw_Fund_Import!$A22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2" s="4" t="str">
        <f aca="false">IF(Raw_Fund_Import!$A22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2" s="4" t="str">
        <f aca="false">IF(Raw_Fund_Import!$A22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2" s="4" t="str">
        <f aca="false">IF(Raw_Fund_Import!$A22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2" s="4" t="str">
        <f aca="false">IF(Raw_Fund_Import!$A22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2" s="44" t="str">
        <f aca="false">IF(Raw_Fund_Import!$A22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2" s="44" t="str">
        <f aca="false">IF(Raw_Fund_Import!$A22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2" s="44" t="str">
        <f aca="false">IF(Raw_Fund_Import!$A22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2" s="44" t="str">
        <f aca="false">IF(Raw_Fund_Import!$A22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2" s="44" t="str">
        <f aca="false">IF(Raw_Fund_Import!$A22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2" s="44" t="str">
        <f aca="false">IF(Raw_Fund_Import!$A22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2" s="4" t="str">
        <f aca="false">IF(Raw_Fund_Import!$A22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2" s="4" t="str">
        <f aca="false">IF(Raw_Fund_Import!$A22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2" s="4" t="str">
        <f aca="false">IF(Raw_Fund_Import!$A22="","",IF(COUNTBLANK($A22:$X22)&gt;0,"CHECK","OK"))</f>
        <v/>
      </c>
    </row>
    <row r="23" customFormat="false" ht="15" hidden="false" customHeight="true" outlineLevel="0" collapsed="false">
      <c r="A23" s="4" t="str">
        <f aca="false">IF(Raw_Fund_Import!$A23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3" s="4" t="str">
        <f aca="false">IF(Raw_Fund_Import!$A23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3" s="4" t="str">
        <f aca="false">IF(Raw_Fund_Import!$A23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3" s="4" t="str">
        <f aca="false">IF(Raw_Fund_Import!$A23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3" s="4" t="str">
        <f aca="false">IF(Raw_Fund_Import!$A23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3" s="4" t="str">
        <f aca="false">IF(Raw_Fund_Import!$A23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3" s="4" t="str">
        <f aca="false">IF(Raw_Fund_Import!$A23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3" s="43" t="str">
        <f aca="false">IF(Raw_Fund_Import!$A23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3" s="4" t="str">
        <f aca="false">IF(Raw_Fund_Import!$A23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3" s="4" t="str">
        <f aca="false">IF(Raw_Fund_Import!$A23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3" s="4" t="str">
        <f aca="false">IF(Raw_Fund_Import!$A23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3" s="4" t="str">
        <f aca="false">IF(Raw_Fund_Import!$A23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3" s="4" t="str">
        <f aca="false">IF(Raw_Fund_Import!$A23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3" s="4" t="str">
        <f aca="false">IF(Raw_Fund_Import!$A23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3" s="4" t="str">
        <f aca="false">IF(Raw_Fund_Import!$A23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3" s="4" t="str">
        <f aca="false">IF(Raw_Fund_Import!$A23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3" s="44" t="str">
        <f aca="false">IF(Raw_Fund_Import!$A23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3" s="44" t="str">
        <f aca="false">IF(Raw_Fund_Import!$A23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3" s="44" t="str">
        <f aca="false">IF(Raw_Fund_Import!$A23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3" s="44" t="str">
        <f aca="false">IF(Raw_Fund_Import!$A23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3" s="44" t="str">
        <f aca="false">IF(Raw_Fund_Import!$A23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3" s="44" t="str">
        <f aca="false">IF(Raw_Fund_Import!$A23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3" s="4" t="str">
        <f aca="false">IF(Raw_Fund_Import!$A23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3" s="4" t="str">
        <f aca="false">IF(Raw_Fund_Import!$A23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3" s="4" t="str">
        <f aca="false">IF(Raw_Fund_Import!$A23="","",IF(COUNTBLANK($A23:$X23)&gt;0,"CHECK","OK"))</f>
        <v/>
      </c>
    </row>
    <row r="24" customFormat="false" ht="15" hidden="false" customHeight="true" outlineLevel="0" collapsed="false">
      <c r="A24" s="4" t="str">
        <f aca="false">IF(Raw_Fund_Import!$A24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4" s="4" t="str">
        <f aca="false">IF(Raw_Fund_Import!$A24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4" s="4" t="str">
        <f aca="false">IF(Raw_Fund_Import!$A24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4" s="4" t="str">
        <f aca="false">IF(Raw_Fund_Import!$A24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4" s="4" t="str">
        <f aca="false">IF(Raw_Fund_Import!$A24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4" s="4" t="str">
        <f aca="false">IF(Raw_Fund_Import!$A24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4" s="4" t="str">
        <f aca="false">IF(Raw_Fund_Import!$A24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4" s="43" t="str">
        <f aca="false">IF(Raw_Fund_Import!$A24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4" s="4" t="str">
        <f aca="false">IF(Raw_Fund_Import!$A24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4" s="4" t="str">
        <f aca="false">IF(Raw_Fund_Import!$A24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4" s="4" t="str">
        <f aca="false">IF(Raw_Fund_Import!$A24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4" s="4" t="str">
        <f aca="false">IF(Raw_Fund_Import!$A24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4" s="4" t="str">
        <f aca="false">IF(Raw_Fund_Import!$A24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4" s="4" t="str">
        <f aca="false">IF(Raw_Fund_Import!$A24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4" s="4" t="str">
        <f aca="false">IF(Raw_Fund_Import!$A24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4" s="4" t="str">
        <f aca="false">IF(Raw_Fund_Import!$A24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4" s="44" t="str">
        <f aca="false">IF(Raw_Fund_Import!$A24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4" s="44" t="str">
        <f aca="false">IF(Raw_Fund_Import!$A24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4" s="44" t="str">
        <f aca="false">IF(Raw_Fund_Import!$A24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4" s="44" t="str">
        <f aca="false">IF(Raw_Fund_Import!$A24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4" s="44" t="str">
        <f aca="false">IF(Raw_Fund_Import!$A24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4" s="44" t="str">
        <f aca="false">IF(Raw_Fund_Import!$A24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4" s="4" t="str">
        <f aca="false">IF(Raw_Fund_Import!$A24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4" s="4" t="str">
        <f aca="false">IF(Raw_Fund_Import!$A24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4" s="4" t="str">
        <f aca="false">IF(Raw_Fund_Import!$A24="","",IF(COUNTBLANK($A24:$X24)&gt;0,"CHECK","OK"))</f>
        <v/>
      </c>
    </row>
    <row r="25" customFormat="false" ht="15" hidden="false" customHeight="true" outlineLevel="0" collapsed="false">
      <c r="A25" s="4" t="str">
        <f aca="false">IF(Raw_Fund_Import!$A25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5" s="4" t="str">
        <f aca="false">IF(Raw_Fund_Import!$A25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5" s="4" t="str">
        <f aca="false">IF(Raw_Fund_Import!$A25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5" s="4" t="str">
        <f aca="false">IF(Raw_Fund_Import!$A25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5" s="4" t="str">
        <f aca="false">IF(Raw_Fund_Import!$A25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5" s="4" t="str">
        <f aca="false">IF(Raw_Fund_Import!$A25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5" s="4" t="str">
        <f aca="false">IF(Raw_Fund_Import!$A25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5" s="43" t="str">
        <f aca="false">IF(Raw_Fund_Import!$A25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5" s="4" t="str">
        <f aca="false">IF(Raw_Fund_Import!$A25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5" s="4" t="str">
        <f aca="false">IF(Raw_Fund_Import!$A25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5" s="4" t="str">
        <f aca="false">IF(Raw_Fund_Import!$A25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5" s="4" t="str">
        <f aca="false">IF(Raw_Fund_Import!$A25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5" s="4" t="str">
        <f aca="false">IF(Raw_Fund_Import!$A25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5" s="4" t="str">
        <f aca="false">IF(Raw_Fund_Import!$A25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5" s="4" t="str">
        <f aca="false">IF(Raw_Fund_Import!$A25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5" s="4" t="str">
        <f aca="false">IF(Raw_Fund_Import!$A25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5" s="44" t="str">
        <f aca="false">IF(Raw_Fund_Import!$A25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5" s="44" t="str">
        <f aca="false">IF(Raw_Fund_Import!$A25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5" s="44" t="str">
        <f aca="false">IF(Raw_Fund_Import!$A25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5" s="44" t="str">
        <f aca="false">IF(Raw_Fund_Import!$A25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5" s="44" t="str">
        <f aca="false">IF(Raw_Fund_Import!$A25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5" s="44" t="str">
        <f aca="false">IF(Raw_Fund_Import!$A25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5" s="4" t="str">
        <f aca="false">IF(Raw_Fund_Import!$A25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5" s="4" t="str">
        <f aca="false">IF(Raw_Fund_Import!$A25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5" s="4" t="str">
        <f aca="false">IF(Raw_Fund_Import!$A25="","",IF(COUNTBLANK($A25:$X25)&gt;0,"CHECK","OK"))</f>
        <v/>
      </c>
    </row>
    <row r="26" customFormat="false" ht="15" hidden="false" customHeight="true" outlineLevel="0" collapsed="false">
      <c r="A26" s="4" t="str">
        <f aca="false">IF(Raw_Fund_Import!$A26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6" s="4" t="str">
        <f aca="false">IF(Raw_Fund_Import!$A26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6" s="4" t="str">
        <f aca="false">IF(Raw_Fund_Import!$A26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6" s="4" t="str">
        <f aca="false">IF(Raw_Fund_Import!$A26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6" s="4" t="str">
        <f aca="false">IF(Raw_Fund_Import!$A26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6" s="4" t="str">
        <f aca="false">IF(Raw_Fund_Import!$A26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6" s="4" t="str">
        <f aca="false">IF(Raw_Fund_Import!$A26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6" s="43" t="str">
        <f aca="false">IF(Raw_Fund_Import!$A26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6" s="4" t="str">
        <f aca="false">IF(Raw_Fund_Import!$A26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6" s="4" t="str">
        <f aca="false">IF(Raw_Fund_Import!$A26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6" s="4" t="str">
        <f aca="false">IF(Raw_Fund_Import!$A26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6" s="4" t="str">
        <f aca="false">IF(Raw_Fund_Import!$A26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6" s="4" t="str">
        <f aca="false">IF(Raw_Fund_Import!$A26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6" s="4" t="str">
        <f aca="false">IF(Raw_Fund_Import!$A26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6" s="4" t="str">
        <f aca="false">IF(Raw_Fund_Import!$A26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6" s="4" t="str">
        <f aca="false">IF(Raw_Fund_Import!$A26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6" s="44" t="str">
        <f aca="false">IF(Raw_Fund_Import!$A26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6" s="44" t="str">
        <f aca="false">IF(Raw_Fund_Import!$A26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6" s="44" t="str">
        <f aca="false">IF(Raw_Fund_Import!$A26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6" s="44" t="str">
        <f aca="false">IF(Raw_Fund_Import!$A26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6" s="44" t="str">
        <f aca="false">IF(Raw_Fund_Import!$A26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6" s="44" t="str">
        <f aca="false">IF(Raw_Fund_Import!$A26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6" s="4" t="str">
        <f aca="false">IF(Raw_Fund_Import!$A26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6" s="4" t="str">
        <f aca="false">IF(Raw_Fund_Import!$A26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6" s="4" t="str">
        <f aca="false">IF(Raw_Fund_Import!$A26="","",IF(COUNTBLANK($A26:$X26)&gt;0,"CHECK","OK"))</f>
        <v/>
      </c>
    </row>
    <row r="27" customFormat="false" ht="15" hidden="false" customHeight="true" outlineLevel="0" collapsed="false">
      <c r="A27" s="4" t="str">
        <f aca="false">IF(Raw_Fund_Import!$A27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7" s="4" t="str">
        <f aca="false">IF(Raw_Fund_Import!$A27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7" s="4" t="str">
        <f aca="false">IF(Raw_Fund_Import!$A27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7" s="4" t="str">
        <f aca="false">IF(Raw_Fund_Import!$A27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7" s="4" t="str">
        <f aca="false">IF(Raw_Fund_Import!$A27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7" s="4" t="str">
        <f aca="false">IF(Raw_Fund_Import!$A27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7" s="4" t="str">
        <f aca="false">IF(Raw_Fund_Import!$A27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7" s="43" t="str">
        <f aca="false">IF(Raw_Fund_Import!$A27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7" s="4" t="str">
        <f aca="false">IF(Raw_Fund_Import!$A27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7" s="4" t="str">
        <f aca="false">IF(Raw_Fund_Import!$A27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7" s="4" t="str">
        <f aca="false">IF(Raw_Fund_Import!$A27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7" s="4" t="str">
        <f aca="false">IF(Raw_Fund_Import!$A27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7" s="4" t="str">
        <f aca="false">IF(Raw_Fund_Import!$A27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7" s="4" t="str">
        <f aca="false">IF(Raw_Fund_Import!$A27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7" s="4" t="str">
        <f aca="false">IF(Raw_Fund_Import!$A27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7" s="4" t="str">
        <f aca="false">IF(Raw_Fund_Import!$A27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7" s="44" t="str">
        <f aca="false">IF(Raw_Fund_Import!$A27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7" s="44" t="str">
        <f aca="false">IF(Raw_Fund_Import!$A27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7" s="44" t="str">
        <f aca="false">IF(Raw_Fund_Import!$A27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7" s="44" t="str">
        <f aca="false">IF(Raw_Fund_Import!$A27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7" s="44" t="str">
        <f aca="false">IF(Raw_Fund_Import!$A27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7" s="44" t="str">
        <f aca="false">IF(Raw_Fund_Import!$A27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7" s="4" t="str">
        <f aca="false">IF(Raw_Fund_Import!$A27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7" s="4" t="str">
        <f aca="false">IF(Raw_Fund_Import!$A27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7" s="4" t="str">
        <f aca="false">IF(Raw_Fund_Import!$A27="","",IF(COUNTBLANK($A27:$X27)&gt;0,"CHECK","OK"))</f>
        <v/>
      </c>
    </row>
    <row r="28" customFormat="false" ht="15" hidden="false" customHeight="true" outlineLevel="0" collapsed="false">
      <c r="A28" s="4" t="str">
        <f aca="false">IF(Raw_Fund_Import!$A28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8" s="4" t="str">
        <f aca="false">IF(Raw_Fund_Import!$A28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8" s="4" t="str">
        <f aca="false">IF(Raw_Fund_Import!$A28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8" s="4" t="str">
        <f aca="false">IF(Raw_Fund_Import!$A28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8" s="4" t="str">
        <f aca="false">IF(Raw_Fund_Import!$A28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8" s="4" t="str">
        <f aca="false">IF(Raw_Fund_Import!$A28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8" s="4" t="str">
        <f aca="false">IF(Raw_Fund_Import!$A28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8" s="43" t="str">
        <f aca="false">IF(Raw_Fund_Import!$A28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8" s="4" t="str">
        <f aca="false">IF(Raw_Fund_Import!$A28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8" s="4" t="str">
        <f aca="false">IF(Raw_Fund_Import!$A28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8" s="4" t="str">
        <f aca="false">IF(Raw_Fund_Import!$A28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8" s="4" t="str">
        <f aca="false">IF(Raw_Fund_Import!$A28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8" s="4" t="str">
        <f aca="false">IF(Raw_Fund_Import!$A28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8" s="4" t="str">
        <f aca="false">IF(Raw_Fund_Import!$A28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8" s="4" t="str">
        <f aca="false">IF(Raw_Fund_Import!$A28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8" s="4" t="str">
        <f aca="false">IF(Raw_Fund_Import!$A28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8" s="44" t="str">
        <f aca="false">IF(Raw_Fund_Import!$A28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8" s="44" t="str">
        <f aca="false">IF(Raw_Fund_Import!$A28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8" s="44" t="str">
        <f aca="false">IF(Raw_Fund_Import!$A28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8" s="44" t="str">
        <f aca="false">IF(Raw_Fund_Import!$A28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8" s="44" t="str">
        <f aca="false">IF(Raw_Fund_Import!$A28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8" s="44" t="str">
        <f aca="false">IF(Raw_Fund_Import!$A28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8" s="4" t="str">
        <f aca="false">IF(Raw_Fund_Import!$A28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8" s="4" t="str">
        <f aca="false">IF(Raw_Fund_Import!$A28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8" s="4" t="str">
        <f aca="false">IF(Raw_Fund_Import!$A28="","",IF(COUNTBLANK($A28:$X28)&gt;0,"CHECK","OK"))</f>
        <v/>
      </c>
    </row>
    <row r="29" customFormat="false" ht="15" hidden="false" customHeight="true" outlineLevel="0" collapsed="false">
      <c r="A29" s="4" t="str">
        <f aca="false">IF(Raw_Fund_Import!$A29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9" s="4" t="str">
        <f aca="false">IF(Raw_Fund_Import!$A29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9" s="4" t="str">
        <f aca="false">IF(Raw_Fund_Import!$A29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9" s="4" t="str">
        <f aca="false">IF(Raw_Fund_Import!$A29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9" s="4" t="str">
        <f aca="false">IF(Raw_Fund_Import!$A29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9" s="4" t="str">
        <f aca="false">IF(Raw_Fund_Import!$A29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9" s="4" t="str">
        <f aca="false">IF(Raw_Fund_Import!$A29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9" s="43" t="str">
        <f aca="false">IF(Raw_Fund_Import!$A29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9" s="4" t="str">
        <f aca="false">IF(Raw_Fund_Import!$A29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9" s="4" t="str">
        <f aca="false">IF(Raw_Fund_Import!$A29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9" s="4" t="str">
        <f aca="false">IF(Raw_Fund_Import!$A29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9" s="4" t="str">
        <f aca="false">IF(Raw_Fund_Import!$A29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9" s="4" t="str">
        <f aca="false">IF(Raw_Fund_Import!$A29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9" s="4" t="str">
        <f aca="false">IF(Raw_Fund_Import!$A29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9" s="4" t="str">
        <f aca="false">IF(Raw_Fund_Import!$A29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9" s="4" t="str">
        <f aca="false">IF(Raw_Fund_Import!$A29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9" s="44" t="str">
        <f aca="false">IF(Raw_Fund_Import!$A29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9" s="44" t="str">
        <f aca="false">IF(Raw_Fund_Import!$A29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9" s="44" t="str">
        <f aca="false">IF(Raw_Fund_Import!$A29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9" s="44" t="str">
        <f aca="false">IF(Raw_Fund_Import!$A29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9" s="44" t="str">
        <f aca="false">IF(Raw_Fund_Import!$A29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9" s="44" t="str">
        <f aca="false">IF(Raw_Fund_Import!$A29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9" s="4" t="str">
        <f aca="false">IF(Raw_Fund_Import!$A29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9" s="4" t="str">
        <f aca="false">IF(Raw_Fund_Import!$A29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9" s="4" t="str">
        <f aca="false">IF(Raw_Fund_Import!$A29="","",IF(COUNTBLANK($A29:$X29)&gt;0,"CHECK","OK"))</f>
        <v/>
      </c>
    </row>
    <row r="30" customFormat="false" ht="15" hidden="false" customHeight="true" outlineLevel="0" collapsed="false">
      <c r="A30" s="4" t="str">
        <f aca="false">IF(Raw_Fund_Import!$A30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30" s="4" t="str">
        <f aca="false">IF(Raw_Fund_Import!$A30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30" s="4" t="str">
        <f aca="false">IF(Raw_Fund_Import!$A30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30" s="4" t="str">
        <f aca="false">IF(Raw_Fund_Import!$A30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30" s="4" t="str">
        <f aca="false">IF(Raw_Fund_Import!$A30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30" s="4" t="str">
        <f aca="false">IF(Raw_Fund_Import!$A30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30" s="4" t="str">
        <f aca="false">IF(Raw_Fund_Import!$A30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30" s="43" t="str">
        <f aca="false">IF(Raw_Fund_Import!$A30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30" s="4" t="str">
        <f aca="false">IF(Raw_Fund_Import!$A30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30" s="4" t="str">
        <f aca="false">IF(Raw_Fund_Import!$A30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30" s="4" t="str">
        <f aca="false">IF(Raw_Fund_Import!$A30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30" s="4" t="str">
        <f aca="false">IF(Raw_Fund_Import!$A30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30" s="4" t="str">
        <f aca="false">IF(Raw_Fund_Import!$A30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30" s="4" t="str">
        <f aca="false">IF(Raw_Fund_Import!$A30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30" s="4" t="str">
        <f aca="false">IF(Raw_Fund_Import!$A30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30" s="4" t="str">
        <f aca="false">IF(Raw_Fund_Import!$A30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30" s="44" t="str">
        <f aca="false">IF(Raw_Fund_Import!$A30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30" s="44" t="str">
        <f aca="false">IF(Raw_Fund_Import!$A30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30" s="44" t="str">
        <f aca="false">IF(Raw_Fund_Import!$A30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30" s="44" t="str">
        <f aca="false">IF(Raw_Fund_Import!$A30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30" s="44" t="str">
        <f aca="false">IF(Raw_Fund_Import!$A30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30" s="44" t="str">
        <f aca="false">IF(Raw_Fund_Import!$A30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30" s="4" t="str">
        <f aca="false">IF(Raw_Fund_Import!$A30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30" s="4" t="str">
        <f aca="false">IF(Raw_Fund_Import!$A30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30" s="4" t="str">
        <f aca="false">IF(Raw_Fund_Import!$A30="","",IF(COUNTBLANK($A30:$X30)&gt;0,"CHECK","OK"))</f>
        <v/>
      </c>
    </row>
    <row r="31" customFormat="false" ht="15" hidden="false" customHeight="true" outlineLevel="0" collapsed="false">
      <c r="A31" s="4" t="str">
        <f aca="false">IF(Raw_Fund_Import!$A31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31" s="4" t="str">
        <f aca="false">IF(Raw_Fund_Import!$A31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31" s="4" t="str">
        <f aca="false">IF(Raw_Fund_Import!$A31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31" s="4" t="str">
        <f aca="false">IF(Raw_Fund_Import!$A31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31" s="4" t="str">
        <f aca="false">IF(Raw_Fund_Import!$A31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31" s="4" t="str">
        <f aca="false">IF(Raw_Fund_Import!$A31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31" s="4" t="str">
        <f aca="false">IF(Raw_Fund_Import!$A31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31" s="43" t="str">
        <f aca="false">IF(Raw_Fund_Import!$A31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31" s="4" t="str">
        <f aca="false">IF(Raw_Fund_Import!$A31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31" s="4" t="str">
        <f aca="false">IF(Raw_Fund_Import!$A31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31" s="4" t="str">
        <f aca="false">IF(Raw_Fund_Import!$A31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31" s="4" t="str">
        <f aca="false">IF(Raw_Fund_Import!$A31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31" s="4" t="str">
        <f aca="false">IF(Raw_Fund_Import!$A31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31" s="4" t="str">
        <f aca="false">IF(Raw_Fund_Import!$A31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31" s="4" t="str">
        <f aca="false">IF(Raw_Fund_Import!$A31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31" s="4" t="str">
        <f aca="false">IF(Raw_Fund_Import!$A31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31" s="44" t="str">
        <f aca="false">IF(Raw_Fund_Import!$A31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31" s="44" t="str">
        <f aca="false">IF(Raw_Fund_Import!$A31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31" s="44" t="str">
        <f aca="false">IF(Raw_Fund_Import!$A31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31" s="44" t="str">
        <f aca="false">IF(Raw_Fund_Import!$A31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31" s="44" t="str">
        <f aca="false">IF(Raw_Fund_Import!$A31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31" s="44" t="str">
        <f aca="false">IF(Raw_Fund_Import!$A31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31" s="4" t="str">
        <f aca="false">IF(Raw_Fund_Import!$A31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31" s="4" t="str">
        <f aca="false">IF(Raw_Fund_Import!$A31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31" s="4" t="str">
        <f aca="false">IF(Raw_Fund_Import!$A31="","",IF(COUNTBLANK($A31:$X31)&gt;0,"CHECK","OK"))</f>
        <v/>
      </c>
    </row>
    <row r="32" customFormat="false" ht="15" hidden="false" customHeight="true" outlineLevel="0" collapsed="false">
      <c r="A32" s="4" t="str">
        <f aca="false">IF(Raw_Fund_Import!$A32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32" s="4" t="str">
        <f aca="false">IF(Raw_Fund_Import!$A32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32" s="4" t="str">
        <f aca="false">IF(Raw_Fund_Import!$A32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32" s="4" t="str">
        <f aca="false">IF(Raw_Fund_Import!$A32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32" s="4" t="str">
        <f aca="false">IF(Raw_Fund_Import!$A32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32" s="4" t="str">
        <f aca="false">IF(Raw_Fund_Import!$A32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32" s="4" t="str">
        <f aca="false">IF(Raw_Fund_Import!$A32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32" s="43" t="str">
        <f aca="false">IF(Raw_Fund_Import!$A32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32" s="4" t="str">
        <f aca="false">IF(Raw_Fund_Import!$A32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32" s="4" t="str">
        <f aca="false">IF(Raw_Fund_Import!$A32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32" s="4" t="str">
        <f aca="false">IF(Raw_Fund_Import!$A32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32" s="4" t="str">
        <f aca="false">IF(Raw_Fund_Import!$A32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32" s="4" t="str">
        <f aca="false">IF(Raw_Fund_Import!$A32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32" s="4" t="str">
        <f aca="false">IF(Raw_Fund_Import!$A32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32" s="4" t="str">
        <f aca="false">IF(Raw_Fund_Import!$A32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32" s="4" t="str">
        <f aca="false">IF(Raw_Fund_Import!$A32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32" s="44" t="str">
        <f aca="false">IF(Raw_Fund_Import!$A32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32" s="44" t="str">
        <f aca="false">IF(Raw_Fund_Import!$A32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32" s="44" t="str">
        <f aca="false">IF(Raw_Fund_Import!$A32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32" s="44" t="str">
        <f aca="false">IF(Raw_Fund_Import!$A32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32" s="44" t="str">
        <f aca="false">IF(Raw_Fund_Import!$A32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32" s="44" t="str">
        <f aca="false">IF(Raw_Fund_Import!$A32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32" s="4" t="str">
        <f aca="false">IF(Raw_Fund_Import!$A32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32" s="4" t="str">
        <f aca="false">IF(Raw_Fund_Import!$A32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32" s="4" t="str">
        <f aca="false">IF(Raw_Fund_Import!$A32="","",IF(COUNTBLANK($A32:$X32)&gt;0,"CHECK","OK"))</f>
        <v/>
      </c>
    </row>
    <row r="33" customFormat="false" ht="15" hidden="false" customHeight="true" outlineLevel="0" collapsed="false">
      <c r="A33" s="4" t="str">
        <f aca="false">IF(Raw_Fund_Import!$A33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33" s="4" t="str">
        <f aca="false">IF(Raw_Fund_Import!$A33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33" s="4" t="str">
        <f aca="false">IF(Raw_Fund_Import!$A33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33" s="4" t="str">
        <f aca="false">IF(Raw_Fund_Import!$A33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33" s="4" t="str">
        <f aca="false">IF(Raw_Fund_Import!$A33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33" s="4" t="str">
        <f aca="false">IF(Raw_Fund_Import!$A33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33" s="4" t="str">
        <f aca="false">IF(Raw_Fund_Import!$A33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33" s="43" t="str">
        <f aca="false">IF(Raw_Fund_Import!$A33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33" s="4" t="str">
        <f aca="false">IF(Raw_Fund_Import!$A33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33" s="4" t="str">
        <f aca="false">IF(Raw_Fund_Import!$A33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33" s="4" t="str">
        <f aca="false">IF(Raw_Fund_Import!$A33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33" s="4" t="str">
        <f aca="false">IF(Raw_Fund_Import!$A33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33" s="4" t="str">
        <f aca="false">IF(Raw_Fund_Import!$A33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33" s="4" t="str">
        <f aca="false">IF(Raw_Fund_Import!$A33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33" s="4" t="str">
        <f aca="false">IF(Raw_Fund_Import!$A33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33" s="4" t="str">
        <f aca="false">IF(Raw_Fund_Import!$A33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33" s="44" t="str">
        <f aca="false">IF(Raw_Fund_Import!$A33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33" s="44" t="str">
        <f aca="false">IF(Raw_Fund_Import!$A33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33" s="44" t="str">
        <f aca="false">IF(Raw_Fund_Import!$A33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33" s="44" t="str">
        <f aca="false">IF(Raw_Fund_Import!$A33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33" s="44" t="str">
        <f aca="false">IF(Raw_Fund_Import!$A33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33" s="44" t="str">
        <f aca="false">IF(Raw_Fund_Import!$A33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33" s="4" t="str">
        <f aca="false">IF(Raw_Fund_Import!$A33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33" s="4" t="str">
        <f aca="false">IF(Raw_Fund_Import!$A33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33" s="4" t="str">
        <f aca="false">IF(Raw_Fund_Import!$A33="","",IF(COUNTBLANK($A33:$X33)&gt;0,"CHECK","OK"))</f>
        <v/>
      </c>
    </row>
    <row r="34" customFormat="false" ht="15" hidden="false" customHeight="true" outlineLevel="0" collapsed="false">
      <c r="A34" s="4" t="str">
        <f aca="false">IF(Raw_Fund_Import!$A34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34" s="4" t="str">
        <f aca="false">IF(Raw_Fund_Import!$A34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34" s="4" t="str">
        <f aca="false">IF(Raw_Fund_Import!$A34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34" s="4" t="str">
        <f aca="false">IF(Raw_Fund_Import!$A34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34" s="4" t="str">
        <f aca="false">IF(Raw_Fund_Import!$A34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34" s="4" t="str">
        <f aca="false">IF(Raw_Fund_Import!$A34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34" s="4" t="str">
        <f aca="false">IF(Raw_Fund_Import!$A34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34" s="43" t="str">
        <f aca="false">IF(Raw_Fund_Import!$A34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34" s="4" t="str">
        <f aca="false">IF(Raw_Fund_Import!$A34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34" s="4" t="str">
        <f aca="false">IF(Raw_Fund_Import!$A34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34" s="4" t="str">
        <f aca="false">IF(Raw_Fund_Import!$A34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34" s="4" t="str">
        <f aca="false">IF(Raw_Fund_Import!$A34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34" s="4" t="str">
        <f aca="false">IF(Raw_Fund_Import!$A34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34" s="4" t="str">
        <f aca="false">IF(Raw_Fund_Import!$A34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34" s="4" t="str">
        <f aca="false">IF(Raw_Fund_Import!$A34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34" s="4" t="str">
        <f aca="false">IF(Raw_Fund_Import!$A34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34" s="44" t="str">
        <f aca="false">IF(Raw_Fund_Import!$A34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34" s="44" t="str">
        <f aca="false">IF(Raw_Fund_Import!$A34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34" s="44" t="str">
        <f aca="false">IF(Raw_Fund_Import!$A34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34" s="44" t="str">
        <f aca="false">IF(Raw_Fund_Import!$A34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34" s="44" t="str">
        <f aca="false">IF(Raw_Fund_Import!$A34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34" s="44" t="str">
        <f aca="false">IF(Raw_Fund_Import!$A34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34" s="4" t="str">
        <f aca="false">IF(Raw_Fund_Import!$A34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34" s="4" t="str">
        <f aca="false">IF(Raw_Fund_Import!$A34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34" s="4" t="str">
        <f aca="false">IF(Raw_Fund_Import!$A34="","",IF(COUNTBLANK($A34:$X34)&gt;0,"CHECK","OK"))</f>
        <v/>
      </c>
    </row>
    <row r="35" customFormat="false" ht="15" hidden="false" customHeight="true" outlineLevel="0" collapsed="false">
      <c r="A35" s="4" t="str">
        <f aca="false">IF(Raw_Fund_Import!$A35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35" s="4" t="str">
        <f aca="false">IF(Raw_Fund_Import!$A35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35" s="4" t="str">
        <f aca="false">IF(Raw_Fund_Import!$A35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35" s="4" t="str">
        <f aca="false">IF(Raw_Fund_Import!$A35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35" s="4" t="str">
        <f aca="false">IF(Raw_Fund_Import!$A35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35" s="4" t="str">
        <f aca="false">IF(Raw_Fund_Import!$A35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35" s="4" t="str">
        <f aca="false">IF(Raw_Fund_Import!$A35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35" s="43" t="str">
        <f aca="false">IF(Raw_Fund_Import!$A35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35" s="4" t="str">
        <f aca="false">IF(Raw_Fund_Import!$A35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35" s="4" t="str">
        <f aca="false">IF(Raw_Fund_Import!$A35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35" s="4" t="str">
        <f aca="false">IF(Raw_Fund_Import!$A35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35" s="4" t="str">
        <f aca="false">IF(Raw_Fund_Import!$A35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35" s="4" t="str">
        <f aca="false">IF(Raw_Fund_Import!$A35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35" s="4" t="str">
        <f aca="false">IF(Raw_Fund_Import!$A35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35" s="4" t="str">
        <f aca="false">IF(Raw_Fund_Import!$A35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35" s="4" t="str">
        <f aca="false">IF(Raw_Fund_Import!$A35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35" s="44" t="str">
        <f aca="false">IF(Raw_Fund_Import!$A35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35" s="44" t="str">
        <f aca="false">IF(Raw_Fund_Import!$A35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35" s="44" t="str">
        <f aca="false">IF(Raw_Fund_Import!$A35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35" s="44" t="str">
        <f aca="false">IF(Raw_Fund_Import!$A35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35" s="44" t="str">
        <f aca="false">IF(Raw_Fund_Import!$A35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35" s="44" t="str">
        <f aca="false">IF(Raw_Fund_Import!$A35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35" s="4" t="str">
        <f aca="false">IF(Raw_Fund_Import!$A35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35" s="4" t="str">
        <f aca="false">IF(Raw_Fund_Import!$A35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35" s="4" t="str">
        <f aca="false">IF(Raw_Fund_Import!$A35="","",IF(COUNTBLANK($A35:$X35)&gt;0,"CHECK","OK"))</f>
        <v/>
      </c>
    </row>
    <row r="36" customFormat="false" ht="15" hidden="false" customHeight="true" outlineLevel="0" collapsed="false">
      <c r="A36" s="4" t="str">
        <f aca="false">IF(Raw_Fund_Import!$A36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36" s="4" t="str">
        <f aca="false">IF(Raw_Fund_Import!$A36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36" s="4" t="str">
        <f aca="false">IF(Raw_Fund_Import!$A36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36" s="4" t="str">
        <f aca="false">IF(Raw_Fund_Import!$A36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36" s="4" t="str">
        <f aca="false">IF(Raw_Fund_Import!$A36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36" s="4" t="str">
        <f aca="false">IF(Raw_Fund_Import!$A36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36" s="4" t="str">
        <f aca="false">IF(Raw_Fund_Import!$A36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36" s="43" t="str">
        <f aca="false">IF(Raw_Fund_Import!$A36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36" s="4" t="str">
        <f aca="false">IF(Raw_Fund_Import!$A36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36" s="4" t="str">
        <f aca="false">IF(Raw_Fund_Import!$A36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36" s="4" t="str">
        <f aca="false">IF(Raw_Fund_Import!$A36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36" s="4" t="str">
        <f aca="false">IF(Raw_Fund_Import!$A36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36" s="4" t="str">
        <f aca="false">IF(Raw_Fund_Import!$A36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36" s="4" t="str">
        <f aca="false">IF(Raw_Fund_Import!$A36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36" s="4" t="str">
        <f aca="false">IF(Raw_Fund_Import!$A36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36" s="4" t="str">
        <f aca="false">IF(Raw_Fund_Import!$A36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36" s="44" t="str">
        <f aca="false">IF(Raw_Fund_Import!$A36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36" s="44" t="str">
        <f aca="false">IF(Raw_Fund_Import!$A36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36" s="44" t="str">
        <f aca="false">IF(Raw_Fund_Import!$A36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36" s="44" t="str">
        <f aca="false">IF(Raw_Fund_Import!$A36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36" s="44" t="str">
        <f aca="false">IF(Raw_Fund_Import!$A36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36" s="44" t="str">
        <f aca="false">IF(Raw_Fund_Import!$A36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36" s="4" t="str">
        <f aca="false">IF(Raw_Fund_Import!$A36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36" s="4" t="str">
        <f aca="false">IF(Raw_Fund_Import!$A36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36" s="4" t="str">
        <f aca="false">IF(Raw_Fund_Import!$A36="","",IF(COUNTBLANK($A36:$X36)&gt;0,"CHECK","OK"))</f>
        <v/>
      </c>
    </row>
    <row r="37" customFormat="false" ht="15" hidden="false" customHeight="true" outlineLevel="0" collapsed="false">
      <c r="A37" s="4" t="str">
        <f aca="false">IF(Raw_Fund_Import!$A37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37" s="4" t="str">
        <f aca="false">IF(Raw_Fund_Import!$A37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37" s="4" t="str">
        <f aca="false">IF(Raw_Fund_Import!$A37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37" s="4" t="str">
        <f aca="false">IF(Raw_Fund_Import!$A37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37" s="4" t="str">
        <f aca="false">IF(Raw_Fund_Import!$A37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37" s="4" t="str">
        <f aca="false">IF(Raw_Fund_Import!$A37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37" s="4" t="str">
        <f aca="false">IF(Raw_Fund_Import!$A37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37" s="43" t="str">
        <f aca="false">IF(Raw_Fund_Import!$A37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37" s="4" t="str">
        <f aca="false">IF(Raw_Fund_Import!$A37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37" s="4" t="str">
        <f aca="false">IF(Raw_Fund_Import!$A37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37" s="4" t="str">
        <f aca="false">IF(Raw_Fund_Import!$A37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37" s="4" t="str">
        <f aca="false">IF(Raw_Fund_Import!$A37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37" s="4" t="str">
        <f aca="false">IF(Raw_Fund_Import!$A37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37" s="4" t="str">
        <f aca="false">IF(Raw_Fund_Import!$A37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37" s="4" t="str">
        <f aca="false">IF(Raw_Fund_Import!$A37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37" s="4" t="str">
        <f aca="false">IF(Raw_Fund_Import!$A37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37" s="44" t="str">
        <f aca="false">IF(Raw_Fund_Import!$A37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37" s="44" t="str">
        <f aca="false">IF(Raw_Fund_Import!$A37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37" s="44" t="str">
        <f aca="false">IF(Raw_Fund_Import!$A37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37" s="44" t="str">
        <f aca="false">IF(Raw_Fund_Import!$A37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37" s="44" t="str">
        <f aca="false">IF(Raw_Fund_Import!$A37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37" s="44" t="str">
        <f aca="false">IF(Raw_Fund_Import!$A37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37" s="4" t="str">
        <f aca="false">IF(Raw_Fund_Import!$A37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37" s="4" t="str">
        <f aca="false">IF(Raw_Fund_Import!$A37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37" s="4" t="str">
        <f aca="false">IF(Raw_Fund_Import!$A37="","",IF(COUNTBLANK($A37:$X37)&gt;0,"CHECK","OK"))</f>
        <v/>
      </c>
    </row>
    <row r="38" customFormat="false" ht="15" hidden="false" customHeight="true" outlineLevel="0" collapsed="false">
      <c r="A38" s="4" t="str">
        <f aca="false">IF(Raw_Fund_Import!$A38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38" s="4" t="str">
        <f aca="false">IF(Raw_Fund_Import!$A38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38" s="4" t="str">
        <f aca="false">IF(Raw_Fund_Import!$A38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38" s="4" t="str">
        <f aca="false">IF(Raw_Fund_Import!$A38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38" s="4" t="str">
        <f aca="false">IF(Raw_Fund_Import!$A38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38" s="4" t="str">
        <f aca="false">IF(Raw_Fund_Import!$A38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38" s="4" t="str">
        <f aca="false">IF(Raw_Fund_Import!$A38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38" s="43" t="str">
        <f aca="false">IF(Raw_Fund_Import!$A38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38" s="4" t="str">
        <f aca="false">IF(Raw_Fund_Import!$A38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38" s="4" t="str">
        <f aca="false">IF(Raw_Fund_Import!$A38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38" s="4" t="str">
        <f aca="false">IF(Raw_Fund_Import!$A38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38" s="4" t="str">
        <f aca="false">IF(Raw_Fund_Import!$A38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38" s="4" t="str">
        <f aca="false">IF(Raw_Fund_Import!$A38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38" s="4" t="str">
        <f aca="false">IF(Raw_Fund_Import!$A38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38" s="4" t="str">
        <f aca="false">IF(Raw_Fund_Import!$A38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38" s="4" t="str">
        <f aca="false">IF(Raw_Fund_Import!$A38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38" s="44" t="str">
        <f aca="false">IF(Raw_Fund_Import!$A38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38" s="44" t="str">
        <f aca="false">IF(Raw_Fund_Import!$A38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38" s="44" t="str">
        <f aca="false">IF(Raw_Fund_Import!$A38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38" s="44" t="str">
        <f aca="false">IF(Raw_Fund_Import!$A38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38" s="44" t="str">
        <f aca="false">IF(Raw_Fund_Import!$A38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38" s="44" t="str">
        <f aca="false">IF(Raw_Fund_Import!$A38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38" s="4" t="str">
        <f aca="false">IF(Raw_Fund_Import!$A38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38" s="4" t="str">
        <f aca="false">IF(Raw_Fund_Import!$A38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38" s="4" t="str">
        <f aca="false">IF(Raw_Fund_Import!$A38="","",IF(COUNTBLANK($A38:$X38)&gt;0,"CHECK","OK"))</f>
        <v/>
      </c>
    </row>
    <row r="39" customFormat="false" ht="15" hidden="false" customHeight="true" outlineLevel="0" collapsed="false">
      <c r="A39" s="4" t="str">
        <f aca="false">IF(Raw_Fund_Import!$A39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39" s="4" t="str">
        <f aca="false">IF(Raw_Fund_Import!$A39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39" s="4" t="str">
        <f aca="false">IF(Raw_Fund_Import!$A39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39" s="4" t="str">
        <f aca="false">IF(Raw_Fund_Import!$A39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39" s="4" t="str">
        <f aca="false">IF(Raw_Fund_Import!$A39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39" s="4" t="str">
        <f aca="false">IF(Raw_Fund_Import!$A39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39" s="4" t="str">
        <f aca="false">IF(Raw_Fund_Import!$A39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39" s="43" t="str">
        <f aca="false">IF(Raw_Fund_Import!$A39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39" s="4" t="str">
        <f aca="false">IF(Raw_Fund_Import!$A39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39" s="4" t="str">
        <f aca="false">IF(Raw_Fund_Import!$A39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39" s="4" t="str">
        <f aca="false">IF(Raw_Fund_Import!$A39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39" s="4" t="str">
        <f aca="false">IF(Raw_Fund_Import!$A39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39" s="4" t="str">
        <f aca="false">IF(Raw_Fund_Import!$A39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39" s="4" t="str">
        <f aca="false">IF(Raw_Fund_Import!$A39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39" s="4" t="str">
        <f aca="false">IF(Raw_Fund_Import!$A39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39" s="4" t="str">
        <f aca="false">IF(Raw_Fund_Import!$A39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39" s="44" t="str">
        <f aca="false">IF(Raw_Fund_Import!$A39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39" s="44" t="str">
        <f aca="false">IF(Raw_Fund_Import!$A39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39" s="44" t="str">
        <f aca="false">IF(Raw_Fund_Import!$A39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39" s="44" t="str">
        <f aca="false">IF(Raw_Fund_Import!$A39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39" s="44" t="str">
        <f aca="false">IF(Raw_Fund_Import!$A39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39" s="44" t="str">
        <f aca="false">IF(Raw_Fund_Import!$A39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39" s="4" t="str">
        <f aca="false">IF(Raw_Fund_Import!$A39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39" s="4" t="str">
        <f aca="false">IF(Raw_Fund_Import!$A39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39" s="4" t="str">
        <f aca="false">IF(Raw_Fund_Import!$A39="","",IF(COUNTBLANK($A39:$X39)&gt;0,"CHECK","OK"))</f>
        <v/>
      </c>
    </row>
    <row r="40" customFormat="false" ht="15" hidden="false" customHeight="true" outlineLevel="0" collapsed="false">
      <c r="A40" s="4" t="str">
        <f aca="false">IF(Raw_Fund_Import!$A40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40" s="4" t="str">
        <f aca="false">IF(Raw_Fund_Import!$A40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40" s="4" t="str">
        <f aca="false">IF(Raw_Fund_Import!$A40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40" s="4" t="str">
        <f aca="false">IF(Raw_Fund_Import!$A40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40" s="4" t="str">
        <f aca="false">IF(Raw_Fund_Import!$A40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40" s="4" t="str">
        <f aca="false">IF(Raw_Fund_Import!$A40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40" s="4" t="str">
        <f aca="false">IF(Raw_Fund_Import!$A40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40" s="43" t="str">
        <f aca="false">IF(Raw_Fund_Import!$A40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40" s="4" t="str">
        <f aca="false">IF(Raw_Fund_Import!$A40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40" s="4" t="str">
        <f aca="false">IF(Raw_Fund_Import!$A40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40" s="4" t="str">
        <f aca="false">IF(Raw_Fund_Import!$A40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40" s="4" t="str">
        <f aca="false">IF(Raw_Fund_Import!$A40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40" s="4" t="str">
        <f aca="false">IF(Raw_Fund_Import!$A40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40" s="4" t="str">
        <f aca="false">IF(Raw_Fund_Import!$A40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40" s="4" t="str">
        <f aca="false">IF(Raw_Fund_Import!$A40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40" s="4" t="str">
        <f aca="false">IF(Raw_Fund_Import!$A40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40" s="44" t="str">
        <f aca="false">IF(Raw_Fund_Import!$A40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40" s="44" t="str">
        <f aca="false">IF(Raw_Fund_Import!$A40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40" s="44" t="str">
        <f aca="false">IF(Raw_Fund_Import!$A40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40" s="44" t="str">
        <f aca="false">IF(Raw_Fund_Import!$A40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40" s="44" t="str">
        <f aca="false">IF(Raw_Fund_Import!$A40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40" s="44" t="str">
        <f aca="false">IF(Raw_Fund_Import!$A40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40" s="4" t="str">
        <f aca="false">IF(Raw_Fund_Import!$A40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40" s="4" t="str">
        <f aca="false">IF(Raw_Fund_Import!$A40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40" s="4" t="str">
        <f aca="false">IF(Raw_Fund_Import!$A40="","",IF(COUNTBLANK($A40:$X40)&gt;0,"CHECK","OK"))</f>
        <v/>
      </c>
    </row>
    <row r="41" customFormat="false" ht="15" hidden="false" customHeight="true" outlineLevel="0" collapsed="false">
      <c r="A41" s="4" t="str">
        <f aca="false">IF(Raw_Fund_Import!$A41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41" s="4" t="str">
        <f aca="false">IF(Raw_Fund_Import!$A41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41" s="4" t="str">
        <f aca="false">IF(Raw_Fund_Import!$A41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41" s="4" t="str">
        <f aca="false">IF(Raw_Fund_Import!$A41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41" s="4" t="str">
        <f aca="false">IF(Raw_Fund_Import!$A41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41" s="4" t="str">
        <f aca="false">IF(Raw_Fund_Import!$A41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41" s="4" t="str">
        <f aca="false">IF(Raw_Fund_Import!$A41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41" s="43" t="str">
        <f aca="false">IF(Raw_Fund_Import!$A41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41" s="4" t="str">
        <f aca="false">IF(Raw_Fund_Import!$A41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41" s="4" t="str">
        <f aca="false">IF(Raw_Fund_Import!$A41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41" s="4" t="str">
        <f aca="false">IF(Raw_Fund_Import!$A41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41" s="4" t="str">
        <f aca="false">IF(Raw_Fund_Import!$A41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41" s="4" t="str">
        <f aca="false">IF(Raw_Fund_Import!$A41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41" s="4" t="str">
        <f aca="false">IF(Raw_Fund_Import!$A41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41" s="4" t="str">
        <f aca="false">IF(Raw_Fund_Import!$A41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41" s="4" t="str">
        <f aca="false">IF(Raw_Fund_Import!$A41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41" s="44" t="str">
        <f aca="false">IF(Raw_Fund_Import!$A41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41" s="44" t="str">
        <f aca="false">IF(Raw_Fund_Import!$A41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41" s="44" t="str">
        <f aca="false">IF(Raw_Fund_Import!$A41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41" s="44" t="str">
        <f aca="false">IF(Raw_Fund_Import!$A41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41" s="44" t="str">
        <f aca="false">IF(Raw_Fund_Import!$A41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41" s="44" t="str">
        <f aca="false">IF(Raw_Fund_Import!$A41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41" s="4" t="str">
        <f aca="false">IF(Raw_Fund_Import!$A41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41" s="4" t="str">
        <f aca="false">IF(Raw_Fund_Import!$A41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41" s="4" t="str">
        <f aca="false">IF(Raw_Fund_Import!$A41="","",IF(COUNTBLANK($A41:$X41)&gt;0,"CHECK","OK"))</f>
        <v/>
      </c>
    </row>
    <row r="42" customFormat="false" ht="15" hidden="false" customHeight="true" outlineLevel="0" collapsed="false">
      <c r="A42" s="4" t="str">
        <f aca="false">IF(Raw_Fund_Import!$A42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42" s="4" t="str">
        <f aca="false">IF(Raw_Fund_Import!$A42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42" s="4" t="str">
        <f aca="false">IF(Raw_Fund_Import!$A42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42" s="4" t="str">
        <f aca="false">IF(Raw_Fund_Import!$A42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42" s="4" t="str">
        <f aca="false">IF(Raw_Fund_Import!$A42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42" s="4" t="str">
        <f aca="false">IF(Raw_Fund_Import!$A42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42" s="4" t="str">
        <f aca="false">IF(Raw_Fund_Import!$A42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42" s="43" t="str">
        <f aca="false">IF(Raw_Fund_Import!$A42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42" s="4" t="str">
        <f aca="false">IF(Raw_Fund_Import!$A42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42" s="4" t="str">
        <f aca="false">IF(Raw_Fund_Import!$A42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42" s="4" t="str">
        <f aca="false">IF(Raw_Fund_Import!$A42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42" s="4" t="str">
        <f aca="false">IF(Raw_Fund_Import!$A42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42" s="4" t="str">
        <f aca="false">IF(Raw_Fund_Import!$A42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42" s="4" t="str">
        <f aca="false">IF(Raw_Fund_Import!$A42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42" s="4" t="str">
        <f aca="false">IF(Raw_Fund_Import!$A42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42" s="4" t="str">
        <f aca="false">IF(Raw_Fund_Import!$A42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42" s="44" t="str">
        <f aca="false">IF(Raw_Fund_Import!$A42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42" s="44" t="str">
        <f aca="false">IF(Raw_Fund_Import!$A42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42" s="44" t="str">
        <f aca="false">IF(Raw_Fund_Import!$A42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42" s="44" t="str">
        <f aca="false">IF(Raw_Fund_Import!$A42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42" s="44" t="str">
        <f aca="false">IF(Raw_Fund_Import!$A42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42" s="44" t="str">
        <f aca="false">IF(Raw_Fund_Import!$A42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42" s="4" t="str">
        <f aca="false">IF(Raw_Fund_Import!$A42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42" s="4" t="str">
        <f aca="false">IF(Raw_Fund_Import!$A42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42" s="4" t="str">
        <f aca="false">IF(Raw_Fund_Import!$A42="","",IF(COUNTBLANK($A42:$X42)&gt;0,"CHECK","OK"))</f>
        <v/>
      </c>
    </row>
    <row r="43" customFormat="false" ht="15" hidden="false" customHeight="true" outlineLevel="0" collapsed="false">
      <c r="A43" s="4" t="str">
        <f aca="false">IF(Raw_Fund_Import!$A43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43" s="4" t="str">
        <f aca="false">IF(Raw_Fund_Import!$A43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43" s="4" t="str">
        <f aca="false">IF(Raw_Fund_Import!$A43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43" s="4" t="str">
        <f aca="false">IF(Raw_Fund_Import!$A43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43" s="4" t="str">
        <f aca="false">IF(Raw_Fund_Import!$A43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43" s="4" t="str">
        <f aca="false">IF(Raw_Fund_Import!$A43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43" s="4" t="str">
        <f aca="false">IF(Raw_Fund_Import!$A43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43" s="43" t="str">
        <f aca="false">IF(Raw_Fund_Import!$A43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43" s="4" t="str">
        <f aca="false">IF(Raw_Fund_Import!$A43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43" s="4" t="str">
        <f aca="false">IF(Raw_Fund_Import!$A43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43" s="4" t="str">
        <f aca="false">IF(Raw_Fund_Import!$A43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43" s="4" t="str">
        <f aca="false">IF(Raw_Fund_Import!$A43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43" s="4" t="str">
        <f aca="false">IF(Raw_Fund_Import!$A43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43" s="4" t="str">
        <f aca="false">IF(Raw_Fund_Import!$A43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43" s="4" t="str">
        <f aca="false">IF(Raw_Fund_Import!$A43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43" s="4" t="str">
        <f aca="false">IF(Raw_Fund_Import!$A43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43" s="44" t="str">
        <f aca="false">IF(Raw_Fund_Import!$A43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43" s="44" t="str">
        <f aca="false">IF(Raw_Fund_Import!$A43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43" s="44" t="str">
        <f aca="false">IF(Raw_Fund_Import!$A43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43" s="44" t="str">
        <f aca="false">IF(Raw_Fund_Import!$A43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43" s="44" t="str">
        <f aca="false">IF(Raw_Fund_Import!$A43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43" s="44" t="str">
        <f aca="false">IF(Raw_Fund_Import!$A43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43" s="4" t="str">
        <f aca="false">IF(Raw_Fund_Import!$A43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43" s="4" t="str">
        <f aca="false">IF(Raw_Fund_Import!$A43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43" s="4" t="str">
        <f aca="false">IF(Raw_Fund_Import!$A43="","",IF(COUNTBLANK($A43:$X43)&gt;0,"CHECK","OK"))</f>
        <v/>
      </c>
    </row>
    <row r="44" customFormat="false" ht="15" hidden="false" customHeight="true" outlineLevel="0" collapsed="false">
      <c r="A44" s="4" t="str">
        <f aca="false">IF(Raw_Fund_Import!$A44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44" s="4" t="str">
        <f aca="false">IF(Raw_Fund_Import!$A44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44" s="4" t="str">
        <f aca="false">IF(Raw_Fund_Import!$A44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44" s="4" t="str">
        <f aca="false">IF(Raw_Fund_Import!$A44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44" s="4" t="str">
        <f aca="false">IF(Raw_Fund_Import!$A44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44" s="4" t="str">
        <f aca="false">IF(Raw_Fund_Import!$A44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44" s="4" t="str">
        <f aca="false">IF(Raw_Fund_Import!$A44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44" s="43" t="str">
        <f aca="false">IF(Raw_Fund_Import!$A44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44" s="4" t="str">
        <f aca="false">IF(Raw_Fund_Import!$A44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44" s="4" t="str">
        <f aca="false">IF(Raw_Fund_Import!$A44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44" s="4" t="str">
        <f aca="false">IF(Raw_Fund_Import!$A44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44" s="4" t="str">
        <f aca="false">IF(Raw_Fund_Import!$A44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44" s="4" t="str">
        <f aca="false">IF(Raw_Fund_Import!$A44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44" s="4" t="str">
        <f aca="false">IF(Raw_Fund_Import!$A44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44" s="4" t="str">
        <f aca="false">IF(Raw_Fund_Import!$A44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44" s="4" t="str">
        <f aca="false">IF(Raw_Fund_Import!$A44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44" s="44" t="str">
        <f aca="false">IF(Raw_Fund_Import!$A44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44" s="44" t="str">
        <f aca="false">IF(Raw_Fund_Import!$A44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44" s="44" t="str">
        <f aca="false">IF(Raw_Fund_Import!$A44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44" s="44" t="str">
        <f aca="false">IF(Raw_Fund_Import!$A44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44" s="44" t="str">
        <f aca="false">IF(Raw_Fund_Import!$A44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44" s="44" t="str">
        <f aca="false">IF(Raw_Fund_Import!$A44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44" s="4" t="str">
        <f aca="false">IF(Raw_Fund_Import!$A44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44" s="4" t="str">
        <f aca="false">IF(Raw_Fund_Import!$A44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44" s="4" t="str">
        <f aca="false">IF(Raw_Fund_Import!$A44="","",IF(COUNTBLANK($A44:$X44)&gt;0,"CHECK","OK"))</f>
        <v/>
      </c>
    </row>
    <row r="45" customFormat="false" ht="15" hidden="false" customHeight="true" outlineLevel="0" collapsed="false">
      <c r="A45" s="4" t="str">
        <f aca="false">IF(Raw_Fund_Import!$A45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45" s="4" t="str">
        <f aca="false">IF(Raw_Fund_Import!$A45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45" s="4" t="str">
        <f aca="false">IF(Raw_Fund_Import!$A45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45" s="4" t="str">
        <f aca="false">IF(Raw_Fund_Import!$A45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45" s="4" t="str">
        <f aca="false">IF(Raw_Fund_Import!$A45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45" s="4" t="str">
        <f aca="false">IF(Raw_Fund_Import!$A45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45" s="4" t="str">
        <f aca="false">IF(Raw_Fund_Import!$A45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45" s="43" t="str">
        <f aca="false">IF(Raw_Fund_Import!$A45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45" s="4" t="str">
        <f aca="false">IF(Raw_Fund_Import!$A45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45" s="4" t="str">
        <f aca="false">IF(Raw_Fund_Import!$A45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45" s="4" t="str">
        <f aca="false">IF(Raw_Fund_Import!$A45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45" s="4" t="str">
        <f aca="false">IF(Raw_Fund_Import!$A45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45" s="4" t="str">
        <f aca="false">IF(Raw_Fund_Import!$A45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45" s="4" t="str">
        <f aca="false">IF(Raw_Fund_Import!$A45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45" s="4" t="str">
        <f aca="false">IF(Raw_Fund_Import!$A45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45" s="4" t="str">
        <f aca="false">IF(Raw_Fund_Import!$A45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45" s="44" t="str">
        <f aca="false">IF(Raw_Fund_Import!$A45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45" s="44" t="str">
        <f aca="false">IF(Raw_Fund_Import!$A45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45" s="44" t="str">
        <f aca="false">IF(Raw_Fund_Import!$A45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45" s="44" t="str">
        <f aca="false">IF(Raw_Fund_Import!$A45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45" s="44" t="str">
        <f aca="false">IF(Raw_Fund_Import!$A45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45" s="44" t="str">
        <f aca="false">IF(Raw_Fund_Import!$A45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45" s="4" t="str">
        <f aca="false">IF(Raw_Fund_Import!$A45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45" s="4" t="str">
        <f aca="false">IF(Raw_Fund_Import!$A45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45" s="4" t="str">
        <f aca="false">IF(Raw_Fund_Import!$A45="","",IF(COUNTBLANK($A45:$X45)&gt;0,"CHECK","OK"))</f>
        <v/>
      </c>
    </row>
    <row r="46" customFormat="false" ht="15" hidden="false" customHeight="true" outlineLevel="0" collapsed="false">
      <c r="A46" s="4" t="str">
        <f aca="false">IF(Raw_Fund_Import!$A46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46" s="4" t="str">
        <f aca="false">IF(Raw_Fund_Import!$A46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46" s="4" t="str">
        <f aca="false">IF(Raw_Fund_Import!$A46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46" s="4" t="str">
        <f aca="false">IF(Raw_Fund_Import!$A46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46" s="4" t="str">
        <f aca="false">IF(Raw_Fund_Import!$A46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46" s="4" t="str">
        <f aca="false">IF(Raw_Fund_Import!$A46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46" s="4" t="str">
        <f aca="false">IF(Raw_Fund_Import!$A46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46" s="43" t="str">
        <f aca="false">IF(Raw_Fund_Import!$A46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46" s="4" t="str">
        <f aca="false">IF(Raw_Fund_Import!$A46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46" s="4" t="str">
        <f aca="false">IF(Raw_Fund_Import!$A46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46" s="4" t="str">
        <f aca="false">IF(Raw_Fund_Import!$A46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46" s="4" t="str">
        <f aca="false">IF(Raw_Fund_Import!$A46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46" s="4" t="str">
        <f aca="false">IF(Raw_Fund_Import!$A46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46" s="4" t="str">
        <f aca="false">IF(Raw_Fund_Import!$A46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46" s="4" t="str">
        <f aca="false">IF(Raw_Fund_Import!$A46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46" s="4" t="str">
        <f aca="false">IF(Raw_Fund_Import!$A46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46" s="44" t="str">
        <f aca="false">IF(Raw_Fund_Import!$A46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46" s="44" t="str">
        <f aca="false">IF(Raw_Fund_Import!$A46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46" s="44" t="str">
        <f aca="false">IF(Raw_Fund_Import!$A46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46" s="44" t="str">
        <f aca="false">IF(Raw_Fund_Import!$A46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46" s="44" t="str">
        <f aca="false">IF(Raw_Fund_Import!$A46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46" s="44" t="str">
        <f aca="false">IF(Raw_Fund_Import!$A46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46" s="4" t="str">
        <f aca="false">IF(Raw_Fund_Import!$A46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46" s="4" t="str">
        <f aca="false">IF(Raw_Fund_Import!$A46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46" s="4" t="str">
        <f aca="false">IF(Raw_Fund_Import!$A46="","",IF(COUNTBLANK($A46:$X46)&gt;0,"CHECK","OK"))</f>
        <v/>
      </c>
    </row>
    <row r="47" customFormat="false" ht="15" hidden="false" customHeight="true" outlineLevel="0" collapsed="false">
      <c r="A47" s="4" t="str">
        <f aca="false">IF(Raw_Fund_Import!$A47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47" s="4" t="str">
        <f aca="false">IF(Raw_Fund_Import!$A47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47" s="4" t="str">
        <f aca="false">IF(Raw_Fund_Import!$A47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47" s="4" t="str">
        <f aca="false">IF(Raw_Fund_Import!$A47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47" s="4" t="str">
        <f aca="false">IF(Raw_Fund_Import!$A47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47" s="4" t="str">
        <f aca="false">IF(Raw_Fund_Import!$A47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47" s="4" t="str">
        <f aca="false">IF(Raw_Fund_Import!$A47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47" s="43" t="str">
        <f aca="false">IF(Raw_Fund_Import!$A47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47" s="4" t="str">
        <f aca="false">IF(Raw_Fund_Import!$A47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47" s="4" t="str">
        <f aca="false">IF(Raw_Fund_Import!$A47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47" s="4" t="str">
        <f aca="false">IF(Raw_Fund_Import!$A47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47" s="4" t="str">
        <f aca="false">IF(Raw_Fund_Import!$A47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47" s="4" t="str">
        <f aca="false">IF(Raw_Fund_Import!$A47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47" s="4" t="str">
        <f aca="false">IF(Raw_Fund_Import!$A47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47" s="4" t="str">
        <f aca="false">IF(Raw_Fund_Import!$A47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47" s="4" t="str">
        <f aca="false">IF(Raw_Fund_Import!$A47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47" s="44" t="str">
        <f aca="false">IF(Raw_Fund_Import!$A47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47" s="44" t="str">
        <f aca="false">IF(Raw_Fund_Import!$A47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47" s="44" t="str">
        <f aca="false">IF(Raw_Fund_Import!$A47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47" s="44" t="str">
        <f aca="false">IF(Raw_Fund_Import!$A47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47" s="44" t="str">
        <f aca="false">IF(Raw_Fund_Import!$A47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47" s="44" t="str">
        <f aca="false">IF(Raw_Fund_Import!$A47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47" s="4" t="str">
        <f aca="false">IF(Raw_Fund_Import!$A47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47" s="4" t="str">
        <f aca="false">IF(Raw_Fund_Import!$A47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47" s="4" t="str">
        <f aca="false">IF(Raw_Fund_Import!$A47="","",IF(COUNTBLANK($A47:$X47)&gt;0,"CHECK","OK"))</f>
        <v/>
      </c>
    </row>
    <row r="48" customFormat="false" ht="15" hidden="false" customHeight="true" outlineLevel="0" collapsed="false">
      <c r="A48" s="4" t="str">
        <f aca="false">IF(Raw_Fund_Import!$A48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48" s="4" t="str">
        <f aca="false">IF(Raw_Fund_Import!$A48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48" s="4" t="str">
        <f aca="false">IF(Raw_Fund_Import!$A48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48" s="4" t="str">
        <f aca="false">IF(Raw_Fund_Import!$A48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48" s="4" t="str">
        <f aca="false">IF(Raw_Fund_Import!$A48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48" s="4" t="str">
        <f aca="false">IF(Raw_Fund_Import!$A48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48" s="4" t="str">
        <f aca="false">IF(Raw_Fund_Import!$A48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48" s="43" t="str">
        <f aca="false">IF(Raw_Fund_Import!$A48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48" s="4" t="str">
        <f aca="false">IF(Raw_Fund_Import!$A48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48" s="4" t="str">
        <f aca="false">IF(Raw_Fund_Import!$A48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48" s="4" t="str">
        <f aca="false">IF(Raw_Fund_Import!$A48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48" s="4" t="str">
        <f aca="false">IF(Raw_Fund_Import!$A48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48" s="4" t="str">
        <f aca="false">IF(Raw_Fund_Import!$A48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48" s="4" t="str">
        <f aca="false">IF(Raw_Fund_Import!$A48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48" s="4" t="str">
        <f aca="false">IF(Raw_Fund_Import!$A48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48" s="4" t="str">
        <f aca="false">IF(Raw_Fund_Import!$A48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48" s="44" t="str">
        <f aca="false">IF(Raw_Fund_Import!$A48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48" s="44" t="str">
        <f aca="false">IF(Raw_Fund_Import!$A48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48" s="44" t="str">
        <f aca="false">IF(Raw_Fund_Import!$A48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48" s="44" t="str">
        <f aca="false">IF(Raw_Fund_Import!$A48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48" s="44" t="str">
        <f aca="false">IF(Raw_Fund_Import!$A48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48" s="44" t="str">
        <f aca="false">IF(Raw_Fund_Import!$A48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48" s="4" t="str">
        <f aca="false">IF(Raw_Fund_Import!$A48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48" s="4" t="str">
        <f aca="false">IF(Raw_Fund_Import!$A48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48" s="4" t="str">
        <f aca="false">IF(Raw_Fund_Import!$A48="","",IF(COUNTBLANK($A48:$X48)&gt;0,"CHECK","OK"))</f>
        <v/>
      </c>
    </row>
    <row r="49" customFormat="false" ht="15" hidden="false" customHeight="true" outlineLevel="0" collapsed="false">
      <c r="A49" s="4" t="str">
        <f aca="false">IF(Raw_Fund_Import!$A49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49" s="4" t="str">
        <f aca="false">IF(Raw_Fund_Import!$A49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49" s="4" t="str">
        <f aca="false">IF(Raw_Fund_Import!$A49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49" s="4" t="str">
        <f aca="false">IF(Raw_Fund_Import!$A49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49" s="4" t="str">
        <f aca="false">IF(Raw_Fund_Import!$A49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49" s="4" t="str">
        <f aca="false">IF(Raw_Fund_Import!$A49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49" s="4" t="str">
        <f aca="false">IF(Raw_Fund_Import!$A49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49" s="43" t="str">
        <f aca="false">IF(Raw_Fund_Import!$A49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49" s="4" t="str">
        <f aca="false">IF(Raw_Fund_Import!$A49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49" s="4" t="str">
        <f aca="false">IF(Raw_Fund_Import!$A49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49" s="4" t="str">
        <f aca="false">IF(Raw_Fund_Import!$A49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49" s="4" t="str">
        <f aca="false">IF(Raw_Fund_Import!$A49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49" s="4" t="str">
        <f aca="false">IF(Raw_Fund_Import!$A49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49" s="4" t="str">
        <f aca="false">IF(Raw_Fund_Import!$A49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49" s="4" t="str">
        <f aca="false">IF(Raw_Fund_Import!$A49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49" s="4" t="str">
        <f aca="false">IF(Raw_Fund_Import!$A49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49" s="44" t="str">
        <f aca="false">IF(Raw_Fund_Import!$A49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49" s="44" t="str">
        <f aca="false">IF(Raw_Fund_Import!$A49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49" s="44" t="str">
        <f aca="false">IF(Raw_Fund_Import!$A49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49" s="44" t="str">
        <f aca="false">IF(Raw_Fund_Import!$A49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49" s="44" t="str">
        <f aca="false">IF(Raw_Fund_Import!$A49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49" s="44" t="str">
        <f aca="false">IF(Raw_Fund_Import!$A49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49" s="4" t="str">
        <f aca="false">IF(Raw_Fund_Import!$A49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49" s="4" t="str">
        <f aca="false">IF(Raw_Fund_Import!$A49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49" s="4" t="str">
        <f aca="false">IF(Raw_Fund_Import!$A49="","",IF(COUNTBLANK($A49:$X49)&gt;0,"CHECK","OK"))</f>
        <v/>
      </c>
    </row>
    <row r="50" customFormat="false" ht="15" hidden="false" customHeight="true" outlineLevel="0" collapsed="false">
      <c r="A50" s="4" t="str">
        <f aca="false">IF(Raw_Fund_Import!$A50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50" s="4" t="str">
        <f aca="false">IF(Raw_Fund_Import!$A50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50" s="4" t="str">
        <f aca="false">IF(Raw_Fund_Import!$A50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50" s="4" t="str">
        <f aca="false">IF(Raw_Fund_Import!$A50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50" s="4" t="str">
        <f aca="false">IF(Raw_Fund_Import!$A50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50" s="4" t="str">
        <f aca="false">IF(Raw_Fund_Import!$A50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50" s="4" t="str">
        <f aca="false">IF(Raw_Fund_Import!$A50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50" s="43" t="str">
        <f aca="false">IF(Raw_Fund_Import!$A50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50" s="4" t="str">
        <f aca="false">IF(Raw_Fund_Import!$A50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50" s="4" t="str">
        <f aca="false">IF(Raw_Fund_Import!$A50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50" s="4" t="str">
        <f aca="false">IF(Raw_Fund_Import!$A50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50" s="4" t="str">
        <f aca="false">IF(Raw_Fund_Import!$A50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50" s="4" t="str">
        <f aca="false">IF(Raw_Fund_Import!$A50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50" s="4" t="str">
        <f aca="false">IF(Raw_Fund_Import!$A50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50" s="4" t="str">
        <f aca="false">IF(Raw_Fund_Import!$A50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50" s="4" t="str">
        <f aca="false">IF(Raw_Fund_Import!$A50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50" s="44" t="str">
        <f aca="false">IF(Raw_Fund_Import!$A50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50" s="44" t="str">
        <f aca="false">IF(Raw_Fund_Import!$A50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50" s="44" t="str">
        <f aca="false">IF(Raw_Fund_Import!$A50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50" s="44" t="str">
        <f aca="false">IF(Raw_Fund_Import!$A50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50" s="44" t="str">
        <f aca="false">IF(Raw_Fund_Import!$A50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50" s="44" t="str">
        <f aca="false">IF(Raw_Fund_Import!$A50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50" s="4" t="str">
        <f aca="false">IF(Raw_Fund_Import!$A50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50" s="4" t="str">
        <f aca="false">IF(Raw_Fund_Import!$A50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50" s="4" t="str">
        <f aca="false">IF(Raw_Fund_Import!$A50="","",IF(COUNTBLANK($A50:$X50)&gt;0,"CHECK","OK"))</f>
        <v/>
      </c>
    </row>
    <row r="51" customFormat="false" ht="15" hidden="false" customHeight="true" outlineLevel="0" collapsed="false">
      <c r="A51" s="4" t="str">
        <f aca="false">IF(Raw_Fund_Import!$A51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51" s="4" t="str">
        <f aca="false">IF(Raw_Fund_Import!$A51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51" s="4" t="str">
        <f aca="false">IF(Raw_Fund_Import!$A51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51" s="4" t="str">
        <f aca="false">IF(Raw_Fund_Import!$A51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51" s="4" t="str">
        <f aca="false">IF(Raw_Fund_Import!$A51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51" s="4" t="str">
        <f aca="false">IF(Raw_Fund_Import!$A51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51" s="4" t="str">
        <f aca="false">IF(Raw_Fund_Import!$A51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51" s="43" t="str">
        <f aca="false">IF(Raw_Fund_Import!$A51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51" s="4" t="str">
        <f aca="false">IF(Raw_Fund_Import!$A51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51" s="4" t="str">
        <f aca="false">IF(Raw_Fund_Import!$A51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51" s="4" t="str">
        <f aca="false">IF(Raw_Fund_Import!$A51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51" s="4" t="str">
        <f aca="false">IF(Raw_Fund_Import!$A51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51" s="4" t="str">
        <f aca="false">IF(Raw_Fund_Import!$A51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51" s="4" t="str">
        <f aca="false">IF(Raw_Fund_Import!$A51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51" s="4" t="str">
        <f aca="false">IF(Raw_Fund_Import!$A51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51" s="4" t="str">
        <f aca="false">IF(Raw_Fund_Import!$A51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51" s="44" t="str">
        <f aca="false">IF(Raw_Fund_Import!$A51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51" s="44" t="str">
        <f aca="false">IF(Raw_Fund_Import!$A51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51" s="44" t="str">
        <f aca="false">IF(Raw_Fund_Import!$A51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51" s="44" t="str">
        <f aca="false">IF(Raw_Fund_Import!$A51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51" s="44" t="str">
        <f aca="false">IF(Raw_Fund_Import!$A51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51" s="44" t="str">
        <f aca="false">IF(Raw_Fund_Import!$A51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51" s="4" t="str">
        <f aca="false">IF(Raw_Fund_Import!$A51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51" s="4" t="str">
        <f aca="false">IF(Raw_Fund_Import!$A51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51" s="4" t="str">
        <f aca="false">IF(Raw_Fund_Import!$A51="","",IF(COUNTBLANK($A51:$X51)&gt;0,"CHECK","OK"))</f>
        <v/>
      </c>
    </row>
    <row r="52" customFormat="false" ht="15" hidden="false" customHeight="true" outlineLevel="0" collapsed="false">
      <c r="A52" s="4" t="str">
        <f aca="false">IF(Raw_Fund_Import!$A52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52" s="4" t="str">
        <f aca="false">IF(Raw_Fund_Import!$A52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52" s="4" t="str">
        <f aca="false">IF(Raw_Fund_Import!$A52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52" s="4" t="str">
        <f aca="false">IF(Raw_Fund_Import!$A52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52" s="4" t="str">
        <f aca="false">IF(Raw_Fund_Import!$A52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52" s="4" t="str">
        <f aca="false">IF(Raw_Fund_Import!$A52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52" s="4" t="str">
        <f aca="false">IF(Raw_Fund_Import!$A52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52" s="43" t="str">
        <f aca="false">IF(Raw_Fund_Import!$A52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52" s="4" t="str">
        <f aca="false">IF(Raw_Fund_Import!$A52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52" s="4" t="str">
        <f aca="false">IF(Raw_Fund_Import!$A52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52" s="4" t="str">
        <f aca="false">IF(Raw_Fund_Import!$A52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52" s="4" t="str">
        <f aca="false">IF(Raw_Fund_Import!$A52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52" s="4" t="str">
        <f aca="false">IF(Raw_Fund_Import!$A52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52" s="4" t="str">
        <f aca="false">IF(Raw_Fund_Import!$A52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52" s="4" t="str">
        <f aca="false">IF(Raw_Fund_Import!$A52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52" s="4" t="str">
        <f aca="false">IF(Raw_Fund_Import!$A52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52" s="44" t="str">
        <f aca="false">IF(Raw_Fund_Import!$A52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52" s="44" t="str">
        <f aca="false">IF(Raw_Fund_Import!$A52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52" s="44" t="str">
        <f aca="false">IF(Raw_Fund_Import!$A52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52" s="44" t="str">
        <f aca="false">IF(Raw_Fund_Import!$A52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52" s="44" t="str">
        <f aca="false">IF(Raw_Fund_Import!$A52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52" s="44" t="str">
        <f aca="false">IF(Raw_Fund_Import!$A52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52" s="4" t="str">
        <f aca="false">IF(Raw_Fund_Import!$A52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52" s="4" t="str">
        <f aca="false">IF(Raw_Fund_Import!$A52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52" s="4" t="str">
        <f aca="false">IF(Raw_Fund_Import!$A52="","",IF(COUNTBLANK($A52:$X52)&gt;0,"CHECK","OK"))</f>
        <v/>
      </c>
    </row>
    <row r="53" customFormat="false" ht="15" hidden="false" customHeight="true" outlineLevel="0" collapsed="false">
      <c r="A53" s="4" t="str">
        <f aca="false">IF(Raw_Fund_Import!$A53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53" s="4" t="str">
        <f aca="false">IF(Raw_Fund_Import!$A53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53" s="4" t="str">
        <f aca="false">IF(Raw_Fund_Import!$A53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53" s="4" t="str">
        <f aca="false">IF(Raw_Fund_Import!$A53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53" s="4" t="str">
        <f aca="false">IF(Raw_Fund_Import!$A53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53" s="4" t="str">
        <f aca="false">IF(Raw_Fund_Import!$A53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53" s="4" t="str">
        <f aca="false">IF(Raw_Fund_Import!$A53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53" s="43" t="str">
        <f aca="false">IF(Raw_Fund_Import!$A53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53" s="4" t="str">
        <f aca="false">IF(Raw_Fund_Import!$A53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53" s="4" t="str">
        <f aca="false">IF(Raw_Fund_Import!$A53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53" s="4" t="str">
        <f aca="false">IF(Raw_Fund_Import!$A53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53" s="4" t="str">
        <f aca="false">IF(Raw_Fund_Import!$A53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53" s="4" t="str">
        <f aca="false">IF(Raw_Fund_Import!$A53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53" s="4" t="str">
        <f aca="false">IF(Raw_Fund_Import!$A53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53" s="4" t="str">
        <f aca="false">IF(Raw_Fund_Import!$A53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53" s="4" t="str">
        <f aca="false">IF(Raw_Fund_Import!$A53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53" s="44" t="str">
        <f aca="false">IF(Raw_Fund_Import!$A53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53" s="44" t="str">
        <f aca="false">IF(Raw_Fund_Import!$A53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53" s="44" t="str">
        <f aca="false">IF(Raw_Fund_Import!$A53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53" s="44" t="str">
        <f aca="false">IF(Raw_Fund_Import!$A53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53" s="44" t="str">
        <f aca="false">IF(Raw_Fund_Import!$A53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53" s="44" t="str">
        <f aca="false">IF(Raw_Fund_Import!$A53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53" s="4" t="str">
        <f aca="false">IF(Raw_Fund_Import!$A53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53" s="4" t="str">
        <f aca="false">IF(Raw_Fund_Import!$A53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53" s="4" t="str">
        <f aca="false">IF(Raw_Fund_Import!$A53="","",IF(COUNTBLANK($A53:$X53)&gt;0,"CHECK","OK"))</f>
        <v/>
      </c>
    </row>
    <row r="54" customFormat="false" ht="15" hidden="false" customHeight="true" outlineLevel="0" collapsed="false">
      <c r="A54" s="4" t="str">
        <f aca="false">IF(Raw_Fund_Import!$A54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54" s="4" t="str">
        <f aca="false">IF(Raw_Fund_Import!$A54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54" s="4" t="str">
        <f aca="false">IF(Raw_Fund_Import!$A54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54" s="4" t="str">
        <f aca="false">IF(Raw_Fund_Import!$A54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54" s="4" t="str">
        <f aca="false">IF(Raw_Fund_Import!$A54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54" s="4" t="str">
        <f aca="false">IF(Raw_Fund_Import!$A54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54" s="4" t="str">
        <f aca="false">IF(Raw_Fund_Import!$A54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54" s="43" t="str">
        <f aca="false">IF(Raw_Fund_Import!$A54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54" s="4" t="str">
        <f aca="false">IF(Raw_Fund_Import!$A54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54" s="4" t="str">
        <f aca="false">IF(Raw_Fund_Import!$A54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54" s="4" t="str">
        <f aca="false">IF(Raw_Fund_Import!$A54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54" s="4" t="str">
        <f aca="false">IF(Raw_Fund_Import!$A54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54" s="4" t="str">
        <f aca="false">IF(Raw_Fund_Import!$A54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54" s="4" t="str">
        <f aca="false">IF(Raw_Fund_Import!$A54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54" s="4" t="str">
        <f aca="false">IF(Raw_Fund_Import!$A54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54" s="4" t="str">
        <f aca="false">IF(Raw_Fund_Import!$A54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54" s="44" t="str">
        <f aca="false">IF(Raw_Fund_Import!$A54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54" s="44" t="str">
        <f aca="false">IF(Raw_Fund_Import!$A54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54" s="44" t="str">
        <f aca="false">IF(Raw_Fund_Import!$A54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54" s="44" t="str">
        <f aca="false">IF(Raw_Fund_Import!$A54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54" s="44" t="str">
        <f aca="false">IF(Raw_Fund_Import!$A54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54" s="44" t="str">
        <f aca="false">IF(Raw_Fund_Import!$A54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54" s="4" t="str">
        <f aca="false">IF(Raw_Fund_Import!$A54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54" s="4" t="str">
        <f aca="false">IF(Raw_Fund_Import!$A54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54" s="4" t="str">
        <f aca="false">IF(Raw_Fund_Import!$A54="","",IF(COUNTBLANK($A54:$X54)&gt;0,"CHECK","OK"))</f>
        <v/>
      </c>
    </row>
    <row r="55" customFormat="false" ht="15" hidden="false" customHeight="true" outlineLevel="0" collapsed="false">
      <c r="A55" s="4" t="str">
        <f aca="false">IF(Raw_Fund_Import!$A55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55" s="4" t="str">
        <f aca="false">IF(Raw_Fund_Import!$A55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55" s="4" t="str">
        <f aca="false">IF(Raw_Fund_Import!$A55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55" s="4" t="str">
        <f aca="false">IF(Raw_Fund_Import!$A55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55" s="4" t="str">
        <f aca="false">IF(Raw_Fund_Import!$A55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55" s="4" t="str">
        <f aca="false">IF(Raw_Fund_Import!$A55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55" s="4" t="str">
        <f aca="false">IF(Raw_Fund_Import!$A55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55" s="43" t="str">
        <f aca="false">IF(Raw_Fund_Import!$A55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55" s="4" t="str">
        <f aca="false">IF(Raw_Fund_Import!$A55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55" s="4" t="str">
        <f aca="false">IF(Raw_Fund_Import!$A55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55" s="4" t="str">
        <f aca="false">IF(Raw_Fund_Import!$A55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55" s="4" t="str">
        <f aca="false">IF(Raw_Fund_Import!$A55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55" s="4" t="str">
        <f aca="false">IF(Raw_Fund_Import!$A55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55" s="4" t="str">
        <f aca="false">IF(Raw_Fund_Import!$A55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55" s="4" t="str">
        <f aca="false">IF(Raw_Fund_Import!$A55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55" s="4" t="str">
        <f aca="false">IF(Raw_Fund_Import!$A55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55" s="44" t="str">
        <f aca="false">IF(Raw_Fund_Import!$A55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55" s="44" t="str">
        <f aca="false">IF(Raw_Fund_Import!$A55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55" s="44" t="str">
        <f aca="false">IF(Raw_Fund_Import!$A55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55" s="44" t="str">
        <f aca="false">IF(Raw_Fund_Import!$A55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55" s="44" t="str">
        <f aca="false">IF(Raw_Fund_Import!$A55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55" s="44" t="str">
        <f aca="false">IF(Raw_Fund_Import!$A55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55" s="4" t="str">
        <f aca="false">IF(Raw_Fund_Import!$A55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55" s="4" t="str">
        <f aca="false">IF(Raw_Fund_Import!$A55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55" s="4" t="str">
        <f aca="false">IF(Raw_Fund_Import!$A55="","",IF(COUNTBLANK($A55:$X55)&gt;0,"CHECK","OK"))</f>
        <v/>
      </c>
    </row>
    <row r="56" customFormat="false" ht="15" hidden="false" customHeight="true" outlineLevel="0" collapsed="false">
      <c r="A56" s="4" t="str">
        <f aca="false">IF(Raw_Fund_Import!$A56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56" s="4" t="str">
        <f aca="false">IF(Raw_Fund_Import!$A56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56" s="4" t="str">
        <f aca="false">IF(Raw_Fund_Import!$A56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56" s="4" t="str">
        <f aca="false">IF(Raw_Fund_Import!$A56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56" s="4" t="str">
        <f aca="false">IF(Raw_Fund_Import!$A56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56" s="4" t="str">
        <f aca="false">IF(Raw_Fund_Import!$A56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56" s="4" t="str">
        <f aca="false">IF(Raw_Fund_Import!$A56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56" s="43" t="str">
        <f aca="false">IF(Raw_Fund_Import!$A56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56" s="4" t="str">
        <f aca="false">IF(Raw_Fund_Import!$A56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56" s="4" t="str">
        <f aca="false">IF(Raw_Fund_Import!$A56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56" s="4" t="str">
        <f aca="false">IF(Raw_Fund_Import!$A56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56" s="4" t="str">
        <f aca="false">IF(Raw_Fund_Import!$A56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56" s="4" t="str">
        <f aca="false">IF(Raw_Fund_Import!$A56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56" s="4" t="str">
        <f aca="false">IF(Raw_Fund_Import!$A56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56" s="4" t="str">
        <f aca="false">IF(Raw_Fund_Import!$A56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56" s="4" t="str">
        <f aca="false">IF(Raw_Fund_Import!$A56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56" s="44" t="str">
        <f aca="false">IF(Raw_Fund_Import!$A56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56" s="44" t="str">
        <f aca="false">IF(Raw_Fund_Import!$A56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56" s="44" t="str">
        <f aca="false">IF(Raw_Fund_Import!$A56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56" s="44" t="str">
        <f aca="false">IF(Raw_Fund_Import!$A56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56" s="44" t="str">
        <f aca="false">IF(Raw_Fund_Import!$A56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56" s="44" t="str">
        <f aca="false">IF(Raw_Fund_Import!$A56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56" s="4" t="str">
        <f aca="false">IF(Raw_Fund_Import!$A56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56" s="4" t="str">
        <f aca="false">IF(Raw_Fund_Import!$A56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56" s="4" t="str">
        <f aca="false">IF(Raw_Fund_Import!$A56="","",IF(COUNTBLANK($A56:$X56)&gt;0,"CHECK","OK"))</f>
        <v/>
      </c>
    </row>
    <row r="57" customFormat="false" ht="15" hidden="false" customHeight="true" outlineLevel="0" collapsed="false">
      <c r="A57" s="4" t="str">
        <f aca="false">IF(Raw_Fund_Import!$A57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57" s="4" t="str">
        <f aca="false">IF(Raw_Fund_Import!$A57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57" s="4" t="str">
        <f aca="false">IF(Raw_Fund_Import!$A57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57" s="4" t="str">
        <f aca="false">IF(Raw_Fund_Import!$A57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57" s="4" t="str">
        <f aca="false">IF(Raw_Fund_Import!$A57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57" s="4" t="str">
        <f aca="false">IF(Raw_Fund_Import!$A57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57" s="4" t="str">
        <f aca="false">IF(Raw_Fund_Import!$A57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57" s="43" t="str">
        <f aca="false">IF(Raw_Fund_Import!$A57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57" s="4" t="str">
        <f aca="false">IF(Raw_Fund_Import!$A57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57" s="4" t="str">
        <f aca="false">IF(Raw_Fund_Import!$A57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57" s="4" t="str">
        <f aca="false">IF(Raw_Fund_Import!$A57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57" s="4" t="str">
        <f aca="false">IF(Raw_Fund_Import!$A57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57" s="4" t="str">
        <f aca="false">IF(Raw_Fund_Import!$A57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57" s="4" t="str">
        <f aca="false">IF(Raw_Fund_Import!$A57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57" s="4" t="str">
        <f aca="false">IF(Raw_Fund_Import!$A57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57" s="4" t="str">
        <f aca="false">IF(Raw_Fund_Import!$A57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57" s="44" t="str">
        <f aca="false">IF(Raw_Fund_Import!$A57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57" s="44" t="str">
        <f aca="false">IF(Raw_Fund_Import!$A57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57" s="44" t="str">
        <f aca="false">IF(Raw_Fund_Import!$A57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57" s="44" t="str">
        <f aca="false">IF(Raw_Fund_Import!$A57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57" s="44" t="str">
        <f aca="false">IF(Raw_Fund_Import!$A57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57" s="44" t="str">
        <f aca="false">IF(Raw_Fund_Import!$A57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57" s="4" t="str">
        <f aca="false">IF(Raw_Fund_Import!$A57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57" s="4" t="str">
        <f aca="false">IF(Raw_Fund_Import!$A57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57" s="4" t="str">
        <f aca="false">IF(Raw_Fund_Import!$A57="","",IF(COUNTBLANK($A57:$X57)&gt;0,"CHECK","OK"))</f>
        <v/>
      </c>
    </row>
    <row r="58" customFormat="false" ht="15" hidden="false" customHeight="true" outlineLevel="0" collapsed="false">
      <c r="A58" s="4" t="str">
        <f aca="false">IF(Raw_Fund_Import!$A58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58" s="4" t="str">
        <f aca="false">IF(Raw_Fund_Import!$A58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58" s="4" t="str">
        <f aca="false">IF(Raw_Fund_Import!$A58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58" s="4" t="str">
        <f aca="false">IF(Raw_Fund_Import!$A58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58" s="4" t="str">
        <f aca="false">IF(Raw_Fund_Import!$A58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58" s="4" t="str">
        <f aca="false">IF(Raw_Fund_Import!$A58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58" s="4" t="str">
        <f aca="false">IF(Raw_Fund_Import!$A58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58" s="43" t="str">
        <f aca="false">IF(Raw_Fund_Import!$A58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58" s="4" t="str">
        <f aca="false">IF(Raw_Fund_Import!$A58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58" s="4" t="str">
        <f aca="false">IF(Raw_Fund_Import!$A58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58" s="4" t="str">
        <f aca="false">IF(Raw_Fund_Import!$A58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58" s="4" t="str">
        <f aca="false">IF(Raw_Fund_Import!$A58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58" s="4" t="str">
        <f aca="false">IF(Raw_Fund_Import!$A58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58" s="4" t="str">
        <f aca="false">IF(Raw_Fund_Import!$A58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58" s="4" t="str">
        <f aca="false">IF(Raw_Fund_Import!$A58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58" s="4" t="str">
        <f aca="false">IF(Raw_Fund_Import!$A58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58" s="44" t="str">
        <f aca="false">IF(Raw_Fund_Import!$A58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58" s="44" t="str">
        <f aca="false">IF(Raw_Fund_Import!$A58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58" s="44" t="str">
        <f aca="false">IF(Raw_Fund_Import!$A58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58" s="44" t="str">
        <f aca="false">IF(Raw_Fund_Import!$A58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58" s="44" t="str">
        <f aca="false">IF(Raw_Fund_Import!$A58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58" s="44" t="str">
        <f aca="false">IF(Raw_Fund_Import!$A58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58" s="4" t="str">
        <f aca="false">IF(Raw_Fund_Import!$A58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58" s="4" t="str">
        <f aca="false">IF(Raw_Fund_Import!$A58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58" s="4" t="str">
        <f aca="false">IF(Raw_Fund_Import!$A58="","",IF(COUNTBLANK($A58:$X58)&gt;0,"CHECK","OK"))</f>
        <v/>
      </c>
    </row>
    <row r="59" customFormat="false" ht="15" hidden="false" customHeight="true" outlineLevel="0" collapsed="false">
      <c r="A59" s="4" t="str">
        <f aca="false">IF(Raw_Fund_Import!$A59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59" s="4" t="str">
        <f aca="false">IF(Raw_Fund_Import!$A59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59" s="4" t="str">
        <f aca="false">IF(Raw_Fund_Import!$A59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59" s="4" t="str">
        <f aca="false">IF(Raw_Fund_Import!$A59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59" s="4" t="str">
        <f aca="false">IF(Raw_Fund_Import!$A59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59" s="4" t="str">
        <f aca="false">IF(Raw_Fund_Import!$A59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59" s="4" t="str">
        <f aca="false">IF(Raw_Fund_Import!$A59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59" s="43" t="str">
        <f aca="false">IF(Raw_Fund_Import!$A59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59" s="4" t="str">
        <f aca="false">IF(Raw_Fund_Import!$A59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59" s="4" t="str">
        <f aca="false">IF(Raw_Fund_Import!$A59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59" s="4" t="str">
        <f aca="false">IF(Raw_Fund_Import!$A59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59" s="4" t="str">
        <f aca="false">IF(Raw_Fund_Import!$A59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59" s="4" t="str">
        <f aca="false">IF(Raw_Fund_Import!$A59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59" s="4" t="str">
        <f aca="false">IF(Raw_Fund_Import!$A59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59" s="4" t="str">
        <f aca="false">IF(Raw_Fund_Import!$A59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59" s="4" t="str">
        <f aca="false">IF(Raw_Fund_Import!$A59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59" s="44" t="str">
        <f aca="false">IF(Raw_Fund_Import!$A59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59" s="44" t="str">
        <f aca="false">IF(Raw_Fund_Import!$A59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59" s="44" t="str">
        <f aca="false">IF(Raw_Fund_Import!$A59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59" s="44" t="str">
        <f aca="false">IF(Raw_Fund_Import!$A59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59" s="44" t="str">
        <f aca="false">IF(Raw_Fund_Import!$A59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59" s="44" t="str">
        <f aca="false">IF(Raw_Fund_Import!$A59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59" s="4" t="str">
        <f aca="false">IF(Raw_Fund_Import!$A59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59" s="4" t="str">
        <f aca="false">IF(Raw_Fund_Import!$A59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59" s="4" t="str">
        <f aca="false">IF(Raw_Fund_Import!$A59="","",IF(COUNTBLANK($A59:$X59)&gt;0,"CHECK","OK"))</f>
        <v/>
      </c>
    </row>
    <row r="60" customFormat="false" ht="15" hidden="false" customHeight="true" outlineLevel="0" collapsed="false">
      <c r="A60" s="4" t="str">
        <f aca="false">IF(Raw_Fund_Import!$A60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60" s="4" t="str">
        <f aca="false">IF(Raw_Fund_Import!$A60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60" s="4" t="str">
        <f aca="false">IF(Raw_Fund_Import!$A60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60" s="4" t="str">
        <f aca="false">IF(Raw_Fund_Import!$A60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60" s="4" t="str">
        <f aca="false">IF(Raw_Fund_Import!$A60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60" s="4" t="str">
        <f aca="false">IF(Raw_Fund_Import!$A60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60" s="4" t="str">
        <f aca="false">IF(Raw_Fund_Import!$A60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60" s="43" t="str">
        <f aca="false">IF(Raw_Fund_Import!$A60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60" s="4" t="str">
        <f aca="false">IF(Raw_Fund_Import!$A60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60" s="4" t="str">
        <f aca="false">IF(Raw_Fund_Import!$A60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60" s="4" t="str">
        <f aca="false">IF(Raw_Fund_Import!$A60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60" s="4" t="str">
        <f aca="false">IF(Raw_Fund_Import!$A60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60" s="4" t="str">
        <f aca="false">IF(Raw_Fund_Import!$A60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60" s="4" t="str">
        <f aca="false">IF(Raw_Fund_Import!$A60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60" s="4" t="str">
        <f aca="false">IF(Raw_Fund_Import!$A60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60" s="4" t="str">
        <f aca="false">IF(Raw_Fund_Import!$A60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60" s="44" t="str">
        <f aca="false">IF(Raw_Fund_Import!$A60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60" s="44" t="str">
        <f aca="false">IF(Raw_Fund_Import!$A60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60" s="44" t="str">
        <f aca="false">IF(Raw_Fund_Import!$A60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60" s="44" t="str">
        <f aca="false">IF(Raw_Fund_Import!$A60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60" s="44" t="str">
        <f aca="false">IF(Raw_Fund_Import!$A60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60" s="44" t="str">
        <f aca="false">IF(Raw_Fund_Import!$A60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60" s="4" t="str">
        <f aca="false">IF(Raw_Fund_Import!$A60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60" s="4" t="str">
        <f aca="false">IF(Raw_Fund_Import!$A60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60" s="4" t="str">
        <f aca="false">IF(Raw_Fund_Import!$A60="","",IF(COUNTBLANK($A60:$X60)&gt;0,"CHECK","OK"))</f>
        <v/>
      </c>
    </row>
    <row r="61" customFormat="false" ht="15" hidden="false" customHeight="true" outlineLevel="0" collapsed="false">
      <c r="A61" s="4" t="str">
        <f aca="false">IF(Raw_Fund_Import!$A61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61" s="4" t="str">
        <f aca="false">IF(Raw_Fund_Import!$A61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61" s="4" t="str">
        <f aca="false">IF(Raw_Fund_Import!$A61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61" s="4" t="str">
        <f aca="false">IF(Raw_Fund_Import!$A61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61" s="4" t="str">
        <f aca="false">IF(Raw_Fund_Import!$A61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61" s="4" t="str">
        <f aca="false">IF(Raw_Fund_Import!$A61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61" s="4" t="str">
        <f aca="false">IF(Raw_Fund_Import!$A61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61" s="43" t="str">
        <f aca="false">IF(Raw_Fund_Import!$A61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61" s="4" t="str">
        <f aca="false">IF(Raw_Fund_Import!$A61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61" s="4" t="str">
        <f aca="false">IF(Raw_Fund_Import!$A61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61" s="4" t="str">
        <f aca="false">IF(Raw_Fund_Import!$A61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61" s="4" t="str">
        <f aca="false">IF(Raw_Fund_Import!$A61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61" s="4" t="str">
        <f aca="false">IF(Raw_Fund_Import!$A61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61" s="4" t="str">
        <f aca="false">IF(Raw_Fund_Import!$A61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61" s="4" t="str">
        <f aca="false">IF(Raw_Fund_Import!$A61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61" s="4" t="str">
        <f aca="false">IF(Raw_Fund_Import!$A61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61" s="44" t="str">
        <f aca="false">IF(Raw_Fund_Import!$A61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61" s="44" t="str">
        <f aca="false">IF(Raw_Fund_Import!$A61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61" s="44" t="str">
        <f aca="false">IF(Raw_Fund_Import!$A61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61" s="44" t="str">
        <f aca="false">IF(Raw_Fund_Import!$A61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61" s="44" t="str">
        <f aca="false">IF(Raw_Fund_Import!$A61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61" s="44" t="str">
        <f aca="false">IF(Raw_Fund_Import!$A61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61" s="4" t="str">
        <f aca="false">IF(Raw_Fund_Import!$A61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61" s="4" t="str">
        <f aca="false">IF(Raw_Fund_Import!$A61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61" s="4" t="str">
        <f aca="false">IF(Raw_Fund_Import!$A61="","",IF(COUNTBLANK($A61:$X61)&gt;0,"CHECK","OK"))</f>
        <v/>
      </c>
    </row>
    <row r="62" customFormat="false" ht="15" hidden="false" customHeight="true" outlineLevel="0" collapsed="false">
      <c r="A62" s="4" t="str">
        <f aca="false">IF(Raw_Fund_Import!$A62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62" s="4" t="str">
        <f aca="false">IF(Raw_Fund_Import!$A62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62" s="4" t="str">
        <f aca="false">IF(Raw_Fund_Import!$A62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62" s="4" t="str">
        <f aca="false">IF(Raw_Fund_Import!$A62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62" s="4" t="str">
        <f aca="false">IF(Raw_Fund_Import!$A62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62" s="4" t="str">
        <f aca="false">IF(Raw_Fund_Import!$A62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62" s="4" t="str">
        <f aca="false">IF(Raw_Fund_Import!$A62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62" s="43" t="str">
        <f aca="false">IF(Raw_Fund_Import!$A62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62" s="4" t="str">
        <f aca="false">IF(Raw_Fund_Import!$A62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62" s="4" t="str">
        <f aca="false">IF(Raw_Fund_Import!$A62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62" s="4" t="str">
        <f aca="false">IF(Raw_Fund_Import!$A62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62" s="4" t="str">
        <f aca="false">IF(Raw_Fund_Import!$A62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62" s="4" t="str">
        <f aca="false">IF(Raw_Fund_Import!$A62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62" s="4" t="str">
        <f aca="false">IF(Raw_Fund_Import!$A62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62" s="4" t="str">
        <f aca="false">IF(Raw_Fund_Import!$A62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62" s="4" t="str">
        <f aca="false">IF(Raw_Fund_Import!$A62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62" s="44" t="str">
        <f aca="false">IF(Raw_Fund_Import!$A62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62" s="44" t="str">
        <f aca="false">IF(Raw_Fund_Import!$A62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62" s="44" t="str">
        <f aca="false">IF(Raw_Fund_Import!$A62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62" s="44" t="str">
        <f aca="false">IF(Raw_Fund_Import!$A62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62" s="44" t="str">
        <f aca="false">IF(Raw_Fund_Import!$A62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62" s="44" t="str">
        <f aca="false">IF(Raw_Fund_Import!$A62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62" s="4" t="str">
        <f aca="false">IF(Raw_Fund_Import!$A62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62" s="4" t="str">
        <f aca="false">IF(Raw_Fund_Import!$A62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62" s="4" t="str">
        <f aca="false">IF(Raw_Fund_Import!$A62="","",IF(COUNTBLANK($A62:$X62)&gt;0,"CHECK","OK"))</f>
        <v/>
      </c>
    </row>
    <row r="63" customFormat="false" ht="15" hidden="false" customHeight="true" outlineLevel="0" collapsed="false">
      <c r="A63" s="4" t="str">
        <f aca="false">IF(Raw_Fund_Import!$A63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63" s="4" t="str">
        <f aca="false">IF(Raw_Fund_Import!$A63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63" s="4" t="str">
        <f aca="false">IF(Raw_Fund_Import!$A63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63" s="4" t="str">
        <f aca="false">IF(Raw_Fund_Import!$A63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63" s="4" t="str">
        <f aca="false">IF(Raw_Fund_Import!$A63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63" s="4" t="str">
        <f aca="false">IF(Raw_Fund_Import!$A63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63" s="4" t="str">
        <f aca="false">IF(Raw_Fund_Import!$A63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63" s="43" t="str">
        <f aca="false">IF(Raw_Fund_Import!$A63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63" s="4" t="str">
        <f aca="false">IF(Raw_Fund_Import!$A63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63" s="4" t="str">
        <f aca="false">IF(Raw_Fund_Import!$A63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63" s="4" t="str">
        <f aca="false">IF(Raw_Fund_Import!$A63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63" s="4" t="str">
        <f aca="false">IF(Raw_Fund_Import!$A63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63" s="4" t="str">
        <f aca="false">IF(Raw_Fund_Import!$A63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63" s="4" t="str">
        <f aca="false">IF(Raw_Fund_Import!$A63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63" s="4" t="str">
        <f aca="false">IF(Raw_Fund_Import!$A63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63" s="4" t="str">
        <f aca="false">IF(Raw_Fund_Import!$A63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63" s="44" t="str">
        <f aca="false">IF(Raw_Fund_Import!$A63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63" s="44" t="str">
        <f aca="false">IF(Raw_Fund_Import!$A63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63" s="44" t="str">
        <f aca="false">IF(Raw_Fund_Import!$A63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63" s="44" t="str">
        <f aca="false">IF(Raw_Fund_Import!$A63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63" s="44" t="str">
        <f aca="false">IF(Raw_Fund_Import!$A63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63" s="44" t="str">
        <f aca="false">IF(Raw_Fund_Import!$A63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63" s="4" t="str">
        <f aca="false">IF(Raw_Fund_Import!$A63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63" s="4" t="str">
        <f aca="false">IF(Raw_Fund_Import!$A63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63" s="4" t="str">
        <f aca="false">IF(Raw_Fund_Import!$A63="","",IF(COUNTBLANK($A63:$X63)&gt;0,"CHECK","OK"))</f>
        <v/>
      </c>
    </row>
    <row r="64" customFormat="false" ht="15" hidden="false" customHeight="true" outlineLevel="0" collapsed="false">
      <c r="A64" s="4" t="str">
        <f aca="false">IF(Raw_Fund_Import!$A64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64" s="4" t="str">
        <f aca="false">IF(Raw_Fund_Import!$A64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64" s="4" t="str">
        <f aca="false">IF(Raw_Fund_Import!$A64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64" s="4" t="str">
        <f aca="false">IF(Raw_Fund_Import!$A64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64" s="4" t="str">
        <f aca="false">IF(Raw_Fund_Import!$A64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64" s="4" t="str">
        <f aca="false">IF(Raw_Fund_Import!$A64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64" s="4" t="str">
        <f aca="false">IF(Raw_Fund_Import!$A64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64" s="43" t="str">
        <f aca="false">IF(Raw_Fund_Import!$A64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64" s="4" t="str">
        <f aca="false">IF(Raw_Fund_Import!$A64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64" s="4" t="str">
        <f aca="false">IF(Raw_Fund_Import!$A64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64" s="4" t="str">
        <f aca="false">IF(Raw_Fund_Import!$A64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64" s="4" t="str">
        <f aca="false">IF(Raw_Fund_Import!$A64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64" s="4" t="str">
        <f aca="false">IF(Raw_Fund_Import!$A64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64" s="4" t="str">
        <f aca="false">IF(Raw_Fund_Import!$A64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64" s="4" t="str">
        <f aca="false">IF(Raw_Fund_Import!$A64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64" s="4" t="str">
        <f aca="false">IF(Raw_Fund_Import!$A64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64" s="44" t="str">
        <f aca="false">IF(Raw_Fund_Import!$A64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64" s="44" t="str">
        <f aca="false">IF(Raw_Fund_Import!$A64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64" s="44" t="str">
        <f aca="false">IF(Raw_Fund_Import!$A64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64" s="44" t="str">
        <f aca="false">IF(Raw_Fund_Import!$A64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64" s="44" t="str">
        <f aca="false">IF(Raw_Fund_Import!$A64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64" s="44" t="str">
        <f aca="false">IF(Raw_Fund_Import!$A64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64" s="4" t="str">
        <f aca="false">IF(Raw_Fund_Import!$A64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64" s="4" t="str">
        <f aca="false">IF(Raw_Fund_Import!$A64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64" s="4" t="str">
        <f aca="false">IF(Raw_Fund_Import!$A64="","",IF(COUNTBLANK($A64:$X64)&gt;0,"CHECK","OK"))</f>
        <v/>
      </c>
    </row>
    <row r="65" customFormat="false" ht="15" hidden="false" customHeight="true" outlineLevel="0" collapsed="false">
      <c r="A65" s="4" t="str">
        <f aca="false">IF(Raw_Fund_Import!$A65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65" s="4" t="str">
        <f aca="false">IF(Raw_Fund_Import!$A65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65" s="4" t="str">
        <f aca="false">IF(Raw_Fund_Import!$A65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65" s="4" t="str">
        <f aca="false">IF(Raw_Fund_Import!$A65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65" s="4" t="str">
        <f aca="false">IF(Raw_Fund_Import!$A65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65" s="4" t="str">
        <f aca="false">IF(Raw_Fund_Import!$A65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65" s="4" t="str">
        <f aca="false">IF(Raw_Fund_Import!$A65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65" s="43" t="str">
        <f aca="false">IF(Raw_Fund_Import!$A65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65" s="4" t="str">
        <f aca="false">IF(Raw_Fund_Import!$A65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65" s="4" t="str">
        <f aca="false">IF(Raw_Fund_Import!$A65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65" s="4" t="str">
        <f aca="false">IF(Raw_Fund_Import!$A65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65" s="4" t="str">
        <f aca="false">IF(Raw_Fund_Import!$A65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65" s="4" t="str">
        <f aca="false">IF(Raw_Fund_Import!$A65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65" s="4" t="str">
        <f aca="false">IF(Raw_Fund_Import!$A65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65" s="4" t="str">
        <f aca="false">IF(Raw_Fund_Import!$A65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65" s="4" t="str">
        <f aca="false">IF(Raw_Fund_Import!$A65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65" s="44" t="str">
        <f aca="false">IF(Raw_Fund_Import!$A65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65" s="44" t="str">
        <f aca="false">IF(Raw_Fund_Import!$A65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65" s="44" t="str">
        <f aca="false">IF(Raw_Fund_Import!$A65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65" s="44" t="str">
        <f aca="false">IF(Raw_Fund_Import!$A65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65" s="44" t="str">
        <f aca="false">IF(Raw_Fund_Import!$A65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65" s="44" t="str">
        <f aca="false">IF(Raw_Fund_Import!$A65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65" s="4" t="str">
        <f aca="false">IF(Raw_Fund_Import!$A65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65" s="4" t="str">
        <f aca="false">IF(Raw_Fund_Import!$A65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65" s="4" t="str">
        <f aca="false">IF(Raw_Fund_Import!$A65="","",IF(COUNTBLANK($A65:$X65)&gt;0,"CHECK","OK"))</f>
        <v/>
      </c>
    </row>
    <row r="66" customFormat="false" ht="15" hidden="false" customHeight="true" outlineLevel="0" collapsed="false">
      <c r="A66" s="4" t="str">
        <f aca="false">IF(Raw_Fund_Import!$A66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66" s="4" t="str">
        <f aca="false">IF(Raw_Fund_Import!$A66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66" s="4" t="str">
        <f aca="false">IF(Raw_Fund_Import!$A66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66" s="4" t="str">
        <f aca="false">IF(Raw_Fund_Import!$A66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66" s="4" t="str">
        <f aca="false">IF(Raw_Fund_Import!$A66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66" s="4" t="str">
        <f aca="false">IF(Raw_Fund_Import!$A66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66" s="4" t="str">
        <f aca="false">IF(Raw_Fund_Import!$A66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66" s="43" t="str">
        <f aca="false">IF(Raw_Fund_Import!$A66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66" s="4" t="str">
        <f aca="false">IF(Raw_Fund_Import!$A66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66" s="4" t="str">
        <f aca="false">IF(Raw_Fund_Import!$A66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66" s="4" t="str">
        <f aca="false">IF(Raw_Fund_Import!$A66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66" s="4" t="str">
        <f aca="false">IF(Raw_Fund_Import!$A66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66" s="4" t="str">
        <f aca="false">IF(Raw_Fund_Import!$A66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66" s="4" t="str">
        <f aca="false">IF(Raw_Fund_Import!$A66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66" s="4" t="str">
        <f aca="false">IF(Raw_Fund_Import!$A66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66" s="4" t="str">
        <f aca="false">IF(Raw_Fund_Import!$A66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66" s="44" t="str">
        <f aca="false">IF(Raw_Fund_Import!$A66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66" s="44" t="str">
        <f aca="false">IF(Raw_Fund_Import!$A66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66" s="44" t="str">
        <f aca="false">IF(Raw_Fund_Import!$A66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66" s="44" t="str">
        <f aca="false">IF(Raw_Fund_Import!$A66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66" s="44" t="str">
        <f aca="false">IF(Raw_Fund_Import!$A66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66" s="44" t="str">
        <f aca="false">IF(Raw_Fund_Import!$A66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66" s="4" t="str">
        <f aca="false">IF(Raw_Fund_Import!$A66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66" s="4" t="str">
        <f aca="false">IF(Raw_Fund_Import!$A66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66" s="4" t="str">
        <f aca="false">IF(Raw_Fund_Import!$A66="","",IF(COUNTBLANK($A66:$X66)&gt;0,"CHECK","OK"))</f>
        <v/>
      </c>
    </row>
    <row r="67" customFormat="false" ht="15" hidden="false" customHeight="true" outlineLevel="0" collapsed="false">
      <c r="A67" s="4" t="str">
        <f aca="false">IF(Raw_Fund_Import!$A67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67" s="4" t="str">
        <f aca="false">IF(Raw_Fund_Import!$A67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67" s="4" t="str">
        <f aca="false">IF(Raw_Fund_Import!$A67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67" s="4" t="str">
        <f aca="false">IF(Raw_Fund_Import!$A67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67" s="4" t="str">
        <f aca="false">IF(Raw_Fund_Import!$A67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67" s="4" t="str">
        <f aca="false">IF(Raw_Fund_Import!$A67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67" s="4" t="str">
        <f aca="false">IF(Raw_Fund_Import!$A67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67" s="43" t="str">
        <f aca="false">IF(Raw_Fund_Import!$A67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67" s="4" t="str">
        <f aca="false">IF(Raw_Fund_Import!$A67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67" s="4" t="str">
        <f aca="false">IF(Raw_Fund_Import!$A67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67" s="4" t="str">
        <f aca="false">IF(Raw_Fund_Import!$A67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67" s="4" t="str">
        <f aca="false">IF(Raw_Fund_Import!$A67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67" s="4" t="str">
        <f aca="false">IF(Raw_Fund_Import!$A67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67" s="4" t="str">
        <f aca="false">IF(Raw_Fund_Import!$A67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67" s="4" t="str">
        <f aca="false">IF(Raw_Fund_Import!$A67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67" s="4" t="str">
        <f aca="false">IF(Raw_Fund_Import!$A67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67" s="44" t="str">
        <f aca="false">IF(Raw_Fund_Import!$A67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67" s="44" t="str">
        <f aca="false">IF(Raw_Fund_Import!$A67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67" s="44" t="str">
        <f aca="false">IF(Raw_Fund_Import!$A67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67" s="44" t="str">
        <f aca="false">IF(Raw_Fund_Import!$A67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67" s="44" t="str">
        <f aca="false">IF(Raw_Fund_Import!$A67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67" s="44" t="str">
        <f aca="false">IF(Raw_Fund_Import!$A67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67" s="4" t="str">
        <f aca="false">IF(Raw_Fund_Import!$A67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67" s="4" t="str">
        <f aca="false">IF(Raw_Fund_Import!$A67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67" s="4" t="str">
        <f aca="false">IF(Raw_Fund_Import!$A67="","",IF(COUNTBLANK($A67:$X67)&gt;0,"CHECK","OK"))</f>
        <v/>
      </c>
    </row>
    <row r="68" customFormat="false" ht="15" hidden="false" customHeight="true" outlineLevel="0" collapsed="false">
      <c r="A68" s="4" t="str">
        <f aca="false">IF(Raw_Fund_Import!$A68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68" s="4" t="str">
        <f aca="false">IF(Raw_Fund_Import!$A68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68" s="4" t="str">
        <f aca="false">IF(Raw_Fund_Import!$A68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68" s="4" t="str">
        <f aca="false">IF(Raw_Fund_Import!$A68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68" s="4" t="str">
        <f aca="false">IF(Raw_Fund_Import!$A68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68" s="4" t="str">
        <f aca="false">IF(Raw_Fund_Import!$A68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68" s="4" t="str">
        <f aca="false">IF(Raw_Fund_Import!$A68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68" s="43" t="str">
        <f aca="false">IF(Raw_Fund_Import!$A68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68" s="4" t="str">
        <f aca="false">IF(Raw_Fund_Import!$A68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68" s="4" t="str">
        <f aca="false">IF(Raw_Fund_Import!$A68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68" s="4" t="str">
        <f aca="false">IF(Raw_Fund_Import!$A68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68" s="4" t="str">
        <f aca="false">IF(Raw_Fund_Import!$A68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68" s="4" t="str">
        <f aca="false">IF(Raw_Fund_Import!$A68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68" s="4" t="str">
        <f aca="false">IF(Raw_Fund_Import!$A68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68" s="4" t="str">
        <f aca="false">IF(Raw_Fund_Import!$A68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68" s="4" t="str">
        <f aca="false">IF(Raw_Fund_Import!$A68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68" s="44" t="str">
        <f aca="false">IF(Raw_Fund_Import!$A68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68" s="44" t="str">
        <f aca="false">IF(Raw_Fund_Import!$A68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68" s="44" t="str">
        <f aca="false">IF(Raw_Fund_Import!$A68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68" s="44" t="str">
        <f aca="false">IF(Raw_Fund_Import!$A68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68" s="44" t="str">
        <f aca="false">IF(Raw_Fund_Import!$A68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68" s="44" t="str">
        <f aca="false">IF(Raw_Fund_Import!$A68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68" s="4" t="str">
        <f aca="false">IF(Raw_Fund_Import!$A68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68" s="4" t="str">
        <f aca="false">IF(Raw_Fund_Import!$A68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68" s="4" t="str">
        <f aca="false">IF(Raw_Fund_Import!$A68="","",IF(COUNTBLANK($A68:$X68)&gt;0,"CHECK","OK"))</f>
        <v/>
      </c>
    </row>
    <row r="69" customFormat="false" ht="15" hidden="false" customHeight="true" outlineLevel="0" collapsed="false">
      <c r="A69" s="4" t="str">
        <f aca="false">IF(Raw_Fund_Import!$A69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69" s="4" t="str">
        <f aca="false">IF(Raw_Fund_Import!$A69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69" s="4" t="str">
        <f aca="false">IF(Raw_Fund_Import!$A69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69" s="4" t="str">
        <f aca="false">IF(Raw_Fund_Import!$A69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69" s="4" t="str">
        <f aca="false">IF(Raw_Fund_Import!$A69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69" s="4" t="str">
        <f aca="false">IF(Raw_Fund_Import!$A69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69" s="4" t="str">
        <f aca="false">IF(Raw_Fund_Import!$A69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69" s="43" t="str">
        <f aca="false">IF(Raw_Fund_Import!$A69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69" s="4" t="str">
        <f aca="false">IF(Raw_Fund_Import!$A69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69" s="4" t="str">
        <f aca="false">IF(Raw_Fund_Import!$A69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69" s="4" t="str">
        <f aca="false">IF(Raw_Fund_Import!$A69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69" s="4" t="str">
        <f aca="false">IF(Raw_Fund_Import!$A69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69" s="4" t="str">
        <f aca="false">IF(Raw_Fund_Import!$A69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69" s="4" t="str">
        <f aca="false">IF(Raw_Fund_Import!$A69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69" s="4" t="str">
        <f aca="false">IF(Raw_Fund_Import!$A69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69" s="4" t="str">
        <f aca="false">IF(Raw_Fund_Import!$A69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69" s="44" t="str">
        <f aca="false">IF(Raw_Fund_Import!$A69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69" s="44" t="str">
        <f aca="false">IF(Raw_Fund_Import!$A69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69" s="44" t="str">
        <f aca="false">IF(Raw_Fund_Import!$A69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69" s="44" t="str">
        <f aca="false">IF(Raw_Fund_Import!$A69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69" s="44" t="str">
        <f aca="false">IF(Raw_Fund_Import!$A69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69" s="44" t="str">
        <f aca="false">IF(Raw_Fund_Import!$A69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69" s="4" t="str">
        <f aca="false">IF(Raw_Fund_Import!$A69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69" s="4" t="str">
        <f aca="false">IF(Raw_Fund_Import!$A69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69" s="4" t="str">
        <f aca="false">IF(Raw_Fund_Import!$A69="","",IF(COUNTBLANK($A69:$X69)&gt;0,"CHECK","OK"))</f>
        <v/>
      </c>
    </row>
    <row r="70" customFormat="false" ht="15" hidden="false" customHeight="true" outlineLevel="0" collapsed="false">
      <c r="A70" s="4" t="str">
        <f aca="false">IF(Raw_Fund_Import!$A70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70" s="4" t="str">
        <f aca="false">IF(Raw_Fund_Import!$A70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70" s="4" t="str">
        <f aca="false">IF(Raw_Fund_Import!$A70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70" s="4" t="str">
        <f aca="false">IF(Raw_Fund_Import!$A70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70" s="4" t="str">
        <f aca="false">IF(Raw_Fund_Import!$A70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70" s="4" t="str">
        <f aca="false">IF(Raw_Fund_Import!$A70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70" s="4" t="str">
        <f aca="false">IF(Raw_Fund_Import!$A70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70" s="43" t="str">
        <f aca="false">IF(Raw_Fund_Import!$A70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70" s="4" t="str">
        <f aca="false">IF(Raw_Fund_Import!$A70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70" s="4" t="str">
        <f aca="false">IF(Raw_Fund_Import!$A70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70" s="4" t="str">
        <f aca="false">IF(Raw_Fund_Import!$A70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70" s="4" t="str">
        <f aca="false">IF(Raw_Fund_Import!$A70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70" s="4" t="str">
        <f aca="false">IF(Raw_Fund_Import!$A70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70" s="4" t="str">
        <f aca="false">IF(Raw_Fund_Import!$A70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70" s="4" t="str">
        <f aca="false">IF(Raw_Fund_Import!$A70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70" s="4" t="str">
        <f aca="false">IF(Raw_Fund_Import!$A70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70" s="44" t="str">
        <f aca="false">IF(Raw_Fund_Import!$A70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70" s="44" t="str">
        <f aca="false">IF(Raw_Fund_Import!$A70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70" s="44" t="str">
        <f aca="false">IF(Raw_Fund_Import!$A70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70" s="44" t="str">
        <f aca="false">IF(Raw_Fund_Import!$A70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70" s="44" t="str">
        <f aca="false">IF(Raw_Fund_Import!$A70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70" s="44" t="str">
        <f aca="false">IF(Raw_Fund_Import!$A70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70" s="4" t="str">
        <f aca="false">IF(Raw_Fund_Import!$A70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70" s="4" t="str">
        <f aca="false">IF(Raw_Fund_Import!$A70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70" s="4" t="str">
        <f aca="false">IF(Raw_Fund_Import!$A70="","",IF(COUNTBLANK($A70:$X70)&gt;0,"CHECK","OK"))</f>
        <v/>
      </c>
    </row>
    <row r="71" customFormat="false" ht="15" hidden="false" customHeight="true" outlineLevel="0" collapsed="false">
      <c r="A71" s="4" t="str">
        <f aca="false">IF(Raw_Fund_Import!$A71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71" s="4" t="str">
        <f aca="false">IF(Raw_Fund_Import!$A71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71" s="4" t="str">
        <f aca="false">IF(Raw_Fund_Import!$A71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71" s="4" t="str">
        <f aca="false">IF(Raw_Fund_Import!$A71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71" s="4" t="str">
        <f aca="false">IF(Raw_Fund_Import!$A71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71" s="4" t="str">
        <f aca="false">IF(Raw_Fund_Import!$A71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71" s="4" t="str">
        <f aca="false">IF(Raw_Fund_Import!$A71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71" s="43" t="str">
        <f aca="false">IF(Raw_Fund_Import!$A71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71" s="4" t="str">
        <f aca="false">IF(Raw_Fund_Import!$A71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71" s="4" t="str">
        <f aca="false">IF(Raw_Fund_Import!$A71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71" s="4" t="str">
        <f aca="false">IF(Raw_Fund_Import!$A71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71" s="4" t="str">
        <f aca="false">IF(Raw_Fund_Import!$A71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71" s="4" t="str">
        <f aca="false">IF(Raw_Fund_Import!$A71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71" s="4" t="str">
        <f aca="false">IF(Raw_Fund_Import!$A71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71" s="4" t="str">
        <f aca="false">IF(Raw_Fund_Import!$A71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71" s="4" t="str">
        <f aca="false">IF(Raw_Fund_Import!$A71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71" s="44" t="str">
        <f aca="false">IF(Raw_Fund_Import!$A71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71" s="44" t="str">
        <f aca="false">IF(Raw_Fund_Import!$A71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71" s="44" t="str">
        <f aca="false">IF(Raw_Fund_Import!$A71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71" s="44" t="str">
        <f aca="false">IF(Raw_Fund_Import!$A71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71" s="44" t="str">
        <f aca="false">IF(Raw_Fund_Import!$A71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71" s="44" t="str">
        <f aca="false">IF(Raw_Fund_Import!$A71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71" s="4" t="str">
        <f aca="false">IF(Raw_Fund_Import!$A71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71" s="4" t="str">
        <f aca="false">IF(Raw_Fund_Import!$A71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71" s="4" t="str">
        <f aca="false">IF(Raw_Fund_Import!$A71="","",IF(COUNTBLANK($A71:$X71)&gt;0,"CHECK","OK"))</f>
        <v/>
      </c>
    </row>
    <row r="72" customFormat="false" ht="15" hidden="false" customHeight="true" outlineLevel="0" collapsed="false">
      <c r="A72" s="4" t="str">
        <f aca="false">IF(Raw_Fund_Import!$A72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72" s="4" t="str">
        <f aca="false">IF(Raw_Fund_Import!$A72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72" s="4" t="str">
        <f aca="false">IF(Raw_Fund_Import!$A72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72" s="4" t="str">
        <f aca="false">IF(Raw_Fund_Import!$A72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72" s="4" t="str">
        <f aca="false">IF(Raw_Fund_Import!$A72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72" s="4" t="str">
        <f aca="false">IF(Raw_Fund_Import!$A72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72" s="4" t="str">
        <f aca="false">IF(Raw_Fund_Import!$A72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72" s="43" t="str">
        <f aca="false">IF(Raw_Fund_Import!$A72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72" s="4" t="str">
        <f aca="false">IF(Raw_Fund_Import!$A72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72" s="4" t="str">
        <f aca="false">IF(Raw_Fund_Import!$A72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72" s="4" t="str">
        <f aca="false">IF(Raw_Fund_Import!$A72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72" s="4" t="str">
        <f aca="false">IF(Raw_Fund_Import!$A72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72" s="4" t="str">
        <f aca="false">IF(Raw_Fund_Import!$A72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72" s="4" t="str">
        <f aca="false">IF(Raw_Fund_Import!$A72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72" s="4" t="str">
        <f aca="false">IF(Raw_Fund_Import!$A72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72" s="4" t="str">
        <f aca="false">IF(Raw_Fund_Import!$A72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72" s="44" t="str">
        <f aca="false">IF(Raw_Fund_Import!$A72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72" s="44" t="str">
        <f aca="false">IF(Raw_Fund_Import!$A72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72" s="44" t="str">
        <f aca="false">IF(Raw_Fund_Import!$A72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72" s="44" t="str">
        <f aca="false">IF(Raw_Fund_Import!$A72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72" s="44" t="str">
        <f aca="false">IF(Raw_Fund_Import!$A72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72" s="44" t="str">
        <f aca="false">IF(Raw_Fund_Import!$A72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72" s="4" t="str">
        <f aca="false">IF(Raw_Fund_Import!$A72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72" s="4" t="str">
        <f aca="false">IF(Raw_Fund_Import!$A72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72" s="4" t="str">
        <f aca="false">IF(Raw_Fund_Import!$A72="","",IF(COUNTBLANK($A72:$X72)&gt;0,"CHECK","OK"))</f>
        <v/>
      </c>
    </row>
    <row r="73" customFormat="false" ht="15" hidden="false" customHeight="true" outlineLevel="0" collapsed="false">
      <c r="A73" s="4" t="str">
        <f aca="false">IF(Raw_Fund_Import!$A73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73" s="4" t="str">
        <f aca="false">IF(Raw_Fund_Import!$A73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73" s="4" t="str">
        <f aca="false">IF(Raw_Fund_Import!$A73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73" s="4" t="str">
        <f aca="false">IF(Raw_Fund_Import!$A73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73" s="4" t="str">
        <f aca="false">IF(Raw_Fund_Import!$A73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73" s="4" t="str">
        <f aca="false">IF(Raw_Fund_Import!$A73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73" s="4" t="str">
        <f aca="false">IF(Raw_Fund_Import!$A73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73" s="43" t="str">
        <f aca="false">IF(Raw_Fund_Import!$A73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73" s="4" t="str">
        <f aca="false">IF(Raw_Fund_Import!$A73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73" s="4" t="str">
        <f aca="false">IF(Raw_Fund_Import!$A73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73" s="4" t="str">
        <f aca="false">IF(Raw_Fund_Import!$A73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73" s="4" t="str">
        <f aca="false">IF(Raw_Fund_Import!$A73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73" s="4" t="str">
        <f aca="false">IF(Raw_Fund_Import!$A73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73" s="4" t="str">
        <f aca="false">IF(Raw_Fund_Import!$A73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73" s="4" t="str">
        <f aca="false">IF(Raw_Fund_Import!$A73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73" s="4" t="str">
        <f aca="false">IF(Raw_Fund_Import!$A73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73" s="44" t="str">
        <f aca="false">IF(Raw_Fund_Import!$A73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73" s="44" t="str">
        <f aca="false">IF(Raw_Fund_Import!$A73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73" s="44" t="str">
        <f aca="false">IF(Raw_Fund_Import!$A73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73" s="44" t="str">
        <f aca="false">IF(Raw_Fund_Import!$A73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73" s="44" t="str">
        <f aca="false">IF(Raw_Fund_Import!$A73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73" s="44" t="str">
        <f aca="false">IF(Raw_Fund_Import!$A73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73" s="4" t="str">
        <f aca="false">IF(Raw_Fund_Import!$A73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73" s="4" t="str">
        <f aca="false">IF(Raw_Fund_Import!$A73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73" s="4" t="str">
        <f aca="false">IF(Raw_Fund_Import!$A73="","",IF(COUNTBLANK($A73:$X73)&gt;0,"CHECK","OK"))</f>
        <v/>
      </c>
    </row>
    <row r="74" customFormat="false" ht="15" hidden="false" customHeight="true" outlineLevel="0" collapsed="false">
      <c r="A74" s="4" t="str">
        <f aca="false">IF(Raw_Fund_Import!$A74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74" s="4" t="str">
        <f aca="false">IF(Raw_Fund_Import!$A74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74" s="4" t="str">
        <f aca="false">IF(Raw_Fund_Import!$A74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74" s="4" t="str">
        <f aca="false">IF(Raw_Fund_Import!$A74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74" s="4" t="str">
        <f aca="false">IF(Raw_Fund_Import!$A74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74" s="4" t="str">
        <f aca="false">IF(Raw_Fund_Import!$A74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74" s="4" t="str">
        <f aca="false">IF(Raw_Fund_Import!$A74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74" s="43" t="str">
        <f aca="false">IF(Raw_Fund_Import!$A74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74" s="4" t="str">
        <f aca="false">IF(Raw_Fund_Import!$A74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74" s="4" t="str">
        <f aca="false">IF(Raw_Fund_Import!$A74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74" s="4" t="str">
        <f aca="false">IF(Raw_Fund_Import!$A74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74" s="4" t="str">
        <f aca="false">IF(Raw_Fund_Import!$A74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74" s="4" t="str">
        <f aca="false">IF(Raw_Fund_Import!$A74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74" s="4" t="str">
        <f aca="false">IF(Raw_Fund_Import!$A74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74" s="4" t="str">
        <f aca="false">IF(Raw_Fund_Import!$A74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74" s="4" t="str">
        <f aca="false">IF(Raw_Fund_Import!$A74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74" s="44" t="str">
        <f aca="false">IF(Raw_Fund_Import!$A74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74" s="44" t="str">
        <f aca="false">IF(Raw_Fund_Import!$A74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74" s="44" t="str">
        <f aca="false">IF(Raw_Fund_Import!$A74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74" s="44" t="str">
        <f aca="false">IF(Raw_Fund_Import!$A74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74" s="44" t="str">
        <f aca="false">IF(Raw_Fund_Import!$A74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74" s="44" t="str">
        <f aca="false">IF(Raw_Fund_Import!$A74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74" s="4" t="str">
        <f aca="false">IF(Raw_Fund_Import!$A74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74" s="4" t="str">
        <f aca="false">IF(Raw_Fund_Import!$A74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74" s="4" t="str">
        <f aca="false">IF(Raw_Fund_Import!$A74="","",IF(COUNTBLANK($A74:$X74)&gt;0,"CHECK","OK"))</f>
        <v/>
      </c>
    </row>
    <row r="75" customFormat="false" ht="15" hidden="false" customHeight="true" outlineLevel="0" collapsed="false">
      <c r="A75" s="4" t="str">
        <f aca="false">IF(Raw_Fund_Import!$A75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75" s="4" t="str">
        <f aca="false">IF(Raw_Fund_Import!$A75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75" s="4" t="str">
        <f aca="false">IF(Raw_Fund_Import!$A75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75" s="4" t="str">
        <f aca="false">IF(Raw_Fund_Import!$A75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75" s="4" t="str">
        <f aca="false">IF(Raw_Fund_Import!$A75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75" s="4" t="str">
        <f aca="false">IF(Raw_Fund_Import!$A75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75" s="4" t="str">
        <f aca="false">IF(Raw_Fund_Import!$A75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75" s="43" t="str">
        <f aca="false">IF(Raw_Fund_Import!$A75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75" s="4" t="str">
        <f aca="false">IF(Raw_Fund_Import!$A75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75" s="4" t="str">
        <f aca="false">IF(Raw_Fund_Import!$A75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75" s="4" t="str">
        <f aca="false">IF(Raw_Fund_Import!$A75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75" s="4" t="str">
        <f aca="false">IF(Raw_Fund_Import!$A75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75" s="4" t="str">
        <f aca="false">IF(Raw_Fund_Import!$A75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75" s="4" t="str">
        <f aca="false">IF(Raw_Fund_Import!$A75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75" s="4" t="str">
        <f aca="false">IF(Raw_Fund_Import!$A75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75" s="4" t="str">
        <f aca="false">IF(Raw_Fund_Import!$A75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75" s="44" t="str">
        <f aca="false">IF(Raw_Fund_Import!$A75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75" s="44" t="str">
        <f aca="false">IF(Raw_Fund_Import!$A75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75" s="44" t="str">
        <f aca="false">IF(Raw_Fund_Import!$A75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75" s="44" t="str">
        <f aca="false">IF(Raw_Fund_Import!$A75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75" s="44" t="str">
        <f aca="false">IF(Raw_Fund_Import!$A75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75" s="44" t="str">
        <f aca="false">IF(Raw_Fund_Import!$A75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75" s="4" t="str">
        <f aca="false">IF(Raw_Fund_Import!$A75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75" s="4" t="str">
        <f aca="false">IF(Raw_Fund_Import!$A75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75" s="4" t="str">
        <f aca="false">IF(Raw_Fund_Import!$A75="","",IF(COUNTBLANK($A75:$X75)&gt;0,"CHECK","OK"))</f>
        <v/>
      </c>
    </row>
    <row r="76" customFormat="false" ht="15" hidden="false" customHeight="true" outlineLevel="0" collapsed="false">
      <c r="A76" s="4" t="str">
        <f aca="false">IF(Raw_Fund_Import!$A76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76" s="4" t="str">
        <f aca="false">IF(Raw_Fund_Import!$A76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76" s="4" t="str">
        <f aca="false">IF(Raw_Fund_Import!$A76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76" s="4" t="str">
        <f aca="false">IF(Raw_Fund_Import!$A76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76" s="4" t="str">
        <f aca="false">IF(Raw_Fund_Import!$A76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76" s="4" t="str">
        <f aca="false">IF(Raw_Fund_Import!$A76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76" s="4" t="str">
        <f aca="false">IF(Raw_Fund_Import!$A76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76" s="43" t="str">
        <f aca="false">IF(Raw_Fund_Import!$A76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76" s="4" t="str">
        <f aca="false">IF(Raw_Fund_Import!$A76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76" s="4" t="str">
        <f aca="false">IF(Raw_Fund_Import!$A76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76" s="4" t="str">
        <f aca="false">IF(Raw_Fund_Import!$A76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76" s="4" t="str">
        <f aca="false">IF(Raw_Fund_Import!$A76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76" s="4" t="str">
        <f aca="false">IF(Raw_Fund_Import!$A76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76" s="4" t="str">
        <f aca="false">IF(Raw_Fund_Import!$A76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76" s="4" t="str">
        <f aca="false">IF(Raw_Fund_Import!$A76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76" s="4" t="str">
        <f aca="false">IF(Raw_Fund_Import!$A76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76" s="44" t="str">
        <f aca="false">IF(Raw_Fund_Import!$A76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76" s="44" t="str">
        <f aca="false">IF(Raw_Fund_Import!$A76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76" s="44" t="str">
        <f aca="false">IF(Raw_Fund_Import!$A76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76" s="44" t="str">
        <f aca="false">IF(Raw_Fund_Import!$A76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76" s="44" t="str">
        <f aca="false">IF(Raw_Fund_Import!$A76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76" s="44" t="str">
        <f aca="false">IF(Raw_Fund_Import!$A76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76" s="4" t="str">
        <f aca="false">IF(Raw_Fund_Import!$A76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76" s="4" t="str">
        <f aca="false">IF(Raw_Fund_Import!$A76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76" s="4" t="str">
        <f aca="false">IF(Raw_Fund_Import!$A76="","",IF(COUNTBLANK($A76:$X76)&gt;0,"CHECK","OK"))</f>
        <v/>
      </c>
    </row>
    <row r="77" customFormat="false" ht="15" hidden="false" customHeight="true" outlineLevel="0" collapsed="false">
      <c r="A77" s="4" t="str">
        <f aca="false">IF(Raw_Fund_Import!$A77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77" s="4" t="str">
        <f aca="false">IF(Raw_Fund_Import!$A77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77" s="4" t="str">
        <f aca="false">IF(Raw_Fund_Import!$A77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77" s="4" t="str">
        <f aca="false">IF(Raw_Fund_Import!$A77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77" s="4" t="str">
        <f aca="false">IF(Raw_Fund_Import!$A77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77" s="4" t="str">
        <f aca="false">IF(Raw_Fund_Import!$A77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77" s="4" t="str">
        <f aca="false">IF(Raw_Fund_Import!$A77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77" s="43" t="str">
        <f aca="false">IF(Raw_Fund_Import!$A77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77" s="4" t="str">
        <f aca="false">IF(Raw_Fund_Import!$A77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77" s="4" t="str">
        <f aca="false">IF(Raw_Fund_Import!$A77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77" s="4" t="str">
        <f aca="false">IF(Raw_Fund_Import!$A77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77" s="4" t="str">
        <f aca="false">IF(Raw_Fund_Import!$A77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77" s="4" t="str">
        <f aca="false">IF(Raw_Fund_Import!$A77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77" s="4" t="str">
        <f aca="false">IF(Raw_Fund_Import!$A77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77" s="4" t="str">
        <f aca="false">IF(Raw_Fund_Import!$A77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77" s="4" t="str">
        <f aca="false">IF(Raw_Fund_Import!$A77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77" s="44" t="str">
        <f aca="false">IF(Raw_Fund_Import!$A77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77" s="44" t="str">
        <f aca="false">IF(Raw_Fund_Import!$A77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77" s="44" t="str">
        <f aca="false">IF(Raw_Fund_Import!$A77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77" s="44" t="str">
        <f aca="false">IF(Raw_Fund_Import!$A77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77" s="44" t="str">
        <f aca="false">IF(Raw_Fund_Import!$A77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77" s="44" t="str">
        <f aca="false">IF(Raw_Fund_Import!$A77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77" s="4" t="str">
        <f aca="false">IF(Raw_Fund_Import!$A77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77" s="4" t="str">
        <f aca="false">IF(Raw_Fund_Import!$A77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77" s="4" t="str">
        <f aca="false">IF(Raw_Fund_Import!$A77="","",IF(COUNTBLANK($A77:$X77)&gt;0,"CHECK","OK"))</f>
        <v/>
      </c>
    </row>
    <row r="78" customFormat="false" ht="15" hidden="false" customHeight="true" outlineLevel="0" collapsed="false">
      <c r="A78" s="4" t="str">
        <f aca="false">IF(Raw_Fund_Import!$A78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78" s="4" t="str">
        <f aca="false">IF(Raw_Fund_Import!$A78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78" s="4" t="str">
        <f aca="false">IF(Raw_Fund_Import!$A78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78" s="4" t="str">
        <f aca="false">IF(Raw_Fund_Import!$A78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78" s="4" t="str">
        <f aca="false">IF(Raw_Fund_Import!$A78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78" s="4" t="str">
        <f aca="false">IF(Raw_Fund_Import!$A78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78" s="4" t="str">
        <f aca="false">IF(Raw_Fund_Import!$A78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78" s="43" t="str">
        <f aca="false">IF(Raw_Fund_Import!$A78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78" s="4" t="str">
        <f aca="false">IF(Raw_Fund_Import!$A78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78" s="4" t="str">
        <f aca="false">IF(Raw_Fund_Import!$A78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78" s="4" t="str">
        <f aca="false">IF(Raw_Fund_Import!$A78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78" s="4" t="str">
        <f aca="false">IF(Raw_Fund_Import!$A78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78" s="4" t="str">
        <f aca="false">IF(Raw_Fund_Import!$A78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78" s="4" t="str">
        <f aca="false">IF(Raw_Fund_Import!$A78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78" s="4" t="str">
        <f aca="false">IF(Raw_Fund_Import!$A78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78" s="4" t="str">
        <f aca="false">IF(Raw_Fund_Import!$A78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78" s="44" t="str">
        <f aca="false">IF(Raw_Fund_Import!$A78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78" s="44" t="str">
        <f aca="false">IF(Raw_Fund_Import!$A78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78" s="44" t="str">
        <f aca="false">IF(Raw_Fund_Import!$A78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78" s="44" t="str">
        <f aca="false">IF(Raw_Fund_Import!$A78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78" s="44" t="str">
        <f aca="false">IF(Raw_Fund_Import!$A78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78" s="44" t="str">
        <f aca="false">IF(Raw_Fund_Import!$A78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78" s="4" t="str">
        <f aca="false">IF(Raw_Fund_Import!$A78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78" s="4" t="str">
        <f aca="false">IF(Raw_Fund_Import!$A78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78" s="4" t="str">
        <f aca="false">IF(Raw_Fund_Import!$A78="","",IF(COUNTBLANK($A78:$X78)&gt;0,"CHECK","OK"))</f>
        <v/>
      </c>
    </row>
    <row r="79" customFormat="false" ht="15" hidden="false" customHeight="true" outlineLevel="0" collapsed="false">
      <c r="A79" s="4" t="str">
        <f aca="false">IF(Raw_Fund_Import!$A79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79" s="4" t="str">
        <f aca="false">IF(Raw_Fund_Import!$A79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79" s="4" t="str">
        <f aca="false">IF(Raw_Fund_Import!$A79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79" s="4" t="str">
        <f aca="false">IF(Raw_Fund_Import!$A79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79" s="4" t="str">
        <f aca="false">IF(Raw_Fund_Import!$A79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79" s="4" t="str">
        <f aca="false">IF(Raw_Fund_Import!$A79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79" s="4" t="str">
        <f aca="false">IF(Raw_Fund_Import!$A79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79" s="43" t="str">
        <f aca="false">IF(Raw_Fund_Import!$A79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79" s="4" t="str">
        <f aca="false">IF(Raw_Fund_Import!$A79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79" s="4" t="str">
        <f aca="false">IF(Raw_Fund_Import!$A79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79" s="4" t="str">
        <f aca="false">IF(Raw_Fund_Import!$A79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79" s="4" t="str">
        <f aca="false">IF(Raw_Fund_Import!$A79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79" s="4" t="str">
        <f aca="false">IF(Raw_Fund_Import!$A79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79" s="4" t="str">
        <f aca="false">IF(Raw_Fund_Import!$A79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79" s="4" t="str">
        <f aca="false">IF(Raw_Fund_Import!$A79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79" s="4" t="str">
        <f aca="false">IF(Raw_Fund_Import!$A79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79" s="44" t="str">
        <f aca="false">IF(Raw_Fund_Import!$A79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79" s="44" t="str">
        <f aca="false">IF(Raw_Fund_Import!$A79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79" s="44" t="str">
        <f aca="false">IF(Raw_Fund_Import!$A79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79" s="44" t="str">
        <f aca="false">IF(Raw_Fund_Import!$A79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79" s="44" t="str">
        <f aca="false">IF(Raw_Fund_Import!$A79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79" s="44" t="str">
        <f aca="false">IF(Raw_Fund_Import!$A79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79" s="4" t="str">
        <f aca="false">IF(Raw_Fund_Import!$A79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79" s="4" t="str">
        <f aca="false">IF(Raw_Fund_Import!$A79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79" s="4" t="str">
        <f aca="false">IF(Raw_Fund_Import!$A79="","",IF(COUNTBLANK($A79:$X79)&gt;0,"CHECK","OK"))</f>
        <v/>
      </c>
    </row>
    <row r="80" customFormat="false" ht="15" hidden="false" customHeight="true" outlineLevel="0" collapsed="false">
      <c r="A80" s="4" t="str">
        <f aca="false">IF(Raw_Fund_Import!$A80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80" s="4" t="str">
        <f aca="false">IF(Raw_Fund_Import!$A80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80" s="4" t="str">
        <f aca="false">IF(Raw_Fund_Import!$A80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80" s="4" t="str">
        <f aca="false">IF(Raw_Fund_Import!$A80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80" s="4" t="str">
        <f aca="false">IF(Raw_Fund_Import!$A80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80" s="4" t="str">
        <f aca="false">IF(Raw_Fund_Import!$A80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80" s="4" t="str">
        <f aca="false">IF(Raw_Fund_Import!$A80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80" s="43" t="str">
        <f aca="false">IF(Raw_Fund_Import!$A80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80" s="4" t="str">
        <f aca="false">IF(Raw_Fund_Import!$A80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80" s="4" t="str">
        <f aca="false">IF(Raw_Fund_Import!$A80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80" s="4" t="str">
        <f aca="false">IF(Raw_Fund_Import!$A80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80" s="4" t="str">
        <f aca="false">IF(Raw_Fund_Import!$A80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80" s="4" t="str">
        <f aca="false">IF(Raw_Fund_Import!$A80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80" s="4" t="str">
        <f aca="false">IF(Raw_Fund_Import!$A80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80" s="4" t="str">
        <f aca="false">IF(Raw_Fund_Import!$A80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80" s="4" t="str">
        <f aca="false">IF(Raw_Fund_Import!$A80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80" s="44" t="str">
        <f aca="false">IF(Raw_Fund_Import!$A80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80" s="44" t="str">
        <f aca="false">IF(Raw_Fund_Import!$A80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80" s="44" t="str">
        <f aca="false">IF(Raw_Fund_Import!$A80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80" s="44" t="str">
        <f aca="false">IF(Raw_Fund_Import!$A80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80" s="44" t="str">
        <f aca="false">IF(Raw_Fund_Import!$A80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80" s="44" t="str">
        <f aca="false">IF(Raw_Fund_Import!$A80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80" s="4" t="str">
        <f aca="false">IF(Raw_Fund_Import!$A80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80" s="4" t="str">
        <f aca="false">IF(Raw_Fund_Import!$A80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80" s="4" t="str">
        <f aca="false">IF(Raw_Fund_Import!$A80="","",IF(COUNTBLANK($A80:$X80)&gt;0,"CHECK","OK"))</f>
        <v/>
      </c>
    </row>
    <row r="81" customFormat="false" ht="15" hidden="false" customHeight="true" outlineLevel="0" collapsed="false">
      <c r="A81" s="4" t="str">
        <f aca="false">IF(Raw_Fund_Import!$A81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81" s="4" t="str">
        <f aca="false">IF(Raw_Fund_Import!$A81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81" s="4" t="str">
        <f aca="false">IF(Raw_Fund_Import!$A81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81" s="4" t="str">
        <f aca="false">IF(Raw_Fund_Import!$A81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81" s="4" t="str">
        <f aca="false">IF(Raw_Fund_Import!$A81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81" s="4" t="str">
        <f aca="false">IF(Raw_Fund_Import!$A81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81" s="4" t="str">
        <f aca="false">IF(Raw_Fund_Import!$A81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81" s="43" t="str">
        <f aca="false">IF(Raw_Fund_Import!$A81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81" s="4" t="str">
        <f aca="false">IF(Raw_Fund_Import!$A81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81" s="4" t="str">
        <f aca="false">IF(Raw_Fund_Import!$A81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81" s="4" t="str">
        <f aca="false">IF(Raw_Fund_Import!$A81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81" s="4" t="str">
        <f aca="false">IF(Raw_Fund_Import!$A81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81" s="4" t="str">
        <f aca="false">IF(Raw_Fund_Import!$A81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81" s="4" t="str">
        <f aca="false">IF(Raw_Fund_Import!$A81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81" s="4" t="str">
        <f aca="false">IF(Raw_Fund_Import!$A81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81" s="4" t="str">
        <f aca="false">IF(Raw_Fund_Import!$A81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81" s="44" t="str">
        <f aca="false">IF(Raw_Fund_Import!$A81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81" s="44" t="str">
        <f aca="false">IF(Raw_Fund_Import!$A81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81" s="44" t="str">
        <f aca="false">IF(Raw_Fund_Import!$A81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81" s="44" t="str">
        <f aca="false">IF(Raw_Fund_Import!$A81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81" s="44" t="str">
        <f aca="false">IF(Raw_Fund_Import!$A81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81" s="44" t="str">
        <f aca="false">IF(Raw_Fund_Import!$A81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81" s="4" t="str">
        <f aca="false">IF(Raw_Fund_Import!$A81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81" s="4" t="str">
        <f aca="false">IF(Raw_Fund_Import!$A81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81" s="4" t="str">
        <f aca="false">IF(Raw_Fund_Import!$A81="","",IF(COUNTBLANK($A81:$X81)&gt;0,"CHECK","OK"))</f>
        <v/>
      </c>
    </row>
    <row r="82" customFormat="false" ht="15" hidden="false" customHeight="true" outlineLevel="0" collapsed="false">
      <c r="A82" s="4" t="str">
        <f aca="false">IF(Raw_Fund_Import!$A82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82" s="4" t="str">
        <f aca="false">IF(Raw_Fund_Import!$A82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82" s="4" t="str">
        <f aca="false">IF(Raw_Fund_Import!$A82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82" s="4" t="str">
        <f aca="false">IF(Raw_Fund_Import!$A82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82" s="4" t="str">
        <f aca="false">IF(Raw_Fund_Import!$A82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82" s="4" t="str">
        <f aca="false">IF(Raw_Fund_Import!$A82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82" s="4" t="str">
        <f aca="false">IF(Raw_Fund_Import!$A82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82" s="43" t="str">
        <f aca="false">IF(Raw_Fund_Import!$A82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82" s="4" t="str">
        <f aca="false">IF(Raw_Fund_Import!$A82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82" s="4" t="str">
        <f aca="false">IF(Raw_Fund_Import!$A82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82" s="4" t="str">
        <f aca="false">IF(Raw_Fund_Import!$A82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82" s="4" t="str">
        <f aca="false">IF(Raw_Fund_Import!$A82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82" s="4" t="str">
        <f aca="false">IF(Raw_Fund_Import!$A82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82" s="4" t="str">
        <f aca="false">IF(Raw_Fund_Import!$A82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82" s="4" t="str">
        <f aca="false">IF(Raw_Fund_Import!$A82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82" s="4" t="str">
        <f aca="false">IF(Raw_Fund_Import!$A82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82" s="44" t="str">
        <f aca="false">IF(Raw_Fund_Import!$A82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82" s="44" t="str">
        <f aca="false">IF(Raw_Fund_Import!$A82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82" s="44" t="str">
        <f aca="false">IF(Raw_Fund_Import!$A82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82" s="44" t="str">
        <f aca="false">IF(Raw_Fund_Import!$A82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82" s="44" t="str">
        <f aca="false">IF(Raw_Fund_Import!$A82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82" s="44" t="str">
        <f aca="false">IF(Raw_Fund_Import!$A82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82" s="4" t="str">
        <f aca="false">IF(Raw_Fund_Import!$A82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82" s="4" t="str">
        <f aca="false">IF(Raw_Fund_Import!$A82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82" s="4" t="str">
        <f aca="false">IF(Raw_Fund_Import!$A82="","",IF(COUNTBLANK($A82:$X82)&gt;0,"CHECK","OK"))</f>
        <v/>
      </c>
    </row>
    <row r="83" customFormat="false" ht="15" hidden="false" customHeight="true" outlineLevel="0" collapsed="false">
      <c r="A83" s="4" t="str">
        <f aca="false">IF(Raw_Fund_Import!$A83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83" s="4" t="str">
        <f aca="false">IF(Raw_Fund_Import!$A83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83" s="4" t="str">
        <f aca="false">IF(Raw_Fund_Import!$A83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83" s="4" t="str">
        <f aca="false">IF(Raw_Fund_Import!$A83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83" s="4" t="str">
        <f aca="false">IF(Raw_Fund_Import!$A83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83" s="4" t="str">
        <f aca="false">IF(Raw_Fund_Import!$A83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83" s="4" t="str">
        <f aca="false">IF(Raw_Fund_Import!$A83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83" s="43" t="str">
        <f aca="false">IF(Raw_Fund_Import!$A83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83" s="4" t="str">
        <f aca="false">IF(Raw_Fund_Import!$A83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83" s="4" t="str">
        <f aca="false">IF(Raw_Fund_Import!$A83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83" s="4" t="str">
        <f aca="false">IF(Raw_Fund_Import!$A83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83" s="4" t="str">
        <f aca="false">IF(Raw_Fund_Import!$A83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83" s="4" t="str">
        <f aca="false">IF(Raw_Fund_Import!$A83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83" s="4" t="str">
        <f aca="false">IF(Raw_Fund_Import!$A83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83" s="4" t="str">
        <f aca="false">IF(Raw_Fund_Import!$A83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83" s="4" t="str">
        <f aca="false">IF(Raw_Fund_Import!$A83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83" s="44" t="str">
        <f aca="false">IF(Raw_Fund_Import!$A83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83" s="44" t="str">
        <f aca="false">IF(Raw_Fund_Import!$A83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83" s="44" t="str">
        <f aca="false">IF(Raw_Fund_Import!$A83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83" s="44" t="str">
        <f aca="false">IF(Raw_Fund_Import!$A83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83" s="44" t="str">
        <f aca="false">IF(Raw_Fund_Import!$A83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83" s="44" t="str">
        <f aca="false">IF(Raw_Fund_Import!$A83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83" s="4" t="str">
        <f aca="false">IF(Raw_Fund_Import!$A83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83" s="4" t="str">
        <f aca="false">IF(Raw_Fund_Import!$A83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83" s="4" t="str">
        <f aca="false">IF(Raw_Fund_Import!$A83="","",IF(COUNTBLANK($A83:$X83)&gt;0,"CHECK","OK"))</f>
        <v/>
      </c>
    </row>
    <row r="84" customFormat="false" ht="15" hidden="false" customHeight="true" outlineLevel="0" collapsed="false">
      <c r="A84" s="4" t="str">
        <f aca="false">IF(Raw_Fund_Import!$A84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84" s="4" t="str">
        <f aca="false">IF(Raw_Fund_Import!$A84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84" s="4" t="str">
        <f aca="false">IF(Raw_Fund_Import!$A84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84" s="4" t="str">
        <f aca="false">IF(Raw_Fund_Import!$A84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84" s="4" t="str">
        <f aca="false">IF(Raw_Fund_Import!$A84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84" s="4" t="str">
        <f aca="false">IF(Raw_Fund_Import!$A84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84" s="4" t="str">
        <f aca="false">IF(Raw_Fund_Import!$A84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84" s="43" t="str">
        <f aca="false">IF(Raw_Fund_Import!$A84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84" s="4" t="str">
        <f aca="false">IF(Raw_Fund_Import!$A84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84" s="4" t="str">
        <f aca="false">IF(Raw_Fund_Import!$A84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84" s="4" t="str">
        <f aca="false">IF(Raw_Fund_Import!$A84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84" s="4" t="str">
        <f aca="false">IF(Raw_Fund_Import!$A84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84" s="4" t="str">
        <f aca="false">IF(Raw_Fund_Import!$A84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84" s="4" t="str">
        <f aca="false">IF(Raw_Fund_Import!$A84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84" s="4" t="str">
        <f aca="false">IF(Raw_Fund_Import!$A84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84" s="4" t="str">
        <f aca="false">IF(Raw_Fund_Import!$A84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84" s="44" t="str">
        <f aca="false">IF(Raw_Fund_Import!$A84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84" s="44" t="str">
        <f aca="false">IF(Raw_Fund_Import!$A84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84" s="44" t="str">
        <f aca="false">IF(Raw_Fund_Import!$A84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84" s="44" t="str">
        <f aca="false">IF(Raw_Fund_Import!$A84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84" s="44" t="str">
        <f aca="false">IF(Raw_Fund_Import!$A84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84" s="44" t="str">
        <f aca="false">IF(Raw_Fund_Import!$A84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84" s="4" t="str">
        <f aca="false">IF(Raw_Fund_Import!$A84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84" s="4" t="str">
        <f aca="false">IF(Raw_Fund_Import!$A84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84" s="4" t="str">
        <f aca="false">IF(Raw_Fund_Import!$A84="","",IF(COUNTBLANK($A84:$X84)&gt;0,"CHECK","OK"))</f>
        <v/>
      </c>
    </row>
    <row r="85" customFormat="false" ht="15" hidden="false" customHeight="true" outlineLevel="0" collapsed="false">
      <c r="A85" s="4" t="str">
        <f aca="false">IF(Raw_Fund_Import!$A85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85" s="4" t="str">
        <f aca="false">IF(Raw_Fund_Import!$A85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85" s="4" t="str">
        <f aca="false">IF(Raw_Fund_Import!$A85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85" s="4" t="str">
        <f aca="false">IF(Raw_Fund_Import!$A85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85" s="4" t="str">
        <f aca="false">IF(Raw_Fund_Import!$A85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85" s="4" t="str">
        <f aca="false">IF(Raw_Fund_Import!$A85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85" s="4" t="str">
        <f aca="false">IF(Raw_Fund_Import!$A85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85" s="43" t="str">
        <f aca="false">IF(Raw_Fund_Import!$A85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85" s="4" t="str">
        <f aca="false">IF(Raw_Fund_Import!$A85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85" s="4" t="str">
        <f aca="false">IF(Raw_Fund_Import!$A85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85" s="4" t="str">
        <f aca="false">IF(Raw_Fund_Import!$A85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85" s="4" t="str">
        <f aca="false">IF(Raw_Fund_Import!$A85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85" s="4" t="str">
        <f aca="false">IF(Raw_Fund_Import!$A85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85" s="4" t="str">
        <f aca="false">IF(Raw_Fund_Import!$A85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85" s="4" t="str">
        <f aca="false">IF(Raw_Fund_Import!$A85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85" s="4" t="str">
        <f aca="false">IF(Raw_Fund_Import!$A85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85" s="44" t="str">
        <f aca="false">IF(Raw_Fund_Import!$A85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85" s="44" t="str">
        <f aca="false">IF(Raw_Fund_Import!$A85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85" s="44" t="str">
        <f aca="false">IF(Raw_Fund_Import!$A85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85" s="44" t="str">
        <f aca="false">IF(Raw_Fund_Import!$A85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85" s="44" t="str">
        <f aca="false">IF(Raw_Fund_Import!$A85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85" s="44" t="str">
        <f aca="false">IF(Raw_Fund_Import!$A85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85" s="4" t="str">
        <f aca="false">IF(Raw_Fund_Import!$A85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85" s="4" t="str">
        <f aca="false">IF(Raw_Fund_Import!$A85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85" s="4" t="str">
        <f aca="false">IF(Raw_Fund_Import!$A85="","",IF(COUNTBLANK($A85:$X85)&gt;0,"CHECK","OK"))</f>
        <v/>
      </c>
    </row>
    <row r="86" customFormat="false" ht="15" hidden="false" customHeight="true" outlineLevel="0" collapsed="false">
      <c r="A86" s="4" t="str">
        <f aca="false">IF(Raw_Fund_Import!$A86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86" s="4" t="str">
        <f aca="false">IF(Raw_Fund_Import!$A86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86" s="4" t="str">
        <f aca="false">IF(Raw_Fund_Import!$A86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86" s="4" t="str">
        <f aca="false">IF(Raw_Fund_Import!$A86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86" s="4" t="str">
        <f aca="false">IF(Raw_Fund_Import!$A86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86" s="4" t="str">
        <f aca="false">IF(Raw_Fund_Import!$A86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86" s="4" t="str">
        <f aca="false">IF(Raw_Fund_Import!$A86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86" s="43" t="str">
        <f aca="false">IF(Raw_Fund_Import!$A86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86" s="4" t="str">
        <f aca="false">IF(Raw_Fund_Import!$A86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86" s="4" t="str">
        <f aca="false">IF(Raw_Fund_Import!$A86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86" s="4" t="str">
        <f aca="false">IF(Raw_Fund_Import!$A86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86" s="4" t="str">
        <f aca="false">IF(Raw_Fund_Import!$A86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86" s="4" t="str">
        <f aca="false">IF(Raw_Fund_Import!$A86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86" s="4" t="str">
        <f aca="false">IF(Raw_Fund_Import!$A86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86" s="4" t="str">
        <f aca="false">IF(Raw_Fund_Import!$A86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86" s="4" t="str">
        <f aca="false">IF(Raw_Fund_Import!$A86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86" s="44" t="str">
        <f aca="false">IF(Raw_Fund_Import!$A86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86" s="44" t="str">
        <f aca="false">IF(Raw_Fund_Import!$A86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86" s="44" t="str">
        <f aca="false">IF(Raw_Fund_Import!$A86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86" s="44" t="str">
        <f aca="false">IF(Raw_Fund_Import!$A86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86" s="44" t="str">
        <f aca="false">IF(Raw_Fund_Import!$A86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86" s="44" t="str">
        <f aca="false">IF(Raw_Fund_Import!$A86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86" s="4" t="str">
        <f aca="false">IF(Raw_Fund_Import!$A86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86" s="4" t="str">
        <f aca="false">IF(Raw_Fund_Import!$A86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86" s="4" t="str">
        <f aca="false">IF(Raw_Fund_Import!$A86="","",IF(COUNTBLANK($A86:$X86)&gt;0,"CHECK","OK"))</f>
        <v/>
      </c>
    </row>
    <row r="87" customFormat="false" ht="15" hidden="false" customHeight="true" outlineLevel="0" collapsed="false">
      <c r="A87" s="4" t="str">
        <f aca="false">IF(Raw_Fund_Import!$A87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87" s="4" t="str">
        <f aca="false">IF(Raw_Fund_Import!$A87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87" s="4" t="str">
        <f aca="false">IF(Raw_Fund_Import!$A87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87" s="4" t="str">
        <f aca="false">IF(Raw_Fund_Import!$A87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87" s="4" t="str">
        <f aca="false">IF(Raw_Fund_Import!$A87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87" s="4" t="str">
        <f aca="false">IF(Raw_Fund_Import!$A87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87" s="4" t="str">
        <f aca="false">IF(Raw_Fund_Import!$A87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87" s="43" t="str">
        <f aca="false">IF(Raw_Fund_Import!$A87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87" s="4" t="str">
        <f aca="false">IF(Raw_Fund_Import!$A87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87" s="4" t="str">
        <f aca="false">IF(Raw_Fund_Import!$A87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87" s="4" t="str">
        <f aca="false">IF(Raw_Fund_Import!$A87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87" s="4" t="str">
        <f aca="false">IF(Raw_Fund_Import!$A87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87" s="4" t="str">
        <f aca="false">IF(Raw_Fund_Import!$A87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87" s="4" t="str">
        <f aca="false">IF(Raw_Fund_Import!$A87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87" s="4" t="str">
        <f aca="false">IF(Raw_Fund_Import!$A87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87" s="4" t="str">
        <f aca="false">IF(Raw_Fund_Import!$A87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87" s="44" t="str">
        <f aca="false">IF(Raw_Fund_Import!$A87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87" s="44" t="str">
        <f aca="false">IF(Raw_Fund_Import!$A87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87" s="44" t="str">
        <f aca="false">IF(Raw_Fund_Import!$A87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87" s="44" t="str">
        <f aca="false">IF(Raw_Fund_Import!$A87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87" s="44" t="str">
        <f aca="false">IF(Raw_Fund_Import!$A87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87" s="44" t="str">
        <f aca="false">IF(Raw_Fund_Import!$A87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87" s="4" t="str">
        <f aca="false">IF(Raw_Fund_Import!$A87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87" s="4" t="str">
        <f aca="false">IF(Raw_Fund_Import!$A87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87" s="4" t="str">
        <f aca="false">IF(Raw_Fund_Import!$A87="","",IF(COUNTBLANK($A87:$X87)&gt;0,"CHECK","OK"))</f>
        <v/>
      </c>
    </row>
    <row r="88" customFormat="false" ht="15" hidden="false" customHeight="true" outlineLevel="0" collapsed="false">
      <c r="A88" s="4" t="str">
        <f aca="false">IF(Raw_Fund_Import!$A88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88" s="4" t="str">
        <f aca="false">IF(Raw_Fund_Import!$A88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88" s="4" t="str">
        <f aca="false">IF(Raw_Fund_Import!$A88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88" s="4" t="str">
        <f aca="false">IF(Raw_Fund_Import!$A88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88" s="4" t="str">
        <f aca="false">IF(Raw_Fund_Import!$A88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88" s="4" t="str">
        <f aca="false">IF(Raw_Fund_Import!$A88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88" s="4" t="str">
        <f aca="false">IF(Raw_Fund_Import!$A88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88" s="43" t="str">
        <f aca="false">IF(Raw_Fund_Import!$A88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88" s="4" t="str">
        <f aca="false">IF(Raw_Fund_Import!$A88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88" s="4" t="str">
        <f aca="false">IF(Raw_Fund_Import!$A88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88" s="4" t="str">
        <f aca="false">IF(Raw_Fund_Import!$A88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88" s="4" t="str">
        <f aca="false">IF(Raw_Fund_Import!$A88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88" s="4" t="str">
        <f aca="false">IF(Raw_Fund_Import!$A88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88" s="4" t="str">
        <f aca="false">IF(Raw_Fund_Import!$A88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88" s="4" t="str">
        <f aca="false">IF(Raw_Fund_Import!$A88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88" s="4" t="str">
        <f aca="false">IF(Raw_Fund_Import!$A88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88" s="44" t="str">
        <f aca="false">IF(Raw_Fund_Import!$A88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88" s="44" t="str">
        <f aca="false">IF(Raw_Fund_Import!$A88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88" s="44" t="str">
        <f aca="false">IF(Raw_Fund_Import!$A88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88" s="44" t="str">
        <f aca="false">IF(Raw_Fund_Import!$A88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88" s="44" t="str">
        <f aca="false">IF(Raw_Fund_Import!$A88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88" s="44" t="str">
        <f aca="false">IF(Raw_Fund_Import!$A88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88" s="4" t="str">
        <f aca="false">IF(Raw_Fund_Import!$A88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88" s="4" t="str">
        <f aca="false">IF(Raw_Fund_Import!$A88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88" s="4" t="str">
        <f aca="false">IF(Raw_Fund_Import!$A88="","",IF(COUNTBLANK($A88:$X88)&gt;0,"CHECK","OK"))</f>
        <v/>
      </c>
    </row>
    <row r="89" customFormat="false" ht="15" hidden="false" customHeight="true" outlineLevel="0" collapsed="false">
      <c r="A89" s="4" t="str">
        <f aca="false">IF(Raw_Fund_Import!$A89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89" s="4" t="str">
        <f aca="false">IF(Raw_Fund_Import!$A89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89" s="4" t="str">
        <f aca="false">IF(Raw_Fund_Import!$A89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89" s="4" t="str">
        <f aca="false">IF(Raw_Fund_Import!$A89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89" s="4" t="str">
        <f aca="false">IF(Raw_Fund_Import!$A89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89" s="4" t="str">
        <f aca="false">IF(Raw_Fund_Import!$A89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89" s="4" t="str">
        <f aca="false">IF(Raw_Fund_Import!$A89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89" s="43" t="str">
        <f aca="false">IF(Raw_Fund_Import!$A89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89" s="4" t="str">
        <f aca="false">IF(Raw_Fund_Import!$A89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89" s="4" t="str">
        <f aca="false">IF(Raw_Fund_Import!$A89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89" s="4" t="str">
        <f aca="false">IF(Raw_Fund_Import!$A89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89" s="4" t="str">
        <f aca="false">IF(Raw_Fund_Import!$A89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89" s="4" t="str">
        <f aca="false">IF(Raw_Fund_Import!$A89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89" s="4" t="str">
        <f aca="false">IF(Raw_Fund_Import!$A89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89" s="4" t="str">
        <f aca="false">IF(Raw_Fund_Import!$A89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89" s="4" t="str">
        <f aca="false">IF(Raw_Fund_Import!$A89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89" s="44" t="str">
        <f aca="false">IF(Raw_Fund_Import!$A89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89" s="44" t="str">
        <f aca="false">IF(Raw_Fund_Import!$A89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89" s="44" t="str">
        <f aca="false">IF(Raw_Fund_Import!$A89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89" s="44" t="str">
        <f aca="false">IF(Raw_Fund_Import!$A89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89" s="44" t="str">
        <f aca="false">IF(Raw_Fund_Import!$A89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89" s="44" t="str">
        <f aca="false">IF(Raw_Fund_Import!$A89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89" s="4" t="str">
        <f aca="false">IF(Raw_Fund_Import!$A89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89" s="4" t="str">
        <f aca="false">IF(Raw_Fund_Import!$A89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89" s="4" t="str">
        <f aca="false">IF(Raw_Fund_Import!$A89="","",IF(COUNTBLANK($A89:$X89)&gt;0,"CHECK","OK"))</f>
        <v/>
      </c>
    </row>
    <row r="90" customFormat="false" ht="15" hidden="false" customHeight="true" outlineLevel="0" collapsed="false">
      <c r="A90" s="4" t="str">
        <f aca="false">IF(Raw_Fund_Import!$A90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90" s="4" t="str">
        <f aca="false">IF(Raw_Fund_Import!$A90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90" s="4" t="str">
        <f aca="false">IF(Raw_Fund_Import!$A90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90" s="4" t="str">
        <f aca="false">IF(Raw_Fund_Import!$A90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90" s="4" t="str">
        <f aca="false">IF(Raw_Fund_Import!$A90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90" s="4" t="str">
        <f aca="false">IF(Raw_Fund_Import!$A90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90" s="4" t="str">
        <f aca="false">IF(Raw_Fund_Import!$A90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90" s="43" t="str">
        <f aca="false">IF(Raw_Fund_Import!$A90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90" s="4" t="str">
        <f aca="false">IF(Raw_Fund_Import!$A90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90" s="4" t="str">
        <f aca="false">IF(Raw_Fund_Import!$A90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90" s="4" t="str">
        <f aca="false">IF(Raw_Fund_Import!$A90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90" s="4" t="str">
        <f aca="false">IF(Raw_Fund_Import!$A90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90" s="4" t="str">
        <f aca="false">IF(Raw_Fund_Import!$A90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90" s="4" t="str">
        <f aca="false">IF(Raw_Fund_Import!$A90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90" s="4" t="str">
        <f aca="false">IF(Raw_Fund_Import!$A90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90" s="4" t="str">
        <f aca="false">IF(Raw_Fund_Import!$A90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90" s="44" t="str">
        <f aca="false">IF(Raw_Fund_Import!$A90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90" s="44" t="str">
        <f aca="false">IF(Raw_Fund_Import!$A90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90" s="44" t="str">
        <f aca="false">IF(Raw_Fund_Import!$A90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90" s="44" t="str">
        <f aca="false">IF(Raw_Fund_Import!$A90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90" s="44" t="str">
        <f aca="false">IF(Raw_Fund_Import!$A90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90" s="44" t="str">
        <f aca="false">IF(Raw_Fund_Import!$A90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90" s="4" t="str">
        <f aca="false">IF(Raw_Fund_Import!$A90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90" s="4" t="str">
        <f aca="false">IF(Raw_Fund_Import!$A90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90" s="4" t="str">
        <f aca="false">IF(Raw_Fund_Import!$A90="","",IF(COUNTBLANK($A90:$X90)&gt;0,"CHECK","OK"))</f>
        <v/>
      </c>
    </row>
    <row r="91" customFormat="false" ht="15" hidden="false" customHeight="true" outlineLevel="0" collapsed="false">
      <c r="A91" s="4" t="str">
        <f aca="false">IF(Raw_Fund_Import!$A91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91" s="4" t="str">
        <f aca="false">IF(Raw_Fund_Import!$A91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91" s="4" t="str">
        <f aca="false">IF(Raw_Fund_Import!$A91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91" s="4" t="str">
        <f aca="false">IF(Raw_Fund_Import!$A91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91" s="4" t="str">
        <f aca="false">IF(Raw_Fund_Import!$A91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91" s="4" t="str">
        <f aca="false">IF(Raw_Fund_Import!$A91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91" s="4" t="str">
        <f aca="false">IF(Raw_Fund_Import!$A91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91" s="43" t="str">
        <f aca="false">IF(Raw_Fund_Import!$A91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91" s="4" t="str">
        <f aca="false">IF(Raw_Fund_Import!$A91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91" s="4" t="str">
        <f aca="false">IF(Raw_Fund_Import!$A91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91" s="4" t="str">
        <f aca="false">IF(Raw_Fund_Import!$A91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91" s="4" t="str">
        <f aca="false">IF(Raw_Fund_Import!$A91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91" s="4" t="str">
        <f aca="false">IF(Raw_Fund_Import!$A91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91" s="4" t="str">
        <f aca="false">IF(Raw_Fund_Import!$A91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91" s="4" t="str">
        <f aca="false">IF(Raw_Fund_Import!$A91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91" s="4" t="str">
        <f aca="false">IF(Raw_Fund_Import!$A91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91" s="44" t="str">
        <f aca="false">IF(Raw_Fund_Import!$A91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91" s="44" t="str">
        <f aca="false">IF(Raw_Fund_Import!$A91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91" s="44" t="str">
        <f aca="false">IF(Raw_Fund_Import!$A91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91" s="44" t="str">
        <f aca="false">IF(Raw_Fund_Import!$A91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91" s="44" t="str">
        <f aca="false">IF(Raw_Fund_Import!$A91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91" s="44" t="str">
        <f aca="false">IF(Raw_Fund_Import!$A91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91" s="4" t="str">
        <f aca="false">IF(Raw_Fund_Import!$A91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91" s="4" t="str">
        <f aca="false">IF(Raw_Fund_Import!$A91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91" s="4" t="str">
        <f aca="false">IF(Raw_Fund_Import!$A91="","",IF(COUNTBLANK($A91:$X91)&gt;0,"CHECK","OK"))</f>
        <v/>
      </c>
    </row>
    <row r="92" customFormat="false" ht="15" hidden="false" customHeight="true" outlineLevel="0" collapsed="false">
      <c r="A92" s="4" t="str">
        <f aca="false">IF(Raw_Fund_Import!$A92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92" s="4" t="str">
        <f aca="false">IF(Raw_Fund_Import!$A92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92" s="4" t="str">
        <f aca="false">IF(Raw_Fund_Import!$A92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92" s="4" t="str">
        <f aca="false">IF(Raw_Fund_Import!$A92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92" s="4" t="str">
        <f aca="false">IF(Raw_Fund_Import!$A92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92" s="4" t="str">
        <f aca="false">IF(Raw_Fund_Import!$A92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92" s="4" t="str">
        <f aca="false">IF(Raw_Fund_Import!$A92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92" s="43" t="str">
        <f aca="false">IF(Raw_Fund_Import!$A92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92" s="4" t="str">
        <f aca="false">IF(Raw_Fund_Import!$A92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92" s="4" t="str">
        <f aca="false">IF(Raw_Fund_Import!$A92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92" s="4" t="str">
        <f aca="false">IF(Raw_Fund_Import!$A92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92" s="4" t="str">
        <f aca="false">IF(Raw_Fund_Import!$A92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92" s="4" t="str">
        <f aca="false">IF(Raw_Fund_Import!$A92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92" s="4" t="str">
        <f aca="false">IF(Raw_Fund_Import!$A92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92" s="4" t="str">
        <f aca="false">IF(Raw_Fund_Import!$A92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92" s="4" t="str">
        <f aca="false">IF(Raw_Fund_Import!$A92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92" s="44" t="str">
        <f aca="false">IF(Raw_Fund_Import!$A92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92" s="44" t="str">
        <f aca="false">IF(Raw_Fund_Import!$A92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92" s="44" t="str">
        <f aca="false">IF(Raw_Fund_Import!$A92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92" s="44" t="str">
        <f aca="false">IF(Raw_Fund_Import!$A92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92" s="44" t="str">
        <f aca="false">IF(Raw_Fund_Import!$A92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92" s="44" t="str">
        <f aca="false">IF(Raw_Fund_Import!$A92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92" s="4" t="str">
        <f aca="false">IF(Raw_Fund_Import!$A92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92" s="4" t="str">
        <f aca="false">IF(Raw_Fund_Import!$A92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92" s="4" t="str">
        <f aca="false">IF(Raw_Fund_Import!$A92="","",IF(COUNTBLANK($A92:$X92)&gt;0,"CHECK","OK"))</f>
        <v/>
      </c>
    </row>
    <row r="93" customFormat="false" ht="15" hidden="false" customHeight="true" outlineLevel="0" collapsed="false">
      <c r="A93" s="4" t="str">
        <f aca="false">IF(Raw_Fund_Import!$A93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93" s="4" t="str">
        <f aca="false">IF(Raw_Fund_Import!$A93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93" s="4" t="str">
        <f aca="false">IF(Raw_Fund_Import!$A93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93" s="4" t="str">
        <f aca="false">IF(Raw_Fund_Import!$A93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93" s="4" t="str">
        <f aca="false">IF(Raw_Fund_Import!$A93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93" s="4" t="str">
        <f aca="false">IF(Raw_Fund_Import!$A93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93" s="4" t="str">
        <f aca="false">IF(Raw_Fund_Import!$A93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93" s="43" t="str">
        <f aca="false">IF(Raw_Fund_Import!$A93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93" s="4" t="str">
        <f aca="false">IF(Raw_Fund_Import!$A93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93" s="4" t="str">
        <f aca="false">IF(Raw_Fund_Import!$A93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93" s="4" t="str">
        <f aca="false">IF(Raw_Fund_Import!$A93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93" s="4" t="str">
        <f aca="false">IF(Raw_Fund_Import!$A93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93" s="4" t="str">
        <f aca="false">IF(Raw_Fund_Import!$A93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93" s="4" t="str">
        <f aca="false">IF(Raw_Fund_Import!$A93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93" s="4" t="str">
        <f aca="false">IF(Raw_Fund_Import!$A93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93" s="4" t="str">
        <f aca="false">IF(Raw_Fund_Import!$A93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93" s="44" t="str">
        <f aca="false">IF(Raw_Fund_Import!$A93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93" s="44" t="str">
        <f aca="false">IF(Raw_Fund_Import!$A93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93" s="44" t="str">
        <f aca="false">IF(Raw_Fund_Import!$A93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93" s="44" t="str">
        <f aca="false">IF(Raw_Fund_Import!$A93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93" s="44" t="str">
        <f aca="false">IF(Raw_Fund_Import!$A93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93" s="44" t="str">
        <f aca="false">IF(Raw_Fund_Import!$A93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93" s="4" t="str">
        <f aca="false">IF(Raw_Fund_Import!$A93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93" s="4" t="str">
        <f aca="false">IF(Raw_Fund_Import!$A93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93" s="4" t="str">
        <f aca="false">IF(Raw_Fund_Import!$A93="","",IF(COUNTBLANK($A93:$X93)&gt;0,"CHECK","OK"))</f>
        <v/>
      </c>
    </row>
    <row r="94" customFormat="false" ht="15" hidden="false" customHeight="true" outlineLevel="0" collapsed="false">
      <c r="A94" s="4" t="str">
        <f aca="false">IF(Raw_Fund_Import!$A94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94" s="4" t="str">
        <f aca="false">IF(Raw_Fund_Import!$A94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94" s="4" t="str">
        <f aca="false">IF(Raw_Fund_Import!$A94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94" s="4" t="str">
        <f aca="false">IF(Raw_Fund_Import!$A94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94" s="4" t="str">
        <f aca="false">IF(Raw_Fund_Import!$A94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94" s="4" t="str">
        <f aca="false">IF(Raw_Fund_Import!$A94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94" s="4" t="str">
        <f aca="false">IF(Raw_Fund_Import!$A94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94" s="43" t="str">
        <f aca="false">IF(Raw_Fund_Import!$A94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94" s="4" t="str">
        <f aca="false">IF(Raw_Fund_Import!$A94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94" s="4" t="str">
        <f aca="false">IF(Raw_Fund_Import!$A94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94" s="4" t="str">
        <f aca="false">IF(Raw_Fund_Import!$A94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94" s="4" t="str">
        <f aca="false">IF(Raw_Fund_Import!$A94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94" s="4" t="str">
        <f aca="false">IF(Raw_Fund_Import!$A94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94" s="4" t="str">
        <f aca="false">IF(Raw_Fund_Import!$A94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94" s="4" t="str">
        <f aca="false">IF(Raw_Fund_Import!$A94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94" s="4" t="str">
        <f aca="false">IF(Raw_Fund_Import!$A94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94" s="44" t="str">
        <f aca="false">IF(Raw_Fund_Import!$A94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94" s="44" t="str">
        <f aca="false">IF(Raw_Fund_Import!$A94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94" s="44" t="str">
        <f aca="false">IF(Raw_Fund_Import!$A94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94" s="44" t="str">
        <f aca="false">IF(Raw_Fund_Import!$A94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94" s="44" t="str">
        <f aca="false">IF(Raw_Fund_Import!$A94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94" s="44" t="str">
        <f aca="false">IF(Raw_Fund_Import!$A94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94" s="4" t="str">
        <f aca="false">IF(Raw_Fund_Import!$A94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94" s="4" t="str">
        <f aca="false">IF(Raw_Fund_Import!$A94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94" s="4" t="str">
        <f aca="false">IF(Raw_Fund_Import!$A94="","",IF(COUNTBLANK($A94:$X94)&gt;0,"CHECK","OK"))</f>
        <v/>
      </c>
    </row>
    <row r="95" customFormat="false" ht="15" hidden="false" customHeight="true" outlineLevel="0" collapsed="false">
      <c r="A95" s="4" t="str">
        <f aca="false">IF(Raw_Fund_Import!$A95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95" s="4" t="str">
        <f aca="false">IF(Raw_Fund_Import!$A95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95" s="4" t="str">
        <f aca="false">IF(Raw_Fund_Import!$A95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95" s="4" t="str">
        <f aca="false">IF(Raw_Fund_Import!$A95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95" s="4" t="str">
        <f aca="false">IF(Raw_Fund_Import!$A95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95" s="4" t="str">
        <f aca="false">IF(Raw_Fund_Import!$A95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95" s="4" t="str">
        <f aca="false">IF(Raw_Fund_Import!$A95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95" s="43" t="str">
        <f aca="false">IF(Raw_Fund_Import!$A95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95" s="4" t="str">
        <f aca="false">IF(Raw_Fund_Import!$A95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95" s="4" t="str">
        <f aca="false">IF(Raw_Fund_Import!$A95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95" s="4" t="str">
        <f aca="false">IF(Raw_Fund_Import!$A95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95" s="4" t="str">
        <f aca="false">IF(Raw_Fund_Import!$A95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95" s="4" t="str">
        <f aca="false">IF(Raw_Fund_Import!$A95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95" s="4" t="str">
        <f aca="false">IF(Raw_Fund_Import!$A95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95" s="4" t="str">
        <f aca="false">IF(Raw_Fund_Import!$A95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95" s="4" t="str">
        <f aca="false">IF(Raw_Fund_Import!$A95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95" s="44" t="str">
        <f aca="false">IF(Raw_Fund_Import!$A95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95" s="44" t="str">
        <f aca="false">IF(Raw_Fund_Import!$A95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95" s="44" t="str">
        <f aca="false">IF(Raw_Fund_Import!$A95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95" s="44" t="str">
        <f aca="false">IF(Raw_Fund_Import!$A95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95" s="44" t="str">
        <f aca="false">IF(Raw_Fund_Import!$A95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95" s="44" t="str">
        <f aca="false">IF(Raw_Fund_Import!$A95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95" s="4" t="str">
        <f aca="false">IF(Raw_Fund_Import!$A95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95" s="4" t="str">
        <f aca="false">IF(Raw_Fund_Import!$A95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95" s="4" t="str">
        <f aca="false">IF(Raw_Fund_Import!$A95="","",IF(COUNTBLANK($A95:$X95)&gt;0,"CHECK","OK"))</f>
        <v/>
      </c>
    </row>
    <row r="96" customFormat="false" ht="15" hidden="false" customHeight="true" outlineLevel="0" collapsed="false">
      <c r="A96" s="4" t="str">
        <f aca="false">IF(Raw_Fund_Import!$A96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96" s="4" t="str">
        <f aca="false">IF(Raw_Fund_Import!$A96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96" s="4" t="str">
        <f aca="false">IF(Raw_Fund_Import!$A96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96" s="4" t="str">
        <f aca="false">IF(Raw_Fund_Import!$A96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96" s="4" t="str">
        <f aca="false">IF(Raw_Fund_Import!$A96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96" s="4" t="str">
        <f aca="false">IF(Raw_Fund_Import!$A96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96" s="4" t="str">
        <f aca="false">IF(Raw_Fund_Import!$A96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96" s="43" t="str">
        <f aca="false">IF(Raw_Fund_Import!$A96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96" s="4" t="str">
        <f aca="false">IF(Raw_Fund_Import!$A96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96" s="4" t="str">
        <f aca="false">IF(Raw_Fund_Import!$A96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96" s="4" t="str">
        <f aca="false">IF(Raw_Fund_Import!$A96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96" s="4" t="str">
        <f aca="false">IF(Raw_Fund_Import!$A96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96" s="4" t="str">
        <f aca="false">IF(Raw_Fund_Import!$A96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96" s="4" t="str">
        <f aca="false">IF(Raw_Fund_Import!$A96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96" s="4" t="str">
        <f aca="false">IF(Raw_Fund_Import!$A96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96" s="4" t="str">
        <f aca="false">IF(Raw_Fund_Import!$A96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96" s="44" t="str">
        <f aca="false">IF(Raw_Fund_Import!$A96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96" s="44" t="str">
        <f aca="false">IF(Raw_Fund_Import!$A96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96" s="44" t="str">
        <f aca="false">IF(Raw_Fund_Import!$A96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96" s="44" t="str">
        <f aca="false">IF(Raw_Fund_Import!$A96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96" s="44" t="str">
        <f aca="false">IF(Raw_Fund_Import!$A96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96" s="44" t="str">
        <f aca="false">IF(Raw_Fund_Import!$A96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96" s="4" t="str">
        <f aca="false">IF(Raw_Fund_Import!$A96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96" s="4" t="str">
        <f aca="false">IF(Raw_Fund_Import!$A96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96" s="4" t="str">
        <f aca="false">IF(Raw_Fund_Import!$A96="","",IF(COUNTBLANK($A96:$X96)&gt;0,"CHECK","OK"))</f>
        <v/>
      </c>
    </row>
    <row r="97" customFormat="false" ht="15" hidden="false" customHeight="true" outlineLevel="0" collapsed="false">
      <c r="A97" s="4" t="str">
        <f aca="false">IF(Raw_Fund_Import!$A97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97" s="4" t="str">
        <f aca="false">IF(Raw_Fund_Import!$A97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97" s="4" t="str">
        <f aca="false">IF(Raw_Fund_Import!$A97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97" s="4" t="str">
        <f aca="false">IF(Raw_Fund_Import!$A97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97" s="4" t="str">
        <f aca="false">IF(Raw_Fund_Import!$A97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97" s="4" t="str">
        <f aca="false">IF(Raw_Fund_Import!$A97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97" s="4" t="str">
        <f aca="false">IF(Raw_Fund_Import!$A97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97" s="43" t="str">
        <f aca="false">IF(Raw_Fund_Import!$A97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97" s="4" t="str">
        <f aca="false">IF(Raw_Fund_Import!$A97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97" s="4" t="str">
        <f aca="false">IF(Raw_Fund_Import!$A97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97" s="4" t="str">
        <f aca="false">IF(Raw_Fund_Import!$A97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97" s="4" t="str">
        <f aca="false">IF(Raw_Fund_Import!$A97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97" s="4" t="str">
        <f aca="false">IF(Raw_Fund_Import!$A97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97" s="4" t="str">
        <f aca="false">IF(Raw_Fund_Import!$A97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97" s="4" t="str">
        <f aca="false">IF(Raw_Fund_Import!$A97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97" s="4" t="str">
        <f aca="false">IF(Raw_Fund_Import!$A97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97" s="44" t="str">
        <f aca="false">IF(Raw_Fund_Import!$A97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97" s="44" t="str">
        <f aca="false">IF(Raw_Fund_Import!$A97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97" s="44" t="str">
        <f aca="false">IF(Raw_Fund_Import!$A97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97" s="44" t="str">
        <f aca="false">IF(Raw_Fund_Import!$A97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97" s="44" t="str">
        <f aca="false">IF(Raw_Fund_Import!$A97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97" s="44" t="str">
        <f aca="false">IF(Raw_Fund_Import!$A97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97" s="4" t="str">
        <f aca="false">IF(Raw_Fund_Import!$A97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97" s="4" t="str">
        <f aca="false">IF(Raw_Fund_Import!$A97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97" s="4" t="str">
        <f aca="false">IF(Raw_Fund_Import!$A97="","",IF(COUNTBLANK($A97:$X97)&gt;0,"CHECK","OK"))</f>
        <v/>
      </c>
    </row>
    <row r="98" customFormat="false" ht="15" hidden="false" customHeight="true" outlineLevel="0" collapsed="false">
      <c r="A98" s="4" t="str">
        <f aca="false">IF(Raw_Fund_Import!$A98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98" s="4" t="str">
        <f aca="false">IF(Raw_Fund_Import!$A98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98" s="4" t="str">
        <f aca="false">IF(Raw_Fund_Import!$A98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98" s="4" t="str">
        <f aca="false">IF(Raw_Fund_Import!$A98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98" s="4" t="str">
        <f aca="false">IF(Raw_Fund_Import!$A98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98" s="4" t="str">
        <f aca="false">IF(Raw_Fund_Import!$A98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98" s="4" t="str">
        <f aca="false">IF(Raw_Fund_Import!$A98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98" s="43" t="str">
        <f aca="false">IF(Raw_Fund_Import!$A98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98" s="4" t="str">
        <f aca="false">IF(Raw_Fund_Import!$A98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98" s="4" t="str">
        <f aca="false">IF(Raw_Fund_Import!$A98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98" s="4" t="str">
        <f aca="false">IF(Raw_Fund_Import!$A98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98" s="4" t="str">
        <f aca="false">IF(Raw_Fund_Import!$A98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98" s="4" t="str">
        <f aca="false">IF(Raw_Fund_Import!$A98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98" s="4" t="str">
        <f aca="false">IF(Raw_Fund_Import!$A98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98" s="4" t="str">
        <f aca="false">IF(Raw_Fund_Import!$A98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98" s="4" t="str">
        <f aca="false">IF(Raw_Fund_Import!$A98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98" s="44" t="str">
        <f aca="false">IF(Raw_Fund_Import!$A98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98" s="44" t="str">
        <f aca="false">IF(Raw_Fund_Import!$A98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98" s="44" t="str">
        <f aca="false">IF(Raw_Fund_Import!$A98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98" s="44" t="str">
        <f aca="false">IF(Raw_Fund_Import!$A98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98" s="44" t="str">
        <f aca="false">IF(Raw_Fund_Import!$A98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98" s="44" t="str">
        <f aca="false">IF(Raw_Fund_Import!$A98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98" s="4" t="str">
        <f aca="false">IF(Raw_Fund_Import!$A98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98" s="4" t="str">
        <f aca="false">IF(Raw_Fund_Import!$A98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98" s="4" t="str">
        <f aca="false">IF(Raw_Fund_Import!$A98="","",IF(COUNTBLANK($A98:$X98)&gt;0,"CHECK","OK"))</f>
        <v/>
      </c>
    </row>
    <row r="99" customFormat="false" ht="15" hidden="false" customHeight="true" outlineLevel="0" collapsed="false">
      <c r="A99" s="4" t="str">
        <f aca="false">IF(Raw_Fund_Import!$A99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99" s="4" t="str">
        <f aca="false">IF(Raw_Fund_Import!$A99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99" s="4" t="str">
        <f aca="false">IF(Raw_Fund_Import!$A99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99" s="4" t="str">
        <f aca="false">IF(Raw_Fund_Import!$A99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99" s="4" t="str">
        <f aca="false">IF(Raw_Fund_Import!$A99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99" s="4" t="str">
        <f aca="false">IF(Raw_Fund_Import!$A99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99" s="4" t="str">
        <f aca="false">IF(Raw_Fund_Import!$A99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99" s="43" t="str">
        <f aca="false">IF(Raw_Fund_Import!$A99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99" s="4" t="str">
        <f aca="false">IF(Raw_Fund_Import!$A99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99" s="4" t="str">
        <f aca="false">IF(Raw_Fund_Import!$A99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99" s="4" t="str">
        <f aca="false">IF(Raw_Fund_Import!$A99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99" s="4" t="str">
        <f aca="false">IF(Raw_Fund_Import!$A99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99" s="4" t="str">
        <f aca="false">IF(Raw_Fund_Import!$A99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99" s="4" t="str">
        <f aca="false">IF(Raw_Fund_Import!$A99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99" s="4" t="str">
        <f aca="false">IF(Raw_Fund_Import!$A99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99" s="4" t="str">
        <f aca="false">IF(Raw_Fund_Import!$A99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99" s="44" t="str">
        <f aca="false">IF(Raw_Fund_Import!$A99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99" s="44" t="str">
        <f aca="false">IF(Raw_Fund_Import!$A99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99" s="44" t="str">
        <f aca="false">IF(Raw_Fund_Import!$A99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99" s="44" t="str">
        <f aca="false">IF(Raw_Fund_Import!$A99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99" s="44" t="str">
        <f aca="false">IF(Raw_Fund_Import!$A99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99" s="44" t="str">
        <f aca="false">IF(Raw_Fund_Import!$A99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99" s="4" t="str">
        <f aca="false">IF(Raw_Fund_Import!$A99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99" s="4" t="str">
        <f aca="false">IF(Raw_Fund_Import!$A99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99" s="4" t="str">
        <f aca="false">IF(Raw_Fund_Import!$A99="","",IF(COUNTBLANK($A99:$X99)&gt;0,"CHECK","OK"))</f>
        <v/>
      </c>
    </row>
    <row r="100" customFormat="false" ht="15" hidden="false" customHeight="true" outlineLevel="0" collapsed="false">
      <c r="A100" s="4" t="str">
        <f aca="false">IF(Raw_Fund_Import!$A100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00" s="4" t="str">
        <f aca="false">IF(Raw_Fund_Import!$A100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00" s="4" t="str">
        <f aca="false">IF(Raw_Fund_Import!$A100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00" s="4" t="str">
        <f aca="false">IF(Raw_Fund_Import!$A100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00" s="4" t="str">
        <f aca="false">IF(Raw_Fund_Import!$A100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00" s="4" t="str">
        <f aca="false">IF(Raw_Fund_Import!$A100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00" s="4" t="str">
        <f aca="false">IF(Raw_Fund_Import!$A100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00" s="43" t="str">
        <f aca="false">IF(Raw_Fund_Import!$A100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00" s="4" t="str">
        <f aca="false">IF(Raw_Fund_Import!$A100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00" s="4" t="str">
        <f aca="false">IF(Raw_Fund_Import!$A100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00" s="4" t="str">
        <f aca="false">IF(Raw_Fund_Import!$A100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00" s="4" t="str">
        <f aca="false">IF(Raw_Fund_Import!$A100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00" s="4" t="str">
        <f aca="false">IF(Raw_Fund_Import!$A100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00" s="4" t="str">
        <f aca="false">IF(Raw_Fund_Import!$A100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00" s="4" t="str">
        <f aca="false">IF(Raw_Fund_Import!$A100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00" s="4" t="str">
        <f aca="false">IF(Raw_Fund_Import!$A100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00" s="44" t="str">
        <f aca="false">IF(Raw_Fund_Import!$A100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00" s="44" t="str">
        <f aca="false">IF(Raw_Fund_Import!$A100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00" s="44" t="str">
        <f aca="false">IF(Raw_Fund_Import!$A100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00" s="44" t="str">
        <f aca="false">IF(Raw_Fund_Import!$A100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00" s="44" t="str">
        <f aca="false">IF(Raw_Fund_Import!$A100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00" s="44" t="str">
        <f aca="false">IF(Raw_Fund_Import!$A100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00" s="4" t="str">
        <f aca="false">IF(Raw_Fund_Import!$A100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00" s="4" t="str">
        <f aca="false">IF(Raw_Fund_Import!$A100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00" s="4" t="str">
        <f aca="false">IF(Raw_Fund_Import!$A100="","",IF(COUNTBLANK($A100:$X100)&gt;0,"CHECK","OK"))</f>
        <v/>
      </c>
    </row>
    <row r="101" customFormat="false" ht="15" hidden="false" customHeight="true" outlineLevel="0" collapsed="false">
      <c r="A101" s="4" t="str">
        <f aca="false">IF(Raw_Fund_Import!$A101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01" s="4" t="str">
        <f aca="false">IF(Raw_Fund_Import!$A101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01" s="4" t="str">
        <f aca="false">IF(Raw_Fund_Import!$A101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01" s="4" t="str">
        <f aca="false">IF(Raw_Fund_Import!$A101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01" s="4" t="str">
        <f aca="false">IF(Raw_Fund_Import!$A101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01" s="4" t="str">
        <f aca="false">IF(Raw_Fund_Import!$A101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01" s="4" t="str">
        <f aca="false">IF(Raw_Fund_Import!$A101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01" s="43" t="str">
        <f aca="false">IF(Raw_Fund_Import!$A101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01" s="4" t="str">
        <f aca="false">IF(Raw_Fund_Import!$A101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01" s="4" t="str">
        <f aca="false">IF(Raw_Fund_Import!$A101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01" s="4" t="str">
        <f aca="false">IF(Raw_Fund_Import!$A101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01" s="4" t="str">
        <f aca="false">IF(Raw_Fund_Import!$A101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01" s="4" t="str">
        <f aca="false">IF(Raw_Fund_Import!$A101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01" s="4" t="str">
        <f aca="false">IF(Raw_Fund_Import!$A101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01" s="4" t="str">
        <f aca="false">IF(Raw_Fund_Import!$A101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01" s="4" t="str">
        <f aca="false">IF(Raw_Fund_Import!$A101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01" s="44" t="str">
        <f aca="false">IF(Raw_Fund_Import!$A101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01" s="44" t="str">
        <f aca="false">IF(Raw_Fund_Import!$A101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01" s="44" t="str">
        <f aca="false">IF(Raw_Fund_Import!$A101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01" s="44" t="str">
        <f aca="false">IF(Raw_Fund_Import!$A101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01" s="44" t="str">
        <f aca="false">IF(Raw_Fund_Import!$A101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01" s="44" t="str">
        <f aca="false">IF(Raw_Fund_Import!$A101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01" s="4" t="str">
        <f aca="false">IF(Raw_Fund_Import!$A101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01" s="4" t="str">
        <f aca="false">IF(Raw_Fund_Import!$A101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01" s="4" t="str">
        <f aca="false">IF(Raw_Fund_Import!$A101="","",IF(COUNTBLANK($A101:$X101)&gt;0,"CHECK","OK"))</f>
        <v/>
      </c>
    </row>
    <row r="102" customFormat="false" ht="15" hidden="false" customHeight="true" outlineLevel="0" collapsed="false">
      <c r="A102" s="4" t="str">
        <f aca="false">IF(Raw_Fund_Import!$A102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02" s="4" t="str">
        <f aca="false">IF(Raw_Fund_Import!$A102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02" s="4" t="str">
        <f aca="false">IF(Raw_Fund_Import!$A102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02" s="4" t="str">
        <f aca="false">IF(Raw_Fund_Import!$A102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02" s="4" t="str">
        <f aca="false">IF(Raw_Fund_Import!$A102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02" s="4" t="str">
        <f aca="false">IF(Raw_Fund_Import!$A102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02" s="4" t="str">
        <f aca="false">IF(Raw_Fund_Import!$A102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02" s="43" t="str">
        <f aca="false">IF(Raw_Fund_Import!$A102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02" s="4" t="str">
        <f aca="false">IF(Raw_Fund_Import!$A102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02" s="4" t="str">
        <f aca="false">IF(Raw_Fund_Import!$A102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02" s="4" t="str">
        <f aca="false">IF(Raw_Fund_Import!$A102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02" s="4" t="str">
        <f aca="false">IF(Raw_Fund_Import!$A102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02" s="4" t="str">
        <f aca="false">IF(Raw_Fund_Import!$A102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02" s="4" t="str">
        <f aca="false">IF(Raw_Fund_Import!$A102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02" s="4" t="str">
        <f aca="false">IF(Raw_Fund_Import!$A102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02" s="4" t="str">
        <f aca="false">IF(Raw_Fund_Import!$A102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02" s="44" t="str">
        <f aca="false">IF(Raw_Fund_Import!$A102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02" s="44" t="str">
        <f aca="false">IF(Raw_Fund_Import!$A102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02" s="44" t="str">
        <f aca="false">IF(Raw_Fund_Import!$A102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02" s="44" t="str">
        <f aca="false">IF(Raw_Fund_Import!$A102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02" s="44" t="str">
        <f aca="false">IF(Raw_Fund_Import!$A102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02" s="44" t="str">
        <f aca="false">IF(Raw_Fund_Import!$A102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02" s="4" t="str">
        <f aca="false">IF(Raw_Fund_Import!$A102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02" s="4" t="str">
        <f aca="false">IF(Raw_Fund_Import!$A102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02" s="4" t="str">
        <f aca="false">IF(Raw_Fund_Import!$A102="","",IF(COUNTBLANK($A102:$X102)&gt;0,"CHECK","OK"))</f>
        <v/>
      </c>
    </row>
    <row r="103" customFormat="false" ht="15" hidden="false" customHeight="true" outlineLevel="0" collapsed="false">
      <c r="A103" s="4" t="str">
        <f aca="false">IF(Raw_Fund_Import!$A103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03" s="4" t="str">
        <f aca="false">IF(Raw_Fund_Import!$A103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03" s="4" t="str">
        <f aca="false">IF(Raw_Fund_Import!$A103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03" s="4" t="str">
        <f aca="false">IF(Raw_Fund_Import!$A103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03" s="4" t="str">
        <f aca="false">IF(Raw_Fund_Import!$A103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03" s="4" t="str">
        <f aca="false">IF(Raw_Fund_Import!$A103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03" s="4" t="str">
        <f aca="false">IF(Raw_Fund_Import!$A103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03" s="43" t="str">
        <f aca="false">IF(Raw_Fund_Import!$A103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03" s="4" t="str">
        <f aca="false">IF(Raw_Fund_Import!$A103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03" s="4" t="str">
        <f aca="false">IF(Raw_Fund_Import!$A103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03" s="4" t="str">
        <f aca="false">IF(Raw_Fund_Import!$A103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03" s="4" t="str">
        <f aca="false">IF(Raw_Fund_Import!$A103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03" s="4" t="str">
        <f aca="false">IF(Raw_Fund_Import!$A103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03" s="4" t="str">
        <f aca="false">IF(Raw_Fund_Import!$A103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03" s="4" t="str">
        <f aca="false">IF(Raw_Fund_Import!$A103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03" s="4" t="str">
        <f aca="false">IF(Raw_Fund_Import!$A103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03" s="44" t="str">
        <f aca="false">IF(Raw_Fund_Import!$A103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03" s="44" t="str">
        <f aca="false">IF(Raw_Fund_Import!$A103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03" s="44" t="str">
        <f aca="false">IF(Raw_Fund_Import!$A103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03" s="44" t="str">
        <f aca="false">IF(Raw_Fund_Import!$A103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03" s="44" t="str">
        <f aca="false">IF(Raw_Fund_Import!$A103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03" s="44" t="str">
        <f aca="false">IF(Raw_Fund_Import!$A103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03" s="4" t="str">
        <f aca="false">IF(Raw_Fund_Import!$A103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03" s="4" t="str">
        <f aca="false">IF(Raw_Fund_Import!$A103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03" s="4" t="str">
        <f aca="false">IF(Raw_Fund_Import!$A103="","",IF(COUNTBLANK($A103:$X103)&gt;0,"CHECK","OK"))</f>
        <v/>
      </c>
    </row>
    <row r="104" customFormat="false" ht="15" hidden="false" customHeight="true" outlineLevel="0" collapsed="false">
      <c r="A104" s="4" t="str">
        <f aca="false">IF(Raw_Fund_Import!$A104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04" s="4" t="str">
        <f aca="false">IF(Raw_Fund_Import!$A104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04" s="4" t="str">
        <f aca="false">IF(Raw_Fund_Import!$A104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04" s="4" t="str">
        <f aca="false">IF(Raw_Fund_Import!$A104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04" s="4" t="str">
        <f aca="false">IF(Raw_Fund_Import!$A104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04" s="4" t="str">
        <f aca="false">IF(Raw_Fund_Import!$A104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04" s="4" t="str">
        <f aca="false">IF(Raw_Fund_Import!$A104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04" s="43" t="str">
        <f aca="false">IF(Raw_Fund_Import!$A104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04" s="4" t="str">
        <f aca="false">IF(Raw_Fund_Import!$A104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04" s="4" t="str">
        <f aca="false">IF(Raw_Fund_Import!$A104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04" s="4" t="str">
        <f aca="false">IF(Raw_Fund_Import!$A104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04" s="4" t="str">
        <f aca="false">IF(Raw_Fund_Import!$A104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04" s="4" t="str">
        <f aca="false">IF(Raw_Fund_Import!$A104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04" s="4" t="str">
        <f aca="false">IF(Raw_Fund_Import!$A104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04" s="4" t="str">
        <f aca="false">IF(Raw_Fund_Import!$A104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04" s="4" t="str">
        <f aca="false">IF(Raw_Fund_Import!$A104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04" s="44" t="str">
        <f aca="false">IF(Raw_Fund_Import!$A104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04" s="44" t="str">
        <f aca="false">IF(Raw_Fund_Import!$A104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04" s="44" t="str">
        <f aca="false">IF(Raw_Fund_Import!$A104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04" s="44" t="str">
        <f aca="false">IF(Raw_Fund_Import!$A104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04" s="44" t="str">
        <f aca="false">IF(Raw_Fund_Import!$A104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04" s="44" t="str">
        <f aca="false">IF(Raw_Fund_Import!$A104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04" s="4" t="str">
        <f aca="false">IF(Raw_Fund_Import!$A104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04" s="4" t="str">
        <f aca="false">IF(Raw_Fund_Import!$A104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04" s="4" t="str">
        <f aca="false">IF(Raw_Fund_Import!$A104="","",IF(COUNTBLANK($A104:$X104)&gt;0,"CHECK","OK"))</f>
        <v/>
      </c>
    </row>
    <row r="105" customFormat="false" ht="15" hidden="false" customHeight="true" outlineLevel="0" collapsed="false">
      <c r="A105" s="4" t="str">
        <f aca="false">IF(Raw_Fund_Import!$A105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05" s="4" t="str">
        <f aca="false">IF(Raw_Fund_Import!$A105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05" s="4" t="str">
        <f aca="false">IF(Raw_Fund_Import!$A105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05" s="4" t="str">
        <f aca="false">IF(Raw_Fund_Import!$A105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05" s="4" t="str">
        <f aca="false">IF(Raw_Fund_Import!$A105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05" s="4" t="str">
        <f aca="false">IF(Raw_Fund_Import!$A105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05" s="4" t="str">
        <f aca="false">IF(Raw_Fund_Import!$A105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05" s="43" t="str">
        <f aca="false">IF(Raw_Fund_Import!$A105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05" s="4" t="str">
        <f aca="false">IF(Raw_Fund_Import!$A105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05" s="4" t="str">
        <f aca="false">IF(Raw_Fund_Import!$A105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05" s="4" t="str">
        <f aca="false">IF(Raw_Fund_Import!$A105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05" s="4" t="str">
        <f aca="false">IF(Raw_Fund_Import!$A105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05" s="4" t="str">
        <f aca="false">IF(Raw_Fund_Import!$A105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05" s="4" t="str">
        <f aca="false">IF(Raw_Fund_Import!$A105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05" s="4" t="str">
        <f aca="false">IF(Raw_Fund_Import!$A105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05" s="4" t="str">
        <f aca="false">IF(Raw_Fund_Import!$A105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05" s="44" t="str">
        <f aca="false">IF(Raw_Fund_Import!$A105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05" s="44" t="str">
        <f aca="false">IF(Raw_Fund_Import!$A105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05" s="44" t="str">
        <f aca="false">IF(Raw_Fund_Import!$A105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05" s="44" t="str">
        <f aca="false">IF(Raw_Fund_Import!$A105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05" s="44" t="str">
        <f aca="false">IF(Raw_Fund_Import!$A105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05" s="44" t="str">
        <f aca="false">IF(Raw_Fund_Import!$A105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05" s="4" t="str">
        <f aca="false">IF(Raw_Fund_Import!$A105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05" s="4" t="str">
        <f aca="false">IF(Raw_Fund_Import!$A105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05" s="4" t="str">
        <f aca="false">IF(Raw_Fund_Import!$A105="","",IF(COUNTBLANK($A105:$X105)&gt;0,"CHECK","OK"))</f>
        <v/>
      </c>
    </row>
    <row r="106" customFormat="false" ht="15" hidden="false" customHeight="true" outlineLevel="0" collapsed="false">
      <c r="A106" s="4" t="str">
        <f aca="false">IF(Raw_Fund_Import!$A106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06" s="4" t="str">
        <f aca="false">IF(Raw_Fund_Import!$A106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06" s="4" t="str">
        <f aca="false">IF(Raw_Fund_Import!$A106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06" s="4" t="str">
        <f aca="false">IF(Raw_Fund_Import!$A106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06" s="4" t="str">
        <f aca="false">IF(Raw_Fund_Import!$A106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06" s="4" t="str">
        <f aca="false">IF(Raw_Fund_Import!$A106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06" s="4" t="str">
        <f aca="false">IF(Raw_Fund_Import!$A106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06" s="43" t="str">
        <f aca="false">IF(Raw_Fund_Import!$A106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06" s="4" t="str">
        <f aca="false">IF(Raw_Fund_Import!$A106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06" s="4" t="str">
        <f aca="false">IF(Raw_Fund_Import!$A106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06" s="4" t="str">
        <f aca="false">IF(Raw_Fund_Import!$A106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06" s="4" t="str">
        <f aca="false">IF(Raw_Fund_Import!$A106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06" s="4" t="str">
        <f aca="false">IF(Raw_Fund_Import!$A106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06" s="4" t="str">
        <f aca="false">IF(Raw_Fund_Import!$A106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06" s="4" t="str">
        <f aca="false">IF(Raw_Fund_Import!$A106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06" s="4" t="str">
        <f aca="false">IF(Raw_Fund_Import!$A106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06" s="44" t="str">
        <f aca="false">IF(Raw_Fund_Import!$A106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06" s="44" t="str">
        <f aca="false">IF(Raw_Fund_Import!$A106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06" s="44" t="str">
        <f aca="false">IF(Raw_Fund_Import!$A106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06" s="44" t="str">
        <f aca="false">IF(Raw_Fund_Import!$A106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06" s="44" t="str">
        <f aca="false">IF(Raw_Fund_Import!$A106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06" s="44" t="str">
        <f aca="false">IF(Raw_Fund_Import!$A106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06" s="4" t="str">
        <f aca="false">IF(Raw_Fund_Import!$A106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06" s="4" t="str">
        <f aca="false">IF(Raw_Fund_Import!$A106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06" s="4" t="str">
        <f aca="false">IF(Raw_Fund_Import!$A106="","",IF(COUNTBLANK($A106:$X106)&gt;0,"CHECK","OK"))</f>
        <v/>
      </c>
    </row>
    <row r="107" customFormat="false" ht="15" hidden="false" customHeight="true" outlineLevel="0" collapsed="false">
      <c r="A107" s="4" t="str">
        <f aca="false">IF(Raw_Fund_Import!$A107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07" s="4" t="str">
        <f aca="false">IF(Raw_Fund_Import!$A107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07" s="4" t="str">
        <f aca="false">IF(Raw_Fund_Import!$A107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07" s="4" t="str">
        <f aca="false">IF(Raw_Fund_Import!$A107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07" s="4" t="str">
        <f aca="false">IF(Raw_Fund_Import!$A107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07" s="4" t="str">
        <f aca="false">IF(Raw_Fund_Import!$A107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07" s="4" t="str">
        <f aca="false">IF(Raw_Fund_Import!$A107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07" s="43" t="str">
        <f aca="false">IF(Raw_Fund_Import!$A107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07" s="4" t="str">
        <f aca="false">IF(Raw_Fund_Import!$A107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07" s="4" t="str">
        <f aca="false">IF(Raw_Fund_Import!$A107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07" s="4" t="str">
        <f aca="false">IF(Raw_Fund_Import!$A107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07" s="4" t="str">
        <f aca="false">IF(Raw_Fund_Import!$A107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07" s="4" t="str">
        <f aca="false">IF(Raw_Fund_Import!$A107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07" s="4" t="str">
        <f aca="false">IF(Raw_Fund_Import!$A107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07" s="4" t="str">
        <f aca="false">IF(Raw_Fund_Import!$A107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07" s="4" t="str">
        <f aca="false">IF(Raw_Fund_Import!$A107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07" s="44" t="str">
        <f aca="false">IF(Raw_Fund_Import!$A107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07" s="44" t="str">
        <f aca="false">IF(Raw_Fund_Import!$A107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07" s="44" t="str">
        <f aca="false">IF(Raw_Fund_Import!$A107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07" s="44" t="str">
        <f aca="false">IF(Raw_Fund_Import!$A107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07" s="44" t="str">
        <f aca="false">IF(Raw_Fund_Import!$A107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07" s="44" t="str">
        <f aca="false">IF(Raw_Fund_Import!$A107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07" s="4" t="str">
        <f aca="false">IF(Raw_Fund_Import!$A107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07" s="4" t="str">
        <f aca="false">IF(Raw_Fund_Import!$A107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07" s="4" t="str">
        <f aca="false">IF(Raw_Fund_Import!$A107="","",IF(COUNTBLANK($A107:$X107)&gt;0,"CHECK","OK"))</f>
        <v/>
      </c>
    </row>
    <row r="108" customFormat="false" ht="15" hidden="false" customHeight="true" outlineLevel="0" collapsed="false">
      <c r="A108" s="4" t="str">
        <f aca="false">IF(Raw_Fund_Import!$A108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08" s="4" t="str">
        <f aca="false">IF(Raw_Fund_Import!$A108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08" s="4" t="str">
        <f aca="false">IF(Raw_Fund_Import!$A108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08" s="4" t="str">
        <f aca="false">IF(Raw_Fund_Import!$A108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08" s="4" t="str">
        <f aca="false">IF(Raw_Fund_Import!$A108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08" s="4" t="str">
        <f aca="false">IF(Raw_Fund_Import!$A108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08" s="4" t="str">
        <f aca="false">IF(Raw_Fund_Import!$A108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08" s="43" t="str">
        <f aca="false">IF(Raw_Fund_Import!$A108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08" s="4" t="str">
        <f aca="false">IF(Raw_Fund_Import!$A108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08" s="4" t="str">
        <f aca="false">IF(Raw_Fund_Import!$A108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08" s="4" t="str">
        <f aca="false">IF(Raw_Fund_Import!$A108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08" s="4" t="str">
        <f aca="false">IF(Raw_Fund_Import!$A108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08" s="4" t="str">
        <f aca="false">IF(Raw_Fund_Import!$A108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08" s="4" t="str">
        <f aca="false">IF(Raw_Fund_Import!$A108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08" s="4" t="str">
        <f aca="false">IF(Raw_Fund_Import!$A108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08" s="4" t="str">
        <f aca="false">IF(Raw_Fund_Import!$A108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08" s="44" t="str">
        <f aca="false">IF(Raw_Fund_Import!$A108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08" s="44" t="str">
        <f aca="false">IF(Raw_Fund_Import!$A108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08" s="44" t="str">
        <f aca="false">IF(Raw_Fund_Import!$A108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08" s="44" t="str">
        <f aca="false">IF(Raw_Fund_Import!$A108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08" s="44" t="str">
        <f aca="false">IF(Raw_Fund_Import!$A108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08" s="44" t="str">
        <f aca="false">IF(Raw_Fund_Import!$A108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08" s="4" t="str">
        <f aca="false">IF(Raw_Fund_Import!$A108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08" s="4" t="str">
        <f aca="false">IF(Raw_Fund_Import!$A108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08" s="4" t="str">
        <f aca="false">IF(Raw_Fund_Import!$A108="","",IF(COUNTBLANK($A108:$X108)&gt;0,"CHECK","OK"))</f>
        <v/>
      </c>
    </row>
    <row r="109" customFormat="false" ht="15" hidden="false" customHeight="true" outlineLevel="0" collapsed="false">
      <c r="A109" s="4" t="str">
        <f aca="false">IF(Raw_Fund_Import!$A109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09" s="4" t="str">
        <f aca="false">IF(Raw_Fund_Import!$A109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09" s="4" t="str">
        <f aca="false">IF(Raw_Fund_Import!$A109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09" s="4" t="str">
        <f aca="false">IF(Raw_Fund_Import!$A109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09" s="4" t="str">
        <f aca="false">IF(Raw_Fund_Import!$A109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09" s="4" t="str">
        <f aca="false">IF(Raw_Fund_Import!$A109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09" s="4" t="str">
        <f aca="false">IF(Raw_Fund_Import!$A109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09" s="43" t="str">
        <f aca="false">IF(Raw_Fund_Import!$A109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09" s="4" t="str">
        <f aca="false">IF(Raw_Fund_Import!$A109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09" s="4" t="str">
        <f aca="false">IF(Raw_Fund_Import!$A109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09" s="4" t="str">
        <f aca="false">IF(Raw_Fund_Import!$A109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09" s="4" t="str">
        <f aca="false">IF(Raw_Fund_Import!$A109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09" s="4" t="str">
        <f aca="false">IF(Raw_Fund_Import!$A109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09" s="4" t="str">
        <f aca="false">IF(Raw_Fund_Import!$A109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09" s="4" t="str">
        <f aca="false">IF(Raw_Fund_Import!$A109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09" s="4" t="str">
        <f aca="false">IF(Raw_Fund_Import!$A109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09" s="44" t="str">
        <f aca="false">IF(Raw_Fund_Import!$A109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09" s="44" t="str">
        <f aca="false">IF(Raw_Fund_Import!$A109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09" s="44" t="str">
        <f aca="false">IF(Raw_Fund_Import!$A109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09" s="44" t="str">
        <f aca="false">IF(Raw_Fund_Import!$A109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09" s="44" t="str">
        <f aca="false">IF(Raw_Fund_Import!$A109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09" s="44" t="str">
        <f aca="false">IF(Raw_Fund_Import!$A109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09" s="4" t="str">
        <f aca="false">IF(Raw_Fund_Import!$A109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09" s="4" t="str">
        <f aca="false">IF(Raw_Fund_Import!$A109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09" s="4" t="str">
        <f aca="false">IF(Raw_Fund_Import!$A109="","",IF(COUNTBLANK($A109:$X109)&gt;0,"CHECK","OK"))</f>
        <v/>
      </c>
    </row>
    <row r="110" customFormat="false" ht="15" hidden="false" customHeight="true" outlineLevel="0" collapsed="false">
      <c r="A110" s="4" t="str">
        <f aca="false">IF(Raw_Fund_Import!$A110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10" s="4" t="str">
        <f aca="false">IF(Raw_Fund_Import!$A110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10" s="4" t="str">
        <f aca="false">IF(Raw_Fund_Import!$A110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10" s="4" t="str">
        <f aca="false">IF(Raw_Fund_Import!$A110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10" s="4" t="str">
        <f aca="false">IF(Raw_Fund_Import!$A110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10" s="4" t="str">
        <f aca="false">IF(Raw_Fund_Import!$A110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10" s="4" t="str">
        <f aca="false">IF(Raw_Fund_Import!$A110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10" s="43" t="str">
        <f aca="false">IF(Raw_Fund_Import!$A110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10" s="4" t="str">
        <f aca="false">IF(Raw_Fund_Import!$A110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10" s="4" t="str">
        <f aca="false">IF(Raw_Fund_Import!$A110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10" s="4" t="str">
        <f aca="false">IF(Raw_Fund_Import!$A110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10" s="4" t="str">
        <f aca="false">IF(Raw_Fund_Import!$A110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10" s="4" t="str">
        <f aca="false">IF(Raw_Fund_Import!$A110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10" s="4" t="str">
        <f aca="false">IF(Raw_Fund_Import!$A110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10" s="4" t="str">
        <f aca="false">IF(Raw_Fund_Import!$A110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10" s="4" t="str">
        <f aca="false">IF(Raw_Fund_Import!$A110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10" s="44" t="str">
        <f aca="false">IF(Raw_Fund_Import!$A110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10" s="44" t="str">
        <f aca="false">IF(Raw_Fund_Import!$A110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10" s="44" t="str">
        <f aca="false">IF(Raw_Fund_Import!$A110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10" s="44" t="str">
        <f aca="false">IF(Raw_Fund_Import!$A110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10" s="44" t="str">
        <f aca="false">IF(Raw_Fund_Import!$A110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10" s="44" t="str">
        <f aca="false">IF(Raw_Fund_Import!$A110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10" s="4" t="str">
        <f aca="false">IF(Raw_Fund_Import!$A110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10" s="4" t="str">
        <f aca="false">IF(Raw_Fund_Import!$A110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10" s="4" t="str">
        <f aca="false">IF(Raw_Fund_Import!$A110="","",IF(COUNTBLANK($A110:$X110)&gt;0,"CHECK","OK"))</f>
        <v/>
      </c>
    </row>
    <row r="111" customFormat="false" ht="15" hidden="false" customHeight="true" outlineLevel="0" collapsed="false">
      <c r="A111" s="4" t="str">
        <f aca="false">IF(Raw_Fund_Import!$A111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11" s="4" t="str">
        <f aca="false">IF(Raw_Fund_Import!$A111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11" s="4" t="str">
        <f aca="false">IF(Raw_Fund_Import!$A111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11" s="4" t="str">
        <f aca="false">IF(Raw_Fund_Import!$A111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11" s="4" t="str">
        <f aca="false">IF(Raw_Fund_Import!$A111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11" s="4" t="str">
        <f aca="false">IF(Raw_Fund_Import!$A111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11" s="4" t="str">
        <f aca="false">IF(Raw_Fund_Import!$A111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11" s="43" t="str">
        <f aca="false">IF(Raw_Fund_Import!$A111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11" s="4" t="str">
        <f aca="false">IF(Raw_Fund_Import!$A111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11" s="4" t="str">
        <f aca="false">IF(Raw_Fund_Import!$A111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11" s="4" t="str">
        <f aca="false">IF(Raw_Fund_Import!$A111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11" s="4" t="str">
        <f aca="false">IF(Raw_Fund_Import!$A111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11" s="4" t="str">
        <f aca="false">IF(Raw_Fund_Import!$A111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11" s="4" t="str">
        <f aca="false">IF(Raw_Fund_Import!$A111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11" s="4" t="str">
        <f aca="false">IF(Raw_Fund_Import!$A111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11" s="4" t="str">
        <f aca="false">IF(Raw_Fund_Import!$A111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11" s="44" t="str">
        <f aca="false">IF(Raw_Fund_Import!$A111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11" s="44" t="str">
        <f aca="false">IF(Raw_Fund_Import!$A111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11" s="44" t="str">
        <f aca="false">IF(Raw_Fund_Import!$A111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11" s="44" t="str">
        <f aca="false">IF(Raw_Fund_Import!$A111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11" s="44" t="str">
        <f aca="false">IF(Raw_Fund_Import!$A111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11" s="44" t="str">
        <f aca="false">IF(Raw_Fund_Import!$A111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11" s="4" t="str">
        <f aca="false">IF(Raw_Fund_Import!$A111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11" s="4" t="str">
        <f aca="false">IF(Raw_Fund_Import!$A111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11" s="4" t="str">
        <f aca="false">IF(Raw_Fund_Import!$A111="","",IF(COUNTBLANK($A111:$X111)&gt;0,"CHECK","OK"))</f>
        <v/>
      </c>
    </row>
    <row r="112" customFormat="false" ht="15" hidden="false" customHeight="true" outlineLevel="0" collapsed="false">
      <c r="A112" s="4" t="str">
        <f aca="false">IF(Raw_Fund_Import!$A112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12" s="4" t="str">
        <f aca="false">IF(Raw_Fund_Import!$A112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12" s="4" t="str">
        <f aca="false">IF(Raw_Fund_Import!$A112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12" s="4" t="str">
        <f aca="false">IF(Raw_Fund_Import!$A112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12" s="4" t="str">
        <f aca="false">IF(Raw_Fund_Import!$A112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12" s="4" t="str">
        <f aca="false">IF(Raw_Fund_Import!$A112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12" s="4" t="str">
        <f aca="false">IF(Raw_Fund_Import!$A112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12" s="43" t="str">
        <f aca="false">IF(Raw_Fund_Import!$A112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12" s="4" t="str">
        <f aca="false">IF(Raw_Fund_Import!$A112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12" s="4" t="str">
        <f aca="false">IF(Raw_Fund_Import!$A112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12" s="4" t="str">
        <f aca="false">IF(Raw_Fund_Import!$A112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12" s="4" t="str">
        <f aca="false">IF(Raw_Fund_Import!$A112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12" s="4" t="str">
        <f aca="false">IF(Raw_Fund_Import!$A112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12" s="4" t="str">
        <f aca="false">IF(Raw_Fund_Import!$A112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12" s="4" t="str">
        <f aca="false">IF(Raw_Fund_Import!$A112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12" s="4" t="str">
        <f aca="false">IF(Raw_Fund_Import!$A112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12" s="44" t="str">
        <f aca="false">IF(Raw_Fund_Import!$A112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12" s="44" t="str">
        <f aca="false">IF(Raw_Fund_Import!$A112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12" s="44" t="str">
        <f aca="false">IF(Raw_Fund_Import!$A112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12" s="44" t="str">
        <f aca="false">IF(Raw_Fund_Import!$A112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12" s="44" t="str">
        <f aca="false">IF(Raw_Fund_Import!$A112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12" s="44" t="str">
        <f aca="false">IF(Raw_Fund_Import!$A112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12" s="4" t="str">
        <f aca="false">IF(Raw_Fund_Import!$A112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12" s="4" t="str">
        <f aca="false">IF(Raw_Fund_Import!$A112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12" s="4" t="str">
        <f aca="false">IF(Raw_Fund_Import!$A112="","",IF(COUNTBLANK($A112:$X112)&gt;0,"CHECK","OK"))</f>
        <v/>
      </c>
    </row>
    <row r="113" customFormat="false" ht="15" hidden="false" customHeight="true" outlineLevel="0" collapsed="false">
      <c r="A113" s="4" t="str">
        <f aca="false">IF(Raw_Fund_Import!$A113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13" s="4" t="str">
        <f aca="false">IF(Raw_Fund_Import!$A113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13" s="4" t="str">
        <f aca="false">IF(Raw_Fund_Import!$A113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13" s="4" t="str">
        <f aca="false">IF(Raw_Fund_Import!$A113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13" s="4" t="str">
        <f aca="false">IF(Raw_Fund_Import!$A113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13" s="4" t="str">
        <f aca="false">IF(Raw_Fund_Import!$A113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13" s="4" t="str">
        <f aca="false">IF(Raw_Fund_Import!$A113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13" s="43" t="str">
        <f aca="false">IF(Raw_Fund_Import!$A113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13" s="4" t="str">
        <f aca="false">IF(Raw_Fund_Import!$A113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13" s="4" t="str">
        <f aca="false">IF(Raw_Fund_Import!$A113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13" s="4" t="str">
        <f aca="false">IF(Raw_Fund_Import!$A113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13" s="4" t="str">
        <f aca="false">IF(Raw_Fund_Import!$A113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13" s="4" t="str">
        <f aca="false">IF(Raw_Fund_Import!$A113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13" s="4" t="str">
        <f aca="false">IF(Raw_Fund_Import!$A113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13" s="4" t="str">
        <f aca="false">IF(Raw_Fund_Import!$A113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13" s="4" t="str">
        <f aca="false">IF(Raw_Fund_Import!$A113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13" s="44" t="str">
        <f aca="false">IF(Raw_Fund_Import!$A113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13" s="44" t="str">
        <f aca="false">IF(Raw_Fund_Import!$A113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13" s="44" t="str">
        <f aca="false">IF(Raw_Fund_Import!$A113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13" s="44" t="str">
        <f aca="false">IF(Raw_Fund_Import!$A113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13" s="44" t="str">
        <f aca="false">IF(Raw_Fund_Import!$A113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13" s="44" t="str">
        <f aca="false">IF(Raw_Fund_Import!$A113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13" s="4" t="str">
        <f aca="false">IF(Raw_Fund_Import!$A113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13" s="4" t="str">
        <f aca="false">IF(Raw_Fund_Import!$A113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13" s="4" t="str">
        <f aca="false">IF(Raw_Fund_Import!$A113="","",IF(COUNTBLANK($A113:$X113)&gt;0,"CHECK","OK"))</f>
        <v/>
      </c>
    </row>
    <row r="114" customFormat="false" ht="15" hidden="false" customHeight="true" outlineLevel="0" collapsed="false">
      <c r="A114" s="4" t="str">
        <f aca="false">IF(Raw_Fund_Import!$A114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14" s="4" t="str">
        <f aca="false">IF(Raw_Fund_Import!$A114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14" s="4" t="str">
        <f aca="false">IF(Raw_Fund_Import!$A114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14" s="4" t="str">
        <f aca="false">IF(Raw_Fund_Import!$A114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14" s="4" t="str">
        <f aca="false">IF(Raw_Fund_Import!$A114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14" s="4" t="str">
        <f aca="false">IF(Raw_Fund_Import!$A114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14" s="4" t="str">
        <f aca="false">IF(Raw_Fund_Import!$A114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14" s="43" t="str">
        <f aca="false">IF(Raw_Fund_Import!$A114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14" s="4" t="str">
        <f aca="false">IF(Raw_Fund_Import!$A114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14" s="4" t="str">
        <f aca="false">IF(Raw_Fund_Import!$A114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14" s="4" t="str">
        <f aca="false">IF(Raw_Fund_Import!$A114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14" s="4" t="str">
        <f aca="false">IF(Raw_Fund_Import!$A114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14" s="4" t="str">
        <f aca="false">IF(Raw_Fund_Import!$A114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14" s="4" t="str">
        <f aca="false">IF(Raw_Fund_Import!$A114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14" s="4" t="str">
        <f aca="false">IF(Raw_Fund_Import!$A114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14" s="4" t="str">
        <f aca="false">IF(Raw_Fund_Import!$A114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14" s="44" t="str">
        <f aca="false">IF(Raw_Fund_Import!$A114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14" s="44" t="str">
        <f aca="false">IF(Raw_Fund_Import!$A114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14" s="44" t="str">
        <f aca="false">IF(Raw_Fund_Import!$A114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14" s="44" t="str">
        <f aca="false">IF(Raw_Fund_Import!$A114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14" s="44" t="str">
        <f aca="false">IF(Raw_Fund_Import!$A114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14" s="44" t="str">
        <f aca="false">IF(Raw_Fund_Import!$A114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14" s="4" t="str">
        <f aca="false">IF(Raw_Fund_Import!$A114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14" s="4" t="str">
        <f aca="false">IF(Raw_Fund_Import!$A114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14" s="4" t="str">
        <f aca="false">IF(Raw_Fund_Import!$A114="","",IF(COUNTBLANK($A114:$X114)&gt;0,"CHECK","OK"))</f>
        <v/>
      </c>
    </row>
    <row r="115" customFormat="false" ht="15" hidden="false" customHeight="true" outlineLevel="0" collapsed="false">
      <c r="A115" s="4" t="str">
        <f aca="false">IF(Raw_Fund_Import!$A115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15" s="4" t="str">
        <f aca="false">IF(Raw_Fund_Import!$A115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15" s="4" t="str">
        <f aca="false">IF(Raw_Fund_Import!$A115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15" s="4" t="str">
        <f aca="false">IF(Raw_Fund_Import!$A115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15" s="4" t="str">
        <f aca="false">IF(Raw_Fund_Import!$A115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15" s="4" t="str">
        <f aca="false">IF(Raw_Fund_Import!$A115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15" s="4" t="str">
        <f aca="false">IF(Raw_Fund_Import!$A115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15" s="43" t="str">
        <f aca="false">IF(Raw_Fund_Import!$A115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15" s="4" t="str">
        <f aca="false">IF(Raw_Fund_Import!$A115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15" s="4" t="str">
        <f aca="false">IF(Raw_Fund_Import!$A115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15" s="4" t="str">
        <f aca="false">IF(Raw_Fund_Import!$A115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15" s="4" t="str">
        <f aca="false">IF(Raw_Fund_Import!$A115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15" s="4" t="str">
        <f aca="false">IF(Raw_Fund_Import!$A115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15" s="4" t="str">
        <f aca="false">IF(Raw_Fund_Import!$A115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15" s="4" t="str">
        <f aca="false">IF(Raw_Fund_Import!$A115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15" s="4" t="str">
        <f aca="false">IF(Raw_Fund_Import!$A115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15" s="44" t="str">
        <f aca="false">IF(Raw_Fund_Import!$A115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15" s="44" t="str">
        <f aca="false">IF(Raw_Fund_Import!$A115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15" s="44" t="str">
        <f aca="false">IF(Raw_Fund_Import!$A115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15" s="44" t="str">
        <f aca="false">IF(Raw_Fund_Import!$A115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15" s="44" t="str">
        <f aca="false">IF(Raw_Fund_Import!$A115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15" s="44" t="str">
        <f aca="false">IF(Raw_Fund_Import!$A115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15" s="4" t="str">
        <f aca="false">IF(Raw_Fund_Import!$A115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15" s="4" t="str">
        <f aca="false">IF(Raw_Fund_Import!$A115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15" s="4" t="str">
        <f aca="false">IF(Raw_Fund_Import!$A115="","",IF(COUNTBLANK($A115:$X115)&gt;0,"CHECK","OK"))</f>
        <v/>
      </c>
    </row>
    <row r="116" customFormat="false" ht="15" hidden="false" customHeight="true" outlineLevel="0" collapsed="false">
      <c r="A116" s="4" t="str">
        <f aca="false">IF(Raw_Fund_Import!$A116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16" s="4" t="str">
        <f aca="false">IF(Raw_Fund_Import!$A116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16" s="4" t="str">
        <f aca="false">IF(Raw_Fund_Import!$A116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16" s="4" t="str">
        <f aca="false">IF(Raw_Fund_Import!$A116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16" s="4" t="str">
        <f aca="false">IF(Raw_Fund_Import!$A116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16" s="4" t="str">
        <f aca="false">IF(Raw_Fund_Import!$A116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16" s="4" t="str">
        <f aca="false">IF(Raw_Fund_Import!$A116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16" s="43" t="str">
        <f aca="false">IF(Raw_Fund_Import!$A116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16" s="4" t="str">
        <f aca="false">IF(Raw_Fund_Import!$A116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16" s="4" t="str">
        <f aca="false">IF(Raw_Fund_Import!$A116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16" s="4" t="str">
        <f aca="false">IF(Raw_Fund_Import!$A116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16" s="4" t="str">
        <f aca="false">IF(Raw_Fund_Import!$A116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16" s="4" t="str">
        <f aca="false">IF(Raw_Fund_Import!$A116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16" s="4" t="str">
        <f aca="false">IF(Raw_Fund_Import!$A116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16" s="4" t="str">
        <f aca="false">IF(Raw_Fund_Import!$A116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16" s="4" t="str">
        <f aca="false">IF(Raw_Fund_Import!$A116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16" s="44" t="str">
        <f aca="false">IF(Raw_Fund_Import!$A116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16" s="44" t="str">
        <f aca="false">IF(Raw_Fund_Import!$A116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16" s="44" t="str">
        <f aca="false">IF(Raw_Fund_Import!$A116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16" s="44" t="str">
        <f aca="false">IF(Raw_Fund_Import!$A116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16" s="44" t="str">
        <f aca="false">IF(Raw_Fund_Import!$A116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16" s="44" t="str">
        <f aca="false">IF(Raw_Fund_Import!$A116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16" s="4" t="str">
        <f aca="false">IF(Raw_Fund_Import!$A116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16" s="4" t="str">
        <f aca="false">IF(Raw_Fund_Import!$A116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16" s="4" t="str">
        <f aca="false">IF(Raw_Fund_Import!$A116="","",IF(COUNTBLANK($A116:$X116)&gt;0,"CHECK","OK"))</f>
        <v/>
      </c>
    </row>
    <row r="117" customFormat="false" ht="15" hidden="false" customHeight="true" outlineLevel="0" collapsed="false">
      <c r="A117" s="4" t="str">
        <f aca="false">IF(Raw_Fund_Import!$A117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17" s="4" t="str">
        <f aca="false">IF(Raw_Fund_Import!$A117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17" s="4" t="str">
        <f aca="false">IF(Raw_Fund_Import!$A117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17" s="4" t="str">
        <f aca="false">IF(Raw_Fund_Import!$A117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17" s="4" t="str">
        <f aca="false">IF(Raw_Fund_Import!$A117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17" s="4" t="str">
        <f aca="false">IF(Raw_Fund_Import!$A117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17" s="4" t="str">
        <f aca="false">IF(Raw_Fund_Import!$A117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17" s="43" t="str">
        <f aca="false">IF(Raw_Fund_Import!$A117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17" s="4" t="str">
        <f aca="false">IF(Raw_Fund_Import!$A117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17" s="4" t="str">
        <f aca="false">IF(Raw_Fund_Import!$A117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17" s="4" t="str">
        <f aca="false">IF(Raw_Fund_Import!$A117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17" s="4" t="str">
        <f aca="false">IF(Raw_Fund_Import!$A117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17" s="4" t="str">
        <f aca="false">IF(Raw_Fund_Import!$A117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17" s="4" t="str">
        <f aca="false">IF(Raw_Fund_Import!$A117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17" s="4" t="str">
        <f aca="false">IF(Raw_Fund_Import!$A117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17" s="4" t="str">
        <f aca="false">IF(Raw_Fund_Import!$A117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17" s="44" t="str">
        <f aca="false">IF(Raw_Fund_Import!$A117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17" s="44" t="str">
        <f aca="false">IF(Raw_Fund_Import!$A117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17" s="44" t="str">
        <f aca="false">IF(Raw_Fund_Import!$A117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17" s="44" t="str">
        <f aca="false">IF(Raw_Fund_Import!$A117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17" s="44" t="str">
        <f aca="false">IF(Raw_Fund_Import!$A117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17" s="44" t="str">
        <f aca="false">IF(Raw_Fund_Import!$A117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17" s="4" t="str">
        <f aca="false">IF(Raw_Fund_Import!$A117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17" s="4" t="str">
        <f aca="false">IF(Raw_Fund_Import!$A117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17" s="4" t="str">
        <f aca="false">IF(Raw_Fund_Import!$A117="","",IF(COUNTBLANK($A117:$X117)&gt;0,"CHECK","OK"))</f>
        <v/>
      </c>
    </row>
    <row r="118" customFormat="false" ht="15" hidden="false" customHeight="true" outlineLevel="0" collapsed="false">
      <c r="A118" s="4" t="str">
        <f aca="false">IF(Raw_Fund_Import!$A118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18" s="4" t="str">
        <f aca="false">IF(Raw_Fund_Import!$A118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18" s="4" t="str">
        <f aca="false">IF(Raw_Fund_Import!$A118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18" s="4" t="str">
        <f aca="false">IF(Raw_Fund_Import!$A118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18" s="4" t="str">
        <f aca="false">IF(Raw_Fund_Import!$A118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18" s="4" t="str">
        <f aca="false">IF(Raw_Fund_Import!$A118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18" s="4" t="str">
        <f aca="false">IF(Raw_Fund_Import!$A118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18" s="43" t="str">
        <f aca="false">IF(Raw_Fund_Import!$A118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18" s="4" t="str">
        <f aca="false">IF(Raw_Fund_Import!$A118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18" s="4" t="str">
        <f aca="false">IF(Raw_Fund_Import!$A118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18" s="4" t="str">
        <f aca="false">IF(Raw_Fund_Import!$A118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18" s="4" t="str">
        <f aca="false">IF(Raw_Fund_Import!$A118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18" s="4" t="str">
        <f aca="false">IF(Raw_Fund_Import!$A118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18" s="4" t="str">
        <f aca="false">IF(Raw_Fund_Import!$A118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18" s="4" t="str">
        <f aca="false">IF(Raw_Fund_Import!$A118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18" s="4" t="str">
        <f aca="false">IF(Raw_Fund_Import!$A118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18" s="44" t="str">
        <f aca="false">IF(Raw_Fund_Import!$A118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18" s="44" t="str">
        <f aca="false">IF(Raw_Fund_Import!$A118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18" s="44" t="str">
        <f aca="false">IF(Raw_Fund_Import!$A118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18" s="44" t="str">
        <f aca="false">IF(Raw_Fund_Import!$A118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18" s="44" t="str">
        <f aca="false">IF(Raw_Fund_Import!$A118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18" s="44" t="str">
        <f aca="false">IF(Raw_Fund_Import!$A118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18" s="4" t="str">
        <f aca="false">IF(Raw_Fund_Import!$A118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18" s="4" t="str">
        <f aca="false">IF(Raw_Fund_Import!$A118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18" s="4" t="str">
        <f aca="false">IF(Raw_Fund_Import!$A118="","",IF(COUNTBLANK($A118:$X118)&gt;0,"CHECK","OK"))</f>
        <v/>
      </c>
    </row>
    <row r="119" customFormat="false" ht="15" hidden="false" customHeight="true" outlineLevel="0" collapsed="false">
      <c r="A119" s="4" t="str">
        <f aca="false">IF(Raw_Fund_Import!$A119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19" s="4" t="str">
        <f aca="false">IF(Raw_Fund_Import!$A119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19" s="4" t="str">
        <f aca="false">IF(Raw_Fund_Import!$A119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19" s="4" t="str">
        <f aca="false">IF(Raw_Fund_Import!$A119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19" s="4" t="str">
        <f aca="false">IF(Raw_Fund_Import!$A119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19" s="4" t="str">
        <f aca="false">IF(Raw_Fund_Import!$A119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19" s="4" t="str">
        <f aca="false">IF(Raw_Fund_Import!$A119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19" s="43" t="str">
        <f aca="false">IF(Raw_Fund_Import!$A119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19" s="4" t="str">
        <f aca="false">IF(Raw_Fund_Import!$A119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19" s="4" t="str">
        <f aca="false">IF(Raw_Fund_Import!$A119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19" s="4" t="str">
        <f aca="false">IF(Raw_Fund_Import!$A119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19" s="4" t="str">
        <f aca="false">IF(Raw_Fund_Import!$A119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19" s="4" t="str">
        <f aca="false">IF(Raw_Fund_Import!$A119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19" s="4" t="str">
        <f aca="false">IF(Raw_Fund_Import!$A119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19" s="4" t="str">
        <f aca="false">IF(Raw_Fund_Import!$A119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19" s="4" t="str">
        <f aca="false">IF(Raw_Fund_Import!$A119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19" s="44" t="str">
        <f aca="false">IF(Raw_Fund_Import!$A119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19" s="44" t="str">
        <f aca="false">IF(Raw_Fund_Import!$A119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19" s="44" t="str">
        <f aca="false">IF(Raw_Fund_Import!$A119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19" s="44" t="str">
        <f aca="false">IF(Raw_Fund_Import!$A119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19" s="44" t="str">
        <f aca="false">IF(Raw_Fund_Import!$A119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19" s="44" t="str">
        <f aca="false">IF(Raw_Fund_Import!$A119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19" s="4" t="str">
        <f aca="false">IF(Raw_Fund_Import!$A119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19" s="4" t="str">
        <f aca="false">IF(Raw_Fund_Import!$A119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19" s="4" t="str">
        <f aca="false">IF(Raw_Fund_Import!$A119="","",IF(COUNTBLANK($A119:$X119)&gt;0,"CHECK","OK"))</f>
        <v/>
      </c>
    </row>
    <row r="120" customFormat="false" ht="15" hidden="false" customHeight="true" outlineLevel="0" collapsed="false">
      <c r="A120" s="4" t="str">
        <f aca="false">IF(Raw_Fund_Import!$A120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20" s="4" t="str">
        <f aca="false">IF(Raw_Fund_Import!$A120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20" s="4" t="str">
        <f aca="false">IF(Raw_Fund_Import!$A120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20" s="4" t="str">
        <f aca="false">IF(Raw_Fund_Import!$A120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20" s="4" t="str">
        <f aca="false">IF(Raw_Fund_Import!$A120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20" s="4" t="str">
        <f aca="false">IF(Raw_Fund_Import!$A120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20" s="4" t="str">
        <f aca="false">IF(Raw_Fund_Import!$A120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20" s="43" t="str">
        <f aca="false">IF(Raw_Fund_Import!$A120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20" s="4" t="str">
        <f aca="false">IF(Raw_Fund_Import!$A120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20" s="4" t="str">
        <f aca="false">IF(Raw_Fund_Import!$A120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20" s="4" t="str">
        <f aca="false">IF(Raw_Fund_Import!$A120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20" s="4" t="str">
        <f aca="false">IF(Raw_Fund_Import!$A120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20" s="4" t="str">
        <f aca="false">IF(Raw_Fund_Import!$A120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20" s="4" t="str">
        <f aca="false">IF(Raw_Fund_Import!$A120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20" s="4" t="str">
        <f aca="false">IF(Raw_Fund_Import!$A120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20" s="4" t="str">
        <f aca="false">IF(Raw_Fund_Import!$A120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20" s="44" t="str">
        <f aca="false">IF(Raw_Fund_Import!$A120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20" s="44" t="str">
        <f aca="false">IF(Raw_Fund_Import!$A120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20" s="44" t="str">
        <f aca="false">IF(Raw_Fund_Import!$A120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20" s="44" t="str">
        <f aca="false">IF(Raw_Fund_Import!$A120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20" s="44" t="str">
        <f aca="false">IF(Raw_Fund_Import!$A120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20" s="44" t="str">
        <f aca="false">IF(Raw_Fund_Import!$A120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20" s="4" t="str">
        <f aca="false">IF(Raw_Fund_Import!$A120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20" s="4" t="str">
        <f aca="false">IF(Raw_Fund_Import!$A120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20" s="4" t="str">
        <f aca="false">IF(Raw_Fund_Import!$A120="","",IF(COUNTBLANK($A120:$X120)&gt;0,"CHECK","OK"))</f>
        <v/>
      </c>
    </row>
    <row r="121" customFormat="false" ht="15" hidden="false" customHeight="true" outlineLevel="0" collapsed="false">
      <c r="A121" s="4" t="str">
        <f aca="false">IF(Raw_Fund_Import!$A121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21" s="4" t="str">
        <f aca="false">IF(Raw_Fund_Import!$A121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21" s="4" t="str">
        <f aca="false">IF(Raw_Fund_Import!$A121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21" s="4" t="str">
        <f aca="false">IF(Raw_Fund_Import!$A121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21" s="4" t="str">
        <f aca="false">IF(Raw_Fund_Import!$A121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21" s="4" t="str">
        <f aca="false">IF(Raw_Fund_Import!$A121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21" s="4" t="str">
        <f aca="false">IF(Raw_Fund_Import!$A121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21" s="43" t="str">
        <f aca="false">IF(Raw_Fund_Import!$A121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21" s="4" t="str">
        <f aca="false">IF(Raw_Fund_Import!$A121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21" s="4" t="str">
        <f aca="false">IF(Raw_Fund_Import!$A121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21" s="4" t="str">
        <f aca="false">IF(Raw_Fund_Import!$A121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21" s="4" t="str">
        <f aca="false">IF(Raw_Fund_Import!$A121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21" s="4" t="str">
        <f aca="false">IF(Raw_Fund_Import!$A121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21" s="4" t="str">
        <f aca="false">IF(Raw_Fund_Import!$A121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21" s="4" t="str">
        <f aca="false">IF(Raw_Fund_Import!$A121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21" s="4" t="str">
        <f aca="false">IF(Raw_Fund_Import!$A121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21" s="44" t="str">
        <f aca="false">IF(Raw_Fund_Import!$A121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21" s="44" t="str">
        <f aca="false">IF(Raw_Fund_Import!$A121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21" s="44" t="str">
        <f aca="false">IF(Raw_Fund_Import!$A121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21" s="44" t="str">
        <f aca="false">IF(Raw_Fund_Import!$A121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21" s="44" t="str">
        <f aca="false">IF(Raw_Fund_Import!$A121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21" s="44" t="str">
        <f aca="false">IF(Raw_Fund_Import!$A121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21" s="4" t="str">
        <f aca="false">IF(Raw_Fund_Import!$A121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21" s="4" t="str">
        <f aca="false">IF(Raw_Fund_Import!$A121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21" s="4" t="str">
        <f aca="false">IF(Raw_Fund_Import!$A121="","",IF(COUNTBLANK($A121:$X121)&gt;0,"CHECK","OK"))</f>
        <v/>
      </c>
    </row>
    <row r="122" customFormat="false" ht="15" hidden="false" customHeight="true" outlineLevel="0" collapsed="false">
      <c r="A122" s="4" t="str">
        <f aca="false">IF(Raw_Fund_Import!$A122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22" s="4" t="str">
        <f aca="false">IF(Raw_Fund_Import!$A122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22" s="4" t="str">
        <f aca="false">IF(Raw_Fund_Import!$A122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22" s="4" t="str">
        <f aca="false">IF(Raw_Fund_Import!$A122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22" s="4" t="str">
        <f aca="false">IF(Raw_Fund_Import!$A122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22" s="4" t="str">
        <f aca="false">IF(Raw_Fund_Import!$A122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22" s="4" t="str">
        <f aca="false">IF(Raw_Fund_Import!$A122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22" s="43" t="str">
        <f aca="false">IF(Raw_Fund_Import!$A122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22" s="4" t="str">
        <f aca="false">IF(Raw_Fund_Import!$A122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22" s="4" t="str">
        <f aca="false">IF(Raw_Fund_Import!$A122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22" s="4" t="str">
        <f aca="false">IF(Raw_Fund_Import!$A122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22" s="4" t="str">
        <f aca="false">IF(Raw_Fund_Import!$A122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22" s="4" t="str">
        <f aca="false">IF(Raw_Fund_Import!$A122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22" s="4" t="str">
        <f aca="false">IF(Raw_Fund_Import!$A122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22" s="4" t="str">
        <f aca="false">IF(Raw_Fund_Import!$A122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22" s="4" t="str">
        <f aca="false">IF(Raw_Fund_Import!$A122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22" s="44" t="str">
        <f aca="false">IF(Raw_Fund_Import!$A122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22" s="44" t="str">
        <f aca="false">IF(Raw_Fund_Import!$A122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22" s="44" t="str">
        <f aca="false">IF(Raw_Fund_Import!$A122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22" s="44" t="str">
        <f aca="false">IF(Raw_Fund_Import!$A122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22" s="44" t="str">
        <f aca="false">IF(Raw_Fund_Import!$A122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22" s="44" t="str">
        <f aca="false">IF(Raw_Fund_Import!$A122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22" s="4" t="str">
        <f aca="false">IF(Raw_Fund_Import!$A122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22" s="4" t="str">
        <f aca="false">IF(Raw_Fund_Import!$A122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22" s="4" t="str">
        <f aca="false">IF(Raw_Fund_Import!$A122="","",IF(COUNTBLANK($A122:$X122)&gt;0,"CHECK","OK"))</f>
        <v/>
      </c>
    </row>
    <row r="123" customFormat="false" ht="15" hidden="false" customHeight="true" outlineLevel="0" collapsed="false">
      <c r="A123" s="4" t="str">
        <f aca="false">IF(Raw_Fund_Import!$A123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23" s="4" t="str">
        <f aca="false">IF(Raw_Fund_Import!$A123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23" s="4" t="str">
        <f aca="false">IF(Raw_Fund_Import!$A123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23" s="4" t="str">
        <f aca="false">IF(Raw_Fund_Import!$A123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23" s="4" t="str">
        <f aca="false">IF(Raw_Fund_Import!$A123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23" s="4" t="str">
        <f aca="false">IF(Raw_Fund_Import!$A123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23" s="4" t="str">
        <f aca="false">IF(Raw_Fund_Import!$A123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23" s="43" t="str">
        <f aca="false">IF(Raw_Fund_Import!$A123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23" s="4" t="str">
        <f aca="false">IF(Raw_Fund_Import!$A123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23" s="4" t="str">
        <f aca="false">IF(Raw_Fund_Import!$A123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23" s="4" t="str">
        <f aca="false">IF(Raw_Fund_Import!$A123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23" s="4" t="str">
        <f aca="false">IF(Raw_Fund_Import!$A123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23" s="4" t="str">
        <f aca="false">IF(Raw_Fund_Import!$A123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23" s="4" t="str">
        <f aca="false">IF(Raw_Fund_Import!$A123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23" s="4" t="str">
        <f aca="false">IF(Raw_Fund_Import!$A123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23" s="4" t="str">
        <f aca="false">IF(Raw_Fund_Import!$A123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23" s="44" t="str">
        <f aca="false">IF(Raw_Fund_Import!$A123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23" s="44" t="str">
        <f aca="false">IF(Raw_Fund_Import!$A123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23" s="44" t="str">
        <f aca="false">IF(Raw_Fund_Import!$A123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23" s="44" t="str">
        <f aca="false">IF(Raw_Fund_Import!$A123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23" s="44" t="str">
        <f aca="false">IF(Raw_Fund_Import!$A123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23" s="44" t="str">
        <f aca="false">IF(Raw_Fund_Import!$A123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23" s="4" t="str">
        <f aca="false">IF(Raw_Fund_Import!$A123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23" s="4" t="str">
        <f aca="false">IF(Raw_Fund_Import!$A123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23" s="4" t="str">
        <f aca="false">IF(Raw_Fund_Import!$A123="","",IF(COUNTBLANK($A123:$X123)&gt;0,"CHECK","OK"))</f>
        <v/>
      </c>
    </row>
    <row r="124" customFormat="false" ht="15" hidden="false" customHeight="true" outlineLevel="0" collapsed="false">
      <c r="A124" s="4" t="str">
        <f aca="false">IF(Raw_Fund_Import!$A124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24" s="4" t="str">
        <f aca="false">IF(Raw_Fund_Import!$A124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24" s="4" t="str">
        <f aca="false">IF(Raw_Fund_Import!$A124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24" s="4" t="str">
        <f aca="false">IF(Raw_Fund_Import!$A124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24" s="4" t="str">
        <f aca="false">IF(Raw_Fund_Import!$A124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24" s="4" t="str">
        <f aca="false">IF(Raw_Fund_Import!$A124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24" s="4" t="str">
        <f aca="false">IF(Raw_Fund_Import!$A124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24" s="43" t="str">
        <f aca="false">IF(Raw_Fund_Import!$A124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24" s="4" t="str">
        <f aca="false">IF(Raw_Fund_Import!$A124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24" s="4" t="str">
        <f aca="false">IF(Raw_Fund_Import!$A124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24" s="4" t="str">
        <f aca="false">IF(Raw_Fund_Import!$A124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24" s="4" t="str">
        <f aca="false">IF(Raw_Fund_Import!$A124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24" s="4" t="str">
        <f aca="false">IF(Raw_Fund_Import!$A124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24" s="4" t="str">
        <f aca="false">IF(Raw_Fund_Import!$A124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24" s="4" t="str">
        <f aca="false">IF(Raw_Fund_Import!$A124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24" s="4" t="str">
        <f aca="false">IF(Raw_Fund_Import!$A124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24" s="44" t="str">
        <f aca="false">IF(Raw_Fund_Import!$A124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24" s="44" t="str">
        <f aca="false">IF(Raw_Fund_Import!$A124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24" s="44" t="str">
        <f aca="false">IF(Raw_Fund_Import!$A124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24" s="44" t="str">
        <f aca="false">IF(Raw_Fund_Import!$A124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24" s="44" t="str">
        <f aca="false">IF(Raw_Fund_Import!$A124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24" s="44" t="str">
        <f aca="false">IF(Raw_Fund_Import!$A124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24" s="4" t="str">
        <f aca="false">IF(Raw_Fund_Import!$A124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24" s="4" t="str">
        <f aca="false">IF(Raw_Fund_Import!$A124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24" s="4" t="str">
        <f aca="false">IF(Raw_Fund_Import!$A124="","",IF(COUNTBLANK($A124:$X124)&gt;0,"CHECK","OK"))</f>
        <v/>
      </c>
    </row>
    <row r="125" customFormat="false" ht="15" hidden="false" customHeight="true" outlineLevel="0" collapsed="false">
      <c r="A125" s="4" t="str">
        <f aca="false">IF(Raw_Fund_Import!$A125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25" s="4" t="str">
        <f aca="false">IF(Raw_Fund_Import!$A125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25" s="4" t="str">
        <f aca="false">IF(Raw_Fund_Import!$A125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25" s="4" t="str">
        <f aca="false">IF(Raw_Fund_Import!$A125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25" s="4" t="str">
        <f aca="false">IF(Raw_Fund_Import!$A125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25" s="4" t="str">
        <f aca="false">IF(Raw_Fund_Import!$A125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25" s="4" t="str">
        <f aca="false">IF(Raw_Fund_Import!$A125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25" s="43" t="str">
        <f aca="false">IF(Raw_Fund_Import!$A125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25" s="4" t="str">
        <f aca="false">IF(Raw_Fund_Import!$A125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25" s="4" t="str">
        <f aca="false">IF(Raw_Fund_Import!$A125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25" s="4" t="str">
        <f aca="false">IF(Raw_Fund_Import!$A125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25" s="4" t="str">
        <f aca="false">IF(Raw_Fund_Import!$A125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25" s="4" t="str">
        <f aca="false">IF(Raw_Fund_Import!$A125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25" s="4" t="str">
        <f aca="false">IF(Raw_Fund_Import!$A125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25" s="4" t="str">
        <f aca="false">IF(Raw_Fund_Import!$A125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25" s="4" t="str">
        <f aca="false">IF(Raw_Fund_Import!$A125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25" s="44" t="str">
        <f aca="false">IF(Raw_Fund_Import!$A125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25" s="44" t="str">
        <f aca="false">IF(Raw_Fund_Import!$A125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25" s="44" t="str">
        <f aca="false">IF(Raw_Fund_Import!$A125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25" s="44" t="str">
        <f aca="false">IF(Raw_Fund_Import!$A125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25" s="44" t="str">
        <f aca="false">IF(Raw_Fund_Import!$A125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25" s="44" t="str">
        <f aca="false">IF(Raw_Fund_Import!$A125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25" s="4" t="str">
        <f aca="false">IF(Raw_Fund_Import!$A125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25" s="4" t="str">
        <f aca="false">IF(Raw_Fund_Import!$A125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25" s="4" t="str">
        <f aca="false">IF(Raw_Fund_Import!$A125="","",IF(COUNTBLANK($A125:$X125)&gt;0,"CHECK","OK"))</f>
        <v/>
      </c>
    </row>
    <row r="126" customFormat="false" ht="15" hidden="false" customHeight="true" outlineLevel="0" collapsed="false">
      <c r="A126" s="4" t="str">
        <f aca="false">IF(Raw_Fund_Import!$A126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26" s="4" t="str">
        <f aca="false">IF(Raw_Fund_Import!$A126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26" s="4" t="str">
        <f aca="false">IF(Raw_Fund_Import!$A126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26" s="4" t="str">
        <f aca="false">IF(Raw_Fund_Import!$A126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26" s="4" t="str">
        <f aca="false">IF(Raw_Fund_Import!$A126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26" s="4" t="str">
        <f aca="false">IF(Raw_Fund_Import!$A126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26" s="4" t="str">
        <f aca="false">IF(Raw_Fund_Import!$A126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26" s="43" t="str">
        <f aca="false">IF(Raw_Fund_Import!$A126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26" s="4" t="str">
        <f aca="false">IF(Raw_Fund_Import!$A126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26" s="4" t="str">
        <f aca="false">IF(Raw_Fund_Import!$A126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26" s="4" t="str">
        <f aca="false">IF(Raw_Fund_Import!$A126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26" s="4" t="str">
        <f aca="false">IF(Raw_Fund_Import!$A126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26" s="4" t="str">
        <f aca="false">IF(Raw_Fund_Import!$A126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26" s="4" t="str">
        <f aca="false">IF(Raw_Fund_Import!$A126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26" s="4" t="str">
        <f aca="false">IF(Raw_Fund_Import!$A126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26" s="4" t="str">
        <f aca="false">IF(Raw_Fund_Import!$A126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26" s="44" t="str">
        <f aca="false">IF(Raw_Fund_Import!$A126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26" s="44" t="str">
        <f aca="false">IF(Raw_Fund_Import!$A126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26" s="44" t="str">
        <f aca="false">IF(Raw_Fund_Import!$A126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26" s="44" t="str">
        <f aca="false">IF(Raw_Fund_Import!$A126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26" s="44" t="str">
        <f aca="false">IF(Raw_Fund_Import!$A126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26" s="44" t="str">
        <f aca="false">IF(Raw_Fund_Import!$A126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26" s="4" t="str">
        <f aca="false">IF(Raw_Fund_Import!$A126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26" s="4" t="str">
        <f aca="false">IF(Raw_Fund_Import!$A126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26" s="4" t="str">
        <f aca="false">IF(Raw_Fund_Import!$A126="","",IF(COUNTBLANK($A126:$X126)&gt;0,"CHECK","OK"))</f>
        <v/>
      </c>
    </row>
    <row r="127" customFormat="false" ht="15" hidden="false" customHeight="true" outlineLevel="0" collapsed="false">
      <c r="A127" s="4" t="str">
        <f aca="false">IF(Raw_Fund_Import!$A127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27" s="4" t="str">
        <f aca="false">IF(Raw_Fund_Import!$A127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27" s="4" t="str">
        <f aca="false">IF(Raw_Fund_Import!$A127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27" s="4" t="str">
        <f aca="false">IF(Raw_Fund_Import!$A127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27" s="4" t="str">
        <f aca="false">IF(Raw_Fund_Import!$A127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27" s="4" t="str">
        <f aca="false">IF(Raw_Fund_Import!$A127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27" s="4" t="str">
        <f aca="false">IF(Raw_Fund_Import!$A127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27" s="43" t="str">
        <f aca="false">IF(Raw_Fund_Import!$A127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27" s="4" t="str">
        <f aca="false">IF(Raw_Fund_Import!$A127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27" s="4" t="str">
        <f aca="false">IF(Raw_Fund_Import!$A127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27" s="4" t="str">
        <f aca="false">IF(Raw_Fund_Import!$A127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27" s="4" t="str">
        <f aca="false">IF(Raw_Fund_Import!$A127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27" s="4" t="str">
        <f aca="false">IF(Raw_Fund_Import!$A127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27" s="4" t="str">
        <f aca="false">IF(Raw_Fund_Import!$A127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27" s="4" t="str">
        <f aca="false">IF(Raw_Fund_Import!$A127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27" s="4" t="str">
        <f aca="false">IF(Raw_Fund_Import!$A127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27" s="44" t="str">
        <f aca="false">IF(Raw_Fund_Import!$A127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27" s="44" t="str">
        <f aca="false">IF(Raw_Fund_Import!$A127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27" s="44" t="str">
        <f aca="false">IF(Raw_Fund_Import!$A127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27" s="44" t="str">
        <f aca="false">IF(Raw_Fund_Import!$A127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27" s="44" t="str">
        <f aca="false">IF(Raw_Fund_Import!$A127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27" s="44" t="str">
        <f aca="false">IF(Raw_Fund_Import!$A127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27" s="4" t="str">
        <f aca="false">IF(Raw_Fund_Import!$A127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27" s="4" t="str">
        <f aca="false">IF(Raw_Fund_Import!$A127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27" s="4" t="str">
        <f aca="false">IF(Raw_Fund_Import!$A127="","",IF(COUNTBLANK($A127:$X127)&gt;0,"CHECK","OK"))</f>
        <v/>
      </c>
    </row>
    <row r="128" customFormat="false" ht="15" hidden="false" customHeight="true" outlineLevel="0" collapsed="false">
      <c r="A128" s="4" t="str">
        <f aca="false">IF(Raw_Fund_Import!$A128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28" s="4" t="str">
        <f aca="false">IF(Raw_Fund_Import!$A128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28" s="4" t="str">
        <f aca="false">IF(Raw_Fund_Import!$A128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28" s="4" t="str">
        <f aca="false">IF(Raw_Fund_Import!$A128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28" s="4" t="str">
        <f aca="false">IF(Raw_Fund_Import!$A128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28" s="4" t="str">
        <f aca="false">IF(Raw_Fund_Import!$A128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28" s="4" t="str">
        <f aca="false">IF(Raw_Fund_Import!$A128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28" s="43" t="str">
        <f aca="false">IF(Raw_Fund_Import!$A128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28" s="4" t="str">
        <f aca="false">IF(Raw_Fund_Import!$A128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28" s="4" t="str">
        <f aca="false">IF(Raw_Fund_Import!$A128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28" s="4" t="str">
        <f aca="false">IF(Raw_Fund_Import!$A128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28" s="4" t="str">
        <f aca="false">IF(Raw_Fund_Import!$A128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28" s="4" t="str">
        <f aca="false">IF(Raw_Fund_Import!$A128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28" s="4" t="str">
        <f aca="false">IF(Raw_Fund_Import!$A128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28" s="4" t="str">
        <f aca="false">IF(Raw_Fund_Import!$A128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28" s="4" t="str">
        <f aca="false">IF(Raw_Fund_Import!$A128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28" s="44" t="str">
        <f aca="false">IF(Raw_Fund_Import!$A128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28" s="44" t="str">
        <f aca="false">IF(Raw_Fund_Import!$A128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28" s="44" t="str">
        <f aca="false">IF(Raw_Fund_Import!$A128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28" s="44" t="str">
        <f aca="false">IF(Raw_Fund_Import!$A128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28" s="44" t="str">
        <f aca="false">IF(Raw_Fund_Import!$A128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28" s="44" t="str">
        <f aca="false">IF(Raw_Fund_Import!$A128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28" s="4" t="str">
        <f aca="false">IF(Raw_Fund_Import!$A128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28" s="4" t="str">
        <f aca="false">IF(Raw_Fund_Import!$A128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28" s="4" t="str">
        <f aca="false">IF(Raw_Fund_Import!$A128="","",IF(COUNTBLANK($A128:$X128)&gt;0,"CHECK","OK"))</f>
        <v/>
      </c>
    </row>
    <row r="129" customFormat="false" ht="15" hidden="false" customHeight="true" outlineLevel="0" collapsed="false">
      <c r="A129" s="4" t="str">
        <f aca="false">IF(Raw_Fund_Import!$A129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29" s="4" t="str">
        <f aca="false">IF(Raw_Fund_Import!$A129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29" s="4" t="str">
        <f aca="false">IF(Raw_Fund_Import!$A129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29" s="4" t="str">
        <f aca="false">IF(Raw_Fund_Import!$A129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29" s="4" t="str">
        <f aca="false">IF(Raw_Fund_Import!$A129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29" s="4" t="str">
        <f aca="false">IF(Raw_Fund_Import!$A129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29" s="4" t="str">
        <f aca="false">IF(Raw_Fund_Import!$A129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29" s="43" t="str">
        <f aca="false">IF(Raw_Fund_Import!$A129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29" s="4" t="str">
        <f aca="false">IF(Raw_Fund_Import!$A129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29" s="4" t="str">
        <f aca="false">IF(Raw_Fund_Import!$A129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29" s="4" t="str">
        <f aca="false">IF(Raw_Fund_Import!$A129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29" s="4" t="str">
        <f aca="false">IF(Raw_Fund_Import!$A129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29" s="4" t="str">
        <f aca="false">IF(Raw_Fund_Import!$A129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29" s="4" t="str">
        <f aca="false">IF(Raw_Fund_Import!$A129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29" s="4" t="str">
        <f aca="false">IF(Raw_Fund_Import!$A129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29" s="4" t="str">
        <f aca="false">IF(Raw_Fund_Import!$A129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29" s="44" t="str">
        <f aca="false">IF(Raw_Fund_Import!$A129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29" s="44" t="str">
        <f aca="false">IF(Raw_Fund_Import!$A129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29" s="44" t="str">
        <f aca="false">IF(Raw_Fund_Import!$A129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29" s="44" t="str">
        <f aca="false">IF(Raw_Fund_Import!$A129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29" s="44" t="str">
        <f aca="false">IF(Raw_Fund_Import!$A129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29" s="44" t="str">
        <f aca="false">IF(Raw_Fund_Import!$A129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29" s="4" t="str">
        <f aca="false">IF(Raw_Fund_Import!$A129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29" s="4" t="str">
        <f aca="false">IF(Raw_Fund_Import!$A129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29" s="4" t="str">
        <f aca="false">IF(Raw_Fund_Import!$A129="","",IF(COUNTBLANK($A129:$X129)&gt;0,"CHECK","OK"))</f>
        <v/>
      </c>
    </row>
    <row r="130" customFormat="false" ht="15" hidden="false" customHeight="true" outlineLevel="0" collapsed="false">
      <c r="A130" s="4" t="str">
        <f aca="false">IF(Raw_Fund_Import!$A130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30" s="4" t="str">
        <f aca="false">IF(Raw_Fund_Import!$A130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30" s="4" t="str">
        <f aca="false">IF(Raw_Fund_Import!$A130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30" s="4" t="str">
        <f aca="false">IF(Raw_Fund_Import!$A130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30" s="4" t="str">
        <f aca="false">IF(Raw_Fund_Import!$A130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30" s="4" t="str">
        <f aca="false">IF(Raw_Fund_Import!$A130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30" s="4" t="str">
        <f aca="false">IF(Raw_Fund_Import!$A130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30" s="43" t="str">
        <f aca="false">IF(Raw_Fund_Import!$A130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30" s="4" t="str">
        <f aca="false">IF(Raw_Fund_Import!$A130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30" s="4" t="str">
        <f aca="false">IF(Raw_Fund_Import!$A130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30" s="4" t="str">
        <f aca="false">IF(Raw_Fund_Import!$A130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30" s="4" t="str">
        <f aca="false">IF(Raw_Fund_Import!$A130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30" s="4" t="str">
        <f aca="false">IF(Raw_Fund_Import!$A130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30" s="4" t="str">
        <f aca="false">IF(Raw_Fund_Import!$A130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30" s="4" t="str">
        <f aca="false">IF(Raw_Fund_Import!$A130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30" s="4" t="str">
        <f aca="false">IF(Raw_Fund_Import!$A130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30" s="44" t="str">
        <f aca="false">IF(Raw_Fund_Import!$A130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30" s="44" t="str">
        <f aca="false">IF(Raw_Fund_Import!$A130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30" s="44" t="str">
        <f aca="false">IF(Raw_Fund_Import!$A130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30" s="44" t="str">
        <f aca="false">IF(Raw_Fund_Import!$A130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30" s="44" t="str">
        <f aca="false">IF(Raw_Fund_Import!$A130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30" s="44" t="str">
        <f aca="false">IF(Raw_Fund_Import!$A130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30" s="4" t="str">
        <f aca="false">IF(Raw_Fund_Import!$A130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30" s="4" t="str">
        <f aca="false">IF(Raw_Fund_Import!$A130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30" s="4" t="str">
        <f aca="false">IF(Raw_Fund_Import!$A130="","",IF(COUNTBLANK($A130:$X130)&gt;0,"CHECK","OK"))</f>
        <v/>
      </c>
    </row>
    <row r="131" customFormat="false" ht="15" hidden="false" customHeight="true" outlineLevel="0" collapsed="false">
      <c r="A131" s="4" t="str">
        <f aca="false">IF(Raw_Fund_Import!$A131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31" s="4" t="str">
        <f aca="false">IF(Raw_Fund_Import!$A131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31" s="4" t="str">
        <f aca="false">IF(Raw_Fund_Import!$A131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31" s="4" t="str">
        <f aca="false">IF(Raw_Fund_Import!$A131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31" s="4" t="str">
        <f aca="false">IF(Raw_Fund_Import!$A131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31" s="4" t="str">
        <f aca="false">IF(Raw_Fund_Import!$A131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31" s="4" t="str">
        <f aca="false">IF(Raw_Fund_Import!$A131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31" s="43" t="str">
        <f aca="false">IF(Raw_Fund_Import!$A131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31" s="4" t="str">
        <f aca="false">IF(Raw_Fund_Import!$A131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31" s="4" t="str">
        <f aca="false">IF(Raw_Fund_Import!$A131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31" s="4" t="str">
        <f aca="false">IF(Raw_Fund_Import!$A131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31" s="4" t="str">
        <f aca="false">IF(Raw_Fund_Import!$A131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31" s="4" t="str">
        <f aca="false">IF(Raw_Fund_Import!$A131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31" s="4" t="str">
        <f aca="false">IF(Raw_Fund_Import!$A131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31" s="4" t="str">
        <f aca="false">IF(Raw_Fund_Import!$A131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31" s="4" t="str">
        <f aca="false">IF(Raw_Fund_Import!$A131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31" s="44" t="str">
        <f aca="false">IF(Raw_Fund_Import!$A131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31" s="44" t="str">
        <f aca="false">IF(Raw_Fund_Import!$A131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31" s="44" t="str">
        <f aca="false">IF(Raw_Fund_Import!$A131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31" s="44" t="str">
        <f aca="false">IF(Raw_Fund_Import!$A131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31" s="44" t="str">
        <f aca="false">IF(Raw_Fund_Import!$A131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31" s="44" t="str">
        <f aca="false">IF(Raw_Fund_Import!$A131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31" s="4" t="str">
        <f aca="false">IF(Raw_Fund_Import!$A131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31" s="4" t="str">
        <f aca="false">IF(Raw_Fund_Import!$A131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31" s="4" t="str">
        <f aca="false">IF(Raw_Fund_Import!$A131="","",IF(COUNTBLANK($A131:$X131)&gt;0,"CHECK","OK"))</f>
        <v/>
      </c>
    </row>
    <row r="132" customFormat="false" ht="15" hidden="false" customHeight="true" outlineLevel="0" collapsed="false">
      <c r="A132" s="4" t="str">
        <f aca="false">IF(Raw_Fund_Import!$A132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32" s="4" t="str">
        <f aca="false">IF(Raw_Fund_Import!$A132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32" s="4" t="str">
        <f aca="false">IF(Raw_Fund_Import!$A132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32" s="4" t="str">
        <f aca="false">IF(Raw_Fund_Import!$A132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32" s="4" t="str">
        <f aca="false">IF(Raw_Fund_Import!$A132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32" s="4" t="str">
        <f aca="false">IF(Raw_Fund_Import!$A132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32" s="4" t="str">
        <f aca="false">IF(Raw_Fund_Import!$A132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32" s="43" t="str">
        <f aca="false">IF(Raw_Fund_Import!$A132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32" s="4" t="str">
        <f aca="false">IF(Raw_Fund_Import!$A132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32" s="4" t="str">
        <f aca="false">IF(Raw_Fund_Import!$A132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32" s="4" t="str">
        <f aca="false">IF(Raw_Fund_Import!$A132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32" s="4" t="str">
        <f aca="false">IF(Raw_Fund_Import!$A132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32" s="4" t="str">
        <f aca="false">IF(Raw_Fund_Import!$A132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32" s="4" t="str">
        <f aca="false">IF(Raw_Fund_Import!$A132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32" s="4" t="str">
        <f aca="false">IF(Raw_Fund_Import!$A132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32" s="4" t="str">
        <f aca="false">IF(Raw_Fund_Import!$A132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32" s="44" t="str">
        <f aca="false">IF(Raw_Fund_Import!$A132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32" s="44" t="str">
        <f aca="false">IF(Raw_Fund_Import!$A132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32" s="44" t="str">
        <f aca="false">IF(Raw_Fund_Import!$A132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32" s="44" t="str">
        <f aca="false">IF(Raw_Fund_Import!$A132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32" s="44" t="str">
        <f aca="false">IF(Raw_Fund_Import!$A132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32" s="44" t="str">
        <f aca="false">IF(Raw_Fund_Import!$A132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32" s="4" t="str">
        <f aca="false">IF(Raw_Fund_Import!$A132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32" s="4" t="str">
        <f aca="false">IF(Raw_Fund_Import!$A132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32" s="4" t="str">
        <f aca="false">IF(Raw_Fund_Import!$A132="","",IF(COUNTBLANK($A132:$X132)&gt;0,"CHECK","OK"))</f>
        <v/>
      </c>
    </row>
    <row r="133" customFormat="false" ht="15" hidden="false" customHeight="true" outlineLevel="0" collapsed="false">
      <c r="A133" s="4" t="str">
        <f aca="false">IF(Raw_Fund_Import!$A133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33" s="4" t="str">
        <f aca="false">IF(Raw_Fund_Import!$A133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33" s="4" t="str">
        <f aca="false">IF(Raw_Fund_Import!$A133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33" s="4" t="str">
        <f aca="false">IF(Raw_Fund_Import!$A133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33" s="4" t="str">
        <f aca="false">IF(Raw_Fund_Import!$A133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33" s="4" t="str">
        <f aca="false">IF(Raw_Fund_Import!$A133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33" s="4" t="str">
        <f aca="false">IF(Raw_Fund_Import!$A133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33" s="43" t="str">
        <f aca="false">IF(Raw_Fund_Import!$A133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33" s="4" t="str">
        <f aca="false">IF(Raw_Fund_Import!$A133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33" s="4" t="str">
        <f aca="false">IF(Raw_Fund_Import!$A133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33" s="4" t="str">
        <f aca="false">IF(Raw_Fund_Import!$A133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33" s="4" t="str">
        <f aca="false">IF(Raw_Fund_Import!$A133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33" s="4" t="str">
        <f aca="false">IF(Raw_Fund_Import!$A133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33" s="4" t="str">
        <f aca="false">IF(Raw_Fund_Import!$A133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33" s="4" t="str">
        <f aca="false">IF(Raw_Fund_Import!$A133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33" s="4" t="str">
        <f aca="false">IF(Raw_Fund_Import!$A133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33" s="44" t="str">
        <f aca="false">IF(Raw_Fund_Import!$A133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33" s="44" t="str">
        <f aca="false">IF(Raw_Fund_Import!$A133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33" s="44" t="str">
        <f aca="false">IF(Raw_Fund_Import!$A133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33" s="44" t="str">
        <f aca="false">IF(Raw_Fund_Import!$A133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33" s="44" t="str">
        <f aca="false">IF(Raw_Fund_Import!$A133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33" s="44" t="str">
        <f aca="false">IF(Raw_Fund_Import!$A133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33" s="4" t="str">
        <f aca="false">IF(Raw_Fund_Import!$A133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33" s="4" t="str">
        <f aca="false">IF(Raw_Fund_Import!$A133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33" s="4" t="str">
        <f aca="false">IF(Raw_Fund_Import!$A133="","",IF(COUNTBLANK($A133:$X133)&gt;0,"CHECK","OK"))</f>
        <v/>
      </c>
    </row>
    <row r="134" customFormat="false" ht="15" hidden="false" customHeight="true" outlineLevel="0" collapsed="false">
      <c r="A134" s="4" t="str">
        <f aca="false">IF(Raw_Fund_Import!$A134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34" s="4" t="str">
        <f aca="false">IF(Raw_Fund_Import!$A134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34" s="4" t="str">
        <f aca="false">IF(Raw_Fund_Import!$A134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34" s="4" t="str">
        <f aca="false">IF(Raw_Fund_Import!$A134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34" s="4" t="str">
        <f aca="false">IF(Raw_Fund_Import!$A134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34" s="4" t="str">
        <f aca="false">IF(Raw_Fund_Import!$A134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34" s="4" t="str">
        <f aca="false">IF(Raw_Fund_Import!$A134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34" s="43" t="str">
        <f aca="false">IF(Raw_Fund_Import!$A134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34" s="4" t="str">
        <f aca="false">IF(Raw_Fund_Import!$A134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34" s="4" t="str">
        <f aca="false">IF(Raw_Fund_Import!$A134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34" s="4" t="str">
        <f aca="false">IF(Raw_Fund_Import!$A134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34" s="4" t="str">
        <f aca="false">IF(Raw_Fund_Import!$A134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34" s="4" t="str">
        <f aca="false">IF(Raw_Fund_Import!$A134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34" s="4" t="str">
        <f aca="false">IF(Raw_Fund_Import!$A134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34" s="4" t="str">
        <f aca="false">IF(Raw_Fund_Import!$A134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34" s="4" t="str">
        <f aca="false">IF(Raw_Fund_Import!$A134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34" s="44" t="str">
        <f aca="false">IF(Raw_Fund_Import!$A134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34" s="44" t="str">
        <f aca="false">IF(Raw_Fund_Import!$A134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34" s="44" t="str">
        <f aca="false">IF(Raw_Fund_Import!$A134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34" s="44" t="str">
        <f aca="false">IF(Raw_Fund_Import!$A134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34" s="44" t="str">
        <f aca="false">IF(Raw_Fund_Import!$A134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34" s="44" t="str">
        <f aca="false">IF(Raw_Fund_Import!$A134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34" s="4" t="str">
        <f aca="false">IF(Raw_Fund_Import!$A134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34" s="4" t="str">
        <f aca="false">IF(Raw_Fund_Import!$A134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34" s="4" t="str">
        <f aca="false">IF(Raw_Fund_Import!$A134="","",IF(COUNTBLANK($A134:$X134)&gt;0,"CHECK","OK"))</f>
        <v/>
      </c>
    </row>
    <row r="135" customFormat="false" ht="15" hidden="false" customHeight="true" outlineLevel="0" collapsed="false">
      <c r="A135" s="4" t="str">
        <f aca="false">IF(Raw_Fund_Import!$A135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35" s="4" t="str">
        <f aca="false">IF(Raw_Fund_Import!$A135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35" s="4" t="str">
        <f aca="false">IF(Raw_Fund_Import!$A135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35" s="4" t="str">
        <f aca="false">IF(Raw_Fund_Import!$A135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35" s="4" t="str">
        <f aca="false">IF(Raw_Fund_Import!$A135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35" s="4" t="str">
        <f aca="false">IF(Raw_Fund_Import!$A135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35" s="4" t="str">
        <f aca="false">IF(Raw_Fund_Import!$A135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35" s="43" t="str">
        <f aca="false">IF(Raw_Fund_Import!$A135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35" s="4" t="str">
        <f aca="false">IF(Raw_Fund_Import!$A135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35" s="4" t="str">
        <f aca="false">IF(Raw_Fund_Import!$A135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35" s="4" t="str">
        <f aca="false">IF(Raw_Fund_Import!$A135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35" s="4" t="str">
        <f aca="false">IF(Raw_Fund_Import!$A135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35" s="4" t="str">
        <f aca="false">IF(Raw_Fund_Import!$A135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35" s="4" t="str">
        <f aca="false">IF(Raw_Fund_Import!$A135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35" s="4" t="str">
        <f aca="false">IF(Raw_Fund_Import!$A135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35" s="4" t="str">
        <f aca="false">IF(Raw_Fund_Import!$A135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35" s="44" t="str">
        <f aca="false">IF(Raw_Fund_Import!$A135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35" s="44" t="str">
        <f aca="false">IF(Raw_Fund_Import!$A135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35" s="44" t="str">
        <f aca="false">IF(Raw_Fund_Import!$A135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35" s="44" t="str">
        <f aca="false">IF(Raw_Fund_Import!$A135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35" s="44" t="str">
        <f aca="false">IF(Raw_Fund_Import!$A135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35" s="44" t="str">
        <f aca="false">IF(Raw_Fund_Import!$A135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35" s="4" t="str">
        <f aca="false">IF(Raw_Fund_Import!$A135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35" s="4" t="str">
        <f aca="false">IF(Raw_Fund_Import!$A135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35" s="4" t="str">
        <f aca="false">IF(Raw_Fund_Import!$A135="","",IF(COUNTBLANK($A135:$X135)&gt;0,"CHECK","OK"))</f>
        <v/>
      </c>
    </row>
    <row r="136" customFormat="false" ht="15" hidden="false" customHeight="true" outlineLevel="0" collapsed="false">
      <c r="A136" s="4" t="str">
        <f aca="false">IF(Raw_Fund_Import!$A136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36" s="4" t="str">
        <f aca="false">IF(Raw_Fund_Import!$A136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36" s="4" t="str">
        <f aca="false">IF(Raw_Fund_Import!$A136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36" s="4" t="str">
        <f aca="false">IF(Raw_Fund_Import!$A136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36" s="4" t="str">
        <f aca="false">IF(Raw_Fund_Import!$A136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36" s="4" t="str">
        <f aca="false">IF(Raw_Fund_Import!$A136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36" s="4" t="str">
        <f aca="false">IF(Raw_Fund_Import!$A136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36" s="43" t="str">
        <f aca="false">IF(Raw_Fund_Import!$A136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36" s="4" t="str">
        <f aca="false">IF(Raw_Fund_Import!$A136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36" s="4" t="str">
        <f aca="false">IF(Raw_Fund_Import!$A136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36" s="4" t="str">
        <f aca="false">IF(Raw_Fund_Import!$A136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36" s="4" t="str">
        <f aca="false">IF(Raw_Fund_Import!$A136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36" s="4" t="str">
        <f aca="false">IF(Raw_Fund_Import!$A136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36" s="4" t="str">
        <f aca="false">IF(Raw_Fund_Import!$A136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36" s="4" t="str">
        <f aca="false">IF(Raw_Fund_Import!$A136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36" s="4" t="str">
        <f aca="false">IF(Raw_Fund_Import!$A136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36" s="44" t="str">
        <f aca="false">IF(Raw_Fund_Import!$A136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36" s="44" t="str">
        <f aca="false">IF(Raw_Fund_Import!$A136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36" s="44" t="str">
        <f aca="false">IF(Raw_Fund_Import!$A136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36" s="44" t="str">
        <f aca="false">IF(Raw_Fund_Import!$A136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36" s="44" t="str">
        <f aca="false">IF(Raw_Fund_Import!$A136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36" s="44" t="str">
        <f aca="false">IF(Raw_Fund_Import!$A136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36" s="4" t="str">
        <f aca="false">IF(Raw_Fund_Import!$A136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36" s="4" t="str">
        <f aca="false">IF(Raw_Fund_Import!$A136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36" s="4" t="str">
        <f aca="false">IF(Raw_Fund_Import!$A136="","",IF(COUNTBLANK($A136:$X136)&gt;0,"CHECK","OK"))</f>
        <v/>
      </c>
    </row>
    <row r="137" customFormat="false" ht="15" hidden="false" customHeight="true" outlineLevel="0" collapsed="false">
      <c r="A137" s="4" t="str">
        <f aca="false">IF(Raw_Fund_Import!$A137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37" s="4" t="str">
        <f aca="false">IF(Raw_Fund_Import!$A137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37" s="4" t="str">
        <f aca="false">IF(Raw_Fund_Import!$A137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37" s="4" t="str">
        <f aca="false">IF(Raw_Fund_Import!$A137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37" s="4" t="str">
        <f aca="false">IF(Raw_Fund_Import!$A137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37" s="4" t="str">
        <f aca="false">IF(Raw_Fund_Import!$A137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37" s="4" t="str">
        <f aca="false">IF(Raw_Fund_Import!$A137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37" s="43" t="str">
        <f aca="false">IF(Raw_Fund_Import!$A137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37" s="4" t="str">
        <f aca="false">IF(Raw_Fund_Import!$A137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37" s="4" t="str">
        <f aca="false">IF(Raw_Fund_Import!$A137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37" s="4" t="str">
        <f aca="false">IF(Raw_Fund_Import!$A137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37" s="4" t="str">
        <f aca="false">IF(Raw_Fund_Import!$A137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37" s="4" t="str">
        <f aca="false">IF(Raw_Fund_Import!$A137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37" s="4" t="str">
        <f aca="false">IF(Raw_Fund_Import!$A137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37" s="4" t="str">
        <f aca="false">IF(Raw_Fund_Import!$A137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37" s="4" t="str">
        <f aca="false">IF(Raw_Fund_Import!$A137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37" s="44" t="str">
        <f aca="false">IF(Raw_Fund_Import!$A137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37" s="44" t="str">
        <f aca="false">IF(Raw_Fund_Import!$A137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37" s="44" t="str">
        <f aca="false">IF(Raw_Fund_Import!$A137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37" s="44" t="str">
        <f aca="false">IF(Raw_Fund_Import!$A137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37" s="44" t="str">
        <f aca="false">IF(Raw_Fund_Import!$A137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37" s="44" t="str">
        <f aca="false">IF(Raw_Fund_Import!$A137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37" s="4" t="str">
        <f aca="false">IF(Raw_Fund_Import!$A137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37" s="4" t="str">
        <f aca="false">IF(Raw_Fund_Import!$A137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37" s="4" t="str">
        <f aca="false">IF(Raw_Fund_Import!$A137="","",IF(COUNTBLANK($A137:$X137)&gt;0,"CHECK","OK"))</f>
        <v/>
      </c>
    </row>
    <row r="138" customFormat="false" ht="15" hidden="false" customHeight="true" outlineLevel="0" collapsed="false">
      <c r="A138" s="4" t="str">
        <f aca="false">IF(Raw_Fund_Import!$A138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38" s="4" t="str">
        <f aca="false">IF(Raw_Fund_Import!$A138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38" s="4" t="str">
        <f aca="false">IF(Raw_Fund_Import!$A138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38" s="4" t="str">
        <f aca="false">IF(Raw_Fund_Import!$A138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38" s="4" t="str">
        <f aca="false">IF(Raw_Fund_Import!$A138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38" s="4" t="str">
        <f aca="false">IF(Raw_Fund_Import!$A138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38" s="4" t="str">
        <f aca="false">IF(Raw_Fund_Import!$A138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38" s="43" t="str">
        <f aca="false">IF(Raw_Fund_Import!$A138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38" s="4" t="str">
        <f aca="false">IF(Raw_Fund_Import!$A138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38" s="4" t="str">
        <f aca="false">IF(Raw_Fund_Import!$A138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38" s="4" t="str">
        <f aca="false">IF(Raw_Fund_Import!$A138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38" s="4" t="str">
        <f aca="false">IF(Raw_Fund_Import!$A138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38" s="4" t="str">
        <f aca="false">IF(Raw_Fund_Import!$A138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38" s="4" t="str">
        <f aca="false">IF(Raw_Fund_Import!$A138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38" s="4" t="str">
        <f aca="false">IF(Raw_Fund_Import!$A138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38" s="4" t="str">
        <f aca="false">IF(Raw_Fund_Import!$A138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38" s="44" t="str">
        <f aca="false">IF(Raw_Fund_Import!$A138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38" s="44" t="str">
        <f aca="false">IF(Raw_Fund_Import!$A138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38" s="44" t="str">
        <f aca="false">IF(Raw_Fund_Import!$A138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38" s="44" t="str">
        <f aca="false">IF(Raw_Fund_Import!$A138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38" s="44" t="str">
        <f aca="false">IF(Raw_Fund_Import!$A138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38" s="44" t="str">
        <f aca="false">IF(Raw_Fund_Import!$A138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38" s="4" t="str">
        <f aca="false">IF(Raw_Fund_Import!$A138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38" s="4" t="str">
        <f aca="false">IF(Raw_Fund_Import!$A138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38" s="4" t="str">
        <f aca="false">IF(Raw_Fund_Import!$A138="","",IF(COUNTBLANK($A138:$X138)&gt;0,"CHECK","OK"))</f>
        <v/>
      </c>
    </row>
    <row r="139" customFormat="false" ht="15" hidden="false" customHeight="true" outlineLevel="0" collapsed="false">
      <c r="A139" s="4" t="str">
        <f aca="false">IF(Raw_Fund_Import!$A139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39" s="4" t="str">
        <f aca="false">IF(Raw_Fund_Import!$A139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39" s="4" t="str">
        <f aca="false">IF(Raw_Fund_Import!$A139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39" s="4" t="str">
        <f aca="false">IF(Raw_Fund_Import!$A139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39" s="4" t="str">
        <f aca="false">IF(Raw_Fund_Import!$A139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39" s="4" t="str">
        <f aca="false">IF(Raw_Fund_Import!$A139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39" s="4" t="str">
        <f aca="false">IF(Raw_Fund_Import!$A139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39" s="43" t="str">
        <f aca="false">IF(Raw_Fund_Import!$A139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39" s="4" t="str">
        <f aca="false">IF(Raw_Fund_Import!$A139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39" s="4" t="str">
        <f aca="false">IF(Raw_Fund_Import!$A139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39" s="4" t="str">
        <f aca="false">IF(Raw_Fund_Import!$A139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39" s="4" t="str">
        <f aca="false">IF(Raw_Fund_Import!$A139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39" s="4" t="str">
        <f aca="false">IF(Raw_Fund_Import!$A139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39" s="4" t="str">
        <f aca="false">IF(Raw_Fund_Import!$A139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39" s="4" t="str">
        <f aca="false">IF(Raw_Fund_Import!$A139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39" s="4" t="str">
        <f aca="false">IF(Raw_Fund_Import!$A139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39" s="44" t="str">
        <f aca="false">IF(Raw_Fund_Import!$A139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39" s="44" t="str">
        <f aca="false">IF(Raw_Fund_Import!$A139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39" s="44" t="str">
        <f aca="false">IF(Raw_Fund_Import!$A139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39" s="44" t="str">
        <f aca="false">IF(Raw_Fund_Import!$A139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39" s="44" t="str">
        <f aca="false">IF(Raw_Fund_Import!$A139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39" s="44" t="str">
        <f aca="false">IF(Raw_Fund_Import!$A139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39" s="4" t="str">
        <f aca="false">IF(Raw_Fund_Import!$A139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39" s="4" t="str">
        <f aca="false">IF(Raw_Fund_Import!$A139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39" s="4" t="str">
        <f aca="false">IF(Raw_Fund_Import!$A139="","",IF(COUNTBLANK($A139:$X139)&gt;0,"CHECK","OK"))</f>
        <v/>
      </c>
    </row>
    <row r="140" customFormat="false" ht="15" hidden="false" customHeight="true" outlineLevel="0" collapsed="false">
      <c r="A140" s="4" t="str">
        <f aca="false">IF(Raw_Fund_Import!$A140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0" s="4" t="str">
        <f aca="false">IF(Raw_Fund_Import!$A140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0" s="4" t="str">
        <f aca="false">IF(Raw_Fund_Import!$A140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0" s="4" t="str">
        <f aca="false">IF(Raw_Fund_Import!$A140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0" s="4" t="str">
        <f aca="false">IF(Raw_Fund_Import!$A140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0" s="4" t="str">
        <f aca="false">IF(Raw_Fund_Import!$A140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0" s="4" t="str">
        <f aca="false">IF(Raw_Fund_Import!$A140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0" s="43" t="str">
        <f aca="false">IF(Raw_Fund_Import!$A140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0" s="4" t="str">
        <f aca="false">IF(Raw_Fund_Import!$A140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0" s="4" t="str">
        <f aca="false">IF(Raw_Fund_Import!$A140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0" s="4" t="str">
        <f aca="false">IF(Raw_Fund_Import!$A140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0" s="4" t="str">
        <f aca="false">IF(Raw_Fund_Import!$A140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0" s="4" t="str">
        <f aca="false">IF(Raw_Fund_Import!$A140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0" s="4" t="str">
        <f aca="false">IF(Raw_Fund_Import!$A140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0" s="4" t="str">
        <f aca="false">IF(Raw_Fund_Import!$A140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0" s="4" t="str">
        <f aca="false">IF(Raw_Fund_Import!$A140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0" s="44" t="str">
        <f aca="false">IF(Raw_Fund_Import!$A140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0" s="44" t="str">
        <f aca="false">IF(Raw_Fund_Import!$A140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0" s="44" t="str">
        <f aca="false">IF(Raw_Fund_Import!$A140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0" s="44" t="str">
        <f aca="false">IF(Raw_Fund_Import!$A140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0" s="44" t="str">
        <f aca="false">IF(Raw_Fund_Import!$A140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0" s="44" t="str">
        <f aca="false">IF(Raw_Fund_Import!$A140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0" s="4" t="str">
        <f aca="false">IF(Raw_Fund_Import!$A140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0" s="4" t="str">
        <f aca="false">IF(Raw_Fund_Import!$A140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0" s="4" t="str">
        <f aca="false">IF(Raw_Fund_Import!$A140="","",IF(COUNTBLANK($A140:$X140)&gt;0,"CHECK","OK"))</f>
        <v/>
      </c>
    </row>
    <row r="141" customFormat="false" ht="15" hidden="false" customHeight="true" outlineLevel="0" collapsed="false">
      <c r="A141" s="4" t="str">
        <f aca="false">IF(Raw_Fund_Import!$A141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1" s="4" t="str">
        <f aca="false">IF(Raw_Fund_Import!$A141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1" s="4" t="str">
        <f aca="false">IF(Raw_Fund_Import!$A141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1" s="4" t="str">
        <f aca="false">IF(Raw_Fund_Import!$A141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1" s="4" t="str">
        <f aca="false">IF(Raw_Fund_Import!$A141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1" s="4" t="str">
        <f aca="false">IF(Raw_Fund_Import!$A141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1" s="4" t="str">
        <f aca="false">IF(Raw_Fund_Import!$A141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1" s="43" t="str">
        <f aca="false">IF(Raw_Fund_Import!$A141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1" s="4" t="str">
        <f aca="false">IF(Raw_Fund_Import!$A141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1" s="4" t="str">
        <f aca="false">IF(Raw_Fund_Import!$A141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1" s="4" t="str">
        <f aca="false">IF(Raw_Fund_Import!$A141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1" s="4" t="str">
        <f aca="false">IF(Raw_Fund_Import!$A141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1" s="4" t="str">
        <f aca="false">IF(Raw_Fund_Import!$A141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1" s="4" t="str">
        <f aca="false">IF(Raw_Fund_Import!$A141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1" s="4" t="str">
        <f aca="false">IF(Raw_Fund_Import!$A141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1" s="4" t="str">
        <f aca="false">IF(Raw_Fund_Import!$A141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1" s="44" t="str">
        <f aca="false">IF(Raw_Fund_Import!$A141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1" s="44" t="str">
        <f aca="false">IF(Raw_Fund_Import!$A141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1" s="44" t="str">
        <f aca="false">IF(Raw_Fund_Import!$A141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1" s="44" t="str">
        <f aca="false">IF(Raw_Fund_Import!$A141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1" s="44" t="str">
        <f aca="false">IF(Raw_Fund_Import!$A141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1" s="44" t="str">
        <f aca="false">IF(Raw_Fund_Import!$A141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1" s="4" t="str">
        <f aca="false">IF(Raw_Fund_Import!$A141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1" s="4" t="str">
        <f aca="false">IF(Raw_Fund_Import!$A141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1" s="4" t="str">
        <f aca="false">IF(Raw_Fund_Import!$A141="","",IF(COUNTBLANK($A141:$X141)&gt;0,"CHECK","OK"))</f>
        <v/>
      </c>
    </row>
    <row r="142" customFormat="false" ht="15" hidden="false" customHeight="true" outlineLevel="0" collapsed="false">
      <c r="A142" s="4" t="str">
        <f aca="false">IF(Raw_Fund_Import!$A142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2" s="4" t="str">
        <f aca="false">IF(Raw_Fund_Import!$A142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2" s="4" t="str">
        <f aca="false">IF(Raw_Fund_Import!$A142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2" s="4" t="str">
        <f aca="false">IF(Raw_Fund_Import!$A142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2" s="4" t="str">
        <f aca="false">IF(Raw_Fund_Import!$A142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2" s="4" t="str">
        <f aca="false">IF(Raw_Fund_Import!$A142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2" s="4" t="str">
        <f aca="false">IF(Raw_Fund_Import!$A142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2" s="43" t="str">
        <f aca="false">IF(Raw_Fund_Import!$A142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2" s="4" t="str">
        <f aca="false">IF(Raw_Fund_Import!$A142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2" s="4" t="str">
        <f aca="false">IF(Raw_Fund_Import!$A142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2" s="4" t="str">
        <f aca="false">IF(Raw_Fund_Import!$A142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2" s="4" t="str">
        <f aca="false">IF(Raw_Fund_Import!$A142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2" s="4" t="str">
        <f aca="false">IF(Raw_Fund_Import!$A142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2" s="4" t="str">
        <f aca="false">IF(Raw_Fund_Import!$A142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2" s="4" t="str">
        <f aca="false">IF(Raw_Fund_Import!$A142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2" s="4" t="str">
        <f aca="false">IF(Raw_Fund_Import!$A142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2" s="44" t="str">
        <f aca="false">IF(Raw_Fund_Import!$A142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2" s="44" t="str">
        <f aca="false">IF(Raw_Fund_Import!$A142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2" s="44" t="str">
        <f aca="false">IF(Raw_Fund_Import!$A142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2" s="44" t="str">
        <f aca="false">IF(Raw_Fund_Import!$A142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2" s="44" t="str">
        <f aca="false">IF(Raw_Fund_Import!$A142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2" s="44" t="str">
        <f aca="false">IF(Raw_Fund_Import!$A142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2" s="4" t="str">
        <f aca="false">IF(Raw_Fund_Import!$A142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2" s="4" t="str">
        <f aca="false">IF(Raw_Fund_Import!$A142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2" s="4" t="str">
        <f aca="false">IF(Raw_Fund_Import!$A142="","",IF(COUNTBLANK($A142:$X142)&gt;0,"CHECK","OK"))</f>
        <v/>
      </c>
    </row>
    <row r="143" customFormat="false" ht="15" hidden="false" customHeight="true" outlineLevel="0" collapsed="false">
      <c r="A143" s="4" t="str">
        <f aca="false">IF(Raw_Fund_Import!$A143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3" s="4" t="str">
        <f aca="false">IF(Raw_Fund_Import!$A143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3" s="4" t="str">
        <f aca="false">IF(Raw_Fund_Import!$A143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3" s="4" t="str">
        <f aca="false">IF(Raw_Fund_Import!$A143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3" s="4" t="str">
        <f aca="false">IF(Raw_Fund_Import!$A143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3" s="4" t="str">
        <f aca="false">IF(Raw_Fund_Import!$A143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3" s="4" t="str">
        <f aca="false">IF(Raw_Fund_Import!$A143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3" s="43" t="str">
        <f aca="false">IF(Raw_Fund_Import!$A143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3" s="4" t="str">
        <f aca="false">IF(Raw_Fund_Import!$A143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3" s="4" t="str">
        <f aca="false">IF(Raw_Fund_Import!$A143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3" s="4" t="str">
        <f aca="false">IF(Raw_Fund_Import!$A143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3" s="4" t="str">
        <f aca="false">IF(Raw_Fund_Import!$A143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3" s="4" t="str">
        <f aca="false">IF(Raw_Fund_Import!$A143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3" s="4" t="str">
        <f aca="false">IF(Raw_Fund_Import!$A143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3" s="4" t="str">
        <f aca="false">IF(Raw_Fund_Import!$A143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3" s="4" t="str">
        <f aca="false">IF(Raw_Fund_Import!$A143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3" s="44" t="str">
        <f aca="false">IF(Raw_Fund_Import!$A143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3" s="44" t="str">
        <f aca="false">IF(Raw_Fund_Import!$A143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3" s="44" t="str">
        <f aca="false">IF(Raw_Fund_Import!$A143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3" s="44" t="str">
        <f aca="false">IF(Raw_Fund_Import!$A143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3" s="44" t="str">
        <f aca="false">IF(Raw_Fund_Import!$A143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3" s="44" t="str">
        <f aca="false">IF(Raw_Fund_Import!$A143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3" s="4" t="str">
        <f aca="false">IF(Raw_Fund_Import!$A143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3" s="4" t="str">
        <f aca="false">IF(Raw_Fund_Import!$A143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3" s="4" t="str">
        <f aca="false">IF(Raw_Fund_Import!$A143="","",IF(COUNTBLANK($A143:$X143)&gt;0,"CHECK","OK"))</f>
        <v/>
      </c>
    </row>
    <row r="144" customFormat="false" ht="15" hidden="false" customHeight="true" outlineLevel="0" collapsed="false">
      <c r="A144" s="4" t="str">
        <f aca="false">IF(Raw_Fund_Import!$A144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4" s="4" t="str">
        <f aca="false">IF(Raw_Fund_Import!$A144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4" s="4" t="str">
        <f aca="false">IF(Raw_Fund_Import!$A144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4" s="4" t="str">
        <f aca="false">IF(Raw_Fund_Import!$A144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4" s="4" t="str">
        <f aca="false">IF(Raw_Fund_Import!$A144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4" s="4" t="str">
        <f aca="false">IF(Raw_Fund_Import!$A144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4" s="4" t="str">
        <f aca="false">IF(Raw_Fund_Import!$A144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4" s="43" t="str">
        <f aca="false">IF(Raw_Fund_Import!$A144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4" s="4" t="str">
        <f aca="false">IF(Raw_Fund_Import!$A144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4" s="4" t="str">
        <f aca="false">IF(Raw_Fund_Import!$A144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4" s="4" t="str">
        <f aca="false">IF(Raw_Fund_Import!$A144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4" s="4" t="str">
        <f aca="false">IF(Raw_Fund_Import!$A144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4" s="4" t="str">
        <f aca="false">IF(Raw_Fund_Import!$A144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4" s="4" t="str">
        <f aca="false">IF(Raw_Fund_Import!$A144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4" s="4" t="str">
        <f aca="false">IF(Raw_Fund_Import!$A144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4" s="4" t="str">
        <f aca="false">IF(Raw_Fund_Import!$A144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4" s="44" t="str">
        <f aca="false">IF(Raw_Fund_Import!$A144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4" s="44" t="str">
        <f aca="false">IF(Raw_Fund_Import!$A144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4" s="44" t="str">
        <f aca="false">IF(Raw_Fund_Import!$A144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4" s="44" t="str">
        <f aca="false">IF(Raw_Fund_Import!$A144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4" s="44" t="str">
        <f aca="false">IF(Raw_Fund_Import!$A144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4" s="44" t="str">
        <f aca="false">IF(Raw_Fund_Import!$A144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4" s="4" t="str">
        <f aca="false">IF(Raw_Fund_Import!$A144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4" s="4" t="str">
        <f aca="false">IF(Raw_Fund_Import!$A144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4" s="4" t="str">
        <f aca="false">IF(Raw_Fund_Import!$A144="","",IF(COUNTBLANK($A144:$X144)&gt;0,"CHECK","OK"))</f>
        <v/>
      </c>
    </row>
    <row r="145" customFormat="false" ht="15" hidden="false" customHeight="true" outlineLevel="0" collapsed="false">
      <c r="A145" s="4" t="str">
        <f aca="false">IF(Raw_Fund_Import!$A145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5" s="4" t="str">
        <f aca="false">IF(Raw_Fund_Import!$A145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5" s="4" t="str">
        <f aca="false">IF(Raw_Fund_Import!$A145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5" s="4" t="str">
        <f aca="false">IF(Raw_Fund_Import!$A145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5" s="4" t="str">
        <f aca="false">IF(Raw_Fund_Import!$A145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5" s="4" t="str">
        <f aca="false">IF(Raw_Fund_Import!$A145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5" s="4" t="str">
        <f aca="false">IF(Raw_Fund_Import!$A145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5" s="43" t="str">
        <f aca="false">IF(Raw_Fund_Import!$A145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5" s="4" t="str">
        <f aca="false">IF(Raw_Fund_Import!$A145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5" s="4" t="str">
        <f aca="false">IF(Raw_Fund_Import!$A145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5" s="4" t="str">
        <f aca="false">IF(Raw_Fund_Import!$A145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5" s="4" t="str">
        <f aca="false">IF(Raw_Fund_Import!$A145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5" s="4" t="str">
        <f aca="false">IF(Raw_Fund_Import!$A145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5" s="4" t="str">
        <f aca="false">IF(Raw_Fund_Import!$A145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5" s="4" t="str">
        <f aca="false">IF(Raw_Fund_Import!$A145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5" s="4" t="str">
        <f aca="false">IF(Raw_Fund_Import!$A145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5" s="44" t="str">
        <f aca="false">IF(Raw_Fund_Import!$A145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5" s="44" t="str">
        <f aca="false">IF(Raw_Fund_Import!$A145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5" s="44" t="str">
        <f aca="false">IF(Raw_Fund_Import!$A145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5" s="44" t="str">
        <f aca="false">IF(Raw_Fund_Import!$A145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5" s="44" t="str">
        <f aca="false">IF(Raw_Fund_Import!$A145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5" s="44" t="str">
        <f aca="false">IF(Raw_Fund_Import!$A145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5" s="4" t="str">
        <f aca="false">IF(Raw_Fund_Import!$A145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5" s="4" t="str">
        <f aca="false">IF(Raw_Fund_Import!$A145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5" s="4" t="str">
        <f aca="false">IF(Raw_Fund_Import!$A145="","",IF(COUNTBLANK($A145:$X145)&gt;0,"CHECK","OK"))</f>
        <v/>
      </c>
    </row>
    <row r="146" customFormat="false" ht="15" hidden="false" customHeight="true" outlineLevel="0" collapsed="false">
      <c r="A146" s="4" t="str">
        <f aca="false">IF(Raw_Fund_Import!$A146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6" s="4" t="str">
        <f aca="false">IF(Raw_Fund_Import!$A146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6" s="4" t="str">
        <f aca="false">IF(Raw_Fund_Import!$A146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6" s="4" t="str">
        <f aca="false">IF(Raw_Fund_Import!$A146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6" s="4" t="str">
        <f aca="false">IF(Raw_Fund_Import!$A146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6" s="4" t="str">
        <f aca="false">IF(Raw_Fund_Import!$A146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6" s="4" t="str">
        <f aca="false">IF(Raw_Fund_Import!$A146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6" s="43" t="str">
        <f aca="false">IF(Raw_Fund_Import!$A146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6" s="4" t="str">
        <f aca="false">IF(Raw_Fund_Import!$A146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6" s="4" t="str">
        <f aca="false">IF(Raw_Fund_Import!$A146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6" s="4" t="str">
        <f aca="false">IF(Raw_Fund_Import!$A146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6" s="4" t="str">
        <f aca="false">IF(Raw_Fund_Import!$A146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6" s="4" t="str">
        <f aca="false">IF(Raw_Fund_Import!$A146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6" s="4" t="str">
        <f aca="false">IF(Raw_Fund_Import!$A146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6" s="4" t="str">
        <f aca="false">IF(Raw_Fund_Import!$A146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6" s="4" t="str">
        <f aca="false">IF(Raw_Fund_Import!$A146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6" s="44" t="str">
        <f aca="false">IF(Raw_Fund_Import!$A146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6" s="44" t="str">
        <f aca="false">IF(Raw_Fund_Import!$A146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6" s="44" t="str">
        <f aca="false">IF(Raw_Fund_Import!$A146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6" s="44" t="str">
        <f aca="false">IF(Raw_Fund_Import!$A146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6" s="44" t="str">
        <f aca="false">IF(Raw_Fund_Import!$A146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6" s="44" t="str">
        <f aca="false">IF(Raw_Fund_Import!$A146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6" s="4" t="str">
        <f aca="false">IF(Raw_Fund_Import!$A146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6" s="4" t="str">
        <f aca="false">IF(Raw_Fund_Import!$A146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6" s="4" t="str">
        <f aca="false">IF(Raw_Fund_Import!$A146="","",IF(COUNTBLANK($A146:$X146)&gt;0,"CHECK","OK"))</f>
        <v/>
      </c>
    </row>
    <row r="147" customFormat="false" ht="15" hidden="false" customHeight="true" outlineLevel="0" collapsed="false">
      <c r="A147" s="4" t="str">
        <f aca="false">IF(Raw_Fund_Import!$A147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7" s="4" t="str">
        <f aca="false">IF(Raw_Fund_Import!$A147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7" s="4" t="str">
        <f aca="false">IF(Raw_Fund_Import!$A147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7" s="4" t="str">
        <f aca="false">IF(Raw_Fund_Import!$A147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7" s="4" t="str">
        <f aca="false">IF(Raw_Fund_Import!$A147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7" s="4" t="str">
        <f aca="false">IF(Raw_Fund_Import!$A147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7" s="4" t="str">
        <f aca="false">IF(Raw_Fund_Import!$A147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7" s="43" t="str">
        <f aca="false">IF(Raw_Fund_Import!$A147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7" s="4" t="str">
        <f aca="false">IF(Raw_Fund_Import!$A147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7" s="4" t="str">
        <f aca="false">IF(Raw_Fund_Import!$A147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7" s="4" t="str">
        <f aca="false">IF(Raw_Fund_Import!$A147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7" s="4" t="str">
        <f aca="false">IF(Raw_Fund_Import!$A147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7" s="4" t="str">
        <f aca="false">IF(Raw_Fund_Import!$A147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7" s="4" t="str">
        <f aca="false">IF(Raw_Fund_Import!$A147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7" s="4" t="str">
        <f aca="false">IF(Raw_Fund_Import!$A147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7" s="4" t="str">
        <f aca="false">IF(Raw_Fund_Import!$A147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7" s="44" t="str">
        <f aca="false">IF(Raw_Fund_Import!$A147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7" s="44" t="str">
        <f aca="false">IF(Raw_Fund_Import!$A147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7" s="44" t="str">
        <f aca="false">IF(Raw_Fund_Import!$A147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7" s="44" t="str">
        <f aca="false">IF(Raw_Fund_Import!$A147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7" s="44" t="str">
        <f aca="false">IF(Raw_Fund_Import!$A147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7" s="44" t="str">
        <f aca="false">IF(Raw_Fund_Import!$A147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7" s="4" t="str">
        <f aca="false">IF(Raw_Fund_Import!$A147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7" s="4" t="str">
        <f aca="false">IF(Raw_Fund_Import!$A147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7" s="4" t="str">
        <f aca="false">IF(Raw_Fund_Import!$A147="","",IF(COUNTBLANK($A147:$X147)&gt;0,"CHECK","OK"))</f>
        <v/>
      </c>
    </row>
    <row r="148" customFormat="false" ht="15" hidden="false" customHeight="true" outlineLevel="0" collapsed="false">
      <c r="A148" s="4" t="str">
        <f aca="false">IF(Raw_Fund_Import!$A148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8" s="4" t="str">
        <f aca="false">IF(Raw_Fund_Import!$A148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8" s="4" t="str">
        <f aca="false">IF(Raw_Fund_Import!$A148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8" s="4" t="str">
        <f aca="false">IF(Raw_Fund_Import!$A148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8" s="4" t="str">
        <f aca="false">IF(Raw_Fund_Import!$A148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8" s="4" t="str">
        <f aca="false">IF(Raw_Fund_Import!$A148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8" s="4" t="str">
        <f aca="false">IF(Raw_Fund_Import!$A148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8" s="43" t="str">
        <f aca="false">IF(Raw_Fund_Import!$A148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8" s="4" t="str">
        <f aca="false">IF(Raw_Fund_Import!$A148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8" s="4" t="str">
        <f aca="false">IF(Raw_Fund_Import!$A148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8" s="4" t="str">
        <f aca="false">IF(Raw_Fund_Import!$A148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8" s="4" t="str">
        <f aca="false">IF(Raw_Fund_Import!$A148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8" s="4" t="str">
        <f aca="false">IF(Raw_Fund_Import!$A148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8" s="4" t="str">
        <f aca="false">IF(Raw_Fund_Import!$A148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8" s="4" t="str">
        <f aca="false">IF(Raw_Fund_Import!$A148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8" s="4" t="str">
        <f aca="false">IF(Raw_Fund_Import!$A148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8" s="44" t="str">
        <f aca="false">IF(Raw_Fund_Import!$A148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8" s="44" t="str">
        <f aca="false">IF(Raw_Fund_Import!$A148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8" s="44" t="str">
        <f aca="false">IF(Raw_Fund_Import!$A148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8" s="44" t="str">
        <f aca="false">IF(Raw_Fund_Import!$A148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8" s="44" t="str">
        <f aca="false">IF(Raw_Fund_Import!$A148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8" s="44" t="str">
        <f aca="false">IF(Raw_Fund_Import!$A148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8" s="4" t="str">
        <f aca="false">IF(Raw_Fund_Import!$A148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8" s="4" t="str">
        <f aca="false">IF(Raw_Fund_Import!$A148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8" s="4" t="str">
        <f aca="false">IF(Raw_Fund_Import!$A148="","",IF(COUNTBLANK($A148:$X148)&gt;0,"CHECK","OK"))</f>
        <v/>
      </c>
    </row>
    <row r="149" customFormat="false" ht="15" hidden="false" customHeight="true" outlineLevel="0" collapsed="false">
      <c r="A149" s="4" t="str">
        <f aca="false">IF(Raw_Fund_Import!$A149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49" s="4" t="str">
        <f aca="false">IF(Raw_Fund_Import!$A149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49" s="4" t="str">
        <f aca="false">IF(Raw_Fund_Import!$A149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49" s="4" t="str">
        <f aca="false">IF(Raw_Fund_Import!$A149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49" s="4" t="str">
        <f aca="false">IF(Raw_Fund_Import!$A149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49" s="4" t="str">
        <f aca="false">IF(Raw_Fund_Import!$A149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49" s="4" t="str">
        <f aca="false">IF(Raw_Fund_Import!$A149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49" s="43" t="str">
        <f aca="false">IF(Raw_Fund_Import!$A149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49" s="4" t="str">
        <f aca="false">IF(Raw_Fund_Import!$A149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49" s="4" t="str">
        <f aca="false">IF(Raw_Fund_Import!$A149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49" s="4" t="str">
        <f aca="false">IF(Raw_Fund_Import!$A149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49" s="4" t="str">
        <f aca="false">IF(Raw_Fund_Import!$A149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49" s="4" t="str">
        <f aca="false">IF(Raw_Fund_Import!$A149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49" s="4" t="str">
        <f aca="false">IF(Raw_Fund_Import!$A149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49" s="4" t="str">
        <f aca="false">IF(Raw_Fund_Import!$A149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49" s="4" t="str">
        <f aca="false">IF(Raw_Fund_Import!$A149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49" s="44" t="str">
        <f aca="false">IF(Raw_Fund_Import!$A149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49" s="44" t="str">
        <f aca="false">IF(Raw_Fund_Import!$A149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49" s="44" t="str">
        <f aca="false">IF(Raw_Fund_Import!$A149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49" s="44" t="str">
        <f aca="false">IF(Raw_Fund_Import!$A149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49" s="44" t="str">
        <f aca="false">IF(Raw_Fund_Import!$A149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49" s="44" t="str">
        <f aca="false">IF(Raw_Fund_Import!$A149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49" s="4" t="str">
        <f aca="false">IF(Raw_Fund_Import!$A149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49" s="4" t="str">
        <f aca="false">IF(Raw_Fund_Import!$A149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49" s="4" t="str">
        <f aca="false">IF(Raw_Fund_Import!$A149="","",IF(COUNTBLANK($A149:$X149)&gt;0,"CHECK","OK"))</f>
        <v/>
      </c>
    </row>
    <row r="150" customFormat="false" ht="15" hidden="false" customHeight="true" outlineLevel="0" collapsed="false">
      <c r="A150" s="4" t="str">
        <f aca="false">IF(Raw_Fund_Import!$A150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0" s="4" t="str">
        <f aca="false">IF(Raw_Fund_Import!$A150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0" s="4" t="str">
        <f aca="false">IF(Raw_Fund_Import!$A150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0" s="4" t="str">
        <f aca="false">IF(Raw_Fund_Import!$A150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0" s="4" t="str">
        <f aca="false">IF(Raw_Fund_Import!$A150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0" s="4" t="str">
        <f aca="false">IF(Raw_Fund_Import!$A150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0" s="4" t="str">
        <f aca="false">IF(Raw_Fund_Import!$A150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0" s="43" t="str">
        <f aca="false">IF(Raw_Fund_Import!$A150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0" s="4" t="str">
        <f aca="false">IF(Raw_Fund_Import!$A150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0" s="4" t="str">
        <f aca="false">IF(Raw_Fund_Import!$A150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0" s="4" t="str">
        <f aca="false">IF(Raw_Fund_Import!$A150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0" s="4" t="str">
        <f aca="false">IF(Raw_Fund_Import!$A150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0" s="4" t="str">
        <f aca="false">IF(Raw_Fund_Import!$A150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0" s="4" t="str">
        <f aca="false">IF(Raw_Fund_Import!$A150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0" s="4" t="str">
        <f aca="false">IF(Raw_Fund_Import!$A150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0" s="4" t="str">
        <f aca="false">IF(Raw_Fund_Import!$A150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0" s="44" t="str">
        <f aca="false">IF(Raw_Fund_Import!$A150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0" s="44" t="str">
        <f aca="false">IF(Raw_Fund_Import!$A150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0" s="44" t="str">
        <f aca="false">IF(Raw_Fund_Import!$A150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0" s="44" t="str">
        <f aca="false">IF(Raw_Fund_Import!$A150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0" s="44" t="str">
        <f aca="false">IF(Raw_Fund_Import!$A150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0" s="44" t="str">
        <f aca="false">IF(Raw_Fund_Import!$A150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0" s="4" t="str">
        <f aca="false">IF(Raw_Fund_Import!$A150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0" s="4" t="str">
        <f aca="false">IF(Raw_Fund_Import!$A150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0" s="4" t="str">
        <f aca="false">IF(Raw_Fund_Import!$A150="","",IF(COUNTBLANK($A150:$X150)&gt;0,"CHECK","OK"))</f>
        <v/>
      </c>
    </row>
    <row r="151" customFormat="false" ht="15" hidden="false" customHeight="true" outlineLevel="0" collapsed="false">
      <c r="A151" s="4" t="str">
        <f aca="false">IF(Raw_Fund_Import!$A151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1" s="4" t="str">
        <f aca="false">IF(Raw_Fund_Import!$A151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1" s="4" t="str">
        <f aca="false">IF(Raw_Fund_Import!$A151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1" s="4" t="str">
        <f aca="false">IF(Raw_Fund_Import!$A151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1" s="4" t="str">
        <f aca="false">IF(Raw_Fund_Import!$A151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1" s="4" t="str">
        <f aca="false">IF(Raw_Fund_Import!$A151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1" s="4" t="str">
        <f aca="false">IF(Raw_Fund_Import!$A151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1" s="43" t="str">
        <f aca="false">IF(Raw_Fund_Import!$A151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1" s="4" t="str">
        <f aca="false">IF(Raw_Fund_Import!$A151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1" s="4" t="str">
        <f aca="false">IF(Raw_Fund_Import!$A151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1" s="4" t="str">
        <f aca="false">IF(Raw_Fund_Import!$A151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1" s="4" t="str">
        <f aca="false">IF(Raw_Fund_Import!$A151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1" s="4" t="str">
        <f aca="false">IF(Raw_Fund_Import!$A151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1" s="4" t="str">
        <f aca="false">IF(Raw_Fund_Import!$A151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1" s="4" t="str">
        <f aca="false">IF(Raw_Fund_Import!$A151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1" s="4" t="str">
        <f aca="false">IF(Raw_Fund_Import!$A151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1" s="44" t="str">
        <f aca="false">IF(Raw_Fund_Import!$A151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1" s="44" t="str">
        <f aca="false">IF(Raw_Fund_Import!$A151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1" s="44" t="str">
        <f aca="false">IF(Raw_Fund_Import!$A151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1" s="44" t="str">
        <f aca="false">IF(Raw_Fund_Import!$A151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1" s="44" t="str">
        <f aca="false">IF(Raw_Fund_Import!$A151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1" s="44" t="str">
        <f aca="false">IF(Raw_Fund_Import!$A151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1" s="4" t="str">
        <f aca="false">IF(Raw_Fund_Import!$A151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1" s="4" t="str">
        <f aca="false">IF(Raw_Fund_Import!$A151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1" s="4" t="str">
        <f aca="false">IF(Raw_Fund_Import!$A151="","",IF(COUNTBLANK($A151:$X151)&gt;0,"CHECK","OK"))</f>
        <v/>
      </c>
    </row>
    <row r="152" customFormat="false" ht="15" hidden="false" customHeight="true" outlineLevel="0" collapsed="false">
      <c r="A152" s="4" t="str">
        <f aca="false">IF(Raw_Fund_Import!$A152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2" s="4" t="str">
        <f aca="false">IF(Raw_Fund_Import!$A152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2" s="4" t="str">
        <f aca="false">IF(Raw_Fund_Import!$A152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2" s="4" t="str">
        <f aca="false">IF(Raw_Fund_Import!$A152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2" s="4" t="str">
        <f aca="false">IF(Raw_Fund_Import!$A152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2" s="4" t="str">
        <f aca="false">IF(Raw_Fund_Import!$A152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2" s="4" t="str">
        <f aca="false">IF(Raw_Fund_Import!$A152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2" s="43" t="str">
        <f aca="false">IF(Raw_Fund_Import!$A152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2" s="4" t="str">
        <f aca="false">IF(Raw_Fund_Import!$A152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2" s="4" t="str">
        <f aca="false">IF(Raw_Fund_Import!$A152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2" s="4" t="str">
        <f aca="false">IF(Raw_Fund_Import!$A152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2" s="4" t="str">
        <f aca="false">IF(Raw_Fund_Import!$A152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2" s="4" t="str">
        <f aca="false">IF(Raw_Fund_Import!$A152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2" s="4" t="str">
        <f aca="false">IF(Raw_Fund_Import!$A152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2" s="4" t="str">
        <f aca="false">IF(Raw_Fund_Import!$A152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2" s="4" t="str">
        <f aca="false">IF(Raw_Fund_Import!$A152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2" s="44" t="str">
        <f aca="false">IF(Raw_Fund_Import!$A152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2" s="44" t="str">
        <f aca="false">IF(Raw_Fund_Import!$A152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2" s="44" t="str">
        <f aca="false">IF(Raw_Fund_Import!$A152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2" s="44" t="str">
        <f aca="false">IF(Raw_Fund_Import!$A152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2" s="44" t="str">
        <f aca="false">IF(Raw_Fund_Import!$A152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2" s="44" t="str">
        <f aca="false">IF(Raw_Fund_Import!$A152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2" s="4" t="str">
        <f aca="false">IF(Raw_Fund_Import!$A152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2" s="4" t="str">
        <f aca="false">IF(Raw_Fund_Import!$A152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2" s="4" t="str">
        <f aca="false">IF(Raw_Fund_Import!$A152="","",IF(COUNTBLANK($A152:$X152)&gt;0,"CHECK","OK"))</f>
        <v/>
      </c>
    </row>
    <row r="153" customFormat="false" ht="15" hidden="false" customHeight="true" outlineLevel="0" collapsed="false">
      <c r="A153" s="4" t="str">
        <f aca="false">IF(Raw_Fund_Import!$A153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3" s="4" t="str">
        <f aca="false">IF(Raw_Fund_Import!$A153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3" s="4" t="str">
        <f aca="false">IF(Raw_Fund_Import!$A153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3" s="4" t="str">
        <f aca="false">IF(Raw_Fund_Import!$A153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3" s="4" t="str">
        <f aca="false">IF(Raw_Fund_Import!$A153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3" s="4" t="str">
        <f aca="false">IF(Raw_Fund_Import!$A153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3" s="4" t="str">
        <f aca="false">IF(Raw_Fund_Import!$A153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3" s="43" t="str">
        <f aca="false">IF(Raw_Fund_Import!$A153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3" s="4" t="str">
        <f aca="false">IF(Raw_Fund_Import!$A153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3" s="4" t="str">
        <f aca="false">IF(Raw_Fund_Import!$A153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3" s="4" t="str">
        <f aca="false">IF(Raw_Fund_Import!$A153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3" s="4" t="str">
        <f aca="false">IF(Raw_Fund_Import!$A153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3" s="4" t="str">
        <f aca="false">IF(Raw_Fund_Import!$A153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3" s="4" t="str">
        <f aca="false">IF(Raw_Fund_Import!$A153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3" s="4" t="str">
        <f aca="false">IF(Raw_Fund_Import!$A153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3" s="4" t="str">
        <f aca="false">IF(Raw_Fund_Import!$A153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3" s="44" t="str">
        <f aca="false">IF(Raw_Fund_Import!$A153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3" s="44" t="str">
        <f aca="false">IF(Raw_Fund_Import!$A153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3" s="44" t="str">
        <f aca="false">IF(Raw_Fund_Import!$A153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3" s="44" t="str">
        <f aca="false">IF(Raw_Fund_Import!$A153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3" s="44" t="str">
        <f aca="false">IF(Raw_Fund_Import!$A153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3" s="44" t="str">
        <f aca="false">IF(Raw_Fund_Import!$A153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3" s="4" t="str">
        <f aca="false">IF(Raw_Fund_Import!$A153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3" s="4" t="str">
        <f aca="false">IF(Raw_Fund_Import!$A153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3" s="4" t="str">
        <f aca="false">IF(Raw_Fund_Import!$A153="","",IF(COUNTBLANK($A153:$X153)&gt;0,"CHECK","OK"))</f>
        <v/>
      </c>
    </row>
    <row r="154" customFormat="false" ht="15" hidden="false" customHeight="true" outlineLevel="0" collapsed="false">
      <c r="A154" s="4" t="str">
        <f aca="false">IF(Raw_Fund_Import!$A154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4" s="4" t="str">
        <f aca="false">IF(Raw_Fund_Import!$A154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4" s="4" t="str">
        <f aca="false">IF(Raw_Fund_Import!$A154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4" s="4" t="str">
        <f aca="false">IF(Raw_Fund_Import!$A154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4" s="4" t="str">
        <f aca="false">IF(Raw_Fund_Import!$A154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4" s="4" t="str">
        <f aca="false">IF(Raw_Fund_Import!$A154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4" s="4" t="str">
        <f aca="false">IF(Raw_Fund_Import!$A154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4" s="43" t="str">
        <f aca="false">IF(Raw_Fund_Import!$A154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4" s="4" t="str">
        <f aca="false">IF(Raw_Fund_Import!$A154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4" s="4" t="str">
        <f aca="false">IF(Raw_Fund_Import!$A154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4" s="4" t="str">
        <f aca="false">IF(Raw_Fund_Import!$A154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4" s="4" t="str">
        <f aca="false">IF(Raw_Fund_Import!$A154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4" s="4" t="str">
        <f aca="false">IF(Raw_Fund_Import!$A154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4" s="4" t="str">
        <f aca="false">IF(Raw_Fund_Import!$A154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4" s="4" t="str">
        <f aca="false">IF(Raw_Fund_Import!$A154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4" s="4" t="str">
        <f aca="false">IF(Raw_Fund_Import!$A154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4" s="44" t="str">
        <f aca="false">IF(Raw_Fund_Import!$A154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4" s="44" t="str">
        <f aca="false">IF(Raw_Fund_Import!$A154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4" s="44" t="str">
        <f aca="false">IF(Raw_Fund_Import!$A154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4" s="44" t="str">
        <f aca="false">IF(Raw_Fund_Import!$A154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4" s="44" t="str">
        <f aca="false">IF(Raw_Fund_Import!$A154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4" s="44" t="str">
        <f aca="false">IF(Raw_Fund_Import!$A154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4" s="4" t="str">
        <f aca="false">IF(Raw_Fund_Import!$A154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4" s="4" t="str">
        <f aca="false">IF(Raw_Fund_Import!$A154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4" s="4" t="str">
        <f aca="false">IF(Raw_Fund_Import!$A154="","",IF(COUNTBLANK($A154:$X154)&gt;0,"CHECK","OK"))</f>
        <v/>
      </c>
    </row>
    <row r="155" customFormat="false" ht="15" hidden="false" customHeight="true" outlineLevel="0" collapsed="false">
      <c r="A155" s="4" t="str">
        <f aca="false">IF(Raw_Fund_Import!$A155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5" s="4" t="str">
        <f aca="false">IF(Raw_Fund_Import!$A155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5" s="4" t="str">
        <f aca="false">IF(Raw_Fund_Import!$A155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5" s="4" t="str">
        <f aca="false">IF(Raw_Fund_Import!$A155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5" s="4" t="str">
        <f aca="false">IF(Raw_Fund_Import!$A155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5" s="4" t="str">
        <f aca="false">IF(Raw_Fund_Import!$A155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5" s="4" t="str">
        <f aca="false">IF(Raw_Fund_Import!$A155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5" s="43" t="str">
        <f aca="false">IF(Raw_Fund_Import!$A155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5" s="4" t="str">
        <f aca="false">IF(Raw_Fund_Import!$A155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5" s="4" t="str">
        <f aca="false">IF(Raw_Fund_Import!$A155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5" s="4" t="str">
        <f aca="false">IF(Raw_Fund_Import!$A155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5" s="4" t="str">
        <f aca="false">IF(Raw_Fund_Import!$A155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5" s="4" t="str">
        <f aca="false">IF(Raw_Fund_Import!$A155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5" s="4" t="str">
        <f aca="false">IF(Raw_Fund_Import!$A155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5" s="4" t="str">
        <f aca="false">IF(Raw_Fund_Import!$A155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5" s="4" t="str">
        <f aca="false">IF(Raw_Fund_Import!$A155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5" s="44" t="str">
        <f aca="false">IF(Raw_Fund_Import!$A155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5" s="44" t="str">
        <f aca="false">IF(Raw_Fund_Import!$A155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5" s="44" t="str">
        <f aca="false">IF(Raw_Fund_Import!$A155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5" s="44" t="str">
        <f aca="false">IF(Raw_Fund_Import!$A155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5" s="44" t="str">
        <f aca="false">IF(Raw_Fund_Import!$A155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5" s="44" t="str">
        <f aca="false">IF(Raw_Fund_Import!$A155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5" s="4" t="str">
        <f aca="false">IF(Raw_Fund_Import!$A155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5" s="4" t="str">
        <f aca="false">IF(Raw_Fund_Import!$A155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5" s="4" t="str">
        <f aca="false">IF(Raw_Fund_Import!$A155="","",IF(COUNTBLANK($A155:$X155)&gt;0,"CHECK","OK"))</f>
        <v/>
      </c>
    </row>
    <row r="156" customFormat="false" ht="15" hidden="false" customHeight="true" outlineLevel="0" collapsed="false">
      <c r="A156" s="4" t="str">
        <f aca="false">IF(Raw_Fund_Import!$A156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6" s="4" t="str">
        <f aca="false">IF(Raw_Fund_Import!$A156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6" s="4" t="str">
        <f aca="false">IF(Raw_Fund_Import!$A156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6" s="4" t="str">
        <f aca="false">IF(Raw_Fund_Import!$A156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6" s="4" t="str">
        <f aca="false">IF(Raw_Fund_Import!$A156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6" s="4" t="str">
        <f aca="false">IF(Raw_Fund_Import!$A156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6" s="4" t="str">
        <f aca="false">IF(Raw_Fund_Import!$A156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6" s="43" t="str">
        <f aca="false">IF(Raw_Fund_Import!$A156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6" s="4" t="str">
        <f aca="false">IF(Raw_Fund_Import!$A156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6" s="4" t="str">
        <f aca="false">IF(Raw_Fund_Import!$A156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6" s="4" t="str">
        <f aca="false">IF(Raw_Fund_Import!$A156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6" s="4" t="str">
        <f aca="false">IF(Raw_Fund_Import!$A156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6" s="4" t="str">
        <f aca="false">IF(Raw_Fund_Import!$A156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6" s="4" t="str">
        <f aca="false">IF(Raw_Fund_Import!$A156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6" s="4" t="str">
        <f aca="false">IF(Raw_Fund_Import!$A156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6" s="4" t="str">
        <f aca="false">IF(Raw_Fund_Import!$A156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6" s="44" t="str">
        <f aca="false">IF(Raw_Fund_Import!$A156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6" s="44" t="str">
        <f aca="false">IF(Raw_Fund_Import!$A156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6" s="44" t="str">
        <f aca="false">IF(Raw_Fund_Import!$A156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6" s="44" t="str">
        <f aca="false">IF(Raw_Fund_Import!$A156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6" s="44" t="str">
        <f aca="false">IF(Raw_Fund_Import!$A156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6" s="44" t="str">
        <f aca="false">IF(Raw_Fund_Import!$A156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6" s="4" t="str">
        <f aca="false">IF(Raw_Fund_Import!$A156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6" s="4" t="str">
        <f aca="false">IF(Raw_Fund_Import!$A156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6" s="4" t="str">
        <f aca="false">IF(Raw_Fund_Import!$A156="","",IF(COUNTBLANK($A156:$X156)&gt;0,"CHECK","OK"))</f>
        <v/>
      </c>
    </row>
    <row r="157" customFormat="false" ht="15" hidden="false" customHeight="true" outlineLevel="0" collapsed="false">
      <c r="A157" s="4" t="str">
        <f aca="false">IF(Raw_Fund_Import!$A157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7" s="4" t="str">
        <f aca="false">IF(Raw_Fund_Import!$A157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7" s="4" t="str">
        <f aca="false">IF(Raw_Fund_Import!$A157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7" s="4" t="str">
        <f aca="false">IF(Raw_Fund_Import!$A157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7" s="4" t="str">
        <f aca="false">IF(Raw_Fund_Import!$A157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7" s="4" t="str">
        <f aca="false">IF(Raw_Fund_Import!$A157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7" s="4" t="str">
        <f aca="false">IF(Raw_Fund_Import!$A157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7" s="43" t="str">
        <f aca="false">IF(Raw_Fund_Import!$A157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7" s="4" t="str">
        <f aca="false">IF(Raw_Fund_Import!$A157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7" s="4" t="str">
        <f aca="false">IF(Raw_Fund_Import!$A157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7" s="4" t="str">
        <f aca="false">IF(Raw_Fund_Import!$A157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7" s="4" t="str">
        <f aca="false">IF(Raw_Fund_Import!$A157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7" s="4" t="str">
        <f aca="false">IF(Raw_Fund_Import!$A157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7" s="4" t="str">
        <f aca="false">IF(Raw_Fund_Import!$A157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7" s="4" t="str">
        <f aca="false">IF(Raw_Fund_Import!$A157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7" s="4" t="str">
        <f aca="false">IF(Raw_Fund_Import!$A157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7" s="44" t="str">
        <f aca="false">IF(Raw_Fund_Import!$A157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7" s="44" t="str">
        <f aca="false">IF(Raw_Fund_Import!$A157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7" s="44" t="str">
        <f aca="false">IF(Raw_Fund_Import!$A157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7" s="44" t="str">
        <f aca="false">IF(Raw_Fund_Import!$A157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7" s="44" t="str">
        <f aca="false">IF(Raw_Fund_Import!$A157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7" s="44" t="str">
        <f aca="false">IF(Raw_Fund_Import!$A157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7" s="4" t="str">
        <f aca="false">IF(Raw_Fund_Import!$A157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7" s="4" t="str">
        <f aca="false">IF(Raw_Fund_Import!$A157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7" s="4" t="str">
        <f aca="false">IF(Raw_Fund_Import!$A157="","",IF(COUNTBLANK($A157:$X157)&gt;0,"CHECK","OK"))</f>
        <v/>
      </c>
    </row>
    <row r="158" customFormat="false" ht="15" hidden="false" customHeight="true" outlineLevel="0" collapsed="false">
      <c r="A158" s="4" t="str">
        <f aca="false">IF(Raw_Fund_Import!$A158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8" s="4" t="str">
        <f aca="false">IF(Raw_Fund_Import!$A158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8" s="4" t="str">
        <f aca="false">IF(Raw_Fund_Import!$A158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8" s="4" t="str">
        <f aca="false">IF(Raw_Fund_Import!$A158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8" s="4" t="str">
        <f aca="false">IF(Raw_Fund_Import!$A158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8" s="4" t="str">
        <f aca="false">IF(Raw_Fund_Import!$A158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8" s="4" t="str">
        <f aca="false">IF(Raw_Fund_Import!$A158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8" s="43" t="str">
        <f aca="false">IF(Raw_Fund_Import!$A158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8" s="4" t="str">
        <f aca="false">IF(Raw_Fund_Import!$A158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8" s="4" t="str">
        <f aca="false">IF(Raw_Fund_Import!$A158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8" s="4" t="str">
        <f aca="false">IF(Raw_Fund_Import!$A158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8" s="4" t="str">
        <f aca="false">IF(Raw_Fund_Import!$A158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8" s="4" t="str">
        <f aca="false">IF(Raw_Fund_Import!$A158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8" s="4" t="str">
        <f aca="false">IF(Raw_Fund_Import!$A158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8" s="4" t="str">
        <f aca="false">IF(Raw_Fund_Import!$A158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8" s="4" t="str">
        <f aca="false">IF(Raw_Fund_Import!$A158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8" s="44" t="str">
        <f aca="false">IF(Raw_Fund_Import!$A158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8" s="44" t="str">
        <f aca="false">IF(Raw_Fund_Import!$A158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8" s="44" t="str">
        <f aca="false">IF(Raw_Fund_Import!$A158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8" s="44" t="str">
        <f aca="false">IF(Raw_Fund_Import!$A158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8" s="44" t="str">
        <f aca="false">IF(Raw_Fund_Import!$A158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8" s="44" t="str">
        <f aca="false">IF(Raw_Fund_Import!$A158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8" s="4" t="str">
        <f aca="false">IF(Raw_Fund_Import!$A158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8" s="4" t="str">
        <f aca="false">IF(Raw_Fund_Import!$A158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8" s="4" t="str">
        <f aca="false">IF(Raw_Fund_Import!$A158="","",IF(COUNTBLANK($A158:$X158)&gt;0,"CHECK","OK"))</f>
        <v/>
      </c>
    </row>
    <row r="159" customFormat="false" ht="15" hidden="false" customHeight="true" outlineLevel="0" collapsed="false">
      <c r="A159" s="4" t="str">
        <f aca="false">IF(Raw_Fund_Import!$A159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59" s="4" t="str">
        <f aca="false">IF(Raw_Fund_Import!$A159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59" s="4" t="str">
        <f aca="false">IF(Raw_Fund_Import!$A159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59" s="4" t="str">
        <f aca="false">IF(Raw_Fund_Import!$A159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59" s="4" t="str">
        <f aca="false">IF(Raw_Fund_Import!$A159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59" s="4" t="str">
        <f aca="false">IF(Raw_Fund_Import!$A159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59" s="4" t="str">
        <f aca="false">IF(Raw_Fund_Import!$A159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59" s="43" t="str">
        <f aca="false">IF(Raw_Fund_Import!$A159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59" s="4" t="str">
        <f aca="false">IF(Raw_Fund_Import!$A159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59" s="4" t="str">
        <f aca="false">IF(Raw_Fund_Import!$A159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59" s="4" t="str">
        <f aca="false">IF(Raw_Fund_Import!$A159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59" s="4" t="str">
        <f aca="false">IF(Raw_Fund_Import!$A159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59" s="4" t="str">
        <f aca="false">IF(Raw_Fund_Import!$A159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59" s="4" t="str">
        <f aca="false">IF(Raw_Fund_Import!$A159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59" s="4" t="str">
        <f aca="false">IF(Raw_Fund_Import!$A159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59" s="4" t="str">
        <f aca="false">IF(Raw_Fund_Import!$A159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59" s="44" t="str">
        <f aca="false">IF(Raw_Fund_Import!$A159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59" s="44" t="str">
        <f aca="false">IF(Raw_Fund_Import!$A159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59" s="44" t="str">
        <f aca="false">IF(Raw_Fund_Import!$A159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59" s="44" t="str">
        <f aca="false">IF(Raw_Fund_Import!$A159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59" s="44" t="str">
        <f aca="false">IF(Raw_Fund_Import!$A159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59" s="44" t="str">
        <f aca="false">IF(Raw_Fund_Import!$A159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59" s="4" t="str">
        <f aca="false">IF(Raw_Fund_Import!$A159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59" s="4" t="str">
        <f aca="false">IF(Raw_Fund_Import!$A159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59" s="4" t="str">
        <f aca="false">IF(Raw_Fund_Import!$A159="","",IF(COUNTBLANK($A159:$X159)&gt;0,"CHECK","OK"))</f>
        <v/>
      </c>
    </row>
    <row r="160" customFormat="false" ht="15" hidden="false" customHeight="true" outlineLevel="0" collapsed="false">
      <c r="A160" s="4" t="str">
        <f aca="false">IF(Raw_Fund_Import!$A160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0" s="4" t="str">
        <f aca="false">IF(Raw_Fund_Import!$A160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0" s="4" t="str">
        <f aca="false">IF(Raw_Fund_Import!$A160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0" s="4" t="str">
        <f aca="false">IF(Raw_Fund_Import!$A160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0" s="4" t="str">
        <f aca="false">IF(Raw_Fund_Import!$A160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0" s="4" t="str">
        <f aca="false">IF(Raw_Fund_Import!$A160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0" s="4" t="str">
        <f aca="false">IF(Raw_Fund_Import!$A160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0" s="43" t="str">
        <f aca="false">IF(Raw_Fund_Import!$A160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0" s="4" t="str">
        <f aca="false">IF(Raw_Fund_Import!$A160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0" s="4" t="str">
        <f aca="false">IF(Raw_Fund_Import!$A160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0" s="4" t="str">
        <f aca="false">IF(Raw_Fund_Import!$A160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0" s="4" t="str">
        <f aca="false">IF(Raw_Fund_Import!$A160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0" s="4" t="str">
        <f aca="false">IF(Raw_Fund_Import!$A160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0" s="4" t="str">
        <f aca="false">IF(Raw_Fund_Import!$A160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0" s="4" t="str">
        <f aca="false">IF(Raw_Fund_Import!$A160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0" s="4" t="str">
        <f aca="false">IF(Raw_Fund_Import!$A160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0" s="44" t="str">
        <f aca="false">IF(Raw_Fund_Import!$A160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0" s="44" t="str">
        <f aca="false">IF(Raw_Fund_Import!$A160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0" s="44" t="str">
        <f aca="false">IF(Raw_Fund_Import!$A160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0" s="44" t="str">
        <f aca="false">IF(Raw_Fund_Import!$A160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0" s="44" t="str">
        <f aca="false">IF(Raw_Fund_Import!$A160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0" s="44" t="str">
        <f aca="false">IF(Raw_Fund_Import!$A160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0" s="4" t="str">
        <f aca="false">IF(Raw_Fund_Import!$A160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0" s="4" t="str">
        <f aca="false">IF(Raw_Fund_Import!$A160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0" s="4" t="str">
        <f aca="false">IF(Raw_Fund_Import!$A160="","",IF(COUNTBLANK($A160:$X160)&gt;0,"CHECK","OK"))</f>
        <v/>
      </c>
    </row>
    <row r="161" customFormat="false" ht="15" hidden="false" customHeight="true" outlineLevel="0" collapsed="false">
      <c r="A161" s="4" t="str">
        <f aca="false">IF(Raw_Fund_Import!$A161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1" s="4" t="str">
        <f aca="false">IF(Raw_Fund_Import!$A161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1" s="4" t="str">
        <f aca="false">IF(Raw_Fund_Import!$A161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1" s="4" t="str">
        <f aca="false">IF(Raw_Fund_Import!$A161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1" s="4" t="str">
        <f aca="false">IF(Raw_Fund_Import!$A161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1" s="4" t="str">
        <f aca="false">IF(Raw_Fund_Import!$A161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1" s="4" t="str">
        <f aca="false">IF(Raw_Fund_Import!$A161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1" s="43" t="str">
        <f aca="false">IF(Raw_Fund_Import!$A161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1" s="4" t="str">
        <f aca="false">IF(Raw_Fund_Import!$A161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1" s="4" t="str">
        <f aca="false">IF(Raw_Fund_Import!$A161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1" s="4" t="str">
        <f aca="false">IF(Raw_Fund_Import!$A161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1" s="4" t="str">
        <f aca="false">IF(Raw_Fund_Import!$A161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1" s="4" t="str">
        <f aca="false">IF(Raw_Fund_Import!$A161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1" s="4" t="str">
        <f aca="false">IF(Raw_Fund_Import!$A161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1" s="4" t="str">
        <f aca="false">IF(Raw_Fund_Import!$A161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1" s="4" t="str">
        <f aca="false">IF(Raw_Fund_Import!$A161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1" s="44" t="str">
        <f aca="false">IF(Raw_Fund_Import!$A161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1" s="44" t="str">
        <f aca="false">IF(Raw_Fund_Import!$A161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1" s="44" t="str">
        <f aca="false">IF(Raw_Fund_Import!$A161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1" s="44" t="str">
        <f aca="false">IF(Raw_Fund_Import!$A161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1" s="44" t="str">
        <f aca="false">IF(Raw_Fund_Import!$A161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1" s="44" t="str">
        <f aca="false">IF(Raw_Fund_Import!$A161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1" s="4" t="str">
        <f aca="false">IF(Raw_Fund_Import!$A161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1" s="4" t="str">
        <f aca="false">IF(Raw_Fund_Import!$A161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1" s="4" t="str">
        <f aca="false">IF(Raw_Fund_Import!$A161="","",IF(COUNTBLANK($A161:$X161)&gt;0,"CHECK","OK"))</f>
        <v/>
      </c>
    </row>
    <row r="162" customFormat="false" ht="15" hidden="false" customHeight="true" outlineLevel="0" collapsed="false">
      <c r="A162" s="4" t="str">
        <f aca="false">IF(Raw_Fund_Import!$A162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2" s="4" t="str">
        <f aca="false">IF(Raw_Fund_Import!$A162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2" s="4" t="str">
        <f aca="false">IF(Raw_Fund_Import!$A162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2" s="4" t="str">
        <f aca="false">IF(Raw_Fund_Import!$A162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2" s="4" t="str">
        <f aca="false">IF(Raw_Fund_Import!$A162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2" s="4" t="str">
        <f aca="false">IF(Raw_Fund_Import!$A162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2" s="4" t="str">
        <f aca="false">IF(Raw_Fund_Import!$A162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2" s="43" t="str">
        <f aca="false">IF(Raw_Fund_Import!$A162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2" s="4" t="str">
        <f aca="false">IF(Raw_Fund_Import!$A162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2" s="4" t="str">
        <f aca="false">IF(Raw_Fund_Import!$A162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2" s="4" t="str">
        <f aca="false">IF(Raw_Fund_Import!$A162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2" s="4" t="str">
        <f aca="false">IF(Raw_Fund_Import!$A162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2" s="4" t="str">
        <f aca="false">IF(Raw_Fund_Import!$A162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2" s="4" t="str">
        <f aca="false">IF(Raw_Fund_Import!$A162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2" s="4" t="str">
        <f aca="false">IF(Raw_Fund_Import!$A162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2" s="4" t="str">
        <f aca="false">IF(Raw_Fund_Import!$A162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2" s="44" t="str">
        <f aca="false">IF(Raw_Fund_Import!$A162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2" s="44" t="str">
        <f aca="false">IF(Raw_Fund_Import!$A162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2" s="44" t="str">
        <f aca="false">IF(Raw_Fund_Import!$A162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2" s="44" t="str">
        <f aca="false">IF(Raw_Fund_Import!$A162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2" s="44" t="str">
        <f aca="false">IF(Raw_Fund_Import!$A162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2" s="44" t="str">
        <f aca="false">IF(Raw_Fund_Import!$A162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2" s="4" t="str">
        <f aca="false">IF(Raw_Fund_Import!$A162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2" s="4" t="str">
        <f aca="false">IF(Raw_Fund_Import!$A162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2" s="4" t="str">
        <f aca="false">IF(Raw_Fund_Import!$A162="","",IF(COUNTBLANK($A162:$X162)&gt;0,"CHECK","OK"))</f>
        <v/>
      </c>
    </row>
    <row r="163" customFormat="false" ht="15" hidden="false" customHeight="true" outlineLevel="0" collapsed="false">
      <c r="A163" s="4" t="str">
        <f aca="false">IF(Raw_Fund_Import!$A163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3" s="4" t="str">
        <f aca="false">IF(Raw_Fund_Import!$A163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3" s="4" t="str">
        <f aca="false">IF(Raw_Fund_Import!$A163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3" s="4" t="str">
        <f aca="false">IF(Raw_Fund_Import!$A163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3" s="4" t="str">
        <f aca="false">IF(Raw_Fund_Import!$A163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3" s="4" t="str">
        <f aca="false">IF(Raw_Fund_Import!$A163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3" s="4" t="str">
        <f aca="false">IF(Raw_Fund_Import!$A163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3" s="43" t="str">
        <f aca="false">IF(Raw_Fund_Import!$A163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3" s="4" t="str">
        <f aca="false">IF(Raw_Fund_Import!$A163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3" s="4" t="str">
        <f aca="false">IF(Raw_Fund_Import!$A163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3" s="4" t="str">
        <f aca="false">IF(Raw_Fund_Import!$A163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3" s="4" t="str">
        <f aca="false">IF(Raw_Fund_Import!$A163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3" s="4" t="str">
        <f aca="false">IF(Raw_Fund_Import!$A163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3" s="4" t="str">
        <f aca="false">IF(Raw_Fund_Import!$A163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3" s="4" t="str">
        <f aca="false">IF(Raw_Fund_Import!$A163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3" s="4" t="str">
        <f aca="false">IF(Raw_Fund_Import!$A163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3" s="44" t="str">
        <f aca="false">IF(Raw_Fund_Import!$A163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3" s="44" t="str">
        <f aca="false">IF(Raw_Fund_Import!$A163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3" s="44" t="str">
        <f aca="false">IF(Raw_Fund_Import!$A163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3" s="44" t="str">
        <f aca="false">IF(Raw_Fund_Import!$A163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3" s="44" t="str">
        <f aca="false">IF(Raw_Fund_Import!$A163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3" s="44" t="str">
        <f aca="false">IF(Raw_Fund_Import!$A163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3" s="4" t="str">
        <f aca="false">IF(Raw_Fund_Import!$A163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3" s="4" t="str">
        <f aca="false">IF(Raw_Fund_Import!$A163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3" s="4" t="str">
        <f aca="false">IF(Raw_Fund_Import!$A163="","",IF(COUNTBLANK($A163:$X163)&gt;0,"CHECK","OK"))</f>
        <v/>
      </c>
    </row>
    <row r="164" customFormat="false" ht="15" hidden="false" customHeight="true" outlineLevel="0" collapsed="false">
      <c r="A164" s="4" t="str">
        <f aca="false">IF(Raw_Fund_Import!$A164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4" s="4" t="str">
        <f aca="false">IF(Raw_Fund_Import!$A164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4" s="4" t="str">
        <f aca="false">IF(Raw_Fund_Import!$A164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4" s="4" t="str">
        <f aca="false">IF(Raw_Fund_Import!$A164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4" s="4" t="str">
        <f aca="false">IF(Raw_Fund_Import!$A164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4" s="4" t="str">
        <f aca="false">IF(Raw_Fund_Import!$A164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4" s="4" t="str">
        <f aca="false">IF(Raw_Fund_Import!$A164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4" s="43" t="str">
        <f aca="false">IF(Raw_Fund_Import!$A164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4" s="4" t="str">
        <f aca="false">IF(Raw_Fund_Import!$A164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4" s="4" t="str">
        <f aca="false">IF(Raw_Fund_Import!$A164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4" s="4" t="str">
        <f aca="false">IF(Raw_Fund_Import!$A164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4" s="4" t="str">
        <f aca="false">IF(Raw_Fund_Import!$A164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4" s="4" t="str">
        <f aca="false">IF(Raw_Fund_Import!$A164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4" s="4" t="str">
        <f aca="false">IF(Raw_Fund_Import!$A164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4" s="4" t="str">
        <f aca="false">IF(Raw_Fund_Import!$A164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4" s="4" t="str">
        <f aca="false">IF(Raw_Fund_Import!$A164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4" s="44" t="str">
        <f aca="false">IF(Raw_Fund_Import!$A164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4" s="44" t="str">
        <f aca="false">IF(Raw_Fund_Import!$A164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4" s="44" t="str">
        <f aca="false">IF(Raw_Fund_Import!$A164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4" s="44" t="str">
        <f aca="false">IF(Raw_Fund_Import!$A164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4" s="44" t="str">
        <f aca="false">IF(Raw_Fund_Import!$A164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4" s="44" t="str">
        <f aca="false">IF(Raw_Fund_Import!$A164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4" s="4" t="str">
        <f aca="false">IF(Raw_Fund_Import!$A164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4" s="4" t="str">
        <f aca="false">IF(Raw_Fund_Import!$A164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4" s="4" t="str">
        <f aca="false">IF(Raw_Fund_Import!$A164="","",IF(COUNTBLANK($A164:$X164)&gt;0,"CHECK","OK"))</f>
        <v/>
      </c>
    </row>
    <row r="165" customFormat="false" ht="15" hidden="false" customHeight="true" outlineLevel="0" collapsed="false">
      <c r="A165" s="4" t="str">
        <f aca="false">IF(Raw_Fund_Import!$A165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5" s="4" t="str">
        <f aca="false">IF(Raw_Fund_Import!$A165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5" s="4" t="str">
        <f aca="false">IF(Raw_Fund_Import!$A165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5" s="4" t="str">
        <f aca="false">IF(Raw_Fund_Import!$A165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5" s="4" t="str">
        <f aca="false">IF(Raw_Fund_Import!$A165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5" s="4" t="str">
        <f aca="false">IF(Raw_Fund_Import!$A165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5" s="4" t="str">
        <f aca="false">IF(Raw_Fund_Import!$A165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5" s="43" t="str">
        <f aca="false">IF(Raw_Fund_Import!$A165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5" s="4" t="str">
        <f aca="false">IF(Raw_Fund_Import!$A165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5" s="4" t="str">
        <f aca="false">IF(Raw_Fund_Import!$A165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5" s="4" t="str">
        <f aca="false">IF(Raw_Fund_Import!$A165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5" s="4" t="str">
        <f aca="false">IF(Raw_Fund_Import!$A165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5" s="4" t="str">
        <f aca="false">IF(Raw_Fund_Import!$A165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5" s="4" t="str">
        <f aca="false">IF(Raw_Fund_Import!$A165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5" s="4" t="str">
        <f aca="false">IF(Raw_Fund_Import!$A165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5" s="4" t="str">
        <f aca="false">IF(Raw_Fund_Import!$A165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5" s="44" t="str">
        <f aca="false">IF(Raw_Fund_Import!$A165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5" s="44" t="str">
        <f aca="false">IF(Raw_Fund_Import!$A165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5" s="44" t="str">
        <f aca="false">IF(Raw_Fund_Import!$A165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5" s="44" t="str">
        <f aca="false">IF(Raw_Fund_Import!$A165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5" s="44" t="str">
        <f aca="false">IF(Raw_Fund_Import!$A165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5" s="44" t="str">
        <f aca="false">IF(Raw_Fund_Import!$A165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5" s="4" t="str">
        <f aca="false">IF(Raw_Fund_Import!$A165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5" s="4" t="str">
        <f aca="false">IF(Raw_Fund_Import!$A165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5" s="4" t="str">
        <f aca="false">IF(Raw_Fund_Import!$A165="","",IF(COUNTBLANK($A165:$X165)&gt;0,"CHECK","OK"))</f>
        <v/>
      </c>
    </row>
    <row r="166" customFormat="false" ht="15" hidden="false" customHeight="true" outlineLevel="0" collapsed="false">
      <c r="A166" s="4" t="str">
        <f aca="false">IF(Raw_Fund_Import!$A166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6" s="4" t="str">
        <f aca="false">IF(Raw_Fund_Import!$A166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6" s="4" t="str">
        <f aca="false">IF(Raw_Fund_Import!$A166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6" s="4" t="str">
        <f aca="false">IF(Raw_Fund_Import!$A166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6" s="4" t="str">
        <f aca="false">IF(Raw_Fund_Import!$A166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6" s="4" t="str">
        <f aca="false">IF(Raw_Fund_Import!$A166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6" s="4" t="str">
        <f aca="false">IF(Raw_Fund_Import!$A166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6" s="43" t="str">
        <f aca="false">IF(Raw_Fund_Import!$A166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6" s="4" t="str">
        <f aca="false">IF(Raw_Fund_Import!$A166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6" s="4" t="str">
        <f aca="false">IF(Raw_Fund_Import!$A166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6" s="4" t="str">
        <f aca="false">IF(Raw_Fund_Import!$A166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6" s="4" t="str">
        <f aca="false">IF(Raw_Fund_Import!$A166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6" s="4" t="str">
        <f aca="false">IF(Raw_Fund_Import!$A166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6" s="4" t="str">
        <f aca="false">IF(Raw_Fund_Import!$A166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6" s="4" t="str">
        <f aca="false">IF(Raw_Fund_Import!$A166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6" s="4" t="str">
        <f aca="false">IF(Raw_Fund_Import!$A166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6" s="44" t="str">
        <f aca="false">IF(Raw_Fund_Import!$A166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6" s="44" t="str">
        <f aca="false">IF(Raw_Fund_Import!$A166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6" s="44" t="str">
        <f aca="false">IF(Raw_Fund_Import!$A166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6" s="44" t="str">
        <f aca="false">IF(Raw_Fund_Import!$A166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6" s="44" t="str">
        <f aca="false">IF(Raw_Fund_Import!$A166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6" s="44" t="str">
        <f aca="false">IF(Raw_Fund_Import!$A166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6" s="4" t="str">
        <f aca="false">IF(Raw_Fund_Import!$A166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6" s="4" t="str">
        <f aca="false">IF(Raw_Fund_Import!$A166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6" s="4" t="str">
        <f aca="false">IF(Raw_Fund_Import!$A166="","",IF(COUNTBLANK($A166:$X166)&gt;0,"CHECK","OK"))</f>
        <v/>
      </c>
    </row>
    <row r="167" customFormat="false" ht="15" hidden="false" customHeight="true" outlineLevel="0" collapsed="false">
      <c r="A167" s="4" t="str">
        <f aca="false">IF(Raw_Fund_Import!$A167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7" s="4" t="str">
        <f aca="false">IF(Raw_Fund_Import!$A167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7" s="4" t="str">
        <f aca="false">IF(Raw_Fund_Import!$A167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7" s="4" t="str">
        <f aca="false">IF(Raw_Fund_Import!$A167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7" s="4" t="str">
        <f aca="false">IF(Raw_Fund_Import!$A167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7" s="4" t="str">
        <f aca="false">IF(Raw_Fund_Import!$A167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7" s="4" t="str">
        <f aca="false">IF(Raw_Fund_Import!$A167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7" s="43" t="str">
        <f aca="false">IF(Raw_Fund_Import!$A167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7" s="4" t="str">
        <f aca="false">IF(Raw_Fund_Import!$A167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7" s="4" t="str">
        <f aca="false">IF(Raw_Fund_Import!$A167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7" s="4" t="str">
        <f aca="false">IF(Raw_Fund_Import!$A167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7" s="4" t="str">
        <f aca="false">IF(Raw_Fund_Import!$A167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7" s="4" t="str">
        <f aca="false">IF(Raw_Fund_Import!$A167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7" s="4" t="str">
        <f aca="false">IF(Raw_Fund_Import!$A167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7" s="4" t="str">
        <f aca="false">IF(Raw_Fund_Import!$A167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7" s="4" t="str">
        <f aca="false">IF(Raw_Fund_Import!$A167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7" s="44" t="str">
        <f aca="false">IF(Raw_Fund_Import!$A167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7" s="44" t="str">
        <f aca="false">IF(Raw_Fund_Import!$A167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7" s="44" t="str">
        <f aca="false">IF(Raw_Fund_Import!$A167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7" s="44" t="str">
        <f aca="false">IF(Raw_Fund_Import!$A167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7" s="44" t="str">
        <f aca="false">IF(Raw_Fund_Import!$A167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7" s="44" t="str">
        <f aca="false">IF(Raw_Fund_Import!$A167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7" s="4" t="str">
        <f aca="false">IF(Raw_Fund_Import!$A167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7" s="4" t="str">
        <f aca="false">IF(Raw_Fund_Import!$A167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7" s="4" t="str">
        <f aca="false">IF(Raw_Fund_Import!$A167="","",IF(COUNTBLANK($A167:$X167)&gt;0,"CHECK","OK"))</f>
        <v/>
      </c>
    </row>
    <row r="168" customFormat="false" ht="15" hidden="false" customHeight="true" outlineLevel="0" collapsed="false">
      <c r="A168" s="4" t="str">
        <f aca="false">IF(Raw_Fund_Import!$A168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8" s="4" t="str">
        <f aca="false">IF(Raw_Fund_Import!$A168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8" s="4" t="str">
        <f aca="false">IF(Raw_Fund_Import!$A168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8" s="4" t="str">
        <f aca="false">IF(Raw_Fund_Import!$A168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8" s="4" t="str">
        <f aca="false">IF(Raw_Fund_Import!$A168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8" s="4" t="str">
        <f aca="false">IF(Raw_Fund_Import!$A168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8" s="4" t="str">
        <f aca="false">IF(Raw_Fund_Import!$A168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8" s="43" t="str">
        <f aca="false">IF(Raw_Fund_Import!$A168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8" s="4" t="str">
        <f aca="false">IF(Raw_Fund_Import!$A168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8" s="4" t="str">
        <f aca="false">IF(Raw_Fund_Import!$A168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8" s="4" t="str">
        <f aca="false">IF(Raw_Fund_Import!$A168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8" s="4" t="str">
        <f aca="false">IF(Raw_Fund_Import!$A168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8" s="4" t="str">
        <f aca="false">IF(Raw_Fund_Import!$A168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8" s="4" t="str">
        <f aca="false">IF(Raw_Fund_Import!$A168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8" s="4" t="str">
        <f aca="false">IF(Raw_Fund_Import!$A168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8" s="4" t="str">
        <f aca="false">IF(Raw_Fund_Import!$A168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8" s="44" t="str">
        <f aca="false">IF(Raw_Fund_Import!$A168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8" s="44" t="str">
        <f aca="false">IF(Raw_Fund_Import!$A168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8" s="44" t="str">
        <f aca="false">IF(Raw_Fund_Import!$A168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8" s="44" t="str">
        <f aca="false">IF(Raw_Fund_Import!$A168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8" s="44" t="str">
        <f aca="false">IF(Raw_Fund_Import!$A168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8" s="44" t="str">
        <f aca="false">IF(Raw_Fund_Import!$A168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8" s="4" t="str">
        <f aca="false">IF(Raw_Fund_Import!$A168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8" s="4" t="str">
        <f aca="false">IF(Raw_Fund_Import!$A168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8" s="4" t="str">
        <f aca="false">IF(Raw_Fund_Import!$A168="","",IF(COUNTBLANK($A168:$X168)&gt;0,"CHECK","OK"))</f>
        <v/>
      </c>
    </row>
    <row r="169" customFormat="false" ht="15" hidden="false" customHeight="true" outlineLevel="0" collapsed="false">
      <c r="A169" s="4" t="str">
        <f aca="false">IF(Raw_Fund_Import!$A169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69" s="4" t="str">
        <f aca="false">IF(Raw_Fund_Import!$A169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69" s="4" t="str">
        <f aca="false">IF(Raw_Fund_Import!$A169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69" s="4" t="str">
        <f aca="false">IF(Raw_Fund_Import!$A169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69" s="4" t="str">
        <f aca="false">IF(Raw_Fund_Import!$A169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69" s="4" t="str">
        <f aca="false">IF(Raw_Fund_Import!$A169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69" s="4" t="str">
        <f aca="false">IF(Raw_Fund_Import!$A169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69" s="43" t="str">
        <f aca="false">IF(Raw_Fund_Import!$A169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69" s="4" t="str">
        <f aca="false">IF(Raw_Fund_Import!$A169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69" s="4" t="str">
        <f aca="false">IF(Raw_Fund_Import!$A169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69" s="4" t="str">
        <f aca="false">IF(Raw_Fund_Import!$A169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69" s="4" t="str">
        <f aca="false">IF(Raw_Fund_Import!$A169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69" s="4" t="str">
        <f aca="false">IF(Raw_Fund_Import!$A169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69" s="4" t="str">
        <f aca="false">IF(Raw_Fund_Import!$A169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69" s="4" t="str">
        <f aca="false">IF(Raw_Fund_Import!$A169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69" s="4" t="str">
        <f aca="false">IF(Raw_Fund_Import!$A169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69" s="44" t="str">
        <f aca="false">IF(Raw_Fund_Import!$A169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69" s="44" t="str">
        <f aca="false">IF(Raw_Fund_Import!$A169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69" s="44" t="str">
        <f aca="false">IF(Raw_Fund_Import!$A169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69" s="44" t="str">
        <f aca="false">IF(Raw_Fund_Import!$A169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69" s="44" t="str">
        <f aca="false">IF(Raw_Fund_Import!$A169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69" s="44" t="str">
        <f aca="false">IF(Raw_Fund_Import!$A169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69" s="4" t="str">
        <f aca="false">IF(Raw_Fund_Import!$A169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69" s="4" t="str">
        <f aca="false">IF(Raw_Fund_Import!$A169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69" s="4" t="str">
        <f aca="false">IF(Raw_Fund_Import!$A169="","",IF(COUNTBLANK($A169:$X169)&gt;0,"CHECK","OK"))</f>
        <v/>
      </c>
    </row>
    <row r="170" customFormat="false" ht="15" hidden="false" customHeight="true" outlineLevel="0" collapsed="false">
      <c r="A170" s="4" t="str">
        <f aca="false">IF(Raw_Fund_Import!$A170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0" s="4" t="str">
        <f aca="false">IF(Raw_Fund_Import!$A170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0" s="4" t="str">
        <f aca="false">IF(Raw_Fund_Import!$A170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0" s="4" t="str">
        <f aca="false">IF(Raw_Fund_Import!$A170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0" s="4" t="str">
        <f aca="false">IF(Raw_Fund_Import!$A170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0" s="4" t="str">
        <f aca="false">IF(Raw_Fund_Import!$A170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0" s="4" t="str">
        <f aca="false">IF(Raw_Fund_Import!$A170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0" s="43" t="str">
        <f aca="false">IF(Raw_Fund_Import!$A170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0" s="4" t="str">
        <f aca="false">IF(Raw_Fund_Import!$A170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0" s="4" t="str">
        <f aca="false">IF(Raw_Fund_Import!$A170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0" s="4" t="str">
        <f aca="false">IF(Raw_Fund_Import!$A170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0" s="4" t="str">
        <f aca="false">IF(Raw_Fund_Import!$A170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0" s="4" t="str">
        <f aca="false">IF(Raw_Fund_Import!$A170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0" s="4" t="str">
        <f aca="false">IF(Raw_Fund_Import!$A170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0" s="4" t="str">
        <f aca="false">IF(Raw_Fund_Import!$A170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0" s="4" t="str">
        <f aca="false">IF(Raw_Fund_Import!$A170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0" s="44" t="str">
        <f aca="false">IF(Raw_Fund_Import!$A170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0" s="44" t="str">
        <f aca="false">IF(Raw_Fund_Import!$A170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0" s="44" t="str">
        <f aca="false">IF(Raw_Fund_Import!$A170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0" s="44" t="str">
        <f aca="false">IF(Raw_Fund_Import!$A170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0" s="44" t="str">
        <f aca="false">IF(Raw_Fund_Import!$A170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0" s="44" t="str">
        <f aca="false">IF(Raw_Fund_Import!$A170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0" s="4" t="str">
        <f aca="false">IF(Raw_Fund_Import!$A170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0" s="4" t="str">
        <f aca="false">IF(Raw_Fund_Import!$A170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0" s="4" t="str">
        <f aca="false">IF(Raw_Fund_Import!$A170="","",IF(COUNTBLANK($A170:$X170)&gt;0,"CHECK","OK"))</f>
        <v/>
      </c>
    </row>
    <row r="171" customFormat="false" ht="15" hidden="false" customHeight="true" outlineLevel="0" collapsed="false">
      <c r="A171" s="4" t="str">
        <f aca="false">IF(Raw_Fund_Import!$A171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1" s="4" t="str">
        <f aca="false">IF(Raw_Fund_Import!$A171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1" s="4" t="str">
        <f aca="false">IF(Raw_Fund_Import!$A171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1" s="4" t="str">
        <f aca="false">IF(Raw_Fund_Import!$A171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1" s="4" t="str">
        <f aca="false">IF(Raw_Fund_Import!$A171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1" s="4" t="str">
        <f aca="false">IF(Raw_Fund_Import!$A171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1" s="4" t="str">
        <f aca="false">IF(Raw_Fund_Import!$A171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1" s="43" t="str">
        <f aca="false">IF(Raw_Fund_Import!$A171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1" s="4" t="str">
        <f aca="false">IF(Raw_Fund_Import!$A171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1" s="4" t="str">
        <f aca="false">IF(Raw_Fund_Import!$A171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1" s="4" t="str">
        <f aca="false">IF(Raw_Fund_Import!$A171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1" s="4" t="str">
        <f aca="false">IF(Raw_Fund_Import!$A171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1" s="4" t="str">
        <f aca="false">IF(Raw_Fund_Import!$A171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1" s="4" t="str">
        <f aca="false">IF(Raw_Fund_Import!$A171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1" s="4" t="str">
        <f aca="false">IF(Raw_Fund_Import!$A171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1" s="4" t="str">
        <f aca="false">IF(Raw_Fund_Import!$A171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1" s="44" t="str">
        <f aca="false">IF(Raw_Fund_Import!$A171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1" s="44" t="str">
        <f aca="false">IF(Raw_Fund_Import!$A171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1" s="44" t="str">
        <f aca="false">IF(Raw_Fund_Import!$A171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1" s="44" t="str">
        <f aca="false">IF(Raw_Fund_Import!$A171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1" s="44" t="str">
        <f aca="false">IF(Raw_Fund_Import!$A171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1" s="44" t="str">
        <f aca="false">IF(Raw_Fund_Import!$A171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1" s="4" t="str">
        <f aca="false">IF(Raw_Fund_Import!$A171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1" s="4" t="str">
        <f aca="false">IF(Raw_Fund_Import!$A171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1" s="4" t="str">
        <f aca="false">IF(Raw_Fund_Import!$A171="","",IF(COUNTBLANK($A171:$X171)&gt;0,"CHECK","OK"))</f>
        <v/>
      </c>
    </row>
    <row r="172" customFormat="false" ht="15" hidden="false" customHeight="true" outlineLevel="0" collapsed="false">
      <c r="A172" s="4" t="str">
        <f aca="false">IF(Raw_Fund_Import!$A172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2" s="4" t="str">
        <f aca="false">IF(Raw_Fund_Import!$A172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2" s="4" t="str">
        <f aca="false">IF(Raw_Fund_Import!$A172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2" s="4" t="str">
        <f aca="false">IF(Raw_Fund_Import!$A172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2" s="4" t="str">
        <f aca="false">IF(Raw_Fund_Import!$A172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2" s="4" t="str">
        <f aca="false">IF(Raw_Fund_Import!$A172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2" s="4" t="str">
        <f aca="false">IF(Raw_Fund_Import!$A172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2" s="43" t="str">
        <f aca="false">IF(Raw_Fund_Import!$A172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2" s="4" t="str">
        <f aca="false">IF(Raw_Fund_Import!$A172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2" s="4" t="str">
        <f aca="false">IF(Raw_Fund_Import!$A172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2" s="4" t="str">
        <f aca="false">IF(Raw_Fund_Import!$A172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2" s="4" t="str">
        <f aca="false">IF(Raw_Fund_Import!$A172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2" s="4" t="str">
        <f aca="false">IF(Raw_Fund_Import!$A172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2" s="4" t="str">
        <f aca="false">IF(Raw_Fund_Import!$A172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2" s="4" t="str">
        <f aca="false">IF(Raw_Fund_Import!$A172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2" s="4" t="str">
        <f aca="false">IF(Raw_Fund_Import!$A172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2" s="44" t="str">
        <f aca="false">IF(Raw_Fund_Import!$A172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2" s="44" t="str">
        <f aca="false">IF(Raw_Fund_Import!$A172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2" s="44" t="str">
        <f aca="false">IF(Raw_Fund_Import!$A172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2" s="44" t="str">
        <f aca="false">IF(Raw_Fund_Import!$A172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2" s="44" t="str">
        <f aca="false">IF(Raw_Fund_Import!$A172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2" s="44" t="str">
        <f aca="false">IF(Raw_Fund_Import!$A172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2" s="4" t="str">
        <f aca="false">IF(Raw_Fund_Import!$A172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2" s="4" t="str">
        <f aca="false">IF(Raw_Fund_Import!$A172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2" s="4" t="str">
        <f aca="false">IF(Raw_Fund_Import!$A172="","",IF(COUNTBLANK($A172:$X172)&gt;0,"CHECK","OK"))</f>
        <v/>
      </c>
    </row>
    <row r="173" customFormat="false" ht="15" hidden="false" customHeight="true" outlineLevel="0" collapsed="false">
      <c r="A173" s="4" t="str">
        <f aca="false">IF(Raw_Fund_Import!$A173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3" s="4" t="str">
        <f aca="false">IF(Raw_Fund_Import!$A173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3" s="4" t="str">
        <f aca="false">IF(Raw_Fund_Import!$A173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3" s="4" t="str">
        <f aca="false">IF(Raw_Fund_Import!$A173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3" s="4" t="str">
        <f aca="false">IF(Raw_Fund_Import!$A173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3" s="4" t="str">
        <f aca="false">IF(Raw_Fund_Import!$A173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3" s="4" t="str">
        <f aca="false">IF(Raw_Fund_Import!$A173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3" s="43" t="str">
        <f aca="false">IF(Raw_Fund_Import!$A173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3" s="4" t="str">
        <f aca="false">IF(Raw_Fund_Import!$A173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3" s="4" t="str">
        <f aca="false">IF(Raw_Fund_Import!$A173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3" s="4" t="str">
        <f aca="false">IF(Raw_Fund_Import!$A173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3" s="4" t="str">
        <f aca="false">IF(Raw_Fund_Import!$A173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3" s="4" t="str">
        <f aca="false">IF(Raw_Fund_Import!$A173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3" s="4" t="str">
        <f aca="false">IF(Raw_Fund_Import!$A173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3" s="4" t="str">
        <f aca="false">IF(Raw_Fund_Import!$A173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3" s="4" t="str">
        <f aca="false">IF(Raw_Fund_Import!$A173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3" s="44" t="str">
        <f aca="false">IF(Raw_Fund_Import!$A173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3" s="44" t="str">
        <f aca="false">IF(Raw_Fund_Import!$A173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3" s="44" t="str">
        <f aca="false">IF(Raw_Fund_Import!$A173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3" s="44" t="str">
        <f aca="false">IF(Raw_Fund_Import!$A173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3" s="44" t="str">
        <f aca="false">IF(Raw_Fund_Import!$A173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3" s="44" t="str">
        <f aca="false">IF(Raw_Fund_Import!$A173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3" s="4" t="str">
        <f aca="false">IF(Raw_Fund_Import!$A173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3" s="4" t="str">
        <f aca="false">IF(Raw_Fund_Import!$A173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3" s="4" t="str">
        <f aca="false">IF(Raw_Fund_Import!$A173="","",IF(COUNTBLANK($A173:$X173)&gt;0,"CHECK","OK"))</f>
        <v/>
      </c>
    </row>
    <row r="174" customFormat="false" ht="15" hidden="false" customHeight="true" outlineLevel="0" collapsed="false">
      <c r="A174" s="4" t="str">
        <f aca="false">IF(Raw_Fund_Import!$A174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4" s="4" t="str">
        <f aca="false">IF(Raw_Fund_Import!$A174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4" s="4" t="str">
        <f aca="false">IF(Raw_Fund_Import!$A174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4" s="4" t="str">
        <f aca="false">IF(Raw_Fund_Import!$A174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4" s="4" t="str">
        <f aca="false">IF(Raw_Fund_Import!$A174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4" s="4" t="str">
        <f aca="false">IF(Raw_Fund_Import!$A174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4" s="4" t="str">
        <f aca="false">IF(Raw_Fund_Import!$A174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4" s="43" t="str">
        <f aca="false">IF(Raw_Fund_Import!$A174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4" s="4" t="str">
        <f aca="false">IF(Raw_Fund_Import!$A174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4" s="4" t="str">
        <f aca="false">IF(Raw_Fund_Import!$A174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4" s="4" t="str">
        <f aca="false">IF(Raw_Fund_Import!$A174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4" s="4" t="str">
        <f aca="false">IF(Raw_Fund_Import!$A174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4" s="4" t="str">
        <f aca="false">IF(Raw_Fund_Import!$A174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4" s="4" t="str">
        <f aca="false">IF(Raw_Fund_Import!$A174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4" s="4" t="str">
        <f aca="false">IF(Raw_Fund_Import!$A174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4" s="4" t="str">
        <f aca="false">IF(Raw_Fund_Import!$A174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4" s="44" t="str">
        <f aca="false">IF(Raw_Fund_Import!$A174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4" s="44" t="str">
        <f aca="false">IF(Raw_Fund_Import!$A174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4" s="44" t="str">
        <f aca="false">IF(Raw_Fund_Import!$A174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4" s="44" t="str">
        <f aca="false">IF(Raw_Fund_Import!$A174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4" s="44" t="str">
        <f aca="false">IF(Raw_Fund_Import!$A174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4" s="44" t="str">
        <f aca="false">IF(Raw_Fund_Import!$A174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4" s="4" t="str">
        <f aca="false">IF(Raw_Fund_Import!$A174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4" s="4" t="str">
        <f aca="false">IF(Raw_Fund_Import!$A174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4" s="4" t="str">
        <f aca="false">IF(Raw_Fund_Import!$A174="","",IF(COUNTBLANK($A174:$X174)&gt;0,"CHECK","OK"))</f>
        <v/>
      </c>
    </row>
    <row r="175" customFormat="false" ht="15" hidden="false" customHeight="true" outlineLevel="0" collapsed="false">
      <c r="A175" s="4" t="str">
        <f aca="false">IF(Raw_Fund_Import!$A175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5" s="4" t="str">
        <f aca="false">IF(Raw_Fund_Import!$A175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5" s="4" t="str">
        <f aca="false">IF(Raw_Fund_Import!$A175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5" s="4" t="str">
        <f aca="false">IF(Raw_Fund_Import!$A175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5" s="4" t="str">
        <f aca="false">IF(Raw_Fund_Import!$A175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5" s="4" t="str">
        <f aca="false">IF(Raw_Fund_Import!$A175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5" s="4" t="str">
        <f aca="false">IF(Raw_Fund_Import!$A175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5" s="43" t="str">
        <f aca="false">IF(Raw_Fund_Import!$A175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5" s="4" t="str">
        <f aca="false">IF(Raw_Fund_Import!$A175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5" s="4" t="str">
        <f aca="false">IF(Raw_Fund_Import!$A175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5" s="4" t="str">
        <f aca="false">IF(Raw_Fund_Import!$A175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5" s="4" t="str">
        <f aca="false">IF(Raw_Fund_Import!$A175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5" s="4" t="str">
        <f aca="false">IF(Raw_Fund_Import!$A175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5" s="4" t="str">
        <f aca="false">IF(Raw_Fund_Import!$A175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5" s="4" t="str">
        <f aca="false">IF(Raw_Fund_Import!$A175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5" s="4" t="str">
        <f aca="false">IF(Raw_Fund_Import!$A175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5" s="44" t="str">
        <f aca="false">IF(Raw_Fund_Import!$A175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5" s="44" t="str">
        <f aca="false">IF(Raw_Fund_Import!$A175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5" s="44" t="str">
        <f aca="false">IF(Raw_Fund_Import!$A175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5" s="44" t="str">
        <f aca="false">IF(Raw_Fund_Import!$A175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5" s="44" t="str">
        <f aca="false">IF(Raw_Fund_Import!$A175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5" s="44" t="str">
        <f aca="false">IF(Raw_Fund_Import!$A175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5" s="4" t="str">
        <f aca="false">IF(Raw_Fund_Import!$A175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5" s="4" t="str">
        <f aca="false">IF(Raw_Fund_Import!$A175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5" s="4" t="str">
        <f aca="false">IF(Raw_Fund_Import!$A175="","",IF(COUNTBLANK($A175:$X175)&gt;0,"CHECK","OK"))</f>
        <v/>
      </c>
    </row>
    <row r="176" customFormat="false" ht="15" hidden="false" customHeight="true" outlineLevel="0" collapsed="false">
      <c r="A176" s="4" t="str">
        <f aca="false">IF(Raw_Fund_Import!$A176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6" s="4" t="str">
        <f aca="false">IF(Raw_Fund_Import!$A176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6" s="4" t="str">
        <f aca="false">IF(Raw_Fund_Import!$A176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6" s="4" t="str">
        <f aca="false">IF(Raw_Fund_Import!$A176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6" s="4" t="str">
        <f aca="false">IF(Raw_Fund_Import!$A176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6" s="4" t="str">
        <f aca="false">IF(Raw_Fund_Import!$A176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6" s="4" t="str">
        <f aca="false">IF(Raw_Fund_Import!$A176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6" s="43" t="str">
        <f aca="false">IF(Raw_Fund_Import!$A176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6" s="4" t="str">
        <f aca="false">IF(Raw_Fund_Import!$A176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6" s="4" t="str">
        <f aca="false">IF(Raw_Fund_Import!$A176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6" s="4" t="str">
        <f aca="false">IF(Raw_Fund_Import!$A176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6" s="4" t="str">
        <f aca="false">IF(Raw_Fund_Import!$A176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6" s="4" t="str">
        <f aca="false">IF(Raw_Fund_Import!$A176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6" s="4" t="str">
        <f aca="false">IF(Raw_Fund_Import!$A176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6" s="4" t="str">
        <f aca="false">IF(Raw_Fund_Import!$A176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6" s="4" t="str">
        <f aca="false">IF(Raw_Fund_Import!$A176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6" s="44" t="str">
        <f aca="false">IF(Raw_Fund_Import!$A176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6" s="44" t="str">
        <f aca="false">IF(Raw_Fund_Import!$A176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6" s="44" t="str">
        <f aca="false">IF(Raw_Fund_Import!$A176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6" s="44" t="str">
        <f aca="false">IF(Raw_Fund_Import!$A176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6" s="44" t="str">
        <f aca="false">IF(Raw_Fund_Import!$A176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6" s="44" t="str">
        <f aca="false">IF(Raw_Fund_Import!$A176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6" s="4" t="str">
        <f aca="false">IF(Raw_Fund_Import!$A176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6" s="4" t="str">
        <f aca="false">IF(Raw_Fund_Import!$A176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6" s="4" t="str">
        <f aca="false">IF(Raw_Fund_Import!$A176="","",IF(COUNTBLANK($A176:$X176)&gt;0,"CHECK","OK"))</f>
        <v/>
      </c>
    </row>
    <row r="177" customFormat="false" ht="15" hidden="false" customHeight="true" outlineLevel="0" collapsed="false">
      <c r="A177" s="4" t="str">
        <f aca="false">IF(Raw_Fund_Import!$A177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7" s="4" t="str">
        <f aca="false">IF(Raw_Fund_Import!$A177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7" s="4" t="str">
        <f aca="false">IF(Raw_Fund_Import!$A177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7" s="4" t="str">
        <f aca="false">IF(Raw_Fund_Import!$A177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7" s="4" t="str">
        <f aca="false">IF(Raw_Fund_Import!$A177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7" s="4" t="str">
        <f aca="false">IF(Raw_Fund_Import!$A177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7" s="4" t="str">
        <f aca="false">IF(Raw_Fund_Import!$A177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7" s="43" t="str">
        <f aca="false">IF(Raw_Fund_Import!$A177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7" s="4" t="str">
        <f aca="false">IF(Raw_Fund_Import!$A177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7" s="4" t="str">
        <f aca="false">IF(Raw_Fund_Import!$A177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7" s="4" t="str">
        <f aca="false">IF(Raw_Fund_Import!$A177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7" s="4" t="str">
        <f aca="false">IF(Raw_Fund_Import!$A177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7" s="4" t="str">
        <f aca="false">IF(Raw_Fund_Import!$A177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7" s="4" t="str">
        <f aca="false">IF(Raw_Fund_Import!$A177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7" s="4" t="str">
        <f aca="false">IF(Raw_Fund_Import!$A177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7" s="4" t="str">
        <f aca="false">IF(Raw_Fund_Import!$A177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7" s="44" t="str">
        <f aca="false">IF(Raw_Fund_Import!$A177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7" s="44" t="str">
        <f aca="false">IF(Raw_Fund_Import!$A177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7" s="44" t="str">
        <f aca="false">IF(Raw_Fund_Import!$A177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7" s="44" t="str">
        <f aca="false">IF(Raw_Fund_Import!$A177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7" s="44" t="str">
        <f aca="false">IF(Raw_Fund_Import!$A177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7" s="44" t="str">
        <f aca="false">IF(Raw_Fund_Import!$A177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7" s="4" t="str">
        <f aca="false">IF(Raw_Fund_Import!$A177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7" s="4" t="str">
        <f aca="false">IF(Raw_Fund_Import!$A177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7" s="4" t="str">
        <f aca="false">IF(Raw_Fund_Import!$A177="","",IF(COUNTBLANK($A177:$X177)&gt;0,"CHECK","OK"))</f>
        <v/>
      </c>
    </row>
    <row r="178" customFormat="false" ht="15" hidden="false" customHeight="true" outlineLevel="0" collapsed="false">
      <c r="A178" s="4" t="str">
        <f aca="false">IF(Raw_Fund_Import!$A178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8" s="4" t="str">
        <f aca="false">IF(Raw_Fund_Import!$A178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8" s="4" t="str">
        <f aca="false">IF(Raw_Fund_Import!$A178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8" s="4" t="str">
        <f aca="false">IF(Raw_Fund_Import!$A178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8" s="4" t="str">
        <f aca="false">IF(Raw_Fund_Import!$A178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8" s="4" t="str">
        <f aca="false">IF(Raw_Fund_Import!$A178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8" s="4" t="str">
        <f aca="false">IF(Raw_Fund_Import!$A178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8" s="43" t="str">
        <f aca="false">IF(Raw_Fund_Import!$A178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8" s="4" t="str">
        <f aca="false">IF(Raw_Fund_Import!$A178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8" s="4" t="str">
        <f aca="false">IF(Raw_Fund_Import!$A178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8" s="4" t="str">
        <f aca="false">IF(Raw_Fund_Import!$A178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8" s="4" t="str">
        <f aca="false">IF(Raw_Fund_Import!$A178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8" s="4" t="str">
        <f aca="false">IF(Raw_Fund_Import!$A178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8" s="4" t="str">
        <f aca="false">IF(Raw_Fund_Import!$A178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8" s="4" t="str">
        <f aca="false">IF(Raw_Fund_Import!$A178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8" s="4" t="str">
        <f aca="false">IF(Raw_Fund_Import!$A178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8" s="44" t="str">
        <f aca="false">IF(Raw_Fund_Import!$A178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8" s="44" t="str">
        <f aca="false">IF(Raw_Fund_Import!$A178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8" s="44" t="str">
        <f aca="false">IF(Raw_Fund_Import!$A178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8" s="44" t="str">
        <f aca="false">IF(Raw_Fund_Import!$A178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8" s="44" t="str">
        <f aca="false">IF(Raw_Fund_Import!$A178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8" s="44" t="str">
        <f aca="false">IF(Raw_Fund_Import!$A178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8" s="4" t="str">
        <f aca="false">IF(Raw_Fund_Import!$A178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8" s="4" t="str">
        <f aca="false">IF(Raw_Fund_Import!$A178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8" s="4" t="str">
        <f aca="false">IF(Raw_Fund_Import!$A178="","",IF(COUNTBLANK($A178:$X178)&gt;0,"CHECK","OK"))</f>
        <v/>
      </c>
    </row>
    <row r="179" customFormat="false" ht="15" hidden="false" customHeight="true" outlineLevel="0" collapsed="false">
      <c r="A179" s="4" t="str">
        <f aca="false">IF(Raw_Fund_Import!$A179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79" s="4" t="str">
        <f aca="false">IF(Raw_Fund_Import!$A179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79" s="4" t="str">
        <f aca="false">IF(Raw_Fund_Import!$A179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79" s="4" t="str">
        <f aca="false">IF(Raw_Fund_Import!$A179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79" s="4" t="str">
        <f aca="false">IF(Raw_Fund_Import!$A179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79" s="4" t="str">
        <f aca="false">IF(Raw_Fund_Import!$A179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79" s="4" t="str">
        <f aca="false">IF(Raw_Fund_Import!$A179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79" s="43" t="str">
        <f aca="false">IF(Raw_Fund_Import!$A179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79" s="4" t="str">
        <f aca="false">IF(Raw_Fund_Import!$A179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79" s="4" t="str">
        <f aca="false">IF(Raw_Fund_Import!$A179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79" s="4" t="str">
        <f aca="false">IF(Raw_Fund_Import!$A179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79" s="4" t="str">
        <f aca="false">IF(Raw_Fund_Import!$A179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79" s="4" t="str">
        <f aca="false">IF(Raw_Fund_Import!$A179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79" s="4" t="str">
        <f aca="false">IF(Raw_Fund_Import!$A179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79" s="4" t="str">
        <f aca="false">IF(Raw_Fund_Import!$A179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79" s="4" t="str">
        <f aca="false">IF(Raw_Fund_Import!$A179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79" s="44" t="str">
        <f aca="false">IF(Raw_Fund_Import!$A179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79" s="44" t="str">
        <f aca="false">IF(Raw_Fund_Import!$A179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79" s="44" t="str">
        <f aca="false">IF(Raw_Fund_Import!$A179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79" s="44" t="str">
        <f aca="false">IF(Raw_Fund_Import!$A179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79" s="44" t="str">
        <f aca="false">IF(Raw_Fund_Import!$A179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79" s="44" t="str">
        <f aca="false">IF(Raw_Fund_Import!$A179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79" s="4" t="str">
        <f aca="false">IF(Raw_Fund_Import!$A179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79" s="4" t="str">
        <f aca="false">IF(Raw_Fund_Import!$A179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79" s="4" t="str">
        <f aca="false">IF(Raw_Fund_Import!$A179="","",IF(COUNTBLANK($A179:$X179)&gt;0,"CHECK","OK"))</f>
        <v/>
      </c>
    </row>
    <row r="180" customFormat="false" ht="15" hidden="false" customHeight="true" outlineLevel="0" collapsed="false">
      <c r="A180" s="4" t="str">
        <f aca="false">IF(Raw_Fund_Import!$A180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0" s="4" t="str">
        <f aca="false">IF(Raw_Fund_Import!$A180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0" s="4" t="str">
        <f aca="false">IF(Raw_Fund_Import!$A180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0" s="4" t="str">
        <f aca="false">IF(Raw_Fund_Import!$A180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0" s="4" t="str">
        <f aca="false">IF(Raw_Fund_Import!$A180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0" s="4" t="str">
        <f aca="false">IF(Raw_Fund_Import!$A180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0" s="4" t="str">
        <f aca="false">IF(Raw_Fund_Import!$A180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0" s="43" t="str">
        <f aca="false">IF(Raw_Fund_Import!$A180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0" s="4" t="str">
        <f aca="false">IF(Raw_Fund_Import!$A180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0" s="4" t="str">
        <f aca="false">IF(Raw_Fund_Import!$A180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0" s="4" t="str">
        <f aca="false">IF(Raw_Fund_Import!$A180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0" s="4" t="str">
        <f aca="false">IF(Raw_Fund_Import!$A180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0" s="4" t="str">
        <f aca="false">IF(Raw_Fund_Import!$A180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0" s="4" t="str">
        <f aca="false">IF(Raw_Fund_Import!$A180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0" s="4" t="str">
        <f aca="false">IF(Raw_Fund_Import!$A180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0" s="4" t="str">
        <f aca="false">IF(Raw_Fund_Import!$A180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0" s="44" t="str">
        <f aca="false">IF(Raw_Fund_Import!$A180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0" s="44" t="str">
        <f aca="false">IF(Raw_Fund_Import!$A180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0" s="44" t="str">
        <f aca="false">IF(Raw_Fund_Import!$A180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0" s="44" t="str">
        <f aca="false">IF(Raw_Fund_Import!$A180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0" s="44" t="str">
        <f aca="false">IF(Raw_Fund_Import!$A180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0" s="44" t="str">
        <f aca="false">IF(Raw_Fund_Import!$A180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0" s="4" t="str">
        <f aca="false">IF(Raw_Fund_Import!$A180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0" s="4" t="str">
        <f aca="false">IF(Raw_Fund_Import!$A180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0" s="4" t="str">
        <f aca="false">IF(Raw_Fund_Import!$A180="","",IF(COUNTBLANK($A180:$X180)&gt;0,"CHECK","OK"))</f>
        <v/>
      </c>
    </row>
    <row r="181" customFormat="false" ht="15" hidden="false" customHeight="true" outlineLevel="0" collapsed="false">
      <c r="A181" s="4" t="str">
        <f aca="false">IF(Raw_Fund_Import!$A181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1" s="4" t="str">
        <f aca="false">IF(Raw_Fund_Import!$A181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1" s="4" t="str">
        <f aca="false">IF(Raw_Fund_Import!$A181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1" s="4" t="str">
        <f aca="false">IF(Raw_Fund_Import!$A181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1" s="4" t="str">
        <f aca="false">IF(Raw_Fund_Import!$A181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1" s="4" t="str">
        <f aca="false">IF(Raw_Fund_Import!$A181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1" s="4" t="str">
        <f aca="false">IF(Raw_Fund_Import!$A181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1" s="43" t="str">
        <f aca="false">IF(Raw_Fund_Import!$A181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1" s="4" t="str">
        <f aca="false">IF(Raw_Fund_Import!$A181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1" s="4" t="str">
        <f aca="false">IF(Raw_Fund_Import!$A181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1" s="4" t="str">
        <f aca="false">IF(Raw_Fund_Import!$A181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1" s="4" t="str">
        <f aca="false">IF(Raw_Fund_Import!$A181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1" s="4" t="str">
        <f aca="false">IF(Raw_Fund_Import!$A181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1" s="4" t="str">
        <f aca="false">IF(Raw_Fund_Import!$A181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1" s="4" t="str">
        <f aca="false">IF(Raw_Fund_Import!$A181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1" s="4" t="str">
        <f aca="false">IF(Raw_Fund_Import!$A181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1" s="44" t="str">
        <f aca="false">IF(Raw_Fund_Import!$A181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1" s="44" t="str">
        <f aca="false">IF(Raw_Fund_Import!$A181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1" s="44" t="str">
        <f aca="false">IF(Raw_Fund_Import!$A181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1" s="44" t="str">
        <f aca="false">IF(Raw_Fund_Import!$A181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1" s="44" t="str">
        <f aca="false">IF(Raw_Fund_Import!$A181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1" s="44" t="str">
        <f aca="false">IF(Raw_Fund_Import!$A181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1" s="4" t="str">
        <f aca="false">IF(Raw_Fund_Import!$A181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1" s="4" t="str">
        <f aca="false">IF(Raw_Fund_Import!$A181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1" s="4" t="str">
        <f aca="false">IF(Raw_Fund_Import!$A181="","",IF(COUNTBLANK($A181:$X181)&gt;0,"CHECK","OK"))</f>
        <v/>
      </c>
    </row>
    <row r="182" customFormat="false" ht="15" hidden="false" customHeight="true" outlineLevel="0" collapsed="false">
      <c r="A182" s="4" t="str">
        <f aca="false">IF(Raw_Fund_Import!$A182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2" s="4" t="str">
        <f aca="false">IF(Raw_Fund_Import!$A182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2" s="4" t="str">
        <f aca="false">IF(Raw_Fund_Import!$A182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2" s="4" t="str">
        <f aca="false">IF(Raw_Fund_Import!$A182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2" s="4" t="str">
        <f aca="false">IF(Raw_Fund_Import!$A182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2" s="4" t="str">
        <f aca="false">IF(Raw_Fund_Import!$A182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2" s="4" t="str">
        <f aca="false">IF(Raw_Fund_Import!$A182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2" s="43" t="str">
        <f aca="false">IF(Raw_Fund_Import!$A182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2" s="4" t="str">
        <f aca="false">IF(Raw_Fund_Import!$A182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2" s="4" t="str">
        <f aca="false">IF(Raw_Fund_Import!$A182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2" s="4" t="str">
        <f aca="false">IF(Raw_Fund_Import!$A182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2" s="4" t="str">
        <f aca="false">IF(Raw_Fund_Import!$A182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2" s="4" t="str">
        <f aca="false">IF(Raw_Fund_Import!$A182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2" s="4" t="str">
        <f aca="false">IF(Raw_Fund_Import!$A182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2" s="4" t="str">
        <f aca="false">IF(Raw_Fund_Import!$A182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2" s="4" t="str">
        <f aca="false">IF(Raw_Fund_Import!$A182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2" s="44" t="str">
        <f aca="false">IF(Raw_Fund_Import!$A182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2" s="44" t="str">
        <f aca="false">IF(Raw_Fund_Import!$A182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2" s="44" t="str">
        <f aca="false">IF(Raw_Fund_Import!$A182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2" s="44" t="str">
        <f aca="false">IF(Raw_Fund_Import!$A182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2" s="44" t="str">
        <f aca="false">IF(Raw_Fund_Import!$A182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2" s="44" t="str">
        <f aca="false">IF(Raw_Fund_Import!$A182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2" s="4" t="str">
        <f aca="false">IF(Raw_Fund_Import!$A182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2" s="4" t="str">
        <f aca="false">IF(Raw_Fund_Import!$A182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2" s="4" t="str">
        <f aca="false">IF(Raw_Fund_Import!$A182="","",IF(COUNTBLANK($A182:$X182)&gt;0,"CHECK","OK"))</f>
        <v/>
      </c>
    </row>
    <row r="183" customFormat="false" ht="15" hidden="false" customHeight="true" outlineLevel="0" collapsed="false">
      <c r="A183" s="4" t="str">
        <f aca="false">IF(Raw_Fund_Import!$A183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3" s="4" t="str">
        <f aca="false">IF(Raw_Fund_Import!$A183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3" s="4" t="str">
        <f aca="false">IF(Raw_Fund_Import!$A183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3" s="4" t="str">
        <f aca="false">IF(Raw_Fund_Import!$A183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3" s="4" t="str">
        <f aca="false">IF(Raw_Fund_Import!$A183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3" s="4" t="str">
        <f aca="false">IF(Raw_Fund_Import!$A183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3" s="4" t="str">
        <f aca="false">IF(Raw_Fund_Import!$A183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3" s="43" t="str">
        <f aca="false">IF(Raw_Fund_Import!$A183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3" s="4" t="str">
        <f aca="false">IF(Raw_Fund_Import!$A183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3" s="4" t="str">
        <f aca="false">IF(Raw_Fund_Import!$A183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3" s="4" t="str">
        <f aca="false">IF(Raw_Fund_Import!$A183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3" s="4" t="str">
        <f aca="false">IF(Raw_Fund_Import!$A183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3" s="4" t="str">
        <f aca="false">IF(Raw_Fund_Import!$A183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3" s="4" t="str">
        <f aca="false">IF(Raw_Fund_Import!$A183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3" s="4" t="str">
        <f aca="false">IF(Raw_Fund_Import!$A183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3" s="4" t="str">
        <f aca="false">IF(Raw_Fund_Import!$A183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3" s="44" t="str">
        <f aca="false">IF(Raw_Fund_Import!$A183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3" s="44" t="str">
        <f aca="false">IF(Raw_Fund_Import!$A183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3" s="44" t="str">
        <f aca="false">IF(Raw_Fund_Import!$A183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3" s="44" t="str">
        <f aca="false">IF(Raw_Fund_Import!$A183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3" s="44" t="str">
        <f aca="false">IF(Raw_Fund_Import!$A183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3" s="44" t="str">
        <f aca="false">IF(Raw_Fund_Import!$A183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3" s="4" t="str">
        <f aca="false">IF(Raw_Fund_Import!$A183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3" s="4" t="str">
        <f aca="false">IF(Raw_Fund_Import!$A183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3" s="4" t="str">
        <f aca="false">IF(Raw_Fund_Import!$A183="","",IF(COUNTBLANK($A183:$X183)&gt;0,"CHECK","OK"))</f>
        <v/>
      </c>
    </row>
    <row r="184" customFormat="false" ht="15" hidden="false" customHeight="true" outlineLevel="0" collapsed="false">
      <c r="A184" s="4" t="str">
        <f aca="false">IF(Raw_Fund_Import!$A184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4" s="4" t="str">
        <f aca="false">IF(Raw_Fund_Import!$A184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4" s="4" t="str">
        <f aca="false">IF(Raw_Fund_Import!$A184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4" s="4" t="str">
        <f aca="false">IF(Raw_Fund_Import!$A184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4" s="4" t="str">
        <f aca="false">IF(Raw_Fund_Import!$A184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4" s="4" t="str">
        <f aca="false">IF(Raw_Fund_Import!$A184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4" s="4" t="str">
        <f aca="false">IF(Raw_Fund_Import!$A184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4" s="43" t="str">
        <f aca="false">IF(Raw_Fund_Import!$A184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4" s="4" t="str">
        <f aca="false">IF(Raw_Fund_Import!$A184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4" s="4" t="str">
        <f aca="false">IF(Raw_Fund_Import!$A184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4" s="4" t="str">
        <f aca="false">IF(Raw_Fund_Import!$A184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4" s="4" t="str">
        <f aca="false">IF(Raw_Fund_Import!$A184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4" s="4" t="str">
        <f aca="false">IF(Raw_Fund_Import!$A184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4" s="4" t="str">
        <f aca="false">IF(Raw_Fund_Import!$A184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4" s="4" t="str">
        <f aca="false">IF(Raw_Fund_Import!$A184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4" s="4" t="str">
        <f aca="false">IF(Raw_Fund_Import!$A184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4" s="44" t="str">
        <f aca="false">IF(Raw_Fund_Import!$A184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4" s="44" t="str">
        <f aca="false">IF(Raw_Fund_Import!$A184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4" s="44" t="str">
        <f aca="false">IF(Raw_Fund_Import!$A184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4" s="44" t="str">
        <f aca="false">IF(Raw_Fund_Import!$A184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4" s="44" t="str">
        <f aca="false">IF(Raw_Fund_Import!$A184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4" s="44" t="str">
        <f aca="false">IF(Raw_Fund_Import!$A184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4" s="4" t="str">
        <f aca="false">IF(Raw_Fund_Import!$A184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4" s="4" t="str">
        <f aca="false">IF(Raw_Fund_Import!$A184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4" s="4" t="str">
        <f aca="false">IF(Raw_Fund_Import!$A184="","",IF(COUNTBLANK($A184:$X184)&gt;0,"CHECK","OK"))</f>
        <v/>
      </c>
    </row>
    <row r="185" customFormat="false" ht="15" hidden="false" customHeight="true" outlineLevel="0" collapsed="false">
      <c r="A185" s="4" t="str">
        <f aca="false">IF(Raw_Fund_Import!$A185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5" s="4" t="str">
        <f aca="false">IF(Raw_Fund_Import!$A185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5" s="4" t="str">
        <f aca="false">IF(Raw_Fund_Import!$A185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5" s="4" t="str">
        <f aca="false">IF(Raw_Fund_Import!$A185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5" s="4" t="str">
        <f aca="false">IF(Raw_Fund_Import!$A185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5" s="4" t="str">
        <f aca="false">IF(Raw_Fund_Import!$A185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5" s="4" t="str">
        <f aca="false">IF(Raw_Fund_Import!$A185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5" s="43" t="str">
        <f aca="false">IF(Raw_Fund_Import!$A185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5" s="4" t="str">
        <f aca="false">IF(Raw_Fund_Import!$A185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5" s="4" t="str">
        <f aca="false">IF(Raw_Fund_Import!$A185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5" s="4" t="str">
        <f aca="false">IF(Raw_Fund_Import!$A185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5" s="4" t="str">
        <f aca="false">IF(Raw_Fund_Import!$A185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5" s="4" t="str">
        <f aca="false">IF(Raw_Fund_Import!$A185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5" s="4" t="str">
        <f aca="false">IF(Raw_Fund_Import!$A185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5" s="4" t="str">
        <f aca="false">IF(Raw_Fund_Import!$A185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5" s="4" t="str">
        <f aca="false">IF(Raw_Fund_Import!$A185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5" s="44" t="str">
        <f aca="false">IF(Raw_Fund_Import!$A185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5" s="44" t="str">
        <f aca="false">IF(Raw_Fund_Import!$A185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5" s="44" t="str">
        <f aca="false">IF(Raw_Fund_Import!$A185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5" s="44" t="str">
        <f aca="false">IF(Raw_Fund_Import!$A185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5" s="44" t="str">
        <f aca="false">IF(Raw_Fund_Import!$A185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5" s="44" t="str">
        <f aca="false">IF(Raw_Fund_Import!$A185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5" s="4" t="str">
        <f aca="false">IF(Raw_Fund_Import!$A185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5" s="4" t="str">
        <f aca="false">IF(Raw_Fund_Import!$A185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5" s="4" t="str">
        <f aca="false">IF(Raw_Fund_Import!$A185="","",IF(COUNTBLANK($A185:$X185)&gt;0,"CHECK","OK"))</f>
        <v/>
      </c>
    </row>
    <row r="186" customFormat="false" ht="15" hidden="false" customHeight="true" outlineLevel="0" collapsed="false">
      <c r="A186" s="4" t="str">
        <f aca="false">IF(Raw_Fund_Import!$A186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6" s="4" t="str">
        <f aca="false">IF(Raw_Fund_Import!$A186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6" s="4" t="str">
        <f aca="false">IF(Raw_Fund_Import!$A186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6" s="4" t="str">
        <f aca="false">IF(Raw_Fund_Import!$A186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6" s="4" t="str">
        <f aca="false">IF(Raw_Fund_Import!$A186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6" s="4" t="str">
        <f aca="false">IF(Raw_Fund_Import!$A186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6" s="4" t="str">
        <f aca="false">IF(Raw_Fund_Import!$A186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6" s="43" t="str">
        <f aca="false">IF(Raw_Fund_Import!$A186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6" s="4" t="str">
        <f aca="false">IF(Raw_Fund_Import!$A186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6" s="4" t="str">
        <f aca="false">IF(Raw_Fund_Import!$A186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6" s="4" t="str">
        <f aca="false">IF(Raw_Fund_Import!$A186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6" s="4" t="str">
        <f aca="false">IF(Raw_Fund_Import!$A186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6" s="4" t="str">
        <f aca="false">IF(Raw_Fund_Import!$A186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6" s="4" t="str">
        <f aca="false">IF(Raw_Fund_Import!$A186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6" s="4" t="str">
        <f aca="false">IF(Raw_Fund_Import!$A186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6" s="4" t="str">
        <f aca="false">IF(Raw_Fund_Import!$A186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6" s="44" t="str">
        <f aca="false">IF(Raw_Fund_Import!$A186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6" s="44" t="str">
        <f aca="false">IF(Raw_Fund_Import!$A186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6" s="44" t="str">
        <f aca="false">IF(Raw_Fund_Import!$A186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6" s="44" t="str">
        <f aca="false">IF(Raw_Fund_Import!$A186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6" s="44" t="str">
        <f aca="false">IF(Raw_Fund_Import!$A186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6" s="44" t="str">
        <f aca="false">IF(Raw_Fund_Import!$A186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6" s="4" t="str">
        <f aca="false">IF(Raw_Fund_Import!$A186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6" s="4" t="str">
        <f aca="false">IF(Raw_Fund_Import!$A186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6" s="4" t="str">
        <f aca="false">IF(Raw_Fund_Import!$A186="","",IF(COUNTBLANK($A186:$X186)&gt;0,"CHECK","OK"))</f>
        <v/>
      </c>
    </row>
    <row r="187" customFormat="false" ht="15" hidden="false" customHeight="true" outlineLevel="0" collapsed="false">
      <c r="A187" s="4" t="str">
        <f aca="false">IF(Raw_Fund_Import!$A187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7" s="4" t="str">
        <f aca="false">IF(Raw_Fund_Import!$A187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7" s="4" t="str">
        <f aca="false">IF(Raw_Fund_Import!$A187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7" s="4" t="str">
        <f aca="false">IF(Raw_Fund_Import!$A187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7" s="4" t="str">
        <f aca="false">IF(Raw_Fund_Import!$A187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7" s="4" t="str">
        <f aca="false">IF(Raw_Fund_Import!$A187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7" s="4" t="str">
        <f aca="false">IF(Raw_Fund_Import!$A187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7" s="43" t="str">
        <f aca="false">IF(Raw_Fund_Import!$A187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7" s="4" t="str">
        <f aca="false">IF(Raw_Fund_Import!$A187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7" s="4" t="str">
        <f aca="false">IF(Raw_Fund_Import!$A187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7" s="4" t="str">
        <f aca="false">IF(Raw_Fund_Import!$A187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7" s="4" t="str">
        <f aca="false">IF(Raw_Fund_Import!$A187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7" s="4" t="str">
        <f aca="false">IF(Raw_Fund_Import!$A187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7" s="4" t="str">
        <f aca="false">IF(Raw_Fund_Import!$A187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7" s="4" t="str">
        <f aca="false">IF(Raw_Fund_Import!$A187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7" s="4" t="str">
        <f aca="false">IF(Raw_Fund_Import!$A187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7" s="44" t="str">
        <f aca="false">IF(Raw_Fund_Import!$A187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7" s="44" t="str">
        <f aca="false">IF(Raw_Fund_Import!$A187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7" s="44" t="str">
        <f aca="false">IF(Raw_Fund_Import!$A187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7" s="44" t="str">
        <f aca="false">IF(Raw_Fund_Import!$A187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7" s="44" t="str">
        <f aca="false">IF(Raw_Fund_Import!$A187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7" s="44" t="str">
        <f aca="false">IF(Raw_Fund_Import!$A187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7" s="4" t="str">
        <f aca="false">IF(Raw_Fund_Import!$A187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7" s="4" t="str">
        <f aca="false">IF(Raw_Fund_Import!$A187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7" s="4" t="str">
        <f aca="false">IF(Raw_Fund_Import!$A187="","",IF(COUNTBLANK($A187:$X187)&gt;0,"CHECK","OK"))</f>
        <v/>
      </c>
    </row>
    <row r="188" customFormat="false" ht="15" hidden="false" customHeight="true" outlineLevel="0" collapsed="false">
      <c r="A188" s="4" t="str">
        <f aca="false">IF(Raw_Fund_Import!$A188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8" s="4" t="str">
        <f aca="false">IF(Raw_Fund_Import!$A188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8" s="4" t="str">
        <f aca="false">IF(Raw_Fund_Import!$A188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8" s="4" t="str">
        <f aca="false">IF(Raw_Fund_Import!$A188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8" s="4" t="str">
        <f aca="false">IF(Raw_Fund_Import!$A188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8" s="4" t="str">
        <f aca="false">IF(Raw_Fund_Import!$A188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8" s="4" t="str">
        <f aca="false">IF(Raw_Fund_Import!$A188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8" s="43" t="str">
        <f aca="false">IF(Raw_Fund_Import!$A188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8" s="4" t="str">
        <f aca="false">IF(Raw_Fund_Import!$A188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8" s="4" t="str">
        <f aca="false">IF(Raw_Fund_Import!$A188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8" s="4" t="str">
        <f aca="false">IF(Raw_Fund_Import!$A188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8" s="4" t="str">
        <f aca="false">IF(Raw_Fund_Import!$A188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8" s="4" t="str">
        <f aca="false">IF(Raw_Fund_Import!$A188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8" s="4" t="str">
        <f aca="false">IF(Raw_Fund_Import!$A188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8" s="4" t="str">
        <f aca="false">IF(Raw_Fund_Import!$A188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8" s="4" t="str">
        <f aca="false">IF(Raw_Fund_Import!$A188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8" s="44" t="str">
        <f aca="false">IF(Raw_Fund_Import!$A188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8" s="44" t="str">
        <f aca="false">IF(Raw_Fund_Import!$A188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8" s="44" t="str">
        <f aca="false">IF(Raw_Fund_Import!$A188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8" s="44" t="str">
        <f aca="false">IF(Raw_Fund_Import!$A188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8" s="44" t="str">
        <f aca="false">IF(Raw_Fund_Import!$A188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8" s="44" t="str">
        <f aca="false">IF(Raw_Fund_Import!$A188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8" s="4" t="str">
        <f aca="false">IF(Raw_Fund_Import!$A188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8" s="4" t="str">
        <f aca="false">IF(Raw_Fund_Import!$A188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8" s="4" t="str">
        <f aca="false">IF(Raw_Fund_Import!$A188="","",IF(COUNTBLANK($A188:$X188)&gt;0,"CHECK","OK"))</f>
        <v/>
      </c>
    </row>
    <row r="189" customFormat="false" ht="15" hidden="false" customHeight="true" outlineLevel="0" collapsed="false">
      <c r="A189" s="4" t="str">
        <f aca="false">IF(Raw_Fund_Import!$A189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89" s="4" t="str">
        <f aca="false">IF(Raw_Fund_Import!$A189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89" s="4" t="str">
        <f aca="false">IF(Raw_Fund_Import!$A189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89" s="4" t="str">
        <f aca="false">IF(Raw_Fund_Import!$A189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89" s="4" t="str">
        <f aca="false">IF(Raw_Fund_Import!$A189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89" s="4" t="str">
        <f aca="false">IF(Raw_Fund_Import!$A189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89" s="4" t="str">
        <f aca="false">IF(Raw_Fund_Import!$A189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89" s="43" t="str">
        <f aca="false">IF(Raw_Fund_Import!$A189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89" s="4" t="str">
        <f aca="false">IF(Raw_Fund_Import!$A189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89" s="4" t="str">
        <f aca="false">IF(Raw_Fund_Import!$A189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89" s="4" t="str">
        <f aca="false">IF(Raw_Fund_Import!$A189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89" s="4" t="str">
        <f aca="false">IF(Raw_Fund_Import!$A189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89" s="4" t="str">
        <f aca="false">IF(Raw_Fund_Import!$A189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89" s="4" t="str">
        <f aca="false">IF(Raw_Fund_Import!$A189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89" s="4" t="str">
        <f aca="false">IF(Raw_Fund_Import!$A189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89" s="4" t="str">
        <f aca="false">IF(Raw_Fund_Import!$A189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89" s="44" t="str">
        <f aca="false">IF(Raw_Fund_Import!$A189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89" s="44" t="str">
        <f aca="false">IF(Raw_Fund_Import!$A189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89" s="44" t="str">
        <f aca="false">IF(Raw_Fund_Import!$A189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89" s="44" t="str">
        <f aca="false">IF(Raw_Fund_Import!$A189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89" s="44" t="str">
        <f aca="false">IF(Raw_Fund_Import!$A189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89" s="44" t="str">
        <f aca="false">IF(Raw_Fund_Import!$A189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89" s="4" t="str">
        <f aca="false">IF(Raw_Fund_Import!$A189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89" s="4" t="str">
        <f aca="false">IF(Raw_Fund_Import!$A189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89" s="4" t="str">
        <f aca="false">IF(Raw_Fund_Import!$A189="","",IF(COUNTBLANK($A189:$X189)&gt;0,"CHECK","OK"))</f>
        <v/>
      </c>
    </row>
    <row r="190" customFormat="false" ht="15" hidden="false" customHeight="true" outlineLevel="0" collapsed="false">
      <c r="A190" s="4" t="str">
        <f aca="false">IF(Raw_Fund_Import!$A190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0" s="4" t="str">
        <f aca="false">IF(Raw_Fund_Import!$A190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0" s="4" t="str">
        <f aca="false">IF(Raw_Fund_Import!$A190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0" s="4" t="str">
        <f aca="false">IF(Raw_Fund_Import!$A190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0" s="4" t="str">
        <f aca="false">IF(Raw_Fund_Import!$A190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0" s="4" t="str">
        <f aca="false">IF(Raw_Fund_Import!$A190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0" s="4" t="str">
        <f aca="false">IF(Raw_Fund_Import!$A190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0" s="43" t="str">
        <f aca="false">IF(Raw_Fund_Import!$A190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0" s="4" t="str">
        <f aca="false">IF(Raw_Fund_Import!$A190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0" s="4" t="str">
        <f aca="false">IF(Raw_Fund_Import!$A190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0" s="4" t="str">
        <f aca="false">IF(Raw_Fund_Import!$A190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0" s="4" t="str">
        <f aca="false">IF(Raw_Fund_Import!$A190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0" s="4" t="str">
        <f aca="false">IF(Raw_Fund_Import!$A190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0" s="4" t="str">
        <f aca="false">IF(Raw_Fund_Import!$A190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0" s="4" t="str">
        <f aca="false">IF(Raw_Fund_Import!$A190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0" s="4" t="str">
        <f aca="false">IF(Raw_Fund_Import!$A190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0" s="44" t="str">
        <f aca="false">IF(Raw_Fund_Import!$A190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0" s="44" t="str">
        <f aca="false">IF(Raw_Fund_Import!$A190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0" s="44" t="str">
        <f aca="false">IF(Raw_Fund_Import!$A190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0" s="44" t="str">
        <f aca="false">IF(Raw_Fund_Import!$A190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0" s="44" t="str">
        <f aca="false">IF(Raw_Fund_Import!$A190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0" s="44" t="str">
        <f aca="false">IF(Raw_Fund_Import!$A190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0" s="4" t="str">
        <f aca="false">IF(Raw_Fund_Import!$A190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0" s="4" t="str">
        <f aca="false">IF(Raw_Fund_Import!$A190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0" s="4" t="str">
        <f aca="false">IF(Raw_Fund_Import!$A190="","",IF(COUNTBLANK($A190:$X190)&gt;0,"CHECK","OK"))</f>
        <v/>
      </c>
    </row>
    <row r="191" customFormat="false" ht="15" hidden="false" customHeight="true" outlineLevel="0" collapsed="false">
      <c r="A191" s="4" t="str">
        <f aca="false">IF(Raw_Fund_Import!$A191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1" s="4" t="str">
        <f aca="false">IF(Raw_Fund_Import!$A191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1" s="4" t="str">
        <f aca="false">IF(Raw_Fund_Import!$A191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1" s="4" t="str">
        <f aca="false">IF(Raw_Fund_Import!$A191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1" s="4" t="str">
        <f aca="false">IF(Raw_Fund_Import!$A191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1" s="4" t="str">
        <f aca="false">IF(Raw_Fund_Import!$A191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1" s="4" t="str">
        <f aca="false">IF(Raw_Fund_Import!$A191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1" s="43" t="str">
        <f aca="false">IF(Raw_Fund_Import!$A191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1" s="4" t="str">
        <f aca="false">IF(Raw_Fund_Import!$A191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1" s="4" t="str">
        <f aca="false">IF(Raw_Fund_Import!$A191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1" s="4" t="str">
        <f aca="false">IF(Raw_Fund_Import!$A191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1" s="4" t="str">
        <f aca="false">IF(Raw_Fund_Import!$A191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1" s="4" t="str">
        <f aca="false">IF(Raw_Fund_Import!$A191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1" s="4" t="str">
        <f aca="false">IF(Raw_Fund_Import!$A191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1" s="4" t="str">
        <f aca="false">IF(Raw_Fund_Import!$A191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1" s="4" t="str">
        <f aca="false">IF(Raw_Fund_Import!$A191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1" s="44" t="str">
        <f aca="false">IF(Raw_Fund_Import!$A191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1" s="44" t="str">
        <f aca="false">IF(Raw_Fund_Import!$A191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1" s="44" t="str">
        <f aca="false">IF(Raw_Fund_Import!$A191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1" s="44" t="str">
        <f aca="false">IF(Raw_Fund_Import!$A191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1" s="44" t="str">
        <f aca="false">IF(Raw_Fund_Import!$A191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1" s="44" t="str">
        <f aca="false">IF(Raw_Fund_Import!$A191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1" s="4" t="str">
        <f aca="false">IF(Raw_Fund_Import!$A191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1" s="4" t="str">
        <f aca="false">IF(Raw_Fund_Import!$A191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1" s="4" t="str">
        <f aca="false">IF(Raw_Fund_Import!$A191="","",IF(COUNTBLANK($A191:$X191)&gt;0,"CHECK","OK"))</f>
        <v/>
      </c>
    </row>
    <row r="192" customFormat="false" ht="15" hidden="false" customHeight="true" outlineLevel="0" collapsed="false">
      <c r="A192" s="4" t="str">
        <f aca="false">IF(Raw_Fund_Import!$A192="","",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2" s="4" t="str">
        <f aca="false">IF(Raw_Fund_Import!$A192="","",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2" s="4" t="str">
        <f aca="false">IF(Raw_Fund_Import!$A192="","",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2" s="4" t="str">
        <f aca="false">IF(Raw_Fund_Import!$A192="","",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2" s="4" t="str">
        <f aca="false">IF(Raw_Fund_Import!$A192="","",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2" s="4" t="str">
        <f aca="false">IF(Raw_Fund_Import!$A192="","",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2" s="4" t="str">
        <f aca="false">IF(Raw_Fund_Import!$A192="","",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2" s="43" t="str">
        <f aca="false">IF(Raw_Fund_Import!$A192="","",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2" s="4" t="str">
        <f aca="false">IF(Raw_Fund_Import!$A192="","",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2" s="4" t="str">
        <f aca="false">IF(Raw_Fund_Import!$A192="","",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2" s="4" t="str">
        <f aca="false">IF(Raw_Fund_Import!$A192="","",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2" s="4" t="str">
        <f aca="false">IF(Raw_Fund_Import!$A192="","",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2" s="4" t="str">
        <f aca="false">IF(Raw_Fund_Import!$A192="","",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2" s="4" t="str">
        <f aca="false">IF(Raw_Fund_Import!$A192="","",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2" s="4" t="str">
        <f aca="false">IF(Raw_Fund_Import!$A192="","",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2" s="4" t="str">
        <f aca="false">IF(Raw_Fund_Import!$A192="","",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2" s="44" t="str">
        <f aca="false">IF(Raw_Fund_Import!$A192="","",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2" s="44" t="str">
        <f aca="false">IF(Raw_Fund_Import!$A192="","",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2" s="44" t="str">
        <f aca="false">IF(Raw_Fund_Import!$A192="","",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2" s="44" t="str">
        <f aca="false">IF(Raw_Fund_Import!$A192="","",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2" s="44" t="str">
        <f aca="false">IF(Raw_Fund_Import!$A192="","",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2" s="44" t="str">
        <f aca="false">IF(Raw_Fund_Import!$A192="","",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2" s="4" t="str">
        <f aca="false">IF(Raw_Fund_Import!$A192="","",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2" s="4" t="str">
        <f aca="false">IF(Raw_Fund_Import!$A192="","",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2" s="4" t="str">
        <f aca="false">IF(Raw_Fund_Import!$A192="","",IF(COUNTBLANK($A192:$X192)&gt;0,"CHECK","OK"))</f>
        <v/>
      </c>
    </row>
    <row r="193" customFormat="false" ht="15" hidden="false" customHeight="true" outlineLevel="0" collapsed="false">
      <c r="A193" s="4" t="str">
        <f aca="false">IF(Raw_Fund_Import!$A193="","",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3" s="4" t="str">
        <f aca="false">IF(Raw_Fund_Import!$A193="","",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3" s="4" t="str">
        <f aca="false">IF(Raw_Fund_Import!$A193="","",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3" s="4" t="str">
        <f aca="false">IF(Raw_Fund_Import!$A193="","",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3" s="4" t="str">
        <f aca="false">IF(Raw_Fund_Import!$A193="","",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3" s="4" t="str">
        <f aca="false">IF(Raw_Fund_Import!$A193="","",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3" s="4" t="str">
        <f aca="false">IF(Raw_Fund_Import!$A193="","",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3" s="43" t="str">
        <f aca="false">IF(Raw_Fund_Import!$A193="","",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3" s="4" t="str">
        <f aca="false">IF(Raw_Fund_Import!$A193="","",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3" s="4" t="str">
        <f aca="false">IF(Raw_Fund_Import!$A193="","",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3" s="4" t="str">
        <f aca="false">IF(Raw_Fund_Import!$A193="","",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3" s="4" t="str">
        <f aca="false">IF(Raw_Fund_Import!$A193="","",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3" s="4" t="str">
        <f aca="false">IF(Raw_Fund_Import!$A193="","",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3" s="4" t="str">
        <f aca="false">IF(Raw_Fund_Import!$A193="","",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3" s="4" t="str">
        <f aca="false">IF(Raw_Fund_Import!$A193="","",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3" s="4" t="str">
        <f aca="false">IF(Raw_Fund_Import!$A193="","",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3" s="44" t="str">
        <f aca="false">IF(Raw_Fund_Import!$A193="","",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3" s="44" t="str">
        <f aca="false">IF(Raw_Fund_Import!$A193="","",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3" s="44" t="str">
        <f aca="false">IF(Raw_Fund_Import!$A193="","",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3" s="44" t="str">
        <f aca="false">IF(Raw_Fund_Import!$A193="","",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3" s="44" t="str">
        <f aca="false">IF(Raw_Fund_Import!$A193="","",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3" s="44" t="str">
        <f aca="false">IF(Raw_Fund_Import!$A193="","",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3" s="4" t="str">
        <f aca="false">IF(Raw_Fund_Import!$A193="","",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3" s="4" t="str">
        <f aca="false">IF(Raw_Fund_Import!$A193="","",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3" s="4" t="str">
        <f aca="false">IF(Raw_Fund_Import!$A193="","",IF(COUNTBLANK($A193:$X193)&gt;0,"CHECK","OK"))</f>
        <v/>
      </c>
    </row>
    <row r="194" customFormat="false" ht="15" hidden="false" customHeight="true" outlineLevel="0" collapsed="false">
      <c r="A194" s="4" t="str">
        <f aca="false">IF(Raw_Fund_Import!$A194="","",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4" s="4" t="str">
        <f aca="false">IF(Raw_Fund_Import!$A194="","",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4" s="4" t="str">
        <f aca="false">IF(Raw_Fund_Import!$A194="","",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4" s="4" t="str">
        <f aca="false">IF(Raw_Fund_Import!$A194="","",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4" s="4" t="str">
        <f aca="false">IF(Raw_Fund_Import!$A194="","",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4" s="4" t="str">
        <f aca="false">IF(Raw_Fund_Import!$A194="","",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4" s="4" t="str">
        <f aca="false">IF(Raw_Fund_Import!$A194="","",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4" s="43" t="str">
        <f aca="false">IF(Raw_Fund_Import!$A194="","",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4" s="4" t="str">
        <f aca="false">IF(Raw_Fund_Import!$A194="","",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4" s="4" t="str">
        <f aca="false">IF(Raw_Fund_Import!$A194="","",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4" s="4" t="str">
        <f aca="false">IF(Raw_Fund_Import!$A194="","",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4" s="4" t="str">
        <f aca="false">IF(Raw_Fund_Import!$A194="","",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4" s="4" t="str">
        <f aca="false">IF(Raw_Fund_Import!$A194="","",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4" s="4" t="str">
        <f aca="false">IF(Raw_Fund_Import!$A194="","",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4" s="4" t="str">
        <f aca="false">IF(Raw_Fund_Import!$A194="","",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4" s="4" t="str">
        <f aca="false">IF(Raw_Fund_Import!$A194="","",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4" s="44" t="str">
        <f aca="false">IF(Raw_Fund_Import!$A194="","",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4" s="44" t="str">
        <f aca="false">IF(Raw_Fund_Import!$A194="","",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4" s="44" t="str">
        <f aca="false">IF(Raw_Fund_Import!$A194="","",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4" s="44" t="str">
        <f aca="false">IF(Raw_Fund_Import!$A194="","",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4" s="44" t="str">
        <f aca="false">IF(Raw_Fund_Import!$A194="","",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4" s="44" t="str">
        <f aca="false">IF(Raw_Fund_Import!$A194="","",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4" s="4" t="str">
        <f aca="false">IF(Raw_Fund_Import!$A194="","",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4" s="4" t="str">
        <f aca="false">IF(Raw_Fund_Import!$A194="","",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4" s="4" t="str">
        <f aca="false">IF(Raw_Fund_Import!$A194="","",IF(COUNTBLANK($A194:$X194)&gt;0,"CHECK","OK"))</f>
        <v/>
      </c>
    </row>
    <row r="195" customFormat="false" ht="15" hidden="false" customHeight="true" outlineLevel="0" collapsed="false">
      <c r="A195" s="4" t="str">
        <f aca="false">IF(Raw_Fund_Import!$A195="","",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5" s="4" t="str">
        <f aca="false">IF(Raw_Fund_Import!$A195="","",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5" s="4" t="str">
        <f aca="false">IF(Raw_Fund_Import!$A195="","",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5" s="4" t="str">
        <f aca="false">IF(Raw_Fund_Import!$A195="","",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5" s="4" t="str">
        <f aca="false">IF(Raw_Fund_Import!$A195="","",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5" s="4" t="str">
        <f aca="false">IF(Raw_Fund_Import!$A195="","",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5" s="4" t="str">
        <f aca="false">IF(Raw_Fund_Import!$A195="","",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5" s="43" t="str">
        <f aca="false">IF(Raw_Fund_Import!$A195="","",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5" s="4" t="str">
        <f aca="false">IF(Raw_Fund_Import!$A195="","",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5" s="4" t="str">
        <f aca="false">IF(Raw_Fund_Import!$A195="","",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5" s="4" t="str">
        <f aca="false">IF(Raw_Fund_Import!$A195="","",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5" s="4" t="str">
        <f aca="false">IF(Raw_Fund_Import!$A195="","",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5" s="4" t="str">
        <f aca="false">IF(Raw_Fund_Import!$A195="","",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5" s="4" t="str">
        <f aca="false">IF(Raw_Fund_Import!$A195="","",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5" s="4" t="str">
        <f aca="false">IF(Raw_Fund_Import!$A195="","",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5" s="4" t="str">
        <f aca="false">IF(Raw_Fund_Import!$A195="","",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5" s="44" t="str">
        <f aca="false">IF(Raw_Fund_Import!$A195="","",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5" s="44" t="str">
        <f aca="false">IF(Raw_Fund_Import!$A195="","",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5" s="44" t="str">
        <f aca="false">IF(Raw_Fund_Import!$A195="","",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5" s="44" t="str">
        <f aca="false">IF(Raw_Fund_Import!$A195="","",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5" s="44" t="str">
        <f aca="false">IF(Raw_Fund_Import!$A195="","",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5" s="44" t="str">
        <f aca="false">IF(Raw_Fund_Import!$A195="","",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5" s="4" t="str">
        <f aca="false">IF(Raw_Fund_Import!$A195="","",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5" s="4" t="str">
        <f aca="false">IF(Raw_Fund_Import!$A195="","",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5" s="4" t="str">
        <f aca="false">IF(Raw_Fund_Import!$A195="","",IF(COUNTBLANK($A195:$X195)&gt;0,"CHECK","OK"))</f>
        <v/>
      </c>
    </row>
    <row r="196" customFormat="false" ht="15" hidden="false" customHeight="true" outlineLevel="0" collapsed="false">
      <c r="A196" s="4" t="str">
        <f aca="false">IF(Raw_Fund_Import!$A196="","",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6" s="4" t="str">
        <f aca="false">IF(Raw_Fund_Import!$A196="","",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6" s="4" t="str">
        <f aca="false">IF(Raw_Fund_Import!$A196="","",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6" s="4" t="str">
        <f aca="false">IF(Raw_Fund_Import!$A196="","",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6" s="4" t="str">
        <f aca="false">IF(Raw_Fund_Import!$A196="","",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6" s="4" t="str">
        <f aca="false">IF(Raw_Fund_Import!$A196="","",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6" s="4" t="str">
        <f aca="false">IF(Raw_Fund_Import!$A196="","",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6" s="43" t="str">
        <f aca="false">IF(Raw_Fund_Import!$A196="","",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6" s="4" t="str">
        <f aca="false">IF(Raw_Fund_Import!$A196="","",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6" s="4" t="str">
        <f aca="false">IF(Raw_Fund_Import!$A196="","",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6" s="4" t="str">
        <f aca="false">IF(Raw_Fund_Import!$A196="","",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6" s="4" t="str">
        <f aca="false">IF(Raw_Fund_Import!$A196="","",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6" s="4" t="str">
        <f aca="false">IF(Raw_Fund_Import!$A196="","",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6" s="4" t="str">
        <f aca="false">IF(Raw_Fund_Import!$A196="","",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6" s="4" t="str">
        <f aca="false">IF(Raw_Fund_Import!$A196="","",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6" s="4" t="str">
        <f aca="false">IF(Raw_Fund_Import!$A196="","",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6" s="44" t="str">
        <f aca="false">IF(Raw_Fund_Import!$A196="","",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6" s="44" t="str">
        <f aca="false">IF(Raw_Fund_Import!$A196="","",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6" s="44" t="str">
        <f aca="false">IF(Raw_Fund_Import!$A196="","",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6" s="44" t="str">
        <f aca="false">IF(Raw_Fund_Import!$A196="","",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6" s="44" t="str">
        <f aca="false">IF(Raw_Fund_Import!$A196="","",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6" s="44" t="str">
        <f aca="false">IF(Raw_Fund_Import!$A196="","",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6" s="4" t="str">
        <f aca="false">IF(Raw_Fund_Import!$A196="","",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6" s="4" t="str">
        <f aca="false">IF(Raw_Fund_Import!$A196="","",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6" s="4" t="str">
        <f aca="false">IF(Raw_Fund_Import!$A196="","",IF(COUNTBLANK($A196:$X196)&gt;0,"CHECK","OK"))</f>
        <v/>
      </c>
    </row>
    <row r="197" customFormat="false" ht="15" hidden="false" customHeight="true" outlineLevel="0" collapsed="false">
      <c r="A197" s="4" t="str">
        <f aca="false">IF(Raw_Fund_Import!$A197="","",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7" s="4" t="str">
        <f aca="false">IF(Raw_Fund_Import!$A197="","",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7" s="4" t="str">
        <f aca="false">IF(Raw_Fund_Import!$A197="","",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7" s="4" t="str">
        <f aca="false">IF(Raw_Fund_Import!$A197="","",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7" s="4" t="str">
        <f aca="false">IF(Raw_Fund_Import!$A197="","",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7" s="4" t="str">
        <f aca="false">IF(Raw_Fund_Import!$A197="","",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7" s="4" t="str">
        <f aca="false">IF(Raw_Fund_Import!$A197="","",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7" s="43" t="str">
        <f aca="false">IF(Raw_Fund_Import!$A197="","",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7" s="4" t="str">
        <f aca="false">IF(Raw_Fund_Import!$A197="","",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7" s="4" t="str">
        <f aca="false">IF(Raw_Fund_Import!$A197="","",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7" s="4" t="str">
        <f aca="false">IF(Raw_Fund_Import!$A197="","",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7" s="4" t="str">
        <f aca="false">IF(Raw_Fund_Import!$A197="","",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7" s="4" t="str">
        <f aca="false">IF(Raw_Fund_Import!$A197="","",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7" s="4" t="str">
        <f aca="false">IF(Raw_Fund_Import!$A197="","",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7" s="4" t="str">
        <f aca="false">IF(Raw_Fund_Import!$A197="","",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7" s="4" t="str">
        <f aca="false">IF(Raw_Fund_Import!$A197="","",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7" s="44" t="str">
        <f aca="false">IF(Raw_Fund_Import!$A197="","",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7" s="44" t="str">
        <f aca="false">IF(Raw_Fund_Import!$A197="","",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7" s="44" t="str">
        <f aca="false">IF(Raw_Fund_Import!$A197="","",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7" s="44" t="str">
        <f aca="false">IF(Raw_Fund_Import!$A197="","",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7" s="44" t="str">
        <f aca="false">IF(Raw_Fund_Import!$A197="","",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7" s="44" t="str">
        <f aca="false">IF(Raw_Fund_Import!$A197="","",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7" s="4" t="str">
        <f aca="false">IF(Raw_Fund_Import!$A197="","",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7" s="4" t="str">
        <f aca="false">IF(Raw_Fund_Import!$A197="","",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7" s="4" t="str">
        <f aca="false">IF(Raw_Fund_Import!$A197="","",IF(COUNTBLANK($A197:$X197)&gt;0,"CHECK","OK"))</f>
        <v/>
      </c>
    </row>
    <row r="198" customFormat="false" ht="15" hidden="false" customHeight="true" outlineLevel="0" collapsed="false">
      <c r="A198" s="4" t="str">
        <f aca="false">IF(Raw_Fund_Import!$A198="","",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8" s="4" t="str">
        <f aca="false">IF(Raw_Fund_Import!$A198="","",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8" s="4" t="str">
        <f aca="false">IF(Raw_Fund_Import!$A198="","",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8" s="4" t="str">
        <f aca="false">IF(Raw_Fund_Import!$A198="","",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8" s="4" t="str">
        <f aca="false">IF(Raw_Fund_Import!$A198="","",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8" s="4" t="str">
        <f aca="false">IF(Raw_Fund_Import!$A198="","",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8" s="4" t="str">
        <f aca="false">IF(Raw_Fund_Import!$A198="","",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8" s="43" t="str">
        <f aca="false">IF(Raw_Fund_Import!$A198="","",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8" s="4" t="str">
        <f aca="false">IF(Raw_Fund_Import!$A198="","",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8" s="4" t="str">
        <f aca="false">IF(Raw_Fund_Import!$A198="","",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8" s="4" t="str">
        <f aca="false">IF(Raw_Fund_Import!$A198="","",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8" s="4" t="str">
        <f aca="false">IF(Raw_Fund_Import!$A198="","",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8" s="4" t="str">
        <f aca="false">IF(Raw_Fund_Import!$A198="","",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8" s="4" t="str">
        <f aca="false">IF(Raw_Fund_Import!$A198="","",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8" s="4" t="str">
        <f aca="false">IF(Raw_Fund_Import!$A198="","",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8" s="4" t="str">
        <f aca="false">IF(Raw_Fund_Import!$A198="","",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8" s="44" t="str">
        <f aca="false">IF(Raw_Fund_Import!$A198="","",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8" s="44" t="str">
        <f aca="false">IF(Raw_Fund_Import!$A198="","",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8" s="44" t="str">
        <f aca="false">IF(Raw_Fund_Import!$A198="","",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8" s="44" t="str">
        <f aca="false">IF(Raw_Fund_Import!$A198="","",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8" s="44" t="str">
        <f aca="false">IF(Raw_Fund_Import!$A198="","",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8" s="44" t="str">
        <f aca="false">IF(Raw_Fund_Import!$A198="","",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8" s="4" t="str">
        <f aca="false">IF(Raw_Fund_Import!$A198="","",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8" s="4" t="str">
        <f aca="false">IF(Raw_Fund_Import!$A198="","",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8" s="4" t="str">
        <f aca="false">IF(Raw_Fund_Import!$A198="","",IF(COUNTBLANK($A198:$X198)&gt;0,"CHECK","OK"))</f>
        <v/>
      </c>
    </row>
    <row r="199" customFormat="false" ht="15" hidden="false" customHeight="true" outlineLevel="0" collapsed="false">
      <c r="A199" s="4" t="str">
        <f aca="false">IF(Raw_Fund_Import!$A199="","",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199" s="4" t="str">
        <f aca="false">IF(Raw_Fund_Import!$A199="","",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199" s="4" t="str">
        <f aca="false">IF(Raw_Fund_Import!$A199="","",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199" s="4" t="str">
        <f aca="false">IF(Raw_Fund_Import!$A199="","",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199" s="4" t="str">
        <f aca="false">IF(Raw_Fund_Import!$A199="","",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199" s="4" t="str">
        <f aca="false">IF(Raw_Fund_Import!$A199="","",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199" s="4" t="str">
        <f aca="false">IF(Raw_Fund_Import!$A199="","",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199" s="43" t="str">
        <f aca="false">IF(Raw_Fund_Import!$A199="","",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199" s="4" t="str">
        <f aca="false">IF(Raw_Fund_Import!$A199="","",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199" s="4" t="str">
        <f aca="false">IF(Raw_Fund_Import!$A199="","",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199" s="4" t="str">
        <f aca="false">IF(Raw_Fund_Import!$A199="","",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199" s="4" t="str">
        <f aca="false">IF(Raw_Fund_Import!$A199="","",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199" s="4" t="str">
        <f aca="false">IF(Raw_Fund_Import!$A199="","",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199" s="4" t="str">
        <f aca="false">IF(Raw_Fund_Import!$A199="","",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199" s="4" t="str">
        <f aca="false">IF(Raw_Fund_Import!$A199="","",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199" s="4" t="str">
        <f aca="false">IF(Raw_Fund_Import!$A199="","",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199" s="44" t="str">
        <f aca="false">IF(Raw_Fund_Import!$A199="","",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199" s="44" t="str">
        <f aca="false">IF(Raw_Fund_Import!$A199="","",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199" s="44" t="str">
        <f aca="false">IF(Raw_Fund_Import!$A199="","",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199" s="44" t="str">
        <f aca="false">IF(Raw_Fund_Import!$A199="","",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199" s="44" t="str">
        <f aca="false">IF(Raw_Fund_Import!$A199="","",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199" s="44" t="str">
        <f aca="false">IF(Raw_Fund_Import!$A199="","",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199" s="4" t="str">
        <f aca="false">IF(Raw_Fund_Import!$A199="","",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199" s="4" t="str">
        <f aca="false">IF(Raw_Fund_Import!$A199="","",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199" s="4" t="str">
        <f aca="false">IF(Raw_Fund_Import!$A199="","",IF(COUNTBLANK($A199:$X199)&gt;0,"CHECK","OK"))</f>
        <v/>
      </c>
    </row>
    <row r="200" customFormat="false" ht="15" hidden="false" customHeight="true" outlineLevel="0" collapsed="false">
      <c r="A200" s="4" t="str">
        <f aca="false">IF(Raw_Fund_Import!$A200="","",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00" s="4" t="str">
        <f aca="false">IF(Raw_Fund_Import!$A200="","",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00" s="4" t="str">
        <f aca="false">IF(Raw_Fund_Import!$A200="","",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00" s="4" t="str">
        <f aca="false">IF(Raw_Fund_Import!$A200="","",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00" s="4" t="str">
        <f aca="false">IF(Raw_Fund_Import!$A200="","",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00" s="4" t="str">
        <f aca="false">IF(Raw_Fund_Import!$A200="","",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00" s="4" t="str">
        <f aca="false">IF(Raw_Fund_Import!$A200="","",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00" s="43" t="str">
        <f aca="false">IF(Raw_Fund_Import!$A200="","",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00" s="4" t="str">
        <f aca="false">IF(Raw_Fund_Import!$A200="","",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00" s="4" t="str">
        <f aca="false">IF(Raw_Fund_Import!$A200="","",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00" s="4" t="str">
        <f aca="false">IF(Raw_Fund_Import!$A200="","",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00" s="4" t="str">
        <f aca="false">IF(Raw_Fund_Import!$A200="","",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00" s="4" t="str">
        <f aca="false">IF(Raw_Fund_Import!$A200="","",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00" s="4" t="str">
        <f aca="false">IF(Raw_Fund_Import!$A200="","",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00" s="4" t="str">
        <f aca="false">IF(Raw_Fund_Import!$A200="","",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00" s="4" t="str">
        <f aca="false">IF(Raw_Fund_Import!$A200="","",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00" s="44" t="str">
        <f aca="false">IF(Raw_Fund_Import!$A200="","",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00" s="44" t="str">
        <f aca="false">IF(Raw_Fund_Import!$A200="","",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00" s="44" t="str">
        <f aca="false">IF(Raw_Fund_Import!$A200="","",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00" s="44" t="str">
        <f aca="false">IF(Raw_Fund_Import!$A200="","",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00" s="44" t="str">
        <f aca="false">IF(Raw_Fund_Import!$A200="","",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00" s="44" t="str">
        <f aca="false">IF(Raw_Fund_Import!$A200="","",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00" s="4" t="str">
        <f aca="false">IF(Raw_Fund_Import!$A200="","",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00" s="4" t="str">
        <f aca="false">IF(Raw_Fund_Import!$A200="","",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00" s="4" t="str">
        <f aca="false">IF(Raw_Fund_Import!$A200="","",IF(COUNTBLANK($A200:$X200)&gt;0,"CHECK","OK"))</f>
        <v/>
      </c>
    </row>
    <row r="201" customFormat="false" ht="15" hidden="false" customHeight="true" outlineLevel="0" collapsed="false">
      <c r="A201" s="4" t="str">
        <f aca="false">IF(Raw_Fund_Import!$A201="","",IF(Mapping!$B$2="",Mapping!$D$2,IF(OR(UPPER(INDEX(Raw_Fund_Import!$A:$BZ,ROW(),MATCH(Mapping!$B$2,Raw_Fund_Import!$1:$1,0))&amp;"")="NA",UPPER(INDEX(Raw_Fund_Import!$A:$BZ,ROW(),MATCH(Mapping!$B$2,Raw_Fund_Import!$1:$1,0))&amp;"")="N/A",INDEX(Raw_Fund_Import!$A:$BZ,ROW(),MATCH(Mapping!$B$2,Raw_Fund_Import!$1:$1,0))&amp;""="-",INDEX(Raw_Fund_Import!$A:$BZ,ROW(),MATCH(Mapping!$B$2,Raw_Fund_Import!$1:$1,0))&amp;""=""),Mapping!$D$2,IFERROR(IF(Mapping!$C$2="HHMM",TIME(INT(INDEX(Raw_Fund_Import!$A:$BZ,ROW(),MATCH(Mapping!$B$2,Raw_Fund_Import!$1:$1,0))/100),MOD(INDEX(Raw_Fund_Import!$A:$BZ,ROW(),MATCH(Mapping!$B$2,Raw_Fund_Import!$1:$1,0)),100),0),IF(Mapping!$C$2="TIME_TEXT",TIMEVALUE(INDEX(Raw_Fund_Import!$A:$BZ,ROW(),MATCH(Mapping!$B$2,Raw_Fund_Import!$1:$1,0))),IF(Mapping!$C$2="DEC_HR",INDEX(Raw_Fund_Import!$A:$BZ,ROW(),MATCH(Mapping!$B$2,Raw_Fund_Import!$1:$1,0))/24,IF(Mapping!$C$2="YN",IF(OR(UPPER(LEFT(INDEX(Raw_Fund_Import!$A:$BZ,ROW(),MATCH(Mapping!$B$2,Raw_Fund_Import!$1:$1,0))&amp;"",1))="Y",INDEX(Raw_Fund_Import!$A:$BZ,ROW(),MATCH(Mapping!$B$2,Raw_Fund_Import!$1:$1,0))&amp;""="1",UPPER(INDEX(Raw_Fund_Import!$A:$BZ,ROW(),MATCH(Mapping!$B$2,Raw_Fund_Import!$1:$1,0))&amp;"")="TRUE"),1,0),IF(Mapping!$C$2="YESNO",IF(OR(UPPER(LEFT(INDEX(Raw_Fund_Import!$A:$BZ,ROW(),MATCH(Mapping!$B$2,Raw_Fund_Import!$1:$1,0))&amp;"",1))="Y",INDEX(Raw_Fund_Import!$A:$BZ,ROW(),MATCH(Mapping!$B$2,Raw_Fund_Import!$1:$1,0))&amp;""="1",UPPER(INDEX(Raw_Fund_Import!$A:$BZ,ROW(),MATCH(Mapping!$B$2,Raw_Fund_Import!$1:$1,0))&amp;"")="TRUE"),"Yes","No"),INDEX(Raw_Fund_Import!$A:$BZ,ROW(),MATCH(Mapping!$B$2,Raw_Fund_Import!$1:$1,0))))))),Mapping!$D$2))))</f>
        <v/>
      </c>
      <c r="B201" s="4" t="str">
        <f aca="false">IF(Raw_Fund_Import!$A201="","",IF(Mapping!$B$3="",Mapping!$D$3,IF(OR(UPPER(INDEX(Raw_Fund_Import!$A:$BZ,ROW(),MATCH(Mapping!$B$3,Raw_Fund_Import!$1:$1,0))&amp;"")="NA",UPPER(INDEX(Raw_Fund_Import!$A:$BZ,ROW(),MATCH(Mapping!$B$3,Raw_Fund_Import!$1:$1,0))&amp;"")="N/A",INDEX(Raw_Fund_Import!$A:$BZ,ROW(),MATCH(Mapping!$B$3,Raw_Fund_Import!$1:$1,0))&amp;""="-",INDEX(Raw_Fund_Import!$A:$BZ,ROW(),MATCH(Mapping!$B$3,Raw_Fund_Import!$1:$1,0))&amp;""=""),Mapping!$D$3,IFERROR(IF(Mapping!$C$3="HHMM",TIME(INT(INDEX(Raw_Fund_Import!$A:$BZ,ROW(),MATCH(Mapping!$B$3,Raw_Fund_Import!$1:$1,0))/100),MOD(INDEX(Raw_Fund_Import!$A:$BZ,ROW(),MATCH(Mapping!$B$3,Raw_Fund_Import!$1:$1,0)),100),0),IF(Mapping!$C$3="TIME_TEXT",TIMEVALUE(INDEX(Raw_Fund_Import!$A:$BZ,ROW(),MATCH(Mapping!$B$3,Raw_Fund_Import!$1:$1,0))),IF(Mapping!$C$3="DEC_HR",INDEX(Raw_Fund_Import!$A:$BZ,ROW(),MATCH(Mapping!$B$3,Raw_Fund_Import!$1:$1,0))/24,IF(Mapping!$C$3="YN",IF(OR(UPPER(LEFT(INDEX(Raw_Fund_Import!$A:$BZ,ROW(),MATCH(Mapping!$B$3,Raw_Fund_Import!$1:$1,0))&amp;"",1))="Y",INDEX(Raw_Fund_Import!$A:$BZ,ROW(),MATCH(Mapping!$B$3,Raw_Fund_Import!$1:$1,0))&amp;""="1",UPPER(INDEX(Raw_Fund_Import!$A:$BZ,ROW(),MATCH(Mapping!$B$3,Raw_Fund_Import!$1:$1,0))&amp;"")="TRUE"),1,0),IF(Mapping!$C$3="YESNO",IF(OR(UPPER(LEFT(INDEX(Raw_Fund_Import!$A:$BZ,ROW(),MATCH(Mapping!$B$3,Raw_Fund_Import!$1:$1,0))&amp;"",1))="Y",INDEX(Raw_Fund_Import!$A:$BZ,ROW(),MATCH(Mapping!$B$3,Raw_Fund_Import!$1:$1,0))&amp;""="1",UPPER(INDEX(Raw_Fund_Import!$A:$BZ,ROW(),MATCH(Mapping!$B$3,Raw_Fund_Import!$1:$1,0))&amp;"")="TRUE"),"Yes","No"),INDEX(Raw_Fund_Import!$A:$BZ,ROW(),MATCH(Mapping!$B$3,Raw_Fund_Import!$1:$1,0))))))),Mapping!$D$3))))</f>
        <v/>
      </c>
      <c r="C201" s="4" t="str">
        <f aca="false">IF(Raw_Fund_Import!$A201="","",IF(Mapping!$B$4="",Mapping!$D$4,IF(OR(UPPER(INDEX(Raw_Fund_Import!$A:$BZ,ROW(),MATCH(Mapping!$B$4,Raw_Fund_Import!$1:$1,0))&amp;"")="NA",UPPER(INDEX(Raw_Fund_Import!$A:$BZ,ROW(),MATCH(Mapping!$B$4,Raw_Fund_Import!$1:$1,0))&amp;"")="N/A",INDEX(Raw_Fund_Import!$A:$BZ,ROW(),MATCH(Mapping!$B$4,Raw_Fund_Import!$1:$1,0))&amp;""="-",INDEX(Raw_Fund_Import!$A:$BZ,ROW(),MATCH(Mapping!$B$4,Raw_Fund_Import!$1:$1,0))&amp;""=""),Mapping!$D$4,IFERROR(IF(Mapping!$C$4="HHMM",TIME(INT(INDEX(Raw_Fund_Import!$A:$BZ,ROW(),MATCH(Mapping!$B$4,Raw_Fund_Import!$1:$1,0))/100),MOD(INDEX(Raw_Fund_Import!$A:$BZ,ROW(),MATCH(Mapping!$B$4,Raw_Fund_Import!$1:$1,0)),100),0),IF(Mapping!$C$4="TIME_TEXT",TIMEVALUE(INDEX(Raw_Fund_Import!$A:$BZ,ROW(),MATCH(Mapping!$B$4,Raw_Fund_Import!$1:$1,0))),IF(Mapping!$C$4="DEC_HR",INDEX(Raw_Fund_Import!$A:$BZ,ROW(),MATCH(Mapping!$B$4,Raw_Fund_Import!$1:$1,0))/24,IF(Mapping!$C$4="YN",IF(OR(UPPER(LEFT(INDEX(Raw_Fund_Import!$A:$BZ,ROW(),MATCH(Mapping!$B$4,Raw_Fund_Import!$1:$1,0))&amp;"",1))="Y",INDEX(Raw_Fund_Import!$A:$BZ,ROW(),MATCH(Mapping!$B$4,Raw_Fund_Import!$1:$1,0))&amp;""="1",UPPER(INDEX(Raw_Fund_Import!$A:$BZ,ROW(),MATCH(Mapping!$B$4,Raw_Fund_Import!$1:$1,0))&amp;"")="TRUE"),1,0),IF(Mapping!$C$4="YESNO",IF(OR(UPPER(LEFT(INDEX(Raw_Fund_Import!$A:$BZ,ROW(),MATCH(Mapping!$B$4,Raw_Fund_Import!$1:$1,0))&amp;"",1))="Y",INDEX(Raw_Fund_Import!$A:$BZ,ROW(),MATCH(Mapping!$B$4,Raw_Fund_Import!$1:$1,0))&amp;""="1",UPPER(INDEX(Raw_Fund_Import!$A:$BZ,ROW(),MATCH(Mapping!$B$4,Raw_Fund_Import!$1:$1,0))&amp;"")="TRUE"),"Yes","No"),INDEX(Raw_Fund_Import!$A:$BZ,ROW(),MATCH(Mapping!$B$4,Raw_Fund_Import!$1:$1,0))))))),Mapping!$D$4))))</f>
        <v/>
      </c>
      <c r="D201" s="4" t="str">
        <f aca="false">IF(Raw_Fund_Import!$A201="","",IF(Mapping!$B$5="",Mapping!$D$5,IF(OR(UPPER(INDEX(Raw_Fund_Import!$A:$BZ,ROW(),MATCH(Mapping!$B$5,Raw_Fund_Import!$1:$1,0))&amp;"")="NA",UPPER(INDEX(Raw_Fund_Import!$A:$BZ,ROW(),MATCH(Mapping!$B$5,Raw_Fund_Import!$1:$1,0))&amp;"")="N/A",INDEX(Raw_Fund_Import!$A:$BZ,ROW(),MATCH(Mapping!$B$5,Raw_Fund_Import!$1:$1,0))&amp;""="-",INDEX(Raw_Fund_Import!$A:$BZ,ROW(),MATCH(Mapping!$B$5,Raw_Fund_Import!$1:$1,0))&amp;""=""),Mapping!$D$5,IFERROR(IF(Mapping!$C$5="HHMM",TIME(INT(INDEX(Raw_Fund_Import!$A:$BZ,ROW(),MATCH(Mapping!$B$5,Raw_Fund_Import!$1:$1,0))/100),MOD(INDEX(Raw_Fund_Import!$A:$BZ,ROW(),MATCH(Mapping!$B$5,Raw_Fund_Import!$1:$1,0)),100),0),IF(Mapping!$C$5="TIME_TEXT",TIMEVALUE(INDEX(Raw_Fund_Import!$A:$BZ,ROW(),MATCH(Mapping!$B$5,Raw_Fund_Import!$1:$1,0))),IF(Mapping!$C$5="DEC_HR",INDEX(Raw_Fund_Import!$A:$BZ,ROW(),MATCH(Mapping!$B$5,Raw_Fund_Import!$1:$1,0))/24,IF(Mapping!$C$5="YN",IF(OR(UPPER(LEFT(INDEX(Raw_Fund_Import!$A:$BZ,ROW(),MATCH(Mapping!$B$5,Raw_Fund_Import!$1:$1,0))&amp;"",1))="Y",INDEX(Raw_Fund_Import!$A:$BZ,ROW(),MATCH(Mapping!$B$5,Raw_Fund_Import!$1:$1,0))&amp;""="1",UPPER(INDEX(Raw_Fund_Import!$A:$BZ,ROW(),MATCH(Mapping!$B$5,Raw_Fund_Import!$1:$1,0))&amp;"")="TRUE"),1,0),IF(Mapping!$C$5="YESNO",IF(OR(UPPER(LEFT(INDEX(Raw_Fund_Import!$A:$BZ,ROW(),MATCH(Mapping!$B$5,Raw_Fund_Import!$1:$1,0))&amp;"",1))="Y",INDEX(Raw_Fund_Import!$A:$BZ,ROW(),MATCH(Mapping!$B$5,Raw_Fund_Import!$1:$1,0))&amp;""="1",UPPER(INDEX(Raw_Fund_Import!$A:$BZ,ROW(),MATCH(Mapping!$B$5,Raw_Fund_Import!$1:$1,0))&amp;"")="TRUE"),"Yes","No"),INDEX(Raw_Fund_Import!$A:$BZ,ROW(),MATCH(Mapping!$B$5,Raw_Fund_Import!$1:$1,0))))))),Mapping!$D$5))))</f>
        <v/>
      </c>
      <c r="E201" s="4" t="str">
        <f aca="false">IF(Raw_Fund_Import!$A201="","",IF(Mapping!$B$6="",Mapping!$D$6,IF(OR(UPPER(INDEX(Raw_Fund_Import!$A:$BZ,ROW(),MATCH(Mapping!$B$6,Raw_Fund_Import!$1:$1,0))&amp;"")="NA",UPPER(INDEX(Raw_Fund_Import!$A:$BZ,ROW(),MATCH(Mapping!$B$6,Raw_Fund_Import!$1:$1,0))&amp;"")="N/A",INDEX(Raw_Fund_Import!$A:$BZ,ROW(),MATCH(Mapping!$B$6,Raw_Fund_Import!$1:$1,0))&amp;""="-",INDEX(Raw_Fund_Import!$A:$BZ,ROW(),MATCH(Mapping!$B$6,Raw_Fund_Import!$1:$1,0))&amp;""=""),Mapping!$D$6,IFERROR(IF(Mapping!$C$6="HHMM",TIME(INT(INDEX(Raw_Fund_Import!$A:$BZ,ROW(),MATCH(Mapping!$B$6,Raw_Fund_Import!$1:$1,0))/100),MOD(INDEX(Raw_Fund_Import!$A:$BZ,ROW(),MATCH(Mapping!$B$6,Raw_Fund_Import!$1:$1,0)),100),0),IF(Mapping!$C$6="TIME_TEXT",TIMEVALUE(INDEX(Raw_Fund_Import!$A:$BZ,ROW(),MATCH(Mapping!$B$6,Raw_Fund_Import!$1:$1,0))),IF(Mapping!$C$6="DEC_HR",INDEX(Raw_Fund_Import!$A:$BZ,ROW(),MATCH(Mapping!$B$6,Raw_Fund_Import!$1:$1,0))/24,IF(Mapping!$C$6="YN",IF(OR(UPPER(LEFT(INDEX(Raw_Fund_Import!$A:$BZ,ROW(),MATCH(Mapping!$B$6,Raw_Fund_Import!$1:$1,0))&amp;"",1))="Y",INDEX(Raw_Fund_Import!$A:$BZ,ROW(),MATCH(Mapping!$B$6,Raw_Fund_Import!$1:$1,0))&amp;""="1",UPPER(INDEX(Raw_Fund_Import!$A:$BZ,ROW(),MATCH(Mapping!$B$6,Raw_Fund_Import!$1:$1,0))&amp;"")="TRUE"),1,0),IF(Mapping!$C$6="YESNO",IF(OR(UPPER(LEFT(INDEX(Raw_Fund_Import!$A:$BZ,ROW(),MATCH(Mapping!$B$6,Raw_Fund_Import!$1:$1,0))&amp;"",1))="Y",INDEX(Raw_Fund_Import!$A:$BZ,ROW(),MATCH(Mapping!$B$6,Raw_Fund_Import!$1:$1,0))&amp;""="1",UPPER(INDEX(Raw_Fund_Import!$A:$BZ,ROW(),MATCH(Mapping!$B$6,Raw_Fund_Import!$1:$1,0))&amp;"")="TRUE"),"Yes","No"),INDEX(Raw_Fund_Import!$A:$BZ,ROW(),MATCH(Mapping!$B$6,Raw_Fund_Import!$1:$1,0))))))),Mapping!$D$6))))</f>
        <v/>
      </c>
      <c r="F201" s="4" t="str">
        <f aca="false">IF(Raw_Fund_Import!$A201="","",IF(Mapping!$B$7="",Mapping!$D$7,IF(OR(UPPER(INDEX(Raw_Fund_Import!$A:$BZ,ROW(),MATCH(Mapping!$B$7,Raw_Fund_Import!$1:$1,0))&amp;"")="NA",UPPER(INDEX(Raw_Fund_Import!$A:$BZ,ROW(),MATCH(Mapping!$B$7,Raw_Fund_Import!$1:$1,0))&amp;"")="N/A",INDEX(Raw_Fund_Import!$A:$BZ,ROW(),MATCH(Mapping!$B$7,Raw_Fund_Import!$1:$1,0))&amp;""="-",INDEX(Raw_Fund_Import!$A:$BZ,ROW(),MATCH(Mapping!$B$7,Raw_Fund_Import!$1:$1,0))&amp;""=""),Mapping!$D$7,IFERROR(IF(Mapping!$C$7="HHMM",TIME(INT(INDEX(Raw_Fund_Import!$A:$BZ,ROW(),MATCH(Mapping!$B$7,Raw_Fund_Import!$1:$1,0))/100),MOD(INDEX(Raw_Fund_Import!$A:$BZ,ROW(),MATCH(Mapping!$B$7,Raw_Fund_Import!$1:$1,0)),100),0),IF(Mapping!$C$7="TIME_TEXT",TIMEVALUE(INDEX(Raw_Fund_Import!$A:$BZ,ROW(),MATCH(Mapping!$B$7,Raw_Fund_Import!$1:$1,0))),IF(Mapping!$C$7="DEC_HR",INDEX(Raw_Fund_Import!$A:$BZ,ROW(),MATCH(Mapping!$B$7,Raw_Fund_Import!$1:$1,0))/24,IF(Mapping!$C$7="YN",IF(OR(UPPER(LEFT(INDEX(Raw_Fund_Import!$A:$BZ,ROW(),MATCH(Mapping!$B$7,Raw_Fund_Import!$1:$1,0))&amp;"",1))="Y",INDEX(Raw_Fund_Import!$A:$BZ,ROW(),MATCH(Mapping!$B$7,Raw_Fund_Import!$1:$1,0))&amp;""="1",UPPER(INDEX(Raw_Fund_Import!$A:$BZ,ROW(),MATCH(Mapping!$B$7,Raw_Fund_Import!$1:$1,0))&amp;"")="TRUE"),1,0),IF(Mapping!$C$7="YESNO",IF(OR(UPPER(LEFT(INDEX(Raw_Fund_Import!$A:$BZ,ROW(),MATCH(Mapping!$B$7,Raw_Fund_Import!$1:$1,0))&amp;"",1))="Y",INDEX(Raw_Fund_Import!$A:$BZ,ROW(),MATCH(Mapping!$B$7,Raw_Fund_Import!$1:$1,0))&amp;""="1",UPPER(INDEX(Raw_Fund_Import!$A:$BZ,ROW(),MATCH(Mapping!$B$7,Raw_Fund_Import!$1:$1,0))&amp;"")="TRUE"),"Yes","No"),INDEX(Raw_Fund_Import!$A:$BZ,ROW(),MATCH(Mapping!$B$7,Raw_Fund_Import!$1:$1,0))))))),Mapping!$D$7))))</f>
        <v/>
      </c>
      <c r="G201" s="4" t="str">
        <f aca="false">IF(Raw_Fund_Import!$A201="","",IF(Mapping!$B$8="",Mapping!$D$8,IF(OR(UPPER(INDEX(Raw_Fund_Import!$A:$BZ,ROW(),MATCH(Mapping!$B$8,Raw_Fund_Import!$1:$1,0))&amp;"")="NA",UPPER(INDEX(Raw_Fund_Import!$A:$BZ,ROW(),MATCH(Mapping!$B$8,Raw_Fund_Import!$1:$1,0))&amp;"")="N/A",INDEX(Raw_Fund_Import!$A:$BZ,ROW(),MATCH(Mapping!$B$8,Raw_Fund_Import!$1:$1,0))&amp;""="-",INDEX(Raw_Fund_Import!$A:$BZ,ROW(),MATCH(Mapping!$B$8,Raw_Fund_Import!$1:$1,0))&amp;""=""),Mapping!$D$8,IFERROR(IF(Mapping!$C$8="HHMM",TIME(INT(INDEX(Raw_Fund_Import!$A:$BZ,ROW(),MATCH(Mapping!$B$8,Raw_Fund_Import!$1:$1,0))/100),MOD(INDEX(Raw_Fund_Import!$A:$BZ,ROW(),MATCH(Mapping!$B$8,Raw_Fund_Import!$1:$1,0)),100),0),IF(Mapping!$C$8="TIME_TEXT",TIMEVALUE(INDEX(Raw_Fund_Import!$A:$BZ,ROW(),MATCH(Mapping!$B$8,Raw_Fund_Import!$1:$1,0))),IF(Mapping!$C$8="DEC_HR",INDEX(Raw_Fund_Import!$A:$BZ,ROW(),MATCH(Mapping!$B$8,Raw_Fund_Import!$1:$1,0))/24,IF(Mapping!$C$8="YN",IF(OR(UPPER(LEFT(INDEX(Raw_Fund_Import!$A:$BZ,ROW(),MATCH(Mapping!$B$8,Raw_Fund_Import!$1:$1,0))&amp;"",1))="Y",INDEX(Raw_Fund_Import!$A:$BZ,ROW(),MATCH(Mapping!$B$8,Raw_Fund_Import!$1:$1,0))&amp;""="1",UPPER(INDEX(Raw_Fund_Import!$A:$BZ,ROW(),MATCH(Mapping!$B$8,Raw_Fund_Import!$1:$1,0))&amp;"")="TRUE"),1,0),IF(Mapping!$C$8="YESNO",IF(OR(UPPER(LEFT(INDEX(Raw_Fund_Import!$A:$BZ,ROW(),MATCH(Mapping!$B$8,Raw_Fund_Import!$1:$1,0))&amp;"",1))="Y",INDEX(Raw_Fund_Import!$A:$BZ,ROW(),MATCH(Mapping!$B$8,Raw_Fund_Import!$1:$1,0))&amp;""="1",UPPER(INDEX(Raw_Fund_Import!$A:$BZ,ROW(),MATCH(Mapping!$B$8,Raw_Fund_Import!$1:$1,0))&amp;"")="TRUE"),"Yes","No"),INDEX(Raw_Fund_Import!$A:$BZ,ROW(),MATCH(Mapping!$B$8,Raw_Fund_Import!$1:$1,0))))))),Mapping!$D$8))))</f>
        <v/>
      </c>
      <c r="H201" s="43" t="str">
        <f aca="false">IF(Raw_Fund_Import!$A201="","",IF(Mapping!$B$9="",Mapping!$D$9,IF(OR(UPPER(INDEX(Raw_Fund_Import!$A:$BZ,ROW(),MATCH(Mapping!$B$9,Raw_Fund_Import!$1:$1,0))&amp;"")="NA",UPPER(INDEX(Raw_Fund_Import!$A:$BZ,ROW(),MATCH(Mapping!$B$9,Raw_Fund_Import!$1:$1,0))&amp;"")="N/A",INDEX(Raw_Fund_Import!$A:$BZ,ROW(),MATCH(Mapping!$B$9,Raw_Fund_Import!$1:$1,0))&amp;""="-",INDEX(Raw_Fund_Import!$A:$BZ,ROW(),MATCH(Mapping!$B$9,Raw_Fund_Import!$1:$1,0))&amp;""=""),Mapping!$D$9,IFERROR(IF(Mapping!$C$9="HHMM",TIME(INT(INDEX(Raw_Fund_Import!$A:$BZ,ROW(),MATCH(Mapping!$B$9,Raw_Fund_Import!$1:$1,0))/100),MOD(INDEX(Raw_Fund_Import!$A:$BZ,ROW(),MATCH(Mapping!$B$9,Raw_Fund_Import!$1:$1,0)),100),0),IF(Mapping!$C$9="TIME_TEXT",TIMEVALUE(INDEX(Raw_Fund_Import!$A:$BZ,ROW(),MATCH(Mapping!$B$9,Raw_Fund_Import!$1:$1,0))),IF(Mapping!$C$9="DEC_HR",INDEX(Raw_Fund_Import!$A:$BZ,ROW(),MATCH(Mapping!$B$9,Raw_Fund_Import!$1:$1,0))/24,IF(Mapping!$C$9="YN",IF(OR(UPPER(LEFT(INDEX(Raw_Fund_Import!$A:$BZ,ROW(),MATCH(Mapping!$B$9,Raw_Fund_Import!$1:$1,0))&amp;"",1))="Y",INDEX(Raw_Fund_Import!$A:$BZ,ROW(),MATCH(Mapping!$B$9,Raw_Fund_Import!$1:$1,0))&amp;""="1",UPPER(INDEX(Raw_Fund_Import!$A:$BZ,ROW(),MATCH(Mapping!$B$9,Raw_Fund_Import!$1:$1,0))&amp;"")="TRUE"),1,0),IF(Mapping!$C$9="YESNO",IF(OR(UPPER(LEFT(INDEX(Raw_Fund_Import!$A:$BZ,ROW(),MATCH(Mapping!$B$9,Raw_Fund_Import!$1:$1,0))&amp;"",1))="Y",INDEX(Raw_Fund_Import!$A:$BZ,ROW(),MATCH(Mapping!$B$9,Raw_Fund_Import!$1:$1,0))&amp;""="1",UPPER(INDEX(Raw_Fund_Import!$A:$BZ,ROW(),MATCH(Mapping!$B$9,Raw_Fund_Import!$1:$1,0))&amp;"")="TRUE"),"Yes","No"),INDEX(Raw_Fund_Import!$A:$BZ,ROW(),MATCH(Mapping!$B$9,Raw_Fund_Import!$1:$1,0))))))),Mapping!$D$9))))</f>
        <v/>
      </c>
      <c r="I201" s="4" t="str">
        <f aca="false">IF(Raw_Fund_Import!$A201="","",IF(Mapping!$B$10="",Mapping!$D$10,IF(OR(UPPER(INDEX(Raw_Fund_Import!$A:$BZ,ROW(),MATCH(Mapping!$B$10,Raw_Fund_Import!$1:$1,0))&amp;"")="NA",UPPER(INDEX(Raw_Fund_Import!$A:$BZ,ROW(),MATCH(Mapping!$B$10,Raw_Fund_Import!$1:$1,0))&amp;"")="N/A",INDEX(Raw_Fund_Import!$A:$BZ,ROW(),MATCH(Mapping!$B$10,Raw_Fund_Import!$1:$1,0))&amp;""="-",INDEX(Raw_Fund_Import!$A:$BZ,ROW(),MATCH(Mapping!$B$10,Raw_Fund_Import!$1:$1,0))&amp;""=""),Mapping!$D$10,IFERROR(IF(Mapping!$C$10="HHMM",TIME(INT(INDEX(Raw_Fund_Import!$A:$BZ,ROW(),MATCH(Mapping!$B$10,Raw_Fund_Import!$1:$1,0))/100),MOD(INDEX(Raw_Fund_Import!$A:$BZ,ROW(),MATCH(Mapping!$B$10,Raw_Fund_Import!$1:$1,0)),100),0),IF(Mapping!$C$10="TIME_TEXT",TIMEVALUE(INDEX(Raw_Fund_Import!$A:$BZ,ROW(),MATCH(Mapping!$B$10,Raw_Fund_Import!$1:$1,0))),IF(Mapping!$C$10="DEC_HR",INDEX(Raw_Fund_Import!$A:$BZ,ROW(),MATCH(Mapping!$B$10,Raw_Fund_Import!$1:$1,0))/24,IF(Mapping!$C$10="YN",IF(OR(UPPER(LEFT(INDEX(Raw_Fund_Import!$A:$BZ,ROW(),MATCH(Mapping!$B$10,Raw_Fund_Import!$1:$1,0))&amp;"",1))="Y",INDEX(Raw_Fund_Import!$A:$BZ,ROW(),MATCH(Mapping!$B$10,Raw_Fund_Import!$1:$1,0))&amp;""="1",UPPER(INDEX(Raw_Fund_Import!$A:$BZ,ROW(),MATCH(Mapping!$B$10,Raw_Fund_Import!$1:$1,0))&amp;"")="TRUE"),1,0),IF(Mapping!$C$10="YESNO",IF(OR(UPPER(LEFT(INDEX(Raw_Fund_Import!$A:$BZ,ROW(),MATCH(Mapping!$B$10,Raw_Fund_Import!$1:$1,0))&amp;"",1))="Y",INDEX(Raw_Fund_Import!$A:$BZ,ROW(),MATCH(Mapping!$B$10,Raw_Fund_Import!$1:$1,0))&amp;""="1",UPPER(INDEX(Raw_Fund_Import!$A:$BZ,ROW(),MATCH(Mapping!$B$10,Raw_Fund_Import!$1:$1,0))&amp;"")="TRUE"),"Yes","No"),INDEX(Raw_Fund_Import!$A:$BZ,ROW(),MATCH(Mapping!$B$10,Raw_Fund_Import!$1:$1,0))))))),Mapping!$D$10))))</f>
        <v/>
      </c>
      <c r="J201" s="4" t="str">
        <f aca="false">IF(Raw_Fund_Import!$A201="","",IF(Mapping!$B$11="",Mapping!$D$11,IF(OR(UPPER(INDEX(Raw_Fund_Import!$A:$BZ,ROW(),MATCH(Mapping!$B$11,Raw_Fund_Import!$1:$1,0))&amp;"")="NA",UPPER(INDEX(Raw_Fund_Import!$A:$BZ,ROW(),MATCH(Mapping!$B$11,Raw_Fund_Import!$1:$1,0))&amp;"")="N/A",INDEX(Raw_Fund_Import!$A:$BZ,ROW(),MATCH(Mapping!$B$11,Raw_Fund_Import!$1:$1,0))&amp;""="-",INDEX(Raw_Fund_Import!$A:$BZ,ROW(),MATCH(Mapping!$B$11,Raw_Fund_Import!$1:$1,0))&amp;""=""),Mapping!$D$11,IFERROR(IF(Mapping!$C$11="HHMM",TIME(INT(INDEX(Raw_Fund_Import!$A:$BZ,ROW(),MATCH(Mapping!$B$11,Raw_Fund_Import!$1:$1,0))/100),MOD(INDEX(Raw_Fund_Import!$A:$BZ,ROW(),MATCH(Mapping!$B$11,Raw_Fund_Import!$1:$1,0)),100),0),IF(Mapping!$C$11="TIME_TEXT",TIMEVALUE(INDEX(Raw_Fund_Import!$A:$BZ,ROW(),MATCH(Mapping!$B$11,Raw_Fund_Import!$1:$1,0))),IF(Mapping!$C$11="DEC_HR",INDEX(Raw_Fund_Import!$A:$BZ,ROW(),MATCH(Mapping!$B$11,Raw_Fund_Import!$1:$1,0))/24,IF(Mapping!$C$11="YN",IF(OR(UPPER(LEFT(INDEX(Raw_Fund_Import!$A:$BZ,ROW(),MATCH(Mapping!$B$11,Raw_Fund_Import!$1:$1,0))&amp;"",1))="Y",INDEX(Raw_Fund_Import!$A:$BZ,ROW(),MATCH(Mapping!$B$11,Raw_Fund_Import!$1:$1,0))&amp;""="1",UPPER(INDEX(Raw_Fund_Import!$A:$BZ,ROW(),MATCH(Mapping!$B$11,Raw_Fund_Import!$1:$1,0))&amp;"")="TRUE"),1,0),IF(Mapping!$C$11="YESNO",IF(OR(UPPER(LEFT(INDEX(Raw_Fund_Import!$A:$BZ,ROW(),MATCH(Mapping!$B$11,Raw_Fund_Import!$1:$1,0))&amp;"",1))="Y",INDEX(Raw_Fund_Import!$A:$BZ,ROW(),MATCH(Mapping!$B$11,Raw_Fund_Import!$1:$1,0))&amp;""="1",UPPER(INDEX(Raw_Fund_Import!$A:$BZ,ROW(),MATCH(Mapping!$B$11,Raw_Fund_Import!$1:$1,0))&amp;"")="TRUE"),"Yes","No"),INDEX(Raw_Fund_Import!$A:$BZ,ROW(),MATCH(Mapping!$B$11,Raw_Fund_Import!$1:$1,0))))))),Mapping!$D$11))))</f>
        <v/>
      </c>
      <c r="K201" s="4" t="str">
        <f aca="false">IF(Raw_Fund_Import!$A201="","",IF(Mapping!$B$12="",Mapping!$D$12,IF(OR(UPPER(INDEX(Raw_Fund_Import!$A:$BZ,ROW(),MATCH(Mapping!$B$12,Raw_Fund_Import!$1:$1,0))&amp;"")="NA",UPPER(INDEX(Raw_Fund_Import!$A:$BZ,ROW(),MATCH(Mapping!$B$12,Raw_Fund_Import!$1:$1,0))&amp;"")="N/A",INDEX(Raw_Fund_Import!$A:$BZ,ROW(),MATCH(Mapping!$B$12,Raw_Fund_Import!$1:$1,0))&amp;""="-",INDEX(Raw_Fund_Import!$A:$BZ,ROW(),MATCH(Mapping!$B$12,Raw_Fund_Import!$1:$1,0))&amp;""=""),Mapping!$D$12,IFERROR(IF(Mapping!$C$12="HHMM",TIME(INT(INDEX(Raw_Fund_Import!$A:$BZ,ROW(),MATCH(Mapping!$B$12,Raw_Fund_Import!$1:$1,0))/100),MOD(INDEX(Raw_Fund_Import!$A:$BZ,ROW(),MATCH(Mapping!$B$12,Raw_Fund_Import!$1:$1,0)),100),0),IF(Mapping!$C$12="TIME_TEXT",TIMEVALUE(INDEX(Raw_Fund_Import!$A:$BZ,ROW(),MATCH(Mapping!$B$12,Raw_Fund_Import!$1:$1,0))),IF(Mapping!$C$12="DEC_HR",INDEX(Raw_Fund_Import!$A:$BZ,ROW(),MATCH(Mapping!$B$12,Raw_Fund_Import!$1:$1,0))/24,IF(Mapping!$C$12="YN",IF(OR(UPPER(LEFT(INDEX(Raw_Fund_Import!$A:$BZ,ROW(),MATCH(Mapping!$B$12,Raw_Fund_Import!$1:$1,0))&amp;"",1))="Y",INDEX(Raw_Fund_Import!$A:$BZ,ROW(),MATCH(Mapping!$B$12,Raw_Fund_Import!$1:$1,0))&amp;""="1",UPPER(INDEX(Raw_Fund_Import!$A:$BZ,ROW(),MATCH(Mapping!$B$12,Raw_Fund_Import!$1:$1,0))&amp;"")="TRUE"),1,0),IF(Mapping!$C$12="YESNO",IF(OR(UPPER(LEFT(INDEX(Raw_Fund_Import!$A:$BZ,ROW(),MATCH(Mapping!$B$12,Raw_Fund_Import!$1:$1,0))&amp;"",1))="Y",INDEX(Raw_Fund_Import!$A:$BZ,ROW(),MATCH(Mapping!$B$12,Raw_Fund_Import!$1:$1,0))&amp;""="1",UPPER(INDEX(Raw_Fund_Import!$A:$BZ,ROW(),MATCH(Mapping!$B$12,Raw_Fund_Import!$1:$1,0))&amp;"")="TRUE"),"Yes","No"),INDEX(Raw_Fund_Import!$A:$BZ,ROW(),MATCH(Mapping!$B$12,Raw_Fund_Import!$1:$1,0))))))),Mapping!$D$12))))</f>
        <v/>
      </c>
      <c r="L201" s="4" t="str">
        <f aca="false">IF(Raw_Fund_Import!$A201="","",IF(Mapping!$B$13="",Mapping!$D$13,IF(OR(UPPER(INDEX(Raw_Fund_Import!$A:$BZ,ROW(),MATCH(Mapping!$B$13,Raw_Fund_Import!$1:$1,0))&amp;"")="NA",UPPER(INDEX(Raw_Fund_Import!$A:$BZ,ROW(),MATCH(Mapping!$B$13,Raw_Fund_Import!$1:$1,0))&amp;"")="N/A",INDEX(Raw_Fund_Import!$A:$BZ,ROW(),MATCH(Mapping!$B$13,Raw_Fund_Import!$1:$1,0))&amp;""="-",INDEX(Raw_Fund_Import!$A:$BZ,ROW(),MATCH(Mapping!$B$13,Raw_Fund_Import!$1:$1,0))&amp;""=""),Mapping!$D$13,IFERROR(IF(Mapping!$C$13="HHMM",TIME(INT(INDEX(Raw_Fund_Import!$A:$BZ,ROW(),MATCH(Mapping!$B$13,Raw_Fund_Import!$1:$1,0))/100),MOD(INDEX(Raw_Fund_Import!$A:$BZ,ROW(),MATCH(Mapping!$B$13,Raw_Fund_Import!$1:$1,0)),100),0),IF(Mapping!$C$13="TIME_TEXT",TIMEVALUE(INDEX(Raw_Fund_Import!$A:$BZ,ROW(),MATCH(Mapping!$B$13,Raw_Fund_Import!$1:$1,0))),IF(Mapping!$C$13="DEC_HR",INDEX(Raw_Fund_Import!$A:$BZ,ROW(),MATCH(Mapping!$B$13,Raw_Fund_Import!$1:$1,0))/24,IF(Mapping!$C$13="YN",IF(OR(UPPER(LEFT(INDEX(Raw_Fund_Import!$A:$BZ,ROW(),MATCH(Mapping!$B$13,Raw_Fund_Import!$1:$1,0))&amp;"",1))="Y",INDEX(Raw_Fund_Import!$A:$BZ,ROW(),MATCH(Mapping!$B$13,Raw_Fund_Import!$1:$1,0))&amp;""="1",UPPER(INDEX(Raw_Fund_Import!$A:$BZ,ROW(),MATCH(Mapping!$B$13,Raw_Fund_Import!$1:$1,0))&amp;"")="TRUE"),1,0),IF(Mapping!$C$13="YESNO",IF(OR(UPPER(LEFT(INDEX(Raw_Fund_Import!$A:$BZ,ROW(),MATCH(Mapping!$B$13,Raw_Fund_Import!$1:$1,0))&amp;"",1))="Y",INDEX(Raw_Fund_Import!$A:$BZ,ROW(),MATCH(Mapping!$B$13,Raw_Fund_Import!$1:$1,0))&amp;""="1",UPPER(INDEX(Raw_Fund_Import!$A:$BZ,ROW(),MATCH(Mapping!$B$13,Raw_Fund_Import!$1:$1,0))&amp;"")="TRUE"),"Yes","No"),INDEX(Raw_Fund_Import!$A:$BZ,ROW(),MATCH(Mapping!$B$13,Raw_Fund_Import!$1:$1,0))))))),Mapping!$D$13))))</f>
        <v/>
      </c>
      <c r="M201" s="4" t="str">
        <f aca="false">IF(Raw_Fund_Import!$A201="","",IF(Mapping!$B$14="",Mapping!$D$14,IF(OR(UPPER(INDEX(Raw_Fund_Import!$A:$BZ,ROW(),MATCH(Mapping!$B$14,Raw_Fund_Import!$1:$1,0))&amp;"")="NA",UPPER(INDEX(Raw_Fund_Import!$A:$BZ,ROW(),MATCH(Mapping!$B$14,Raw_Fund_Import!$1:$1,0))&amp;"")="N/A",INDEX(Raw_Fund_Import!$A:$BZ,ROW(),MATCH(Mapping!$B$14,Raw_Fund_Import!$1:$1,0))&amp;""="-",INDEX(Raw_Fund_Import!$A:$BZ,ROW(),MATCH(Mapping!$B$14,Raw_Fund_Import!$1:$1,0))&amp;""=""),Mapping!$D$14,IFERROR(IF(Mapping!$C$14="HHMM",TIME(INT(INDEX(Raw_Fund_Import!$A:$BZ,ROW(),MATCH(Mapping!$B$14,Raw_Fund_Import!$1:$1,0))/100),MOD(INDEX(Raw_Fund_Import!$A:$BZ,ROW(),MATCH(Mapping!$B$14,Raw_Fund_Import!$1:$1,0)),100),0),IF(Mapping!$C$14="TIME_TEXT",TIMEVALUE(INDEX(Raw_Fund_Import!$A:$BZ,ROW(),MATCH(Mapping!$B$14,Raw_Fund_Import!$1:$1,0))),IF(Mapping!$C$14="DEC_HR",INDEX(Raw_Fund_Import!$A:$BZ,ROW(),MATCH(Mapping!$B$14,Raw_Fund_Import!$1:$1,0))/24,IF(Mapping!$C$14="YN",IF(OR(UPPER(LEFT(INDEX(Raw_Fund_Import!$A:$BZ,ROW(),MATCH(Mapping!$B$14,Raw_Fund_Import!$1:$1,0))&amp;"",1))="Y",INDEX(Raw_Fund_Import!$A:$BZ,ROW(),MATCH(Mapping!$B$14,Raw_Fund_Import!$1:$1,0))&amp;""="1",UPPER(INDEX(Raw_Fund_Import!$A:$BZ,ROW(),MATCH(Mapping!$B$14,Raw_Fund_Import!$1:$1,0))&amp;"")="TRUE"),1,0),IF(Mapping!$C$14="YESNO",IF(OR(UPPER(LEFT(INDEX(Raw_Fund_Import!$A:$BZ,ROW(),MATCH(Mapping!$B$14,Raw_Fund_Import!$1:$1,0))&amp;"",1))="Y",INDEX(Raw_Fund_Import!$A:$BZ,ROW(),MATCH(Mapping!$B$14,Raw_Fund_Import!$1:$1,0))&amp;""="1",UPPER(INDEX(Raw_Fund_Import!$A:$BZ,ROW(),MATCH(Mapping!$B$14,Raw_Fund_Import!$1:$1,0))&amp;"")="TRUE"),"Yes","No"),INDEX(Raw_Fund_Import!$A:$BZ,ROW(),MATCH(Mapping!$B$14,Raw_Fund_Import!$1:$1,0))))))),Mapping!$D$14))))</f>
        <v/>
      </c>
      <c r="N201" s="4" t="str">
        <f aca="false">IF(Raw_Fund_Import!$A201="","",IF(Mapping!$B$15="",Mapping!$D$15,IF(OR(UPPER(INDEX(Raw_Fund_Import!$A:$BZ,ROW(),MATCH(Mapping!$B$15,Raw_Fund_Import!$1:$1,0))&amp;"")="NA",UPPER(INDEX(Raw_Fund_Import!$A:$BZ,ROW(),MATCH(Mapping!$B$15,Raw_Fund_Import!$1:$1,0))&amp;"")="N/A",INDEX(Raw_Fund_Import!$A:$BZ,ROW(),MATCH(Mapping!$B$15,Raw_Fund_Import!$1:$1,0))&amp;""="-",INDEX(Raw_Fund_Import!$A:$BZ,ROW(),MATCH(Mapping!$B$15,Raw_Fund_Import!$1:$1,0))&amp;""=""),Mapping!$D$15,IFERROR(IF(Mapping!$C$15="HHMM",TIME(INT(INDEX(Raw_Fund_Import!$A:$BZ,ROW(),MATCH(Mapping!$B$15,Raw_Fund_Import!$1:$1,0))/100),MOD(INDEX(Raw_Fund_Import!$A:$BZ,ROW(),MATCH(Mapping!$B$15,Raw_Fund_Import!$1:$1,0)),100),0),IF(Mapping!$C$15="TIME_TEXT",TIMEVALUE(INDEX(Raw_Fund_Import!$A:$BZ,ROW(),MATCH(Mapping!$B$15,Raw_Fund_Import!$1:$1,0))),IF(Mapping!$C$15="DEC_HR",INDEX(Raw_Fund_Import!$A:$BZ,ROW(),MATCH(Mapping!$B$15,Raw_Fund_Import!$1:$1,0))/24,IF(Mapping!$C$15="YN",IF(OR(UPPER(LEFT(INDEX(Raw_Fund_Import!$A:$BZ,ROW(),MATCH(Mapping!$B$15,Raw_Fund_Import!$1:$1,0))&amp;"",1))="Y",INDEX(Raw_Fund_Import!$A:$BZ,ROW(),MATCH(Mapping!$B$15,Raw_Fund_Import!$1:$1,0))&amp;""="1",UPPER(INDEX(Raw_Fund_Import!$A:$BZ,ROW(),MATCH(Mapping!$B$15,Raw_Fund_Import!$1:$1,0))&amp;"")="TRUE"),1,0),IF(Mapping!$C$15="YESNO",IF(OR(UPPER(LEFT(INDEX(Raw_Fund_Import!$A:$BZ,ROW(),MATCH(Mapping!$B$15,Raw_Fund_Import!$1:$1,0))&amp;"",1))="Y",INDEX(Raw_Fund_Import!$A:$BZ,ROW(),MATCH(Mapping!$B$15,Raw_Fund_Import!$1:$1,0))&amp;""="1",UPPER(INDEX(Raw_Fund_Import!$A:$BZ,ROW(),MATCH(Mapping!$B$15,Raw_Fund_Import!$1:$1,0))&amp;"")="TRUE"),"Yes","No"),INDEX(Raw_Fund_Import!$A:$BZ,ROW(),MATCH(Mapping!$B$15,Raw_Fund_Import!$1:$1,0))))))),Mapping!$D$15))))</f>
        <v/>
      </c>
      <c r="O201" s="4" t="str">
        <f aca="false">IF(Raw_Fund_Import!$A201="","",IF(Mapping!$B$16="",Mapping!$D$16,IF(OR(UPPER(INDEX(Raw_Fund_Import!$A:$BZ,ROW(),MATCH(Mapping!$B$16,Raw_Fund_Import!$1:$1,0))&amp;"")="NA",UPPER(INDEX(Raw_Fund_Import!$A:$BZ,ROW(),MATCH(Mapping!$B$16,Raw_Fund_Import!$1:$1,0))&amp;"")="N/A",INDEX(Raw_Fund_Import!$A:$BZ,ROW(),MATCH(Mapping!$B$16,Raw_Fund_Import!$1:$1,0))&amp;""="-",INDEX(Raw_Fund_Import!$A:$BZ,ROW(),MATCH(Mapping!$B$16,Raw_Fund_Import!$1:$1,0))&amp;""=""),Mapping!$D$16,IFERROR(IF(Mapping!$C$16="HHMM",TIME(INT(INDEX(Raw_Fund_Import!$A:$BZ,ROW(),MATCH(Mapping!$B$16,Raw_Fund_Import!$1:$1,0))/100),MOD(INDEX(Raw_Fund_Import!$A:$BZ,ROW(),MATCH(Mapping!$B$16,Raw_Fund_Import!$1:$1,0)),100),0),IF(Mapping!$C$16="TIME_TEXT",TIMEVALUE(INDEX(Raw_Fund_Import!$A:$BZ,ROW(),MATCH(Mapping!$B$16,Raw_Fund_Import!$1:$1,0))),IF(Mapping!$C$16="DEC_HR",INDEX(Raw_Fund_Import!$A:$BZ,ROW(),MATCH(Mapping!$B$16,Raw_Fund_Import!$1:$1,0))/24,IF(Mapping!$C$16="YN",IF(OR(UPPER(LEFT(INDEX(Raw_Fund_Import!$A:$BZ,ROW(),MATCH(Mapping!$B$16,Raw_Fund_Import!$1:$1,0))&amp;"",1))="Y",INDEX(Raw_Fund_Import!$A:$BZ,ROW(),MATCH(Mapping!$B$16,Raw_Fund_Import!$1:$1,0))&amp;""="1",UPPER(INDEX(Raw_Fund_Import!$A:$BZ,ROW(),MATCH(Mapping!$B$16,Raw_Fund_Import!$1:$1,0))&amp;"")="TRUE"),1,0),IF(Mapping!$C$16="YESNO",IF(OR(UPPER(LEFT(INDEX(Raw_Fund_Import!$A:$BZ,ROW(),MATCH(Mapping!$B$16,Raw_Fund_Import!$1:$1,0))&amp;"",1))="Y",INDEX(Raw_Fund_Import!$A:$BZ,ROW(),MATCH(Mapping!$B$16,Raw_Fund_Import!$1:$1,0))&amp;""="1",UPPER(INDEX(Raw_Fund_Import!$A:$BZ,ROW(),MATCH(Mapping!$B$16,Raw_Fund_Import!$1:$1,0))&amp;"")="TRUE"),"Yes","No"),INDEX(Raw_Fund_Import!$A:$BZ,ROW(),MATCH(Mapping!$B$16,Raw_Fund_Import!$1:$1,0))))))),Mapping!$D$16))))</f>
        <v/>
      </c>
      <c r="P201" s="4" t="str">
        <f aca="false">IF(Raw_Fund_Import!$A201="","",IF(Mapping!$B$17="",Mapping!$D$17,IF(OR(UPPER(INDEX(Raw_Fund_Import!$A:$BZ,ROW(),MATCH(Mapping!$B$17,Raw_Fund_Import!$1:$1,0))&amp;"")="NA",UPPER(INDEX(Raw_Fund_Import!$A:$BZ,ROW(),MATCH(Mapping!$B$17,Raw_Fund_Import!$1:$1,0))&amp;"")="N/A",INDEX(Raw_Fund_Import!$A:$BZ,ROW(),MATCH(Mapping!$B$17,Raw_Fund_Import!$1:$1,0))&amp;""="-",INDEX(Raw_Fund_Import!$A:$BZ,ROW(),MATCH(Mapping!$B$17,Raw_Fund_Import!$1:$1,0))&amp;""=""),Mapping!$D$17,IFERROR(IF(Mapping!$C$17="HHMM",TIME(INT(INDEX(Raw_Fund_Import!$A:$BZ,ROW(),MATCH(Mapping!$B$17,Raw_Fund_Import!$1:$1,0))/100),MOD(INDEX(Raw_Fund_Import!$A:$BZ,ROW(),MATCH(Mapping!$B$17,Raw_Fund_Import!$1:$1,0)),100),0),IF(Mapping!$C$17="TIME_TEXT",TIMEVALUE(INDEX(Raw_Fund_Import!$A:$BZ,ROW(),MATCH(Mapping!$B$17,Raw_Fund_Import!$1:$1,0))),IF(Mapping!$C$17="DEC_HR",INDEX(Raw_Fund_Import!$A:$BZ,ROW(),MATCH(Mapping!$B$17,Raw_Fund_Import!$1:$1,0))/24,IF(Mapping!$C$17="YN",IF(OR(UPPER(LEFT(INDEX(Raw_Fund_Import!$A:$BZ,ROW(),MATCH(Mapping!$B$17,Raw_Fund_Import!$1:$1,0))&amp;"",1))="Y",INDEX(Raw_Fund_Import!$A:$BZ,ROW(),MATCH(Mapping!$B$17,Raw_Fund_Import!$1:$1,0))&amp;""="1",UPPER(INDEX(Raw_Fund_Import!$A:$BZ,ROW(),MATCH(Mapping!$B$17,Raw_Fund_Import!$1:$1,0))&amp;"")="TRUE"),1,0),IF(Mapping!$C$17="YESNO",IF(OR(UPPER(LEFT(INDEX(Raw_Fund_Import!$A:$BZ,ROW(),MATCH(Mapping!$B$17,Raw_Fund_Import!$1:$1,0))&amp;"",1))="Y",INDEX(Raw_Fund_Import!$A:$BZ,ROW(),MATCH(Mapping!$B$17,Raw_Fund_Import!$1:$1,0))&amp;""="1",UPPER(INDEX(Raw_Fund_Import!$A:$BZ,ROW(),MATCH(Mapping!$B$17,Raw_Fund_Import!$1:$1,0))&amp;"")="TRUE"),"Yes","No"),INDEX(Raw_Fund_Import!$A:$BZ,ROW(),MATCH(Mapping!$B$17,Raw_Fund_Import!$1:$1,0))))))),Mapping!$D$17))))</f>
        <v/>
      </c>
      <c r="Q201" s="44" t="str">
        <f aca="false">IF(Raw_Fund_Import!$A201="","",IF(Mapping!$B$18="",Mapping!$D$18,IF(OR(UPPER(INDEX(Raw_Fund_Import!$A:$BZ,ROW(),MATCH(Mapping!$B$18,Raw_Fund_Import!$1:$1,0))&amp;"")="NA",UPPER(INDEX(Raw_Fund_Import!$A:$BZ,ROW(),MATCH(Mapping!$B$18,Raw_Fund_Import!$1:$1,0))&amp;"")="N/A",INDEX(Raw_Fund_Import!$A:$BZ,ROW(),MATCH(Mapping!$B$18,Raw_Fund_Import!$1:$1,0))&amp;""="-",INDEX(Raw_Fund_Import!$A:$BZ,ROW(),MATCH(Mapping!$B$18,Raw_Fund_Import!$1:$1,0))&amp;""=""),Mapping!$D$18,IFERROR(IF(Mapping!$C$18="HHMM",TIME(INT(INDEX(Raw_Fund_Import!$A:$BZ,ROW(),MATCH(Mapping!$B$18,Raw_Fund_Import!$1:$1,0))/100),MOD(INDEX(Raw_Fund_Import!$A:$BZ,ROW(),MATCH(Mapping!$B$18,Raw_Fund_Import!$1:$1,0)),100),0),IF(Mapping!$C$18="TIME_TEXT",TIMEVALUE(INDEX(Raw_Fund_Import!$A:$BZ,ROW(),MATCH(Mapping!$B$18,Raw_Fund_Import!$1:$1,0))),IF(Mapping!$C$18="DEC_HR",INDEX(Raw_Fund_Import!$A:$BZ,ROW(),MATCH(Mapping!$B$18,Raw_Fund_Import!$1:$1,0))/24,IF(Mapping!$C$18="YN",IF(OR(UPPER(LEFT(INDEX(Raw_Fund_Import!$A:$BZ,ROW(),MATCH(Mapping!$B$18,Raw_Fund_Import!$1:$1,0))&amp;"",1))="Y",INDEX(Raw_Fund_Import!$A:$BZ,ROW(),MATCH(Mapping!$B$18,Raw_Fund_Import!$1:$1,0))&amp;""="1",UPPER(INDEX(Raw_Fund_Import!$A:$BZ,ROW(),MATCH(Mapping!$B$18,Raw_Fund_Import!$1:$1,0))&amp;"")="TRUE"),1,0),IF(Mapping!$C$18="YESNO",IF(OR(UPPER(LEFT(INDEX(Raw_Fund_Import!$A:$BZ,ROW(),MATCH(Mapping!$B$18,Raw_Fund_Import!$1:$1,0))&amp;"",1))="Y",INDEX(Raw_Fund_Import!$A:$BZ,ROW(),MATCH(Mapping!$B$18,Raw_Fund_Import!$1:$1,0))&amp;""="1",UPPER(INDEX(Raw_Fund_Import!$A:$BZ,ROW(),MATCH(Mapping!$B$18,Raw_Fund_Import!$1:$1,0))&amp;"")="TRUE"),"Yes","No"),INDEX(Raw_Fund_Import!$A:$BZ,ROW(),MATCH(Mapping!$B$18,Raw_Fund_Import!$1:$1,0))))))),Mapping!$D$18))))</f>
        <v/>
      </c>
      <c r="R201" s="44" t="str">
        <f aca="false">IF(Raw_Fund_Import!$A201="","",IF(Mapping!$B$19="",Mapping!$D$19,IF(OR(UPPER(INDEX(Raw_Fund_Import!$A:$BZ,ROW(),MATCH(Mapping!$B$19,Raw_Fund_Import!$1:$1,0))&amp;"")="NA",UPPER(INDEX(Raw_Fund_Import!$A:$BZ,ROW(),MATCH(Mapping!$B$19,Raw_Fund_Import!$1:$1,0))&amp;"")="N/A",INDEX(Raw_Fund_Import!$A:$BZ,ROW(),MATCH(Mapping!$B$19,Raw_Fund_Import!$1:$1,0))&amp;""="-",INDEX(Raw_Fund_Import!$A:$BZ,ROW(),MATCH(Mapping!$B$19,Raw_Fund_Import!$1:$1,0))&amp;""=""),Mapping!$D$19,IFERROR(IF(Mapping!$C$19="HHMM",TIME(INT(INDEX(Raw_Fund_Import!$A:$BZ,ROW(),MATCH(Mapping!$B$19,Raw_Fund_Import!$1:$1,0))/100),MOD(INDEX(Raw_Fund_Import!$A:$BZ,ROW(),MATCH(Mapping!$B$19,Raw_Fund_Import!$1:$1,0)),100),0),IF(Mapping!$C$19="TIME_TEXT",TIMEVALUE(INDEX(Raw_Fund_Import!$A:$BZ,ROW(),MATCH(Mapping!$B$19,Raw_Fund_Import!$1:$1,0))),IF(Mapping!$C$19="DEC_HR",INDEX(Raw_Fund_Import!$A:$BZ,ROW(),MATCH(Mapping!$B$19,Raw_Fund_Import!$1:$1,0))/24,IF(Mapping!$C$19="YN",IF(OR(UPPER(LEFT(INDEX(Raw_Fund_Import!$A:$BZ,ROW(),MATCH(Mapping!$B$19,Raw_Fund_Import!$1:$1,0))&amp;"",1))="Y",INDEX(Raw_Fund_Import!$A:$BZ,ROW(),MATCH(Mapping!$B$19,Raw_Fund_Import!$1:$1,0))&amp;""="1",UPPER(INDEX(Raw_Fund_Import!$A:$BZ,ROW(),MATCH(Mapping!$B$19,Raw_Fund_Import!$1:$1,0))&amp;"")="TRUE"),1,0),IF(Mapping!$C$19="YESNO",IF(OR(UPPER(LEFT(INDEX(Raw_Fund_Import!$A:$BZ,ROW(),MATCH(Mapping!$B$19,Raw_Fund_Import!$1:$1,0))&amp;"",1))="Y",INDEX(Raw_Fund_Import!$A:$BZ,ROW(),MATCH(Mapping!$B$19,Raw_Fund_Import!$1:$1,0))&amp;""="1",UPPER(INDEX(Raw_Fund_Import!$A:$BZ,ROW(),MATCH(Mapping!$B$19,Raw_Fund_Import!$1:$1,0))&amp;"")="TRUE"),"Yes","No"),INDEX(Raw_Fund_Import!$A:$BZ,ROW(),MATCH(Mapping!$B$19,Raw_Fund_Import!$1:$1,0))))))),Mapping!$D$19))))</f>
        <v/>
      </c>
      <c r="S201" s="44" t="str">
        <f aca="false">IF(Raw_Fund_Import!$A201="","",IF(Mapping!$B$20="",Mapping!$D$20,IF(OR(UPPER(INDEX(Raw_Fund_Import!$A:$BZ,ROW(),MATCH(Mapping!$B$20,Raw_Fund_Import!$1:$1,0))&amp;"")="NA",UPPER(INDEX(Raw_Fund_Import!$A:$BZ,ROW(),MATCH(Mapping!$B$20,Raw_Fund_Import!$1:$1,0))&amp;"")="N/A",INDEX(Raw_Fund_Import!$A:$BZ,ROW(),MATCH(Mapping!$B$20,Raw_Fund_Import!$1:$1,0))&amp;""="-",INDEX(Raw_Fund_Import!$A:$BZ,ROW(),MATCH(Mapping!$B$20,Raw_Fund_Import!$1:$1,0))&amp;""=""),Mapping!$D$20,IFERROR(IF(Mapping!$C$20="HHMM",TIME(INT(INDEX(Raw_Fund_Import!$A:$BZ,ROW(),MATCH(Mapping!$B$20,Raw_Fund_Import!$1:$1,0))/100),MOD(INDEX(Raw_Fund_Import!$A:$BZ,ROW(),MATCH(Mapping!$B$20,Raw_Fund_Import!$1:$1,0)),100),0),IF(Mapping!$C$20="TIME_TEXT",TIMEVALUE(INDEX(Raw_Fund_Import!$A:$BZ,ROW(),MATCH(Mapping!$B$20,Raw_Fund_Import!$1:$1,0))),IF(Mapping!$C$20="DEC_HR",INDEX(Raw_Fund_Import!$A:$BZ,ROW(),MATCH(Mapping!$B$20,Raw_Fund_Import!$1:$1,0))/24,IF(Mapping!$C$20="YN",IF(OR(UPPER(LEFT(INDEX(Raw_Fund_Import!$A:$BZ,ROW(),MATCH(Mapping!$B$20,Raw_Fund_Import!$1:$1,0))&amp;"",1))="Y",INDEX(Raw_Fund_Import!$A:$BZ,ROW(),MATCH(Mapping!$B$20,Raw_Fund_Import!$1:$1,0))&amp;""="1",UPPER(INDEX(Raw_Fund_Import!$A:$BZ,ROW(),MATCH(Mapping!$B$20,Raw_Fund_Import!$1:$1,0))&amp;"")="TRUE"),1,0),IF(Mapping!$C$20="YESNO",IF(OR(UPPER(LEFT(INDEX(Raw_Fund_Import!$A:$BZ,ROW(),MATCH(Mapping!$B$20,Raw_Fund_Import!$1:$1,0))&amp;"",1))="Y",INDEX(Raw_Fund_Import!$A:$BZ,ROW(),MATCH(Mapping!$B$20,Raw_Fund_Import!$1:$1,0))&amp;""="1",UPPER(INDEX(Raw_Fund_Import!$A:$BZ,ROW(),MATCH(Mapping!$B$20,Raw_Fund_Import!$1:$1,0))&amp;"")="TRUE"),"Yes","No"),INDEX(Raw_Fund_Import!$A:$BZ,ROW(),MATCH(Mapping!$B$20,Raw_Fund_Import!$1:$1,0))))))),Mapping!$D$20))))</f>
        <v/>
      </c>
      <c r="T201" s="44" t="str">
        <f aca="false">IF(Raw_Fund_Import!$A201="","",IF(Mapping!$B$21="",Mapping!$D$21,IF(OR(UPPER(INDEX(Raw_Fund_Import!$A:$BZ,ROW(),MATCH(Mapping!$B$21,Raw_Fund_Import!$1:$1,0))&amp;"")="NA",UPPER(INDEX(Raw_Fund_Import!$A:$BZ,ROW(),MATCH(Mapping!$B$21,Raw_Fund_Import!$1:$1,0))&amp;"")="N/A",INDEX(Raw_Fund_Import!$A:$BZ,ROW(),MATCH(Mapping!$B$21,Raw_Fund_Import!$1:$1,0))&amp;""="-",INDEX(Raw_Fund_Import!$A:$BZ,ROW(),MATCH(Mapping!$B$21,Raw_Fund_Import!$1:$1,0))&amp;""=""),Mapping!$D$21,IFERROR(IF(Mapping!$C$21="HHMM",TIME(INT(INDEX(Raw_Fund_Import!$A:$BZ,ROW(),MATCH(Mapping!$B$21,Raw_Fund_Import!$1:$1,0))/100),MOD(INDEX(Raw_Fund_Import!$A:$BZ,ROW(),MATCH(Mapping!$B$21,Raw_Fund_Import!$1:$1,0)),100),0),IF(Mapping!$C$21="TIME_TEXT",TIMEVALUE(INDEX(Raw_Fund_Import!$A:$BZ,ROW(),MATCH(Mapping!$B$21,Raw_Fund_Import!$1:$1,0))),IF(Mapping!$C$21="DEC_HR",INDEX(Raw_Fund_Import!$A:$BZ,ROW(),MATCH(Mapping!$B$21,Raw_Fund_Import!$1:$1,0))/24,IF(Mapping!$C$21="YN",IF(OR(UPPER(LEFT(INDEX(Raw_Fund_Import!$A:$BZ,ROW(),MATCH(Mapping!$B$21,Raw_Fund_Import!$1:$1,0))&amp;"",1))="Y",INDEX(Raw_Fund_Import!$A:$BZ,ROW(),MATCH(Mapping!$B$21,Raw_Fund_Import!$1:$1,0))&amp;""="1",UPPER(INDEX(Raw_Fund_Import!$A:$BZ,ROW(),MATCH(Mapping!$B$21,Raw_Fund_Import!$1:$1,0))&amp;"")="TRUE"),1,0),IF(Mapping!$C$21="YESNO",IF(OR(UPPER(LEFT(INDEX(Raw_Fund_Import!$A:$BZ,ROW(),MATCH(Mapping!$B$21,Raw_Fund_Import!$1:$1,0))&amp;"",1))="Y",INDEX(Raw_Fund_Import!$A:$BZ,ROW(),MATCH(Mapping!$B$21,Raw_Fund_Import!$1:$1,0))&amp;""="1",UPPER(INDEX(Raw_Fund_Import!$A:$BZ,ROW(),MATCH(Mapping!$B$21,Raw_Fund_Import!$1:$1,0))&amp;"")="TRUE"),"Yes","No"),INDEX(Raw_Fund_Import!$A:$BZ,ROW(),MATCH(Mapping!$B$21,Raw_Fund_Import!$1:$1,0))))))),Mapping!$D$21))))</f>
        <v/>
      </c>
      <c r="U201" s="44" t="str">
        <f aca="false">IF(Raw_Fund_Import!$A201="","",IF(Mapping!$B$22="",Mapping!$D$22,IF(OR(UPPER(INDEX(Raw_Fund_Import!$A:$BZ,ROW(),MATCH(Mapping!$B$22,Raw_Fund_Import!$1:$1,0))&amp;"")="NA",UPPER(INDEX(Raw_Fund_Import!$A:$BZ,ROW(),MATCH(Mapping!$B$22,Raw_Fund_Import!$1:$1,0))&amp;"")="N/A",INDEX(Raw_Fund_Import!$A:$BZ,ROW(),MATCH(Mapping!$B$22,Raw_Fund_Import!$1:$1,0))&amp;""="-",INDEX(Raw_Fund_Import!$A:$BZ,ROW(),MATCH(Mapping!$B$22,Raw_Fund_Import!$1:$1,0))&amp;""=""),Mapping!$D$22,IFERROR(IF(Mapping!$C$22="HHMM",TIME(INT(INDEX(Raw_Fund_Import!$A:$BZ,ROW(),MATCH(Mapping!$B$22,Raw_Fund_Import!$1:$1,0))/100),MOD(INDEX(Raw_Fund_Import!$A:$BZ,ROW(),MATCH(Mapping!$B$22,Raw_Fund_Import!$1:$1,0)),100),0),IF(Mapping!$C$22="TIME_TEXT",TIMEVALUE(INDEX(Raw_Fund_Import!$A:$BZ,ROW(),MATCH(Mapping!$B$22,Raw_Fund_Import!$1:$1,0))),IF(Mapping!$C$22="DEC_HR",INDEX(Raw_Fund_Import!$A:$BZ,ROW(),MATCH(Mapping!$B$22,Raw_Fund_Import!$1:$1,0))/24,IF(Mapping!$C$22="YN",IF(OR(UPPER(LEFT(INDEX(Raw_Fund_Import!$A:$BZ,ROW(),MATCH(Mapping!$B$22,Raw_Fund_Import!$1:$1,0))&amp;"",1))="Y",INDEX(Raw_Fund_Import!$A:$BZ,ROW(),MATCH(Mapping!$B$22,Raw_Fund_Import!$1:$1,0))&amp;""="1",UPPER(INDEX(Raw_Fund_Import!$A:$BZ,ROW(),MATCH(Mapping!$B$22,Raw_Fund_Import!$1:$1,0))&amp;"")="TRUE"),1,0),IF(Mapping!$C$22="YESNO",IF(OR(UPPER(LEFT(INDEX(Raw_Fund_Import!$A:$BZ,ROW(),MATCH(Mapping!$B$22,Raw_Fund_Import!$1:$1,0))&amp;"",1))="Y",INDEX(Raw_Fund_Import!$A:$BZ,ROW(),MATCH(Mapping!$B$22,Raw_Fund_Import!$1:$1,0))&amp;""="1",UPPER(INDEX(Raw_Fund_Import!$A:$BZ,ROW(),MATCH(Mapping!$B$22,Raw_Fund_Import!$1:$1,0))&amp;"")="TRUE"),"Yes","No"),INDEX(Raw_Fund_Import!$A:$BZ,ROW(),MATCH(Mapping!$B$22,Raw_Fund_Import!$1:$1,0))))))),Mapping!$D$22))))</f>
        <v/>
      </c>
      <c r="V201" s="44" t="str">
        <f aca="false">IF(Raw_Fund_Import!$A201="","",IF(Mapping!$B$23="",Mapping!$D$23,IF(OR(UPPER(INDEX(Raw_Fund_Import!$A:$BZ,ROW(),MATCH(Mapping!$B$23,Raw_Fund_Import!$1:$1,0))&amp;"")="NA",UPPER(INDEX(Raw_Fund_Import!$A:$BZ,ROW(),MATCH(Mapping!$B$23,Raw_Fund_Import!$1:$1,0))&amp;"")="N/A",INDEX(Raw_Fund_Import!$A:$BZ,ROW(),MATCH(Mapping!$B$23,Raw_Fund_Import!$1:$1,0))&amp;""="-",INDEX(Raw_Fund_Import!$A:$BZ,ROW(),MATCH(Mapping!$B$23,Raw_Fund_Import!$1:$1,0))&amp;""=""),Mapping!$D$23,IFERROR(IF(Mapping!$C$23="HHMM",TIME(INT(INDEX(Raw_Fund_Import!$A:$BZ,ROW(),MATCH(Mapping!$B$23,Raw_Fund_Import!$1:$1,0))/100),MOD(INDEX(Raw_Fund_Import!$A:$BZ,ROW(),MATCH(Mapping!$B$23,Raw_Fund_Import!$1:$1,0)),100),0),IF(Mapping!$C$23="TIME_TEXT",TIMEVALUE(INDEX(Raw_Fund_Import!$A:$BZ,ROW(),MATCH(Mapping!$B$23,Raw_Fund_Import!$1:$1,0))),IF(Mapping!$C$23="DEC_HR",INDEX(Raw_Fund_Import!$A:$BZ,ROW(),MATCH(Mapping!$B$23,Raw_Fund_Import!$1:$1,0))/24,IF(Mapping!$C$23="YN",IF(OR(UPPER(LEFT(INDEX(Raw_Fund_Import!$A:$BZ,ROW(),MATCH(Mapping!$B$23,Raw_Fund_Import!$1:$1,0))&amp;"",1))="Y",INDEX(Raw_Fund_Import!$A:$BZ,ROW(),MATCH(Mapping!$B$23,Raw_Fund_Import!$1:$1,0))&amp;""="1",UPPER(INDEX(Raw_Fund_Import!$A:$BZ,ROW(),MATCH(Mapping!$B$23,Raw_Fund_Import!$1:$1,0))&amp;"")="TRUE"),1,0),IF(Mapping!$C$23="YESNO",IF(OR(UPPER(LEFT(INDEX(Raw_Fund_Import!$A:$BZ,ROW(),MATCH(Mapping!$B$23,Raw_Fund_Import!$1:$1,0))&amp;"",1))="Y",INDEX(Raw_Fund_Import!$A:$BZ,ROW(),MATCH(Mapping!$B$23,Raw_Fund_Import!$1:$1,0))&amp;""="1",UPPER(INDEX(Raw_Fund_Import!$A:$BZ,ROW(),MATCH(Mapping!$B$23,Raw_Fund_Import!$1:$1,0))&amp;"")="TRUE"),"Yes","No"),INDEX(Raw_Fund_Import!$A:$BZ,ROW(),MATCH(Mapping!$B$23,Raw_Fund_Import!$1:$1,0))))))),Mapping!$D$23))))</f>
        <v/>
      </c>
      <c r="W201" s="4" t="str">
        <f aca="false">IF(Raw_Fund_Import!$A201="","",IF(Mapping!$B$24="",Mapping!$D$24,IF(OR(UPPER(INDEX(Raw_Fund_Import!$A:$BZ,ROW(),MATCH(Mapping!$B$24,Raw_Fund_Import!$1:$1,0))&amp;"")="NA",UPPER(INDEX(Raw_Fund_Import!$A:$BZ,ROW(),MATCH(Mapping!$B$24,Raw_Fund_Import!$1:$1,0))&amp;"")="N/A",INDEX(Raw_Fund_Import!$A:$BZ,ROW(),MATCH(Mapping!$B$24,Raw_Fund_Import!$1:$1,0))&amp;""="-",INDEX(Raw_Fund_Import!$A:$BZ,ROW(),MATCH(Mapping!$B$24,Raw_Fund_Import!$1:$1,0))&amp;""=""),Mapping!$D$24,IFERROR(IF(Mapping!$C$24="HHMM",TIME(INT(INDEX(Raw_Fund_Import!$A:$BZ,ROW(),MATCH(Mapping!$B$24,Raw_Fund_Import!$1:$1,0))/100),MOD(INDEX(Raw_Fund_Import!$A:$BZ,ROW(),MATCH(Mapping!$B$24,Raw_Fund_Import!$1:$1,0)),100),0),IF(Mapping!$C$24="TIME_TEXT",TIMEVALUE(INDEX(Raw_Fund_Import!$A:$BZ,ROW(),MATCH(Mapping!$B$24,Raw_Fund_Import!$1:$1,0))),IF(Mapping!$C$24="DEC_HR",INDEX(Raw_Fund_Import!$A:$BZ,ROW(),MATCH(Mapping!$B$24,Raw_Fund_Import!$1:$1,0))/24,IF(Mapping!$C$24="YN",IF(OR(UPPER(LEFT(INDEX(Raw_Fund_Import!$A:$BZ,ROW(),MATCH(Mapping!$B$24,Raw_Fund_Import!$1:$1,0))&amp;"",1))="Y",INDEX(Raw_Fund_Import!$A:$BZ,ROW(),MATCH(Mapping!$B$24,Raw_Fund_Import!$1:$1,0))&amp;""="1",UPPER(INDEX(Raw_Fund_Import!$A:$BZ,ROW(),MATCH(Mapping!$B$24,Raw_Fund_Import!$1:$1,0))&amp;"")="TRUE"),1,0),IF(Mapping!$C$24="YESNO",IF(OR(UPPER(LEFT(INDEX(Raw_Fund_Import!$A:$BZ,ROW(),MATCH(Mapping!$B$24,Raw_Fund_Import!$1:$1,0))&amp;"",1))="Y",INDEX(Raw_Fund_Import!$A:$BZ,ROW(),MATCH(Mapping!$B$24,Raw_Fund_Import!$1:$1,0))&amp;""="1",UPPER(INDEX(Raw_Fund_Import!$A:$BZ,ROW(),MATCH(Mapping!$B$24,Raw_Fund_Import!$1:$1,0))&amp;"")="TRUE"),"Yes","No"),INDEX(Raw_Fund_Import!$A:$BZ,ROW(),MATCH(Mapping!$B$24,Raw_Fund_Import!$1:$1,0))))))),Mapping!$D$24))))</f>
        <v/>
      </c>
      <c r="X201" s="4" t="str">
        <f aca="false">IF(Raw_Fund_Import!$A201="","",IF(Mapping!$B$25="",Mapping!$D$25,IF(OR(UPPER(INDEX(Raw_Fund_Import!$A:$BZ,ROW(),MATCH(Mapping!$B$25,Raw_Fund_Import!$1:$1,0))&amp;"")="NA",UPPER(INDEX(Raw_Fund_Import!$A:$BZ,ROW(),MATCH(Mapping!$B$25,Raw_Fund_Import!$1:$1,0))&amp;"")="N/A",INDEX(Raw_Fund_Import!$A:$BZ,ROW(),MATCH(Mapping!$B$25,Raw_Fund_Import!$1:$1,0))&amp;""="-",INDEX(Raw_Fund_Import!$A:$BZ,ROW(),MATCH(Mapping!$B$25,Raw_Fund_Import!$1:$1,0))&amp;""=""),Mapping!$D$25,IFERROR(IF(Mapping!$C$25="HHMM",TIME(INT(INDEX(Raw_Fund_Import!$A:$BZ,ROW(),MATCH(Mapping!$B$25,Raw_Fund_Import!$1:$1,0))/100),MOD(INDEX(Raw_Fund_Import!$A:$BZ,ROW(),MATCH(Mapping!$B$25,Raw_Fund_Import!$1:$1,0)),100),0),IF(Mapping!$C$25="TIME_TEXT",TIMEVALUE(INDEX(Raw_Fund_Import!$A:$BZ,ROW(),MATCH(Mapping!$B$25,Raw_Fund_Import!$1:$1,0))),IF(Mapping!$C$25="DEC_HR",INDEX(Raw_Fund_Import!$A:$BZ,ROW(),MATCH(Mapping!$B$25,Raw_Fund_Import!$1:$1,0))/24,IF(Mapping!$C$25="YN",IF(OR(UPPER(LEFT(INDEX(Raw_Fund_Import!$A:$BZ,ROW(),MATCH(Mapping!$B$25,Raw_Fund_Import!$1:$1,0))&amp;"",1))="Y",INDEX(Raw_Fund_Import!$A:$BZ,ROW(),MATCH(Mapping!$B$25,Raw_Fund_Import!$1:$1,0))&amp;""="1",UPPER(INDEX(Raw_Fund_Import!$A:$BZ,ROW(),MATCH(Mapping!$B$25,Raw_Fund_Import!$1:$1,0))&amp;"")="TRUE"),1,0),IF(Mapping!$C$25="YESNO",IF(OR(UPPER(LEFT(INDEX(Raw_Fund_Import!$A:$BZ,ROW(),MATCH(Mapping!$B$25,Raw_Fund_Import!$1:$1,0))&amp;"",1))="Y",INDEX(Raw_Fund_Import!$A:$BZ,ROW(),MATCH(Mapping!$B$25,Raw_Fund_Import!$1:$1,0))&amp;""="1",UPPER(INDEX(Raw_Fund_Import!$A:$BZ,ROW(),MATCH(Mapping!$B$25,Raw_Fund_Import!$1:$1,0))&amp;"")="TRUE"),"Yes","No"),INDEX(Raw_Fund_Import!$A:$BZ,ROW(),MATCH(Mapping!$B$25,Raw_Fund_Import!$1:$1,0))))))),Mapping!$D$25))))</f>
        <v/>
      </c>
      <c r="Y201" s="4" t="str">
        <f aca="false">IF(Raw_Fund_Import!$A201="","",IF(COUNTBLANK($A201:$X201)&gt;0,"CHECK","OK"))</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13"/>
    <col collapsed="false" customWidth="true" hidden="false" outlineLevel="0" max="4" min="4" style="1" width="46"/>
    <col collapsed="false" customWidth="true" hidden="false" outlineLevel="0" max="5" min="5" style="1" width="15"/>
    <col collapsed="false" customWidth="true" hidden="false" outlineLevel="0" max="6" min="6" style="1" width="22"/>
    <col collapsed="false" customWidth="true" hidden="false" outlineLevel="0" max="7" min="7" style="1" width="44"/>
    <col collapsed="false" customWidth="true" hidden="false" outlineLevel="0" max="8" min="8" style="1" width="56"/>
    <col collapsed="false" customWidth="true" hidden="false" outlineLevel="0" max="9" min="9" style="0" width="8"/>
    <col collapsed="false" customWidth="true" hidden="false" outlineLevel="0" max="10" min="10" style="0" width="10"/>
  </cols>
  <sheetData>
    <row r="1" customFormat="false" ht="37.5" hidden="false" customHeight="true" outlineLevel="0" collapsed="false">
      <c r="A1" s="17" t="s">
        <v>438</v>
      </c>
      <c r="B1" s="17" t="s">
        <v>439</v>
      </c>
      <c r="C1" s="17" t="s">
        <v>440</v>
      </c>
      <c r="D1" s="17" t="s">
        <v>441</v>
      </c>
      <c r="E1" s="17" t="s">
        <v>442</v>
      </c>
      <c r="F1" s="17" t="s">
        <v>443</v>
      </c>
      <c r="G1" s="18" t="s">
        <v>444</v>
      </c>
      <c r="H1" s="18" t="s">
        <v>445</v>
      </c>
      <c r="I1" s="19" t="s">
        <v>446</v>
      </c>
      <c r="J1" s="19" t="s">
        <v>447</v>
      </c>
    </row>
    <row r="2" customFormat="false" ht="15" hidden="false" customHeight="true" outlineLevel="0" collapsed="false">
      <c r="A2" s="34" t="n">
        <v>46264</v>
      </c>
      <c r="B2" s="34" t="n">
        <v>46265</v>
      </c>
      <c r="C2" s="13" t="s">
        <v>308</v>
      </c>
      <c r="D2" s="13" t="s">
        <v>448</v>
      </c>
      <c r="E2" s="35" t="n">
        <v>46265.5958333333</v>
      </c>
      <c r="F2" s="13" t="s">
        <v>313</v>
      </c>
      <c r="G2" s="4" t="str">
        <f aca="false">IF($D2="","",$A2&amp;"|"&amp;$B2&amp;"|"&amp;$C2&amp;"|"&amp;$D2)</f>
        <v>46264|46265|FD-1001|Changed to the status of Calculated</v>
      </c>
      <c r="H2" s="4" t="str">
        <f aca="false">IF($D2="","",$G2&amp;"|"&amp;TEXT($E2,"0.000000"))</f>
        <v>46264|46265|FD-1001|Changed to the status of Calculated|46265.595833</v>
      </c>
      <c r="I2" s="29" t="n">
        <f aca="false">IF($D2="","",IF(ISNUMBER($E2),FLOOR(($E2-$B2)*24,1),""))</f>
        <v>14</v>
      </c>
      <c r="J2" s="10" t="str">
        <f aca="false">IF($D2="","",IFERROR(IF(VLOOKUP($F2,Dim_Analyst!$A:$C,3,0)="Yes","Yes","No"),"No"))</f>
        <v>Yes</v>
      </c>
    </row>
    <row r="3" customFormat="false" ht="15" hidden="false" customHeight="true" outlineLevel="0" collapsed="false">
      <c r="A3" s="34" t="n">
        <v>46264</v>
      </c>
      <c r="B3" s="34" t="n">
        <v>46265</v>
      </c>
      <c r="C3" s="13" t="s">
        <v>308</v>
      </c>
      <c r="D3" s="13" t="s">
        <v>449</v>
      </c>
      <c r="E3" s="35" t="n">
        <v>46265.6055555556</v>
      </c>
      <c r="F3" s="13" t="s">
        <v>328</v>
      </c>
      <c r="G3" s="4" t="str">
        <f aca="false">IF($D3="","",$A3&amp;"|"&amp;$B3&amp;"|"&amp;$C3&amp;"|"&amp;$D3)</f>
        <v>46264|46265|FD-1001|Changed to the status of Controlled</v>
      </c>
      <c r="H3" s="4" t="str">
        <f aca="false">IF($D3="","",$G3&amp;"|"&amp;TEXT($E3,"0.000000"))</f>
        <v>46264|46265|FD-1001|Changed to the status of Controlled|46265.605556</v>
      </c>
      <c r="I3" s="29" t="n">
        <f aca="false">IF($D3="","",IF(ISNUMBER($E3),FLOOR(($E3-$B3)*24,1),""))</f>
        <v>14</v>
      </c>
      <c r="J3" s="10" t="str">
        <f aca="false">IF($D3="","",IFERROR(IF(VLOOKUP($F3,Dim_Analyst!$A:$C,3,0)="Yes","Yes","No"),"No"))</f>
        <v>Yes</v>
      </c>
    </row>
    <row r="4" customFormat="false" ht="15" hidden="false" customHeight="true" outlineLevel="0" collapsed="false">
      <c r="A4" s="34" t="n">
        <v>46264</v>
      </c>
      <c r="B4" s="34" t="n">
        <v>46265</v>
      </c>
      <c r="C4" s="13" t="s">
        <v>308</v>
      </c>
      <c r="D4" s="13" t="s">
        <v>450</v>
      </c>
      <c r="E4" s="35" t="n">
        <v>46265.6083333333</v>
      </c>
      <c r="F4" s="13" t="s">
        <v>313</v>
      </c>
      <c r="G4" s="4" t="str">
        <f aca="false">IF($D4="","",$A4&amp;"|"&amp;$B4&amp;"|"&amp;$C4&amp;"|"&amp;$D4)</f>
        <v>46264|46265|FD-1001|Changed to the status of Fund accounting signed off</v>
      </c>
      <c r="H4" s="4" t="str">
        <f aca="false">IF($D4="","",$G4&amp;"|"&amp;TEXT($E4,"0.000000"))</f>
        <v>46264|46265|FD-1001|Changed to the status of Fund accounting signed off|46265.608333</v>
      </c>
      <c r="I4" s="29" t="n">
        <f aca="false">IF($D4="","",IF(ISNUMBER($E4),FLOOR(($E4-$B4)*24,1),""))</f>
        <v>14</v>
      </c>
      <c r="J4" s="10" t="str">
        <f aca="false">IF($D4="","",IFERROR(IF(VLOOKUP($F4,Dim_Analyst!$A:$C,3,0)="Yes","Yes","No"),"No"))</f>
        <v>Yes</v>
      </c>
    </row>
    <row r="5" customFormat="false" ht="15" hidden="false" customHeight="true" outlineLevel="0" collapsed="false">
      <c r="A5" s="34" t="n">
        <v>46264</v>
      </c>
      <c r="B5" s="34" t="n">
        <v>46265</v>
      </c>
      <c r="C5" s="13" t="s">
        <v>308</v>
      </c>
      <c r="D5" s="13" t="s">
        <v>451</v>
      </c>
      <c r="E5" s="35" t="n">
        <v>46265.6215277778</v>
      </c>
      <c r="F5" s="13" t="s">
        <v>313</v>
      </c>
      <c r="G5" s="4" t="str">
        <f aca="false">IF($D5="","",$A5&amp;"|"&amp;$B5&amp;"|"&amp;$C5&amp;"|"&amp;$D5)</f>
        <v>46264|46265|FD-1001|Changed to the status of signed off</v>
      </c>
      <c r="H5" s="4" t="str">
        <f aca="false">IF($D5="","",$G5&amp;"|"&amp;TEXT($E5,"0.000000"))</f>
        <v>46264|46265|FD-1001|Changed to the status of signed off|46265.621528</v>
      </c>
      <c r="I5" s="29" t="n">
        <f aca="false">IF($D5="","",IF(ISNUMBER($E5),FLOOR(($E5-$B5)*24,1),""))</f>
        <v>14</v>
      </c>
      <c r="J5" s="10" t="str">
        <f aca="false">IF($D5="","",IFERROR(IF(VLOOKUP($F5,Dim_Analyst!$A:$C,3,0)="Yes","Yes","No"),"No"))</f>
        <v>Yes</v>
      </c>
    </row>
    <row r="6" customFormat="false" ht="15" hidden="false" customHeight="true" outlineLevel="0" collapsed="false">
      <c r="A6" s="34" t="n">
        <v>46264</v>
      </c>
      <c r="B6" s="34" t="n">
        <v>46265</v>
      </c>
      <c r="C6" s="13" t="s">
        <v>317</v>
      </c>
      <c r="D6" s="13" t="s">
        <v>448</v>
      </c>
      <c r="E6" s="35" t="n">
        <v>46265.6090277778</v>
      </c>
      <c r="F6" s="13" t="s">
        <v>321</v>
      </c>
      <c r="G6" s="4" t="str">
        <f aca="false">IF($D6="","",$A6&amp;"|"&amp;$B6&amp;"|"&amp;$C6&amp;"|"&amp;$D6)</f>
        <v>46264|46265|FD-1002|Changed to the status of Calculated</v>
      </c>
      <c r="H6" s="4" t="str">
        <f aca="false">IF($D6="","",$G6&amp;"|"&amp;TEXT($E6,"0.000000"))</f>
        <v>46264|46265|FD-1002|Changed to the status of Calculated|46265.609028</v>
      </c>
      <c r="I6" s="29" t="n">
        <f aca="false">IF($D6="","",IF(ISNUMBER($E6),FLOOR(($E6-$B6)*24,1),""))</f>
        <v>14</v>
      </c>
      <c r="J6" s="10" t="str">
        <f aca="false">IF($D6="","",IFERROR(IF(VLOOKUP($F6,Dim_Analyst!$A:$C,3,0)="Yes","Yes","No"),"No"))</f>
        <v>Yes</v>
      </c>
    </row>
    <row r="7" customFormat="false" ht="15" hidden="false" customHeight="true" outlineLevel="0" collapsed="false">
      <c r="A7" s="34" t="n">
        <v>46264</v>
      </c>
      <c r="B7" s="34" t="n">
        <v>46265</v>
      </c>
      <c r="C7" s="13" t="s">
        <v>317</v>
      </c>
      <c r="D7" s="13" t="s">
        <v>449</v>
      </c>
      <c r="E7" s="35" t="n">
        <v>46265.6166666667</v>
      </c>
      <c r="F7" s="13" t="s">
        <v>313</v>
      </c>
      <c r="G7" s="4" t="str">
        <f aca="false">IF($D7="","",$A7&amp;"|"&amp;$B7&amp;"|"&amp;$C7&amp;"|"&amp;$D7)</f>
        <v>46264|46265|FD-1002|Changed to the status of Controlled</v>
      </c>
      <c r="H7" s="4" t="str">
        <f aca="false">IF($D7="","",$G7&amp;"|"&amp;TEXT($E7,"0.000000"))</f>
        <v>46264|46265|FD-1002|Changed to the status of Controlled|46265.616667</v>
      </c>
      <c r="I7" s="29" t="n">
        <f aca="false">IF($D7="","",IF(ISNUMBER($E7),FLOOR(($E7-$B7)*24,1),""))</f>
        <v>14</v>
      </c>
      <c r="J7" s="10" t="str">
        <f aca="false">IF($D7="","",IFERROR(IF(VLOOKUP($F7,Dim_Analyst!$A:$C,3,0)="Yes","Yes","No"),"No"))</f>
        <v>Yes</v>
      </c>
    </row>
    <row r="8" customFormat="false" ht="15" hidden="false" customHeight="true" outlineLevel="0" collapsed="false">
      <c r="A8" s="34" t="n">
        <v>46264</v>
      </c>
      <c r="B8" s="34" t="n">
        <v>46265</v>
      </c>
      <c r="C8" s="13" t="s">
        <v>317</v>
      </c>
      <c r="D8" s="13" t="s">
        <v>450</v>
      </c>
      <c r="E8" s="35" t="n">
        <v>46265.6208333333</v>
      </c>
      <c r="F8" s="13" t="s">
        <v>321</v>
      </c>
      <c r="G8" s="4" t="str">
        <f aca="false">IF($D8="","",$A8&amp;"|"&amp;$B8&amp;"|"&amp;$C8&amp;"|"&amp;$D8)</f>
        <v>46264|46265|FD-1002|Changed to the status of Fund accounting signed off</v>
      </c>
      <c r="H8" s="4" t="str">
        <f aca="false">IF($D8="","",$G8&amp;"|"&amp;TEXT($E8,"0.000000"))</f>
        <v>46264|46265|FD-1002|Changed to the status of Fund accounting signed off|46265.620833</v>
      </c>
      <c r="I8" s="29" t="n">
        <f aca="false">IF($D8="","",IF(ISNUMBER($E8),FLOOR(($E8-$B8)*24,1),""))</f>
        <v>14</v>
      </c>
      <c r="J8" s="10" t="str">
        <f aca="false">IF($D8="","",IFERROR(IF(VLOOKUP($F8,Dim_Analyst!$A:$C,3,0)="Yes","Yes","No"),"No"))</f>
        <v>Yes</v>
      </c>
    </row>
    <row r="9" customFormat="false" ht="15" hidden="false" customHeight="true" outlineLevel="0" collapsed="false">
      <c r="A9" s="34" t="n">
        <v>46264</v>
      </c>
      <c r="B9" s="34" t="n">
        <v>46265</v>
      </c>
      <c r="C9" s="13" t="s">
        <v>317</v>
      </c>
      <c r="D9" s="13" t="s">
        <v>451</v>
      </c>
      <c r="E9" s="35" t="n">
        <v>46265.6361111111</v>
      </c>
      <c r="F9" s="13" t="s">
        <v>321</v>
      </c>
      <c r="G9" s="4" t="str">
        <f aca="false">IF($D9="","",$A9&amp;"|"&amp;$B9&amp;"|"&amp;$C9&amp;"|"&amp;$D9)</f>
        <v>46264|46265|FD-1002|Changed to the status of signed off</v>
      </c>
      <c r="H9" s="4" t="str">
        <f aca="false">IF($D9="","",$G9&amp;"|"&amp;TEXT($E9,"0.000000"))</f>
        <v>46264|46265|FD-1002|Changed to the status of signed off|46265.636111</v>
      </c>
      <c r="I9" s="29" t="n">
        <f aca="false">IF($D9="","",IF(ISNUMBER($E9),FLOOR(($E9-$B9)*24,1),""))</f>
        <v>15</v>
      </c>
      <c r="J9" s="10" t="str">
        <f aca="false">IF($D9="","",IFERROR(IF(VLOOKUP($F9,Dim_Analyst!$A:$C,3,0)="Yes","Yes","No"),"No"))</f>
        <v>Yes</v>
      </c>
    </row>
    <row r="10" customFormat="false" ht="15" hidden="false" customHeight="true" outlineLevel="0" collapsed="false">
      <c r="A10" s="34" t="n">
        <v>46264</v>
      </c>
      <c r="B10" s="34" t="n">
        <v>46265</v>
      </c>
      <c r="C10" s="13" t="s">
        <v>324</v>
      </c>
      <c r="D10" s="13" t="s">
        <v>448</v>
      </c>
      <c r="E10" s="35" t="n">
        <v>46265.5069444445</v>
      </c>
      <c r="F10" s="13" t="s">
        <v>332</v>
      </c>
      <c r="G10" s="4" t="str">
        <f aca="false">IF($D10="","",$A10&amp;"|"&amp;$B10&amp;"|"&amp;$C10&amp;"|"&amp;$D10)</f>
        <v>46264|46265|FD-1003|Changed to the status of Calculated</v>
      </c>
      <c r="H10" s="4" t="str">
        <f aca="false">IF($D10="","",$G10&amp;"|"&amp;TEXT($E10,"0.000000"))</f>
        <v>46264|46265|FD-1003|Changed to the status of Calculated|46265.506944</v>
      </c>
      <c r="I10" s="29" t="n">
        <f aca="false">IF($D10="","",IF(ISNUMBER($E10),FLOOR(($E10-$B10)*24,1),""))</f>
        <v>12</v>
      </c>
      <c r="J10" s="10" t="str">
        <f aca="false">IF($D10="","",IFERROR(IF(VLOOKUP($F10,Dim_Analyst!$A:$C,3,0)="Yes","Yes","No"),"No"))</f>
        <v>Yes</v>
      </c>
    </row>
    <row r="11" customFormat="false" ht="15" hidden="false" customHeight="true" outlineLevel="0" collapsed="false">
      <c r="A11" s="34" t="n">
        <v>46264</v>
      </c>
      <c r="B11" s="34" t="n">
        <v>46265</v>
      </c>
      <c r="C11" s="13" t="s">
        <v>324</v>
      </c>
      <c r="D11" s="13" t="s">
        <v>449</v>
      </c>
      <c r="E11" s="35" t="n">
        <v>46265.5152777778</v>
      </c>
      <c r="F11" s="13" t="s">
        <v>321</v>
      </c>
      <c r="G11" s="4" t="str">
        <f aca="false">IF($D11="","",$A11&amp;"|"&amp;$B11&amp;"|"&amp;$C11&amp;"|"&amp;$D11)</f>
        <v>46264|46265|FD-1003|Changed to the status of Controlled</v>
      </c>
      <c r="H11" s="4" t="str">
        <f aca="false">IF($D11="","",$G11&amp;"|"&amp;TEXT($E11,"0.000000"))</f>
        <v>46264|46265|FD-1003|Changed to the status of Controlled|46265.515278</v>
      </c>
      <c r="I11" s="29" t="n">
        <f aca="false">IF($D11="","",IF(ISNUMBER($E11),FLOOR(($E11-$B11)*24,1),""))</f>
        <v>12</v>
      </c>
      <c r="J11" s="10" t="str">
        <f aca="false">IF($D11="","",IFERROR(IF(VLOOKUP($F11,Dim_Analyst!$A:$C,3,0)="Yes","Yes","No"),"No"))</f>
        <v>Yes</v>
      </c>
    </row>
    <row r="12" customFormat="false" ht="15" hidden="false" customHeight="true" outlineLevel="0" collapsed="false">
      <c r="A12" s="34" t="n">
        <v>46264</v>
      </c>
      <c r="B12" s="34" t="n">
        <v>46265</v>
      </c>
      <c r="C12" s="13" t="s">
        <v>324</v>
      </c>
      <c r="D12" s="13" t="s">
        <v>450</v>
      </c>
      <c r="E12" s="35" t="n">
        <v>46265.5222222222</v>
      </c>
      <c r="F12" s="13" t="s">
        <v>332</v>
      </c>
      <c r="G12" s="4" t="str">
        <f aca="false">IF($D12="","",$A12&amp;"|"&amp;$B12&amp;"|"&amp;$C12&amp;"|"&amp;$D12)</f>
        <v>46264|46265|FD-1003|Changed to the status of Fund accounting signed off</v>
      </c>
      <c r="H12" s="4" t="str">
        <f aca="false">IF($D12="","",$G12&amp;"|"&amp;TEXT($E12,"0.000000"))</f>
        <v>46264|46265|FD-1003|Changed to the status of Fund accounting signed off|46265.522222</v>
      </c>
      <c r="I12" s="29" t="n">
        <f aca="false">IF($D12="","",IF(ISNUMBER($E12),FLOOR(($E12-$B12)*24,1),""))</f>
        <v>12</v>
      </c>
      <c r="J12" s="10" t="str">
        <f aca="false">IF($D12="","",IFERROR(IF(VLOOKUP($F12,Dim_Analyst!$A:$C,3,0)="Yes","Yes","No"),"No"))</f>
        <v>Yes</v>
      </c>
    </row>
    <row r="13" customFormat="false" ht="15" hidden="false" customHeight="true" outlineLevel="0" collapsed="false">
      <c r="A13" s="34" t="n">
        <v>46264</v>
      </c>
      <c r="B13" s="34" t="n">
        <v>46265</v>
      </c>
      <c r="C13" s="13" t="s">
        <v>324</v>
      </c>
      <c r="D13" s="13" t="s">
        <v>451</v>
      </c>
      <c r="E13" s="35" t="n">
        <v>46265.5381944445</v>
      </c>
      <c r="F13" s="13" t="s">
        <v>332</v>
      </c>
      <c r="G13" s="4" t="str">
        <f aca="false">IF($D13="","",$A13&amp;"|"&amp;$B13&amp;"|"&amp;$C13&amp;"|"&amp;$D13)</f>
        <v>46264|46265|FD-1003|Changed to the status of signed off</v>
      </c>
      <c r="H13" s="4" t="str">
        <f aca="false">IF($D13="","",$G13&amp;"|"&amp;TEXT($E13,"0.000000"))</f>
        <v>46264|46265|FD-1003|Changed to the status of signed off|46265.538194</v>
      </c>
      <c r="I13" s="29" t="n">
        <f aca="false">IF($D13="","",IF(ISNUMBER($E13),FLOOR(($E13-$B13)*24,1),""))</f>
        <v>12</v>
      </c>
      <c r="J13" s="10" t="str">
        <f aca="false">IF($D13="","",IFERROR(IF(VLOOKUP($F13,Dim_Analyst!$A:$C,3,0)="Yes","Yes","No"),"No"))</f>
        <v>Yes</v>
      </c>
    </row>
    <row r="14" customFormat="false" ht="15" hidden="false" customHeight="true" outlineLevel="0" collapsed="false">
      <c r="A14" s="34" t="n">
        <v>46264</v>
      </c>
      <c r="B14" s="34" t="n">
        <v>46265</v>
      </c>
      <c r="C14" s="13" t="s">
        <v>330</v>
      </c>
      <c r="D14" s="13" t="s">
        <v>448</v>
      </c>
      <c r="E14" s="35" t="n">
        <v>46265.63125</v>
      </c>
      <c r="F14" s="13" t="s">
        <v>332</v>
      </c>
      <c r="G14" s="4" t="str">
        <f aca="false">IF($D14="","",$A14&amp;"|"&amp;$B14&amp;"|"&amp;$C14&amp;"|"&amp;$D14)</f>
        <v>46264|46265|FD-1004|Changed to the status of Calculated</v>
      </c>
      <c r="H14" s="4" t="str">
        <f aca="false">IF($D14="","",$G14&amp;"|"&amp;TEXT($E14,"0.000000"))</f>
        <v>46264|46265|FD-1004|Changed to the status of Calculated|46265.631250</v>
      </c>
      <c r="I14" s="29" t="n">
        <f aca="false">IF($D14="","",IF(ISNUMBER($E14),FLOOR(($E14-$B14)*24,1),""))</f>
        <v>15</v>
      </c>
      <c r="J14" s="10" t="str">
        <f aca="false">IF($D14="","",IFERROR(IF(VLOOKUP($F14,Dim_Analyst!$A:$C,3,0)="Yes","Yes","No"),"No"))</f>
        <v>Yes</v>
      </c>
    </row>
    <row r="15" customFormat="false" ht="15" hidden="false" customHeight="true" outlineLevel="0" collapsed="false">
      <c r="A15" s="34" t="n">
        <v>46264</v>
      </c>
      <c r="B15" s="34" t="n">
        <v>46265</v>
      </c>
      <c r="C15" s="13" t="s">
        <v>330</v>
      </c>
      <c r="D15" s="13" t="s">
        <v>449</v>
      </c>
      <c r="E15" s="35" t="n">
        <v>46265.6381944444</v>
      </c>
      <c r="F15" s="13" t="s">
        <v>328</v>
      </c>
      <c r="G15" s="4" t="str">
        <f aca="false">IF($D15="","",$A15&amp;"|"&amp;$B15&amp;"|"&amp;$C15&amp;"|"&amp;$D15)</f>
        <v>46264|46265|FD-1004|Changed to the status of Controlled</v>
      </c>
      <c r="H15" s="4" t="str">
        <f aca="false">IF($D15="","",$G15&amp;"|"&amp;TEXT($E15,"0.000000"))</f>
        <v>46264|46265|FD-1004|Changed to the status of Controlled|46265.638194</v>
      </c>
      <c r="I15" s="29" t="n">
        <f aca="false">IF($D15="","",IF(ISNUMBER($E15),FLOOR(($E15-$B15)*24,1),""))</f>
        <v>15</v>
      </c>
      <c r="J15" s="10" t="str">
        <f aca="false">IF($D15="","",IFERROR(IF(VLOOKUP($F15,Dim_Analyst!$A:$C,3,0)="Yes","Yes","No"),"No"))</f>
        <v>Yes</v>
      </c>
    </row>
    <row r="16" customFormat="false" ht="15" hidden="false" customHeight="true" outlineLevel="0" collapsed="false">
      <c r="A16" s="34" t="n">
        <v>46264</v>
      </c>
      <c r="B16" s="34" t="n">
        <v>46265</v>
      </c>
      <c r="C16" s="13" t="s">
        <v>330</v>
      </c>
      <c r="D16" s="13" t="s">
        <v>450</v>
      </c>
      <c r="E16" s="35" t="n">
        <v>46265.6472222222</v>
      </c>
      <c r="F16" s="13" t="s">
        <v>332</v>
      </c>
      <c r="G16" s="4" t="str">
        <f aca="false">IF($D16="","",$A16&amp;"|"&amp;$B16&amp;"|"&amp;$C16&amp;"|"&amp;$D16)</f>
        <v>46264|46265|FD-1004|Changed to the status of Fund accounting signed off</v>
      </c>
      <c r="H16" s="4" t="str">
        <f aca="false">IF($D16="","",$G16&amp;"|"&amp;TEXT($E16,"0.000000"))</f>
        <v>46264|46265|FD-1004|Changed to the status of Fund accounting signed off|46265.647222</v>
      </c>
      <c r="I16" s="29" t="n">
        <f aca="false">IF($D16="","",IF(ISNUMBER($E16),FLOOR(($E16-$B16)*24,1),""))</f>
        <v>15</v>
      </c>
      <c r="J16" s="10" t="str">
        <f aca="false">IF($D16="","",IFERROR(IF(VLOOKUP($F16,Dim_Analyst!$A:$C,3,0)="Yes","Yes","No"),"No"))</f>
        <v>Yes</v>
      </c>
    </row>
    <row r="17" customFormat="false" ht="15" hidden="false" customHeight="true" outlineLevel="0" collapsed="false">
      <c r="A17" s="34" t="n">
        <v>46264</v>
      </c>
      <c r="B17" s="34" t="n">
        <v>46265</v>
      </c>
      <c r="C17" s="13" t="s">
        <v>330</v>
      </c>
      <c r="D17" s="13" t="s">
        <v>451</v>
      </c>
      <c r="E17" s="35" t="n">
        <v>46265.66875</v>
      </c>
      <c r="F17" s="13" t="s">
        <v>452</v>
      </c>
      <c r="G17" s="4" t="str">
        <f aca="false">IF($D17="","",$A17&amp;"|"&amp;$B17&amp;"|"&amp;$C17&amp;"|"&amp;$D17)</f>
        <v>46264|46265|FD-1004|Changed to the status of signed off</v>
      </c>
      <c r="H17" s="4" t="str">
        <f aca="false">IF($D17="","",$G17&amp;"|"&amp;TEXT($E17,"0.000000"))</f>
        <v>46264|46265|FD-1004|Changed to the status of signed off|46265.668750</v>
      </c>
      <c r="I17" s="29" t="n">
        <f aca="false">IF($D17="","",IF(ISNUMBER($E17),FLOOR(($E17-$B17)*24,1),""))</f>
        <v>16</v>
      </c>
      <c r="J17" s="10" t="str">
        <f aca="false">IF($D17="","",IFERROR(IF(VLOOKUP($F17,Dim_Analyst!$A:$C,3,0)="Yes","Yes","No"),"No"))</f>
        <v>No</v>
      </c>
    </row>
    <row r="18" customFormat="false" ht="15" hidden="false" customHeight="true" outlineLevel="0" collapsed="false">
      <c r="A18" s="34" t="n">
        <v>46264</v>
      </c>
      <c r="B18" s="34" t="n">
        <v>46265</v>
      </c>
      <c r="C18" s="13" t="s">
        <v>334</v>
      </c>
      <c r="D18" s="13" t="s">
        <v>448</v>
      </c>
      <c r="E18" s="35" t="n">
        <v>46265.6506944444</v>
      </c>
      <c r="F18" s="13" t="s">
        <v>313</v>
      </c>
      <c r="G18" s="4" t="str">
        <f aca="false">IF($D18="","",$A18&amp;"|"&amp;$B18&amp;"|"&amp;$C18&amp;"|"&amp;$D18)</f>
        <v>46264|46265|FD-1005|Changed to the status of Calculated</v>
      </c>
      <c r="H18" s="4" t="str">
        <f aca="false">IF($D18="","",$G18&amp;"|"&amp;TEXT($E18,"0.000000"))</f>
        <v>46264|46265|FD-1005|Changed to the status of Calculated|46265.650694</v>
      </c>
      <c r="I18" s="29" t="n">
        <f aca="false">IF($D18="","",IF(ISNUMBER($E18),FLOOR(($E18-$B18)*24,1),""))</f>
        <v>15</v>
      </c>
      <c r="J18" s="10" t="str">
        <f aca="false">IF($D18="","",IFERROR(IF(VLOOKUP($F18,Dim_Analyst!$A:$C,3,0)="Yes","Yes","No"),"No"))</f>
        <v>Yes</v>
      </c>
    </row>
    <row r="19" customFormat="false" ht="15" hidden="false" customHeight="true" outlineLevel="0" collapsed="false">
      <c r="A19" s="34" t="n">
        <v>46264</v>
      </c>
      <c r="B19" s="34" t="n">
        <v>46265</v>
      </c>
      <c r="C19" s="13" t="s">
        <v>334</v>
      </c>
      <c r="D19" s="13" t="s">
        <v>450</v>
      </c>
      <c r="E19" s="35" t="n">
        <v>46265.66875</v>
      </c>
      <c r="F19" s="13" t="s">
        <v>313</v>
      </c>
      <c r="G19" s="4" t="str">
        <f aca="false">IF($D19="","",$A19&amp;"|"&amp;$B19&amp;"|"&amp;$C19&amp;"|"&amp;$D19)</f>
        <v>46264|46265|FD-1005|Changed to the status of Fund accounting signed off</v>
      </c>
      <c r="H19" s="4" t="str">
        <f aca="false">IF($D19="","",$G19&amp;"|"&amp;TEXT($E19,"0.000000"))</f>
        <v>46264|46265|FD-1005|Changed to the status of Fund accounting signed off|46265.668750</v>
      </c>
      <c r="I19" s="29" t="n">
        <f aca="false">IF($D19="","",IF(ISNUMBER($E19),FLOOR(($E19-$B19)*24,1),""))</f>
        <v>16</v>
      </c>
      <c r="J19" s="10" t="str">
        <f aca="false">IF($D19="","",IFERROR(IF(VLOOKUP($F19,Dim_Analyst!$A:$C,3,0)="Yes","Yes","No"),"No"))</f>
        <v>Yes</v>
      </c>
    </row>
    <row r="20" customFormat="false" ht="15" hidden="false" customHeight="true" outlineLevel="0" collapsed="false">
      <c r="A20" s="34" t="n">
        <v>46264</v>
      </c>
      <c r="B20" s="34" t="n">
        <v>46265</v>
      </c>
      <c r="C20" s="13" t="s">
        <v>334</v>
      </c>
      <c r="D20" s="13" t="s">
        <v>451</v>
      </c>
      <c r="E20" s="35" t="n">
        <v>46265.7208333333</v>
      </c>
      <c r="F20" s="13" t="s">
        <v>453</v>
      </c>
      <c r="G20" s="4" t="str">
        <f aca="false">IF($D20="","",$A20&amp;"|"&amp;$B20&amp;"|"&amp;$C20&amp;"|"&amp;$D20)</f>
        <v>46264|46265|FD-1005|Changed to the status of signed off</v>
      </c>
      <c r="H20" s="4" t="str">
        <f aca="false">IF($D20="","",$G20&amp;"|"&amp;TEXT($E20,"0.000000"))</f>
        <v>46264|46265|FD-1005|Changed to the status of signed off|46265.720833</v>
      </c>
      <c r="I20" s="29" t="n">
        <f aca="false">IF($D20="","",IF(ISNUMBER($E20),FLOOR(($E20-$B20)*24,1),""))</f>
        <v>17</v>
      </c>
      <c r="J20" s="10" t="str">
        <f aca="false">IF($D20="","",IFERROR(IF(VLOOKUP($F20,Dim_Analyst!$A:$C,3,0)="Yes","Yes","No"),"No"))</f>
        <v>No</v>
      </c>
    </row>
    <row r="21" customFormat="false" ht="15" hidden="false" customHeight="true" outlineLevel="0" collapsed="false">
      <c r="A21" s="34" t="n">
        <v>46264</v>
      </c>
      <c r="B21" s="34" t="n">
        <v>46265</v>
      </c>
      <c r="C21" s="13" t="s">
        <v>337</v>
      </c>
      <c r="D21" s="13" t="s">
        <v>448</v>
      </c>
      <c r="E21" s="35" t="n">
        <v>46265.6215277778</v>
      </c>
      <c r="F21" s="13" t="s">
        <v>339</v>
      </c>
      <c r="G21" s="4" t="str">
        <f aca="false">IF($D21="","",$A21&amp;"|"&amp;$B21&amp;"|"&amp;$C21&amp;"|"&amp;$D21)</f>
        <v>46264|46265|FD-1006|Changed to the status of Calculated</v>
      </c>
      <c r="H21" s="4" t="str">
        <f aca="false">IF($D21="","",$G21&amp;"|"&amp;TEXT($E21,"0.000000"))</f>
        <v>46264|46265|FD-1006|Changed to the status of Calculated|46265.621528</v>
      </c>
      <c r="I21" s="29" t="n">
        <f aca="false">IF($D21="","",IF(ISNUMBER($E21),FLOOR(($E21-$B21)*24,1),""))</f>
        <v>14</v>
      </c>
      <c r="J21" s="10" t="str">
        <f aca="false">IF($D21="","",IFERROR(IF(VLOOKUP($F21,Dim_Analyst!$A:$C,3,0)="Yes","Yes","No"),"No"))</f>
        <v>Yes</v>
      </c>
    </row>
    <row r="22" customFormat="false" ht="15" hidden="false" customHeight="true" outlineLevel="0" collapsed="false">
      <c r="A22" s="34" t="n">
        <v>46264</v>
      </c>
      <c r="B22" s="34" t="n">
        <v>46265</v>
      </c>
      <c r="C22" s="13" t="s">
        <v>337</v>
      </c>
      <c r="D22" s="13" t="s">
        <v>448</v>
      </c>
      <c r="E22" s="35" t="n">
        <v>46265.6861111111</v>
      </c>
      <c r="F22" s="13" t="s">
        <v>339</v>
      </c>
      <c r="G22" s="4" t="str">
        <f aca="false">IF($D22="","",$A22&amp;"|"&amp;$B22&amp;"|"&amp;$C22&amp;"|"&amp;$D22)</f>
        <v>46264|46265|FD-1006|Changed to the status of Calculated</v>
      </c>
      <c r="H22" s="4" t="str">
        <f aca="false">IF($D22="","",$G22&amp;"|"&amp;TEXT($E22,"0.000000"))</f>
        <v>46264|46265|FD-1006|Changed to the status of Calculated|46265.686111</v>
      </c>
      <c r="I22" s="29" t="n">
        <f aca="false">IF($D22="","",IF(ISNUMBER($E22),FLOOR(($E22-$B22)*24,1),""))</f>
        <v>16</v>
      </c>
      <c r="J22" s="10" t="str">
        <f aca="false">IF($D22="","",IFERROR(IF(VLOOKUP($F22,Dim_Analyst!$A:$C,3,0)="Yes","Yes","No"),"No"))</f>
        <v>Yes</v>
      </c>
    </row>
    <row r="23" customFormat="false" ht="15" hidden="false" customHeight="true" outlineLevel="0" collapsed="false">
      <c r="A23" s="34" t="n">
        <v>46264</v>
      </c>
      <c r="B23" s="34" t="n">
        <v>46265</v>
      </c>
      <c r="C23" s="13" t="s">
        <v>337</v>
      </c>
      <c r="D23" s="13" t="s">
        <v>449</v>
      </c>
      <c r="E23" s="35" t="n">
        <v>46265.6916666667</v>
      </c>
      <c r="F23" s="13" t="s">
        <v>328</v>
      </c>
      <c r="G23" s="4" t="str">
        <f aca="false">IF($D23="","",$A23&amp;"|"&amp;$B23&amp;"|"&amp;$C23&amp;"|"&amp;$D23)</f>
        <v>46264|46265|FD-1006|Changed to the status of Controlled</v>
      </c>
      <c r="H23" s="4" t="str">
        <f aca="false">IF($D23="","",$G23&amp;"|"&amp;TEXT($E23,"0.000000"))</f>
        <v>46264|46265|FD-1006|Changed to the status of Controlled|46265.691667</v>
      </c>
      <c r="I23" s="29" t="n">
        <f aca="false">IF($D23="","",IF(ISNUMBER($E23),FLOOR(($E23-$B23)*24,1),""))</f>
        <v>16</v>
      </c>
      <c r="J23" s="10" t="str">
        <f aca="false">IF($D23="","",IFERROR(IF(VLOOKUP($F23,Dim_Analyst!$A:$C,3,0)="Yes","Yes","No"),"No"))</f>
        <v>Yes</v>
      </c>
    </row>
    <row r="24" customFormat="false" ht="15" hidden="false" customHeight="true" outlineLevel="0" collapsed="false">
      <c r="A24" s="34" t="n">
        <v>46264</v>
      </c>
      <c r="B24" s="34" t="n">
        <v>46265</v>
      </c>
      <c r="C24" s="13" t="s">
        <v>337</v>
      </c>
      <c r="D24" s="13" t="s">
        <v>450</v>
      </c>
      <c r="E24" s="35" t="n">
        <v>46265.7034722222</v>
      </c>
      <c r="F24" s="13" t="s">
        <v>339</v>
      </c>
      <c r="G24" s="4" t="str">
        <f aca="false">IF($D24="","",$A24&amp;"|"&amp;$B24&amp;"|"&amp;$C24&amp;"|"&amp;$D24)</f>
        <v>46264|46265|FD-1006|Changed to the status of Fund accounting signed off</v>
      </c>
      <c r="H24" s="4" t="str">
        <f aca="false">IF($D24="","",$G24&amp;"|"&amp;TEXT($E24,"0.000000"))</f>
        <v>46264|46265|FD-1006|Changed to the status of Fund accounting signed off|46265.703472</v>
      </c>
      <c r="I24" s="29" t="n">
        <f aca="false">IF($D24="","",IF(ISNUMBER($E24),FLOOR(($E24-$B24)*24,1),""))</f>
        <v>16</v>
      </c>
      <c r="J24" s="10" t="str">
        <f aca="false">IF($D24="","",IFERROR(IF(VLOOKUP($F24,Dim_Analyst!$A:$C,3,0)="Yes","Yes","No"),"No"))</f>
        <v>Yes</v>
      </c>
    </row>
    <row r="25" customFormat="false" ht="15" hidden="false" customHeight="true" outlineLevel="0" collapsed="false">
      <c r="A25" s="34" t="n">
        <v>46264</v>
      </c>
      <c r="B25" s="34" t="n">
        <v>46265</v>
      </c>
      <c r="C25" s="13" t="s">
        <v>337</v>
      </c>
      <c r="D25" s="13" t="s">
        <v>451</v>
      </c>
      <c r="E25" s="35" t="n">
        <v>46265.7173611111</v>
      </c>
      <c r="F25" s="13" t="s">
        <v>339</v>
      </c>
      <c r="G25" s="4" t="str">
        <f aca="false">IF($D25="","",$A25&amp;"|"&amp;$B25&amp;"|"&amp;$C25&amp;"|"&amp;$D25)</f>
        <v>46264|46265|FD-1006|Changed to the status of signed off</v>
      </c>
      <c r="H25" s="4" t="str">
        <f aca="false">IF($D25="","",$G25&amp;"|"&amp;TEXT($E25,"0.000000"))</f>
        <v>46264|46265|FD-1006|Changed to the status of signed off|46265.717361</v>
      </c>
      <c r="I25" s="29" t="n">
        <f aca="false">IF($D25="","",IF(ISNUMBER($E25),FLOOR(($E25-$B25)*24,1),""))</f>
        <v>17</v>
      </c>
      <c r="J25" s="10" t="str">
        <f aca="false">IF($D25="","",IFERROR(IF(VLOOKUP($F25,Dim_Analyst!$A:$C,3,0)="Yes","Yes","No"),"No"))</f>
        <v>Yes</v>
      </c>
    </row>
    <row r="26" customFormat="false" ht="15" hidden="false" customHeight="true" outlineLevel="0" collapsed="false">
      <c r="A26" s="34" t="n">
        <v>46264</v>
      </c>
      <c r="B26" s="34" t="n">
        <v>46265</v>
      </c>
      <c r="C26" s="13" t="s">
        <v>340</v>
      </c>
      <c r="D26" s="13" t="s">
        <v>448</v>
      </c>
      <c r="E26" s="35" t="n">
        <v>46265.6402777778</v>
      </c>
      <c r="F26" s="13" t="s">
        <v>313</v>
      </c>
      <c r="G26" s="4" t="str">
        <f aca="false">IF($D26="","",$A26&amp;"|"&amp;$B26&amp;"|"&amp;$C26&amp;"|"&amp;$D26)</f>
        <v>46264|46265|FD-1007|Changed to the status of Calculated</v>
      </c>
      <c r="H26" s="4" t="str">
        <f aca="false">IF($D26="","",$G26&amp;"|"&amp;TEXT($E26,"0.000000"))</f>
        <v>46264|46265|FD-1007|Changed to the status of Calculated|46265.640278</v>
      </c>
      <c r="I26" s="29" t="n">
        <f aca="false">IF($D26="","",IF(ISNUMBER($E26),FLOOR(($E26-$B26)*24,1),""))</f>
        <v>15</v>
      </c>
      <c r="J26" s="10" t="str">
        <f aca="false">IF($D26="","",IFERROR(IF(VLOOKUP($F26,Dim_Analyst!$A:$C,3,0)="Yes","Yes","No"),"No"))</f>
        <v>Yes</v>
      </c>
    </row>
    <row r="27" customFormat="false" ht="15" hidden="false" customHeight="true" outlineLevel="0" collapsed="false">
      <c r="A27" s="34" t="n">
        <v>46264</v>
      </c>
      <c r="B27" s="34" t="n">
        <v>46265</v>
      </c>
      <c r="C27" s="13" t="s">
        <v>340</v>
      </c>
      <c r="D27" s="13" t="s">
        <v>448</v>
      </c>
      <c r="E27" s="35" t="n">
        <v>46265.6833333333</v>
      </c>
      <c r="F27" s="13" t="s">
        <v>313</v>
      </c>
      <c r="G27" s="4" t="str">
        <f aca="false">IF($D27="","",$A27&amp;"|"&amp;$B27&amp;"|"&amp;$C27&amp;"|"&amp;$D27)</f>
        <v>46264|46265|FD-1007|Changed to the status of Calculated</v>
      </c>
      <c r="H27" s="4" t="str">
        <f aca="false">IF($D27="","",$G27&amp;"|"&amp;TEXT($E27,"0.000000"))</f>
        <v>46264|46265|FD-1007|Changed to the status of Calculated|46265.683333</v>
      </c>
      <c r="I27" s="29" t="n">
        <f aca="false">IF($D27="","",IF(ISNUMBER($E27),FLOOR(($E27-$B27)*24,1),""))</f>
        <v>16</v>
      </c>
      <c r="J27" s="10" t="str">
        <f aca="false">IF($D27="","",IFERROR(IF(VLOOKUP($F27,Dim_Analyst!$A:$C,3,0)="Yes","Yes","No"),"No"))</f>
        <v>Yes</v>
      </c>
    </row>
    <row r="28" customFormat="false" ht="15" hidden="false" customHeight="true" outlineLevel="0" collapsed="false">
      <c r="A28" s="34" t="n">
        <v>46264</v>
      </c>
      <c r="B28" s="34" t="n">
        <v>46265</v>
      </c>
      <c r="C28" s="13" t="s">
        <v>340</v>
      </c>
      <c r="D28" s="13" t="s">
        <v>449</v>
      </c>
      <c r="E28" s="35" t="n">
        <v>46265.6923611111</v>
      </c>
      <c r="F28" s="13" t="s">
        <v>339</v>
      </c>
      <c r="G28" s="4" t="str">
        <f aca="false">IF($D28="","",$A28&amp;"|"&amp;$B28&amp;"|"&amp;$C28&amp;"|"&amp;$D28)</f>
        <v>46264|46265|FD-1007|Changed to the status of Controlled</v>
      </c>
      <c r="H28" s="4" t="str">
        <f aca="false">IF($D28="","",$G28&amp;"|"&amp;TEXT($E28,"0.000000"))</f>
        <v>46264|46265|FD-1007|Changed to the status of Controlled|46265.692361</v>
      </c>
      <c r="I28" s="29" t="n">
        <f aca="false">IF($D28="","",IF(ISNUMBER($E28),FLOOR(($E28-$B28)*24,1),""))</f>
        <v>16</v>
      </c>
      <c r="J28" s="10" t="str">
        <f aca="false">IF($D28="","",IFERROR(IF(VLOOKUP($F28,Dim_Analyst!$A:$C,3,0)="Yes","Yes","No"),"No"))</f>
        <v>Yes</v>
      </c>
    </row>
    <row r="29" customFormat="false" ht="15" hidden="false" customHeight="true" outlineLevel="0" collapsed="false">
      <c r="A29" s="34" t="n">
        <v>46264</v>
      </c>
      <c r="B29" s="34" t="n">
        <v>46265</v>
      </c>
      <c r="C29" s="13" t="s">
        <v>340</v>
      </c>
      <c r="D29" s="13" t="s">
        <v>450</v>
      </c>
      <c r="E29" s="35" t="n">
        <v>46265.6993055556</v>
      </c>
      <c r="F29" s="13" t="s">
        <v>313</v>
      </c>
      <c r="G29" s="4" t="str">
        <f aca="false">IF($D29="","",$A29&amp;"|"&amp;$B29&amp;"|"&amp;$C29&amp;"|"&amp;$D29)</f>
        <v>46264|46265|FD-1007|Changed to the status of Fund accounting signed off</v>
      </c>
      <c r="H29" s="4" t="str">
        <f aca="false">IF($D29="","",$G29&amp;"|"&amp;TEXT($E29,"0.000000"))</f>
        <v>46264|46265|FD-1007|Changed to the status of Fund accounting signed off|46265.699306</v>
      </c>
      <c r="I29" s="29" t="n">
        <f aca="false">IF($D29="","",IF(ISNUMBER($E29),FLOOR(($E29-$B29)*24,1),""))</f>
        <v>16</v>
      </c>
      <c r="J29" s="10" t="str">
        <f aca="false">IF($D29="","",IFERROR(IF(VLOOKUP($F29,Dim_Analyst!$A:$C,3,0)="Yes","Yes","No"),"No"))</f>
        <v>Yes</v>
      </c>
    </row>
    <row r="30" customFormat="false" ht="15" hidden="false" customHeight="true" outlineLevel="0" collapsed="false">
      <c r="A30" s="34" t="n">
        <v>46264</v>
      </c>
      <c r="B30" s="34" t="n">
        <v>46265</v>
      </c>
      <c r="C30" s="13" t="s">
        <v>340</v>
      </c>
      <c r="D30" s="13" t="s">
        <v>451</v>
      </c>
      <c r="E30" s="35" t="n">
        <v>46265.7152777778</v>
      </c>
      <c r="F30" s="13" t="s">
        <v>313</v>
      </c>
      <c r="G30" s="4" t="str">
        <f aca="false">IF($D30="","",$A30&amp;"|"&amp;$B30&amp;"|"&amp;$C30&amp;"|"&amp;$D30)</f>
        <v>46264|46265|FD-1007|Changed to the status of signed off</v>
      </c>
      <c r="H30" s="4" t="str">
        <f aca="false">IF($D30="","",$G30&amp;"|"&amp;TEXT($E30,"0.000000"))</f>
        <v>46264|46265|FD-1007|Changed to the status of signed off|46265.715278</v>
      </c>
      <c r="I30" s="29" t="n">
        <f aca="false">IF($D30="","",IF(ISNUMBER($E30),FLOOR(($E30-$B30)*24,1),""))</f>
        <v>17</v>
      </c>
      <c r="J30" s="10" t="str">
        <f aca="false">IF($D30="","",IFERROR(IF(VLOOKUP($F30,Dim_Analyst!$A:$C,3,0)="Yes","Yes","No"),"No"))</f>
        <v>Yes</v>
      </c>
    </row>
    <row r="31" customFormat="false" ht="15" hidden="false" customHeight="true" outlineLevel="0" collapsed="false">
      <c r="A31" s="34" t="n">
        <v>46235</v>
      </c>
      <c r="B31" s="34" t="n">
        <v>46265</v>
      </c>
      <c r="C31" s="13" t="s">
        <v>348</v>
      </c>
      <c r="D31" s="13" t="s">
        <v>448</v>
      </c>
      <c r="E31" s="35" t="n">
        <v>46265.6347222222</v>
      </c>
      <c r="F31" s="13" t="s">
        <v>336</v>
      </c>
      <c r="G31" s="4" t="str">
        <f aca="false">IF($D31="","",$A31&amp;"|"&amp;$B31&amp;"|"&amp;$C31&amp;"|"&amp;$D31)</f>
        <v>46235|46265|FD-1011|Changed to the status of Calculated</v>
      </c>
      <c r="H31" s="4" t="str">
        <f aca="false">IF($D31="","",$G31&amp;"|"&amp;TEXT($E31,"0.000000"))</f>
        <v>46235|46265|FD-1011|Changed to the status of Calculated|46265.634722</v>
      </c>
      <c r="I31" s="29" t="n">
        <f aca="false">IF($D31="","",IF(ISNUMBER($E31),FLOOR(($E31-$B31)*24,1),""))</f>
        <v>15</v>
      </c>
      <c r="J31" s="10" t="str">
        <f aca="false">IF($D31="","",IFERROR(IF(VLOOKUP($F31,Dim_Analyst!$A:$C,3,0)="Yes","Yes","No"),"No"))</f>
        <v>Yes</v>
      </c>
    </row>
    <row r="32" customFormat="false" ht="15" hidden="false" customHeight="true" outlineLevel="0" collapsed="false">
      <c r="A32" s="34" t="n">
        <v>46235</v>
      </c>
      <c r="B32" s="34" t="n">
        <v>46265</v>
      </c>
      <c r="C32" s="13" t="s">
        <v>348</v>
      </c>
      <c r="D32" s="13" t="s">
        <v>449</v>
      </c>
      <c r="E32" s="35" t="n">
        <v>46265.64375</v>
      </c>
      <c r="F32" s="13" t="s">
        <v>328</v>
      </c>
      <c r="G32" s="4" t="str">
        <f aca="false">IF($D32="","",$A32&amp;"|"&amp;$B32&amp;"|"&amp;$C32&amp;"|"&amp;$D32)</f>
        <v>46235|46265|FD-1011|Changed to the status of Controlled</v>
      </c>
      <c r="H32" s="4" t="str">
        <f aca="false">IF($D32="","",$G32&amp;"|"&amp;TEXT($E32,"0.000000"))</f>
        <v>46235|46265|FD-1011|Changed to the status of Controlled|46265.643750</v>
      </c>
      <c r="I32" s="29" t="n">
        <f aca="false">IF($D32="","",IF(ISNUMBER($E32),FLOOR(($E32-$B32)*24,1),""))</f>
        <v>15</v>
      </c>
      <c r="J32" s="10" t="str">
        <f aca="false">IF($D32="","",IFERROR(IF(VLOOKUP($F32,Dim_Analyst!$A:$C,3,0)="Yes","Yes","No"),"No"))</f>
        <v>Yes</v>
      </c>
    </row>
    <row r="33" customFormat="false" ht="15" hidden="false" customHeight="true" outlineLevel="0" collapsed="false">
      <c r="A33" s="34" t="n">
        <v>46235</v>
      </c>
      <c r="B33" s="34" t="n">
        <v>46265</v>
      </c>
      <c r="C33" s="13" t="s">
        <v>348</v>
      </c>
      <c r="D33" s="13" t="s">
        <v>450</v>
      </c>
      <c r="E33" s="35" t="n">
        <v>46265.6548611111</v>
      </c>
      <c r="F33" s="13" t="s">
        <v>336</v>
      </c>
      <c r="G33" s="4" t="str">
        <f aca="false">IF($D33="","",$A33&amp;"|"&amp;$B33&amp;"|"&amp;$C33&amp;"|"&amp;$D33)</f>
        <v>46235|46265|FD-1011|Changed to the status of Fund accounting signed off</v>
      </c>
      <c r="H33" s="4" t="str">
        <f aca="false">IF($D33="","",$G33&amp;"|"&amp;TEXT($E33,"0.000000"))</f>
        <v>46235|46265|FD-1011|Changed to the status of Fund accounting signed off|46265.654861</v>
      </c>
      <c r="I33" s="29" t="n">
        <f aca="false">IF($D33="","",IF(ISNUMBER($E33),FLOOR(($E33-$B33)*24,1),""))</f>
        <v>15</v>
      </c>
      <c r="J33" s="10" t="str">
        <f aca="false">IF($D33="","",IFERROR(IF(VLOOKUP($F33,Dim_Analyst!$A:$C,3,0)="Yes","Yes","No"),"No"))</f>
        <v>Yes</v>
      </c>
    </row>
    <row r="34" customFormat="false" ht="15" hidden="false" customHeight="true" outlineLevel="0" collapsed="false">
      <c r="A34" s="34" t="n">
        <v>46235</v>
      </c>
      <c r="B34" s="34" t="n">
        <v>46265</v>
      </c>
      <c r="C34" s="13" t="s">
        <v>348</v>
      </c>
      <c r="D34" s="13" t="s">
        <v>451</v>
      </c>
      <c r="E34" s="35" t="n">
        <v>46265.6645833333</v>
      </c>
      <c r="F34" s="13" t="s">
        <v>336</v>
      </c>
      <c r="G34" s="4" t="str">
        <f aca="false">IF($D34="","",$A34&amp;"|"&amp;$B34&amp;"|"&amp;$C34&amp;"|"&amp;$D34)</f>
        <v>46235|46265|FD-1011|Changed to the status of signed off</v>
      </c>
      <c r="H34" s="4" t="str">
        <f aca="false">IF($D34="","",$G34&amp;"|"&amp;TEXT($E34,"0.000000"))</f>
        <v>46235|46265|FD-1011|Changed to the status of signed off|46265.664583</v>
      </c>
      <c r="I34" s="29" t="n">
        <f aca="false">IF($D34="","",IF(ISNUMBER($E34),FLOOR(($E34-$B34)*24,1),""))</f>
        <v>15</v>
      </c>
      <c r="J34" s="10" t="str">
        <f aca="false">IF($D34="","",IFERROR(IF(VLOOKUP($F34,Dim_Analyst!$A:$C,3,0)="Yes","Yes","No"),"No"))</f>
        <v>Yes</v>
      </c>
    </row>
    <row r="35" customFormat="false" ht="15" hidden="false" customHeight="true" outlineLevel="0" collapsed="false">
      <c r="A35" s="34" t="n">
        <v>46235</v>
      </c>
      <c r="B35" s="34" t="n">
        <v>46265</v>
      </c>
      <c r="C35" s="13" t="s">
        <v>350</v>
      </c>
      <c r="D35" s="13" t="s">
        <v>448</v>
      </c>
      <c r="E35" s="35" t="n">
        <v>46265.5409722222</v>
      </c>
      <c r="F35" s="13" t="s">
        <v>339</v>
      </c>
      <c r="G35" s="4" t="str">
        <f aca="false">IF($D35="","",$A35&amp;"|"&amp;$B35&amp;"|"&amp;$C35&amp;"|"&amp;$D35)</f>
        <v>46235|46265|FD-1012|Changed to the status of Calculated</v>
      </c>
      <c r="H35" s="4" t="str">
        <f aca="false">IF($D35="","",$G35&amp;"|"&amp;TEXT($E35,"0.000000"))</f>
        <v>46235|46265|FD-1012|Changed to the status of Calculated|46265.540972</v>
      </c>
      <c r="I35" s="29" t="n">
        <f aca="false">IF($D35="","",IF(ISNUMBER($E35),FLOOR(($E35-$B35)*24,1),""))</f>
        <v>12</v>
      </c>
      <c r="J35" s="10" t="str">
        <f aca="false">IF($D35="","",IFERROR(IF(VLOOKUP($F35,Dim_Analyst!$A:$C,3,0)="Yes","Yes","No"),"No"))</f>
        <v>Yes</v>
      </c>
    </row>
    <row r="36" customFormat="false" ht="15" hidden="false" customHeight="true" outlineLevel="0" collapsed="false">
      <c r="A36" s="34" t="n">
        <v>46235</v>
      </c>
      <c r="B36" s="34" t="n">
        <v>46265</v>
      </c>
      <c r="C36" s="13" t="s">
        <v>350</v>
      </c>
      <c r="D36" s="13" t="s">
        <v>449</v>
      </c>
      <c r="E36" s="35" t="n">
        <v>46265.5493055556</v>
      </c>
      <c r="F36" s="13" t="s">
        <v>328</v>
      </c>
      <c r="G36" s="4" t="str">
        <f aca="false">IF($D36="","",$A36&amp;"|"&amp;$B36&amp;"|"&amp;$C36&amp;"|"&amp;$D36)</f>
        <v>46235|46265|FD-1012|Changed to the status of Controlled</v>
      </c>
      <c r="H36" s="4" t="str">
        <f aca="false">IF($D36="","",$G36&amp;"|"&amp;TEXT($E36,"0.000000"))</f>
        <v>46235|46265|FD-1012|Changed to the status of Controlled|46265.549306</v>
      </c>
      <c r="I36" s="29" t="n">
        <f aca="false">IF($D36="","",IF(ISNUMBER($E36),FLOOR(($E36-$B36)*24,1),""))</f>
        <v>13</v>
      </c>
      <c r="J36" s="10" t="str">
        <f aca="false">IF($D36="","",IFERROR(IF(VLOOKUP($F36,Dim_Analyst!$A:$C,3,0)="Yes","Yes","No"),"No"))</f>
        <v>Yes</v>
      </c>
    </row>
    <row r="37" customFormat="false" ht="15" hidden="false" customHeight="true" outlineLevel="0" collapsed="false">
      <c r="A37" s="34" t="n">
        <v>46235</v>
      </c>
      <c r="B37" s="34" t="n">
        <v>46265</v>
      </c>
      <c r="C37" s="13" t="s">
        <v>350</v>
      </c>
      <c r="D37" s="13" t="s">
        <v>450</v>
      </c>
      <c r="E37" s="35" t="n">
        <v>46265.5618055556</v>
      </c>
      <c r="F37" s="13" t="s">
        <v>339</v>
      </c>
      <c r="G37" s="4" t="str">
        <f aca="false">IF($D37="","",$A37&amp;"|"&amp;$B37&amp;"|"&amp;$C37&amp;"|"&amp;$D37)</f>
        <v>46235|46265|FD-1012|Changed to the status of Fund accounting signed off</v>
      </c>
      <c r="H37" s="4" t="str">
        <f aca="false">IF($D37="","",$G37&amp;"|"&amp;TEXT($E37,"0.000000"))</f>
        <v>46235|46265|FD-1012|Changed to the status of Fund accounting signed off|46265.561806</v>
      </c>
      <c r="I37" s="29" t="n">
        <f aca="false">IF($D37="","",IF(ISNUMBER($E37),FLOOR(($E37-$B37)*24,1),""))</f>
        <v>13</v>
      </c>
      <c r="J37" s="10" t="str">
        <f aca="false">IF($D37="","",IFERROR(IF(VLOOKUP($F37,Dim_Analyst!$A:$C,3,0)="Yes","Yes","No"),"No"))</f>
        <v>Yes</v>
      </c>
    </row>
    <row r="38" customFormat="false" ht="15" hidden="false" customHeight="true" outlineLevel="0" collapsed="false">
      <c r="A38" s="34" t="n">
        <v>46235</v>
      </c>
      <c r="B38" s="34" t="n">
        <v>46265</v>
      </c>
      <c r="C38" s="13" t="s">
        <v>350</v>
      </c>
      <c r="D38" s="13" t="s">
        <v>451</v>
      </c>
      <c r="E38" s="35" t="n">
        <v>46265.5659722222</v>
      </c>
      <c r="F38" s="13" t="s">
        <v>339</v>
      </c>
      <c r="G38" s="4" t="str">
        <f aca="false">IF($D38="","",$A38&amp;"|"&amp;$B38&amp;"|"&amp;$C38&amp;"|"&amp;$D38)</f>
        <v>46235|46265|FD-1012|Changed to the status of signed off</v>
      </c>
      <c r="H38" s="4" t="str">
        <f aca="false">IF($D38="","",$G38&amp;"|"&amp;TEXT($E38,"0.000000"))</f>
        <v>46235|46265|FD-1012|Changed to the status of signed off|46265.565972</v>
      </c>
      <c r="I38" s="29" t="n">
        <f aca="false">IF($D38="","",IF(ISNUMBER($E38),FLOOR(($E38-$B38)*24,1),""))</f>
        <v>13</v>
      </c>
      <c r="J38" s="10" t="str">
        <f aca="false">IF($D38="","",IFERROR(IF(VLOOKUP($F38,Dim_Analyst!$A:$C,3,0)="Yes","Yes","No"),"No"))</f>
        <v>Yes</v>
      </c>
    </row>
    <row r="39" customFormat="false" ht="15" hidden="false" customHeight="true" outlineLevel="0" collapsed="false">
      <c r="A39" s="34" t="n">
        <v>46265</v>
      </c>
      <c r="B39" s="34" t="n">
        <v>46266</v>
      </c>
      <c r="C39" s="13" t="s">
        <v>308</v>
      </c>
      <c r="D39" s="13" t="s">
        <v>448</v>
      </c>
      <c r="E39" s="35" t="n">
        <v>46266.5958333333</v>
      </c>
      <c r="F39" s="13" t="s">
        <v>313</v>
      </c>
      <c r="G39" s="4" t="str">
        <f aca="false">IF($D39="","",$A39&amp;"|"&amp;$B39&amp;"|"&amp;$C39&amp;"|"&amp;$D39)</f>
        <v>46265|46266|FD-1001|Changed to the status of Calculated</v>
      </c>
      <c r="H39" s="4" t="str">
        <f aca="false">IF($D39="","",$G39&amp;"|"&amp;TEXT($E39,"0.000000"))</f>
        <v>46265|46266|FD-1001|Changed to the status of Calculated|46266.595833</v>
      </c>
      <c r="I39" s="29" t="n">
        <f aca="false">IF($D39="","",IF(ISNUMBER($E39),FLOOR(($E39-$B39)*24,1),""))</f>
        <v>14</v>
      </c>
      <c r="J39" s="10" t="str">
        <f aca="false">IF($D39="","",IFERROR(IF(VLOOKUP($F39,Dim_Analyst!$A:$C,3,0)="Yes","Yes","No"),"No"))</f>
        <v>Yes</v>
      </c>
    </row>
    <row r="40" customFormat="false" ht="15" hidden="false" customHeight="true" outlineLevel="0" collapsed="false">
      <c r="A40" s="34" t="n">
        <v>46265</v>
      </c>
      <c r="B40" s="34" t="n">
        <v>46266</v>
      </c>
      <c r="C40" s="13" t="s">
        <v>308</v>
      </c>
      <c r="D40" s="13" t="s">
        <v>449</v>
      </c>
      <c r="E40" s="35" t="n">
        <v>46266.6111111111</v>
      </c>
      <c r="F40" s="13" t="s">
        <v>336</v>
      </c>
      <c r="G40" s="4" t="str">
        <f aca="false">IF($D40="","",$A40&amp;"|"&amp;$B40&amp;"|"&amp;$C40&amp;"|"&amp;$D40)</f>
        <v>46265|46266|FD-1001|Changed to the status of Controlled</v>
      </c>
      <c r="H40" s="4" t="str">
        <f aca="false">IF($D40="","",$G40&amp;"|"&amp;TEXT($E40,"0.000000"))</f>
        <v>46265|46266|FD-1001|Changed to the status of Controlled|46266.611111</v>
      </c>
      <c r="I40" s="29" t="n">
        <f aca="false">IF($D40="","",IF(ISNUMBER($E40),FLOOR(($E40-$B40)*24,1),""))</f>
        <v>14</v>
      </c>
      <c r="J40" s="10" t="str">
        <f aca="false">IF($D40="","",IFERROR(IF(VLOOKUP($F40,Dim_Analyst!$A:$C,3,0)="Yes","Yes","No"),"No"))</f>
        <v>Yes</v>
      </c>
    </row>
    <row r="41" customFormat="false" ht="15" hidden="false" customHeight="true" outlineLevel="0" collapsed="false">
      <c r="A41" s="34" t="n">
        <v>46265</v>
      </c>
      <c r="B41" s="34" t="n">
        <v>46266</v>
      </c>
      <c r="C41" s="13" t="s">
        <v>308</v>
      </c>
      <c r="D41" s="13" t="s">
        <v>450</v>
      </c>
      <c r="E41" s="35" t="n">
        <v>46266.6208333333</v>
      </c>
      <c r="F41" s="13" t="s">
        <v>313</v>
      </c>
      <c r="G41" s="4" t="str">
        <f aca="false">IF($D41="","",$A41&amp;"|"&amp;$B41&amp;"|"&amp;$C41&amp;"|"&amp;$D41)</f>
        <v>46265|46266|FD-1001|Changed to the status of Fund accounting signed off</v>
      </c>
      <c r="H41" s="4" t="str">
        <f aca="false">IF($D41="","",$G41&amp;"|"&amp;TEXT($E41,"0.000000"))</f>
        <v>46265|46266|FD-1001|Changed to the status of Fund accounting signed off|46266.620833</v>
      </c>
      <c r="I41" s="29" t="n">
        <f aca="false">IF($D41="","",IF(ISNUMBER($E41),FLOOR(($E41-$B41)*24,1),""))</f>
        <v>14</v>
      </c>
      <c r="J41" s="10" t="str">
        <f aca="false">IF($D41="","",IFERROR(IF(VLOOKUP($F41,Dim_Analyst!$A:$C,3,0)="Yes","Yes","No"),"No"))</f>
        <v>Yes</v>
      </c>
    </row>
    <row r="42" customFormat="false" ht="15" hidden="false" customHeight="true" outlineLevel="0" collapsed="false">
      <c r="A42" s="34" t="n">
        <v>46265</v>
      </c>
      <c r="B42" s="34" t="n">
        <v>46266</v>
      </c>
      <c r="C42" s="13" t="s">
        <v>308</v>
      </c>
      <c r="D42" s="13" t="s">
        <v>451</v>
      </c>
      <c r="E42" s="35" t="n">
        <v>46266.6347222222</v>
      </c>
      <c r="F42" s="13" t="s">
        <v>313</v>
      </c>
      <c r="G42" s="4" t="str">
        <f aca="false">IF($D42="","",$A42&amp;"|"&amp;$B42&amp;"|"&amp;$C42&amp;"|"&amp;$D42)</f>
        <v>46265|46266|FD-1001|Changed to the status of signed off</v>
      </c>
      <c r="H42" s="4" t="str">
        <f aca="false">IF($D42="","",$G42&amp;"|"&amp;TEXT($E42,"0.000000"))</f>
        <v>46265|46266|FD-1001|Changed to the status of signed off|46266.634722</v>
      </c>
      <c r="I42" s="29" t="n">
        <f aca="false">IF($D42="","",IF(ISNUMBER($E42),FLOOR(($E42-$B42)*24,1),""))</f>
        <v>15</v>
      </c>
      <c r="J42" s="10" t="str">
        <f aca="false">IF($D42="","",IFERROR(IF(VLOOKUP($F42,Dim_Analyst!$A:$C,3,0)="Yes","Yes","No"),"No"))</f>
        <v>Yes</v>
      </c>
    </row>
    <row r="43" customFormat="false" ht="15" hidden="false" customHeight="true" outlineLevel="0" collapsed="false">
      <c r="A43" s="34" t="n">
        <v>46265</v>
      </c>
      <c r="B43" s="34" t="n">
        <v>46266</v>
      </c>
      <c r="C43" s="13" t="s">
        <v>317</v>
      </c>
      <c r="D43" s="13" t="s">
        <v>448</v>
      </c>
      <c r="E43" s="35" t="n">
        <v>46266.64375</v>
      </c>
      <c r="F43" s="13" t="s">
        <v>321</v>
      </c>
      <c r="G43" s="4" t="str">
        <f aca="false">IF($D43="","",$A43&amp;"|"&amp;$B43&amp;"|"&amp;$C43&amp;"|"&amp;$D43)</f>
        <v>46265|46266|FD-1002|Changed to the status of Calculated</v>
      </c>
      <c r="H43" s="4" t="str">
        <f aca="false">IF($D43="","",$G43&amp;"|"&amp;TEXT($E43,"0.000000"))</f>
        <v>46265|46266|FD-1002|Changed to the status of Calculated|46266.643750</v>
      </c>
      <c r="I43" s="29" t="n">
        <f aca="false">IF($D43="","",IF(ISNUMBER($E43),FLOOR(($E43-$B43)*24,1),""))</f>
        <v>15</v>
      </c>
      <c r="J43" s="10" t="str">
        <f aca="false">IF($D43="","",IFERROR(IF(VLOOKUP($F43,Dim_Analyst!$A:$C,3,0)="Yes","Yes","No"),"No"))</f>
        <v>Yes</v>
      </c>
    </row>
    <row r="44" customFormat="false" ht="15" hidden="false" customHeight="true" outlineLevel="0" collapsed="false">
      <c r="A44" s="34" t="n">
        <v>46265</v>
      </c>
      <c r="B44" s="34" t="n">
        <v>46266</v>
      </c>
      <c r="C44" s="13" t="s">
        <v>317</v>
      </c>
      <c r="D44" s="13" t="s">
        <v>449</v>
      </c>
      <c r="E44" s="35" t="n">
        <v>46266.6548611111</v>
      </c>
      <c r="F44" s="13" t="s">
        <v>339</v>
      </c>
      <c r="G44" s="4" t="str">
        <f aca="false">IF($D44="","",$A44&amp;"|"&amp;$B44&amp;"|"&amp;$C44&amp;"|"&amp;$D44)</f>
        <v>46265|46266|FD-1002|Changed to the status of Controlled</v>
      </c>
      <c r="H44" s="4" t="str">
        <f aca="false">IF($D44="","",$G44&amp;"|"&amp;TEXT($E44,"0.000000"))</f>
        <v>46265|46266|FD-1002|Changed to the status of Controlled|46266.654861</v>
      </c>
      <c r="I44" s="29" t="n">
        <f aca="false">IF($D44="","",IF(ISNUMBER($E44),FLOOR(($E44-$B44)*24,1),""))</f>
        <v>15</v>
      </c>
      <c r="J44" s="10" t="str">
        <f aca="false">IF($D44="","",IFERROR(IF(VLOOKUP($F44,Dim_Analyst!$A:$C,3,0)="Yes","Yes","No"),"No"))</f>
        <v>Yes</v>
      </c>
    </row>
    <row r="45" customFormat="false" ht="15" hidden="false" customHeight="true" outlineLevel="0" collapsed="false">
      <c r="A45" s="34" t="n">
        <v>46265</v>
      </c>
      <c r="B45" s="34" t="n">
        <v>46266</v>
      </c>
      <c r="C45" s="13" t="s">
        <v>317</v>
      </c>
      <c r="D45" s="13" t="s">
        <v>450</v>
      </c>
      <c r="E45" s="35" t="n">
        <v>46266.6631944445</v>
      </c>
      <c r="F45" s="13" t="s">
        <v>321</v>
      </c>
      <c r="G45" s="4" t="str">
        <f aca="false">IF($D45="","",$A45&amp;"|"&amp;$B45&amp;"|"&amp;$C45&amp;"|"&amp;$D45)</f>
        <v>46265|46266|FD-1002|Changed to the status of Fund accounting signed off</v>
      </c>
      <c r="H45" s="4" t="str">
        <f aca="false">IF($D45="","",$G45&amp;"|"&amp;TEXT($E45,"0.000000"))</f>
        <v>46265|46266|FD-1002|Changed to the status of Fund accounting signed off|46266.663194</v>
      </c>
      <c r="I45" s="29" t="n">
        <f aca="false">IF($D45="","",IF(ISNUMBER($E45),FLOOR(($E45-$B45)*24,1),""))</f>
        <v>15</v>
      </c>
      <c r="J45" s="10" t="str">
        <f aca="false">IF($D45="","",IFERROR(IF(VLOOKUP($F45,Dim_Analyst!$A:$C,3,0)="Yes","Yes","No"),"No"))</f>
        <v>Yes</v>
      </c>
    </row>
    <row r="46" customFormat="false" ht="15" hidden="false" customHeight="true" outlineLevel="0" collapsed="false">
      <c r="A46" s="34" t="n">
        <v>46265</v>
      </c>
      <c r="B46" s="34" t="n">
        <v>46266</v>
      </c>
      <c r="C46" s="13" t="s">
        <v>317</v>
      </c>
      <c r="D46" s="13" t="s">
        <v>451</v>
      </c>
      <c r="E46" s="35" t="n">
        <v>46266.6833333333</v>
      </c>
      <c r="F46" s="13" t="s">
        <v>321</v>
      </c>
      <c r="G46" s="4" t="str">
        <f aca="false">IF($D46="","",$A46&amp;"|"&amp;$B46&amp;"|"&amp;$C46&amp;"|"&amp;$D46)</f>
        <v>46265|46266|FD-1002|Changed to the status of signed off</v>
      </c>
      <c r="H46" s="4" t="str">
        <f aca="false">IF($D46="","",$G46&amp;"|"&amp;TEXT($E46,"0.000000"))</f>
        <v>46265|46266|FD-1002|Changed to the status of signed off|46266.683333</v>
      </c>
      <c r="I46" s="29" t="n">
        <f aca="false">IF($D46="","",IF(ISNUMBER($E46),FLOOR(($E46-$B46)*24,1),""))</f>
        <v>16</v>
      </c>
      <c r="J46" s="10" t="str">
        <f aca="false">IF($D46="","",IFERROR(IF(VLOOKUP($F46,Dim_Analyst!$A:$C,3,0)="Yes","Yes","No"),"No"))</f>
        <v>Yes</v>
      </c>
    </row>
    <row r="47" customFormat="false" ht="15" hidden="false" customHeight="true" outlineLevel="0" collapsed="false">
      <c r="A47" s="34" t="n">
        <v>46265</v>
      </c>
      <c r="B47" s="34" t="n">
        <v>46266</v>
      </c>
      <c r="C47" s="13" t="s">
        <v>324</v>
      </c>
      <c r="D47" s="13" t="s">
        <v>448</v>
      </c>
      <c r="E47" s="35" t="n">
        <v>46266.6173611111</v>
      </c>
      <c r="F47" s="13" t="s">
        <v>328</v>
      </c>
      <c r="G47" s="4" t="str">
        <f aca="false">IF($D47="","",$A47&amp;"|"&amp;$B47&amp;"|"&amp;$C47&amp;"|"&amp;$D47)</f>
        <v>46265|46266|FD-1003|Changed to the status of Calculated</v>
      </c>
      <c r="H47" s="4" t="str">
        <f aca="false">IF($D47="","",$G47&amp;"|"&amp;TEXT($E47,"0.000000"))</f>
        <v>46265|46266|FD-1003|Changed to the status of Calculated|46266.617361</v>
      </c>
      <c r="I47" s="29" t="n">
        <f aca="false">IF($D47="","",IF(ISNUMBER($E47),FLOOR(($E47-$B47)*24,1),""))</f>
        <v>14</v>
      </c>
      <c r="J47" s="10" t="str">
        <f aca="false">IF($D47="","",IFERROR(IF(VLOOKUP($F47,Dim_Analyst!$A:$C,3,0)="Yes","Yes","No"),"No"))</f>
        <v>Yes</v>
      </c>
    </row>
    <row r="48" customFormat="false" ht="15" hidden="false" customHeight="true" outlineLevel="0" collapsed="false">
      <c r="A48" s="34" t="n">
        <v>46265</v>
      </c>
      <c r="B48" s="34" t="n">
        <v>46266</v>
      </c>
      <c r="C48" s="13" t="s">
        <v>324</v>
      </c>
      <c r="D48" s="13" t="s">
        <v>449</v>
      </c>
      <c r="E48" s="35" t="n">
        <v>46266.6229166667</v>
      </c>
      <c r="F48" s="13" t="s">
        <v>321</v>
      </c>
      <c r="G48" s="4" t="str">
        <f aca="false">IF($D48="","",$A48&amp;"|"&amp;$B48&amp;"|"&amp;$C48&amp;"|"&amp;$D48)</f>
        <v>46265|46266|FD-1003|Changed to the status of Controlled</v>
      </c>
      <c r="H48" s="4" t="str">
        <f aca="false">IF($D48="","",$G48&amp;"|"&amp;TEXT($E48,"0.000000"))</f>
        <v>46265|46266|FD-1003|Changed to the status of Controlled|46266.622917</v>
      </c>
      <c r="I48" s="29" t="n">
        <f aca="false">IF($D48="","",IF(ISNUMBER($E48),FLOOR(($E48-$B48)*24,1),""))</f>
        <v>14</v>
      </c>
      <c r="J48" s="10" t="str">
        <f aca="false">IF($D48="","",IFERROR(IF(VLOOKUP($F48,Dim_Analyst!$A:$C,3,0)="Yes","Yes","No"),"No"))</f>
        <v>Yes</v>
      </c>
    </row>
    <row r="49" customFormat="false" ht="15" hidden="false" customHeight="true" outlineLevel="0" collapsed="false">
      <c r="A49" s="34" t="n">
        <v>46265</v>
      </c>
      <c r="B49" s="34" t="n">
        <v>46266</v>
      </c>
      <c r="C49" s="13" t="s">
        <v>324</v>
      </c>
      <c r="D49" s="13" t="s">
        <v>450</v>
      </c>
      <c r="E49" s="35" t="n">
        <v>46266.6277777778</v>
      </c>
      <c r="F49" s="13" t="s">
        <v>328</v>
      </c>
      <c r="G49" s="4" t="str">
        <f aca="false">IF($D49="","",$A49&amp;"|"&amp;$B49&amp;"|"&amp;$C49&amp;"|"&amp;$D49)</f>
        <v>46265|46266|FD-1003|Changed to the status of Fund accounting signed off</v>
      </c>
      <c r="H49" s="4" t="str">
        <f aca="false">IF($D49="","",$G49&amp;"|"&amp;TEXT($E49,"0.000000"))</f>
        <v>46265|46266|FD-1003|Changed to the status of Fund accounting signed off|46266.627778</v>
      </c>
      <c r="I49" s="29" t="n">
        <f aca="false">IF($D49="","",IF(ISNUMBER($E49),FLOOR(($E49-$B49)*24,1),""))</f>
        <v>15</v>
      </c>
      <c r="J49" s="10" t="str">
        <f aca="false">IF($D49="","",IFERROR(IF(VLOOKUP($F49,Dim_Analyst!$A:$C,3,0)="Yes","Yes","No"),"No"))</f>
        <v>Yes</v>
      </c>
    </row>
    <row r="50" customFormat="false" ht="15" hidden="false" customHeight="true" outlineLevel="0" collapsed="false">
      <c r="A50" s="34" t="n">
        <v>46265</v>
      </c>
      <c r="B50" s="34" t="n">
        <v>46266</v>
      </c>
      <c r="C50" s="13" t="s">
        <v>324</v>
      </c>
      <c r="D50" s="13" t="s">
        <v>451</v>
      </c>
      <c r="E50" s="35" t="n">
        <v>46266.64375</v>
      </c>
      <c r="F50" s="13" t="s">
        <v>328</v>
      </c>
      <c r="G50" s="4" t="str">
        <f aca="false">IF($D50="","",$A50&amp;"|"&amp;$B50&amp;"|"&amp;$C50&amp;"|"&amp;$D50)</f>
        <v>46265|46266|FD-1003|Changed to the status of signed off</v>
      </c>
      <c r="H50" s="4" t="str">
        <f aca="false">IF($D50="","",$G50&amp;"|"&amp;TEXT($E50,"0.000000"))</f>
        <v>46265|46266|FD-1003|Changed to the status of signed off|46266.643750</v>
      </c>
      <c r="I50" s="29" t="n">
        <f aca="false">IF($D50="","",IF(ISNUMBER($E50),FLOOR(($E50-$B50)*24,1),""))</f>
        <v>15</v>
      </c>
      <c r="J50" s="10" t="str">
        <f aca="false">IF($D50="","",IFERROR(IF(VLOOKUP($F50,Dim_Analyst!$A:$C,3,0)="Yes","Yes","No"),"No"))</f>
        <v>Yes</v>
      </c>
    </row>
    <row r="51" customFormat="false" ht="15" hidden="false" customHeight="true" outlineLevel="0" collapsed="false">
      <c r="A51" s="34" t="n">
        <v>46265</v>
      </c>
      <c r="B51" s="34" t="n">
        <v>46266</v>
      </c>
      <c r="C51" s="13" t="s">
        <v>330</v>
      </c>
      <c r="D51" s="13" t="s">
        <v>448</v>
      </c>
      <c r="E51" s="35" t="n">
        <v>46266.6604166667</v>
      </c>
      <c r="F51" s="13" t="s">
        <v>332</v>
      </c>
      <c r="G51" s="4" t="str">
        <f aca="false">IF($D51="","",$A51&amp;"|"&amp;$B51&amp;"|"&amp;$C51&amp;"|"&amp;$D51)</f>
        <v>46265|46266|FD-1004|Changed to the status of Calculated</v>
      </c>
      <c r="H51" s="4" t="str">
        <f aca="false">IF($D51="","",$G51&amp;"|"&amp;TEXT($E51,"0.000000"))</f>
        <v>46265|46266|FD-1004|Changed to the status of Calculated|46266.660417</v>
      </c>
      <c r="I51" s="29" t="n">
        <f aca="false">IF($D51="","",IF(ISNUMBER($E51),FLOOR(($E51-$B51)*24,1),""))</f>
        <v>15</v>
      </c>
      <c r="J51" s="10" t="str">
        <f aca="false">IF($D51="","",IFERROR(IF(VLOOKUP($F51,Dim_Analyst!$A:$C,3,0)="Yes","Yes","No"),"No"))</f>
        <v>Yes</v>
      </c>
    </row>
    <row r="52" customFormat="false" ht="15" hidden="false" customHeight="true" outlineLevel="0" collapsed="false">
      <c r="A52" s="34" t="n">
        <v>46265</v>
      </c>
      <c r="B52" s="34" t="n">
        <v>46266</v>
      </c>
      <c r="C52" s="13" t="s">
        <v>330</v>
      </c>
      <c r="D52" s="13" t="s">
        <v>448</v>
      </c>
      <c r="E52" s="35" t="n">
        <v>46266.7236111111</v>
      </c>
      <c r="F52" s="13" t="s">
        <v>332</v>
      </c>
      <c r="G52" s="4" t="str">
        <f aca="false">IF($D52="","",$A52&amp;"|"&amp;$B52&amp;"|"&amp;$C52&amp;"|"&amp;$D52)</f>
        <v>46265|46266|FD-1004|Changed to the status of Calculated</v>
      </c>
      <c r="H52" s="4" t="str">
        <f aca="false">IF($D52="","",$G52&amp;"|"&amp;TEXT($E52,"0.000000"))</f>
        <v>46265|46266|FD-1004|Changed to the status of Calculated|46266.723611</v>
      </c>
      <c r="I52" s="29" t="n">
        <f aca="false">IF($D52="","",IF(ISNUMBER($E52),FLOOR(($E52-$B52)*24,1),""))</f>
        <v>17</v>
      </c>
      <c r="J52" s="10" t="str">
        <f aca="false">IF($D52="","",IFERROR(IF(VLOOKUP($F52,Dim_Analyst!$A:$C,3,0)="Yes","Yes","No"),"No"))</f>
        <v>Yes</v>
      </c>
    </row>
    <row r="53" customFormat="false" ht="15" hidden="false" customHeight="true" outlineLevel="0" collapsed="false">
      <c r="A53" s="34" t="n">
        <v>46265</v>
      </c>
      <c r="B53" s="34" t="n">
        <v>46266</v>
      </c>
      <c r="C53" s="13" t="s">
        <v>330</v>
      </c>
      <c r="D53" s="13" t="s">
        <v>449</v>
      </c>
      <c r="E53" s="35" t="n">
        <v>46266.7277777778</v>
      </c>
      <c r="F53" s="13" t="s">
        <v>332</v>
      </c>
      <c r="G53" s="4" t="str">
        <f aca="false">IF($D53="","",$A53&amp;"|"&amp;$B53&amp;"|"&amp;$C53&amp;"|"&amp;$D53)</f>
        <v>46265|46266|FD-1004|Changed to the status of Controlled</v>
      </c>
      <c r="H53" s="4" t="str">
        <f aca="false">IF($D53="","",$G53&amp;"|"&amp;TEXT($E53,"0.000000"))</f>
        <v>46265|46266|FD-1004|Changed to the status of Controlled|46266.727778</v>
      </c>
      <c r="I53" s="29" t="n">
        <f aca="false">IF($D53="","",IF(ISNUMBER($E53),FLOOR(($E53-$B53)*24,1),""))</f>
        <v>17</v>
      </c>
      <c r="J53" s="10" t="str">
        <f aca="false">IF($D53="","",IFERROR(IF(VLOOKUP($F53,Dim_Analyst!$A:$C,3,0)="Yes","Yes","No"),"No"))</f>
        <v>Yes</v>
      </c>
    </row>
    <row r="54" customFormat="false" ht="15" hidden="false" customHeight="true" outlineLevel="0" collapsed="false">
      <c r="A54" s="34" t="n">
        <v>46265</v>
      </c>
      <c r="B54" s="34" t="n">
        <v>46266</v>
      </c>
      <c r="C54" s="13" t="s">
        <v>330</v>
      </c>
      <c r="D54" s="13" t="s">
        <v>450</v>
      </c>
      <c r="E54" s="35" t="n">
        <v>46266.7305555556</v>
      </c>
      <c r="F54" s="13" t="s">
        <v>332</v>
      </c>
      <c r="G54" s="4" t="str">
        <f aca="false">IF($D54="","",$A54&amp;"|"&amp;$B54&amp;"|"&amp;$C54&amp;"|"&amp;$D54)</f>
        <v>46265|46266|FD-1004|Changed to the status of Fund accounting signed off</v>
      </c>
      <c r="H54" s="4" t="str">
        <f aca="false">IF($D54="","",$G54&amp;"|"&amp;TEXT($E54,"0.000000"))</f>
        <v>46265|46266|FD-1004|Changed to the status of Fund accounting signed off|46266.730556</v>
      </c>
      <c r="I54" s="29" t="n">
        <f aca="false">IF($D54="","",IF(ISNUMBER($E54),FLOOR(($E54-$B54)*24,1),""))</f>
        <v>17</v>
      </c>
      <c r="J54" s="10" t="str">
        <f aca="false">IF($D54="","",IFERROR(IF(VLOOKUP($F54,Dim_Analyst!$A:$C,3,0)="Yes","Yes","No"),"No"))</f>
        <v>Yes</v>
      </c>
    </row>
    <row r="55" customFormat="false" ht="15" hidden="false" customHeight="true" outlineLevel="0" collapsed="false">
      <c r="A55" s="34" t="n">
        <v>46265</v>
      </c>
      <c r="B55" s="34" t="n">
        <v>46266</v>
      </c>
      <c r="C55" s="13" t="s">
        <v>330</v>
      </c>
      <c r="D55" s="13" t="s">
        <v>451</v>
      </c>
      <c r="E55" s="35" t="n">
        <v>46266.7486111111</v>
      </c>
      <c r="F55" s="13" t="s">
        <v>452</v>
      </c>
      <c r="G55" s="4" t="str">
        <f aca="false">IF($D55="","",$A55&amp;"|"&amp;$B55&amp;"|"&amp;$C55&amp;"|"&amp;$D55)</f>
        <v>46265|46266|FD-1004|Changed to the status of signed off</v>
      </c>
      <c r="H55" s="4" t="str">
        <f aca="false">IF($D55="","",$G55&amp;"|"&amp;TEXT($E55,"0.000000"))</f>
        <v>46265|46266|FD-1004|Changed to the status of signed off|46266.748611</v>
      </c>
      <c r="I55" s="29" t="n">
        <f aca="false">IF($D55="","",IF(ISNUMBER($E55),FLOOR(($E55-$B55)*24,1),""))</f>
        <v>17</v>
      </c>
      <c r="J55" s="10" t="str">
        <f aca="false">IF($D55="","",IFERROR(IF(VLOOKUP($F55,Dim_Analyst!$A:$C,3,0)="Yes","Yes","No"),"No"))</f>
        <v>No</v>
      </c>
    </row>
    <row r="56" customFormat="false" ht="15" hidden="false" customHeight="true" outlineLevel="0" collapsed="false">
      <c r="A56" s="34" t="n">
        <v>46265</v>
      </c>
      <c r="B56" s="34" t="n">
        <v>46266</v>
      </c>
      <c r="C56" s="13" t="s">
        <v>334</v>
      </c>
      <c r="D56" s="13" t="s">
        <v>448</v>
      </c>
      <c r="E56" s="35" t="n">
        <v>46266.6326388889</v>
      </c>
      <c r="F56" s="13" t="s">
        <v>336</v>
      </c>
      <c r="G56" s="4" t="str">
        <f aca="false">IF($D56="","",$A56&amp;"|"&amp;$B56&amp;"|"&amp;$C56&amp;"|"&amp;$D56)</f>
        <v>46265|46266|FD-1005|Changed to the status of Calculated</v>
      </c>
      <c r="H56" s="4" t="str">
        <f aca="false">IF($D56="","",$G56&amp;"|"&amp;TEXT($E56,"0.000000"))</f>
        <v>46265|46266|FD-1005|Changed to the status of Calculated|46266.632639</v>
      </c>
      <c r="I56" s="29" t="n">
        <f aca="false">IF($D56="","",IF(ISNUMBER($E56),FLOOR(($E56-$B56)*24,1),""))</f>
        <v>15</v>
      </c>
      <c r="J56" s="10" t="str">
        <f aca="false">IF($D56="","",IFERROR(IF(VLOOKUP($F56,Dim_Analyst!$A:$C,3,0)="Yes","Yes","No"),"No"))</f>
        <v>Yes</v>
      </c>
    </row>
    <row r="57" customFormat="false" ht="15" hidden="false" customHeight="true" outlineLevel="0" collapsed="false">
      <c r="A57" s="34" t="n">
        <v>46265</v>
      </c>
      <c r="B57" s="34" t="n">
        <v>46266</v>
      </c>
      <c r="C57" s="13" t="s">
        <v>334</v>
      </c>
      <c r="D57" s="13" t="s">
        <v>450</v>
      </c>
      <c r="E57" s="35" t="n">
        <v>46266.6423611111</v>
      </c>
      <c r="F57" s="13" t="s">
        <v>336</v>
      </c>
      <c r="G57" s="4" t="str">
        <f aca="false">IF($D57="","",$A57&amp;"|"&amp;$B57&amp;"|"&amp;$C57&amp;"|"&amp;$D57)</f>
        <v>46265|46266|FD-1005|Changed to the status of Fund accounting signed off</v>
      </c>
      <c r="H57" s="4" t="str">
        <f aca="false">IF($D57="","",$G57&amp;"|"&amp;TEXT($E57,"0.000000"))</f>
        <v>46265|46266|FD-1005|Changed to the status of Fund accounting signed off|46266.642361</v>
      </c>
      <c r="I57" s="29" t="n">
        <f aca="false">IF($D57="","",IF(ISNUMBER($E57),FLOOR(($E57-$B57)*24,1),""))</f>
        <v>15</v>
      </c>
      <c r="J57" s="10" t="str">
        <f aca="false">IF($D57="","",IFERROR(IF(VLOOKUP($F57,Dim_Analyst!$A:$C,3,0)="Yes","Yes","No"),"No"))</f>
        <v>Yes</v>
      </c>
    </row>
    <row r="58" customFormat="false" ht="15" hidden="false" customHeight="true" outlineLevel="0" collapsed="false">
      <c r="A58" s="34" t="n">
        <v>46265</v>
      </c>
      <c r="B58" s="34" t="n">
        <v>46266</v>
      </c>
      <c r="C58" s="13" t="s">
        <v>334</v>
      </c>
      <c r="D58" s="13" t="s">
        <v>451</v>
      </c>
      <c r="E58" s="35" t="n">
        <v>46266.7</v>
      </c>
      <c r="F58" s="13" t="s">
        <v>453</v>
      </c>
      <c r="G58" s="4" t="str">
        <f aca="false">IF($D58="","",$A58&amp;"|"&amp;$B58&amp;"|"&amp;$C58&amp;"|"&amp;$D58)</f>
        <v>46265|46266|FD-1005|Changed to the status of signed off</v>
      </c>
      <c r="H58" s="4" t="str">
        <f aca="false">IF($D58="","",$G58&amp;"|"&amp;TEXT($E58,"0.000000"))</f>
        <v>46265|46266|FD-1005|Changed to the status of signed off|46266.700000</v>
      </c>
      <c r="I58" s="29" t="n">
        <f aca="false">IF($D58="","",IF(ISNUMBER($E58),FLOOR(($E58-$B58)*24,1),""))</f>
        <v>16</v>
      </c>
      <c r="J58" s="10" t="str">
        <f aca="false">IF($D58="","",IFERROR(IF(VLOOKUP($F58,Dim_Analyst!$A:$C,3,0)="Yes","Yes","No"),"No"))</f>
        <v>No</v>
      </c>
    </row>
    <row r="59" customFormat="false" ht="15" hidden="false" customHeight="true" outlineLevel="0" collapsed="false">
      <c r="A59" s="34" t="n">
        <v>46265</v>
      </c>
      <c r="B59" s="34" t="n">
        <v>46266</v>
      </c>
      <c r="C59" s="13" t="s">
        <v>337</v>
      </c>
      <c r="D59" s="13" t="s">
        <v>448</v>
      </c>
      <c r="E59" s="35" t="n">
        <v>46266.6055555556</v>
      </c>
      <c r="F59" s="13" t="s">
        <v>339</v>
      </c>
      <c r="G59" s="4" t="str">
        <f aca="false">IF($D59="","",$A59&amp;"|"&amp;$B59&amp;"|"&amp;$C59&amp;"|"&amp;$D59)</f>
        <v>46265|46266|FD-1006|Changed to the status of Calculated</v>
      </c>
      <c r="H59" s="4" t="str">
        <f aca="false">IF($D59="","",$G59&amp;"|"&amp;TEXT($E59,"0.000000"))</f>
        <v>46265|46266|FD-1006|Changed to the status of Calculated|46266.605556</v>
      </c>
      <c r="I59" s="29" t="n">
        <f aca="false">IF($D59="","",IF(ISNUMBER($E59),FLOOR(($E59-$B59)*24,1),""))</f>
        <v>14</v>
      </c>
      <c r="J59" s="10" t="str">
        <f aca="false">IF($D59="","",IFERROR(IF(VLOOKUP($F59,Dim_Analyst!$A:$C,3,0)="Yes","Yes","No"),"No"))</f>
        <v>Yes</v>
      </c>
    </row>
    <row r="60" customFormat="false" ht="15" hidden="false" customHeight="true" outlineLevel="0" collapsed="false">
      <c r="A60" s="34" t="n">
        <v>46265</v>
      </c>
      <c r="B60" s="34" t="n">
        <v>46266</v>
      </c>
      <c r="C60" s="13" t="s">
        <v>337</v>
      </c>
      <c r="D60" s="13" t="s">
        <v>449</v>
      </c>
      <c r="E60" s="35" t="n">
        <v>46266.6131944444</v>
      </c>
      <c r="F60" s="13" t="s">
        <v>313</v>
      </c>
      <c r="G60" s="4" t="str">
        <f aca="false">IF($D60="","",$A60&amp;"|"&amp;$B60&amp;"|"&amp;$C60&amp;"|"&amp;$D60)</f>
        <v>46265|46266|FD-1006|Changed to the status of Controlled</v>
      </c>
      <c r="H60" s="4" t="str">
        <f aca="false">IF($D60="","",$G60&amp;"|"&amp;TEXT($E60,"0.000000"))</f>
        <v>46265|46266|FD-1006|Changed to the status of Controlled|46266.613194</v>
      </c>
      <c r="I60" s="29" t="n">
        <f aca="false">IF($D60="","",IF(ISNUMBER($E60),FLOOR(($E60-$B60)*24,1),""))</f>
        <v>14</v>
      </c>
      <c r="J60" s="10" t="str">
        <f aca="false">IF($D60="","",IFERROR(IF(VLOOKUP($F60,Dim_Analyst!$A:$C,3,0)="Yes","Yes","No"),"No"))</f>
        <v>Yes</v>
      </c>
    </row>
    <row r="61" customFormat="false" ht="15" hidden="false" customHeight="true" outlineLevel="0" collapsed="false">
      <c r="A61" s="34" t="n">
        <v>46265</v>
      </c>
      <c r="B61" s="34" t="n">
        <v>46266</v>
      </c>
      <c r="C61" s="13" t="s">
        <v>337</v>
      </c>
      <c r="D61" s="13" t="s">
        <v>450</v>
      </c>
      <c r="E61" s="35" t="n">
        <v>46266.6243055556</v>
      </c>
      <c r="F61" s="13" t="s">
        <v>339</v>
      </c>
      <c r="G61" s="4" t="str">
        <f aca="false">IF($D61="","",$A61&amp;"|"&amp;$B61&amp;"|"&amp;$C61&amp;"|"&amp;$D61)</f>
        <v>46265|46266|FD-1006|Changed to the status of Fund accounting signed off</v>
      </c>
      <c r="H61" s="4" t="str">
        <f aca="false">IF($D61="","",$G61&amp;"|"&amp;TEXT($E61,"0.000000"))</f>
        <v>46265|46266|FD-1006|Changed to the status of Fund accounting signed off|46266.624306</v>
      </c>
      <c r="I61" s="29" t="n">
        <f aca="false">IF($D61="","",IF(ISNUMBER($E61),FLOOR(($E61-$B61)*24,1),""))</f>
        <v>14</v>
      </c>
      <c r="J61" s="10" t="str">
        <f aca="false">IF($D61="","",IFERROR(IF(VLOOKUP($F61,Dim_Analyst!$A:$C,3,0)="Yes","Yes","No"),"No"))</f>
        <v>Yes</v>
      </c>
    </row>
    <row r="62" customFormat="false" ht="15" hidden="false" customHeight="true" outlineLevel="0" collapsed="false">
      <c r="A62" s="34" t="n">
        <v>46265</v>
      </c>
      <c r="B62" s="34" t="n">
        <v>46266</v>
      </c>
      <c r="C62" s="13" t="s">
        <v>337</v>
      </c>
      <c r="D62" s="13" t="s">
        <v>451</v>
      </c>
      <c r="E62" s="35" t="n">
        <v>46266.6409722222</v>
      </c>
      <c r="F62" s="13" t="s">
        <v>339</v>
      </c>
      <c r="G62" s="4" t="str">
        <f aca="false">IF($D62="","",$A62&amp;"|"&amp;$B62&amp;"|"&amp;$C62&amp;"|"&amp;$D62)</f>
        <v>46265|46266|FD-1006|Changed to the status of signed off</v>
      </c>
      <c r="H62" s="4" t="str">
        <f aca="false">IF($D62="","",$G62&amp;"|"&amp;TEXT($E62,"0.000000"))</f>
        <v>46265|46266|FD-1006|Changed to the status of signed off|46266.640972</v>
      </c>
      <c r="I62" s="29" t="n">
        <f aca="false">IF($D62="","",IF(ISNUMBER($E62),FLOOR(($E62-$B62)*24,1),""))</f>
        <v>15</v>
      </c>
      <c r="J62" s="10" t="str">
        <f aca="false">IF($D62="","",IFERROR(IF(VLOOKUP($F62,Dim_Analyst!$A:$C,3,0)="Yes","Yes","No"),"No"))</f>
        <v>Yes</v>
      </c>
    </row>
    <row r="63" customFormat="false" ht="15" hidden="false" customHeight="true" outlineLevel="0" collapsed="false">
      <c r="A63" s="34" t="n">
        <v>46265</v>
      </c>
      <c r="B63" s="34" t="n">
        <v>46266</v>
      </c>
      <c r="C63" s="13" t="s">
        <v>340</v>
      </c>
      <c r="D63" s="13" t="s">
        <v>448</v>
      </c>
      <c r="E63" s="35" t="n">
        <v>46266.65</v>
      </c>
      <c r="F63" s="13" t="s">
        <v>313</v>
      </c>
      <c r="G63" s="4" t="str">
        <f aca="false">IF($D63="","",$A63&amp;"|"&amp;$B63&amp;"|"&amp;$C63&amp;"|"&amp;$D63)</f>
        <v>46265|46266|FD-1007|Changed to the status of Calculated</v>
      </c>
      <c r="H63" s="4" t="str">
        <f aca="false">IF($D63="","",$G63&amp;"|"&amp;TEXT($E63,"0.000000"))</f>
        <v>46265|46266|FD-1007|Changed to the status of Calculated|46266.650000</v>
      </c>
      <c r="I63" s="29" t="n">
        <f aca="false">IF($D63="","",IF(ISNUMBER($E63),FLOOR(($E63-$B63)*24,1),""))</f>
        <v>15</v>
      </c>
      <c r="J63" s="10" t="str">
        <f aca="false">IF($D63="","",IFERROR(IF(VLOOKUP($F63,Dim_Analyst!$A:$C,3,0)="Yes","Yes","No"),"No"))</f>
        <v>Yes</v>
      </c>
    </row>
    <row r="64" customFormat="false" ht="15" hidden="false" customHeight="true" outlineLevel="0" collapsed="false">
      <c r="A64" s="34" t="n">
        <v>46265</v>
      </c>
      <c r="B64" s="34" t="n">
        <v>46266</v>
      </c>
      <c r="C64" s="13" t="s">
        <v>340</v>
      </c>
      <c r="D64" s="13" t="s">
        <v>448</v>
      </c>
      <c r="E64" s="35" t="n">
        <v>46266.68125</v>
      </c>
      <c r="F64" s="13" t="s">
        <v>313</v>
      </c>
      <c r="G64" s="4" t="str">
        <f aca="false">IF($D64="","",$A64&amp;"|"&amp;$B64&amp;"|"&amp;$C64&amp;"|"&amp;$D64)</f>
        <v>46265|46266|FD-1007|Changed to the status of Calculated</v>
      </c>
      <c r="H64" s="4" t="str">
        <f aca="false">IF($D64="","",$G64&amp;"|"&amp;TEXT($E64,"0.000000"))</f>
        <v>46265|46266|FD-1007|Changed to the status of Calculated|46266.681250</v>
      </c>
      <c r="I64" s="29" t="n">
        <f aca="false">IF($D64="","",IF(ISNUMBER($E64),FLOOR(($E64-$B64)*24,1),""))</f>
        <v>16</v>
      </c>
      <c r="J64" s="10" t="str">
        <f aca="false">IF($D64="","",IFERROR(IF(VLOOKUP($F64,Dim_Analyst!$A:$C,3,0)="Yes","Yes","No"),"No"))</f>
        <v>Yes</v>
      </c>
    </row>
    <row r="65" customFormat="false" ht="15" hidden="false" customHeight="true" outlineLevel="0" collapsed="false">
      <c r="A65" s="34" t="n">
        <v>46265</v>
      </c>
      <c r="B65" s="34" t="n">
        <v>46266</v>
      </c>
      <c r="C65" s="13" t="s">
        <v>340</v>
      </c>
      <c r="D65" s="13" t="s">
        <v>449</v>
      </c>
      <c r="E65" s="35" t="n">
        <v>46266.6909722222</v>
      </c>
      <c r="F65" s="13" t="s">
        <v>328</v>
      </c>
      <c r="G65" s="4" t="str">
        <f aca="false">IF($D65="","",$A65&amp;"|"&amp;$B65&amp;"|"&amp;$C65&amp;"|"&amp;$D65)</f>
        <v>46265|46266|FD-1007|Changed to the status of Controlled</v>
      </c>
      <c r="H65" s="4" t="str">
        <f aca="false">IF($D65="","",$G65&amp;"|"&amp;TEXT($E65,"0.000000"))</f>
        <v>46265|46266|FD-1007|Changed to the status of Controlled|46266.690972</v>
      </c>
      <c r="I65" s="29" t="n">
        <f aca="false">IF($D65="","",IF(ISNUMBER($E65),FLOOR(($E65-$B65)*24,1),""))</f>
        <v>16</v>
      </c>
      <c r="J65" s="10" t="str">
        <f aca="false">IF($D65="","",IFERROR(IF(VLOOKUP($F65,Dim_Analyst!$A:$C,3,0)="Yes","Yes","No"),"No"))</f>
        <v>Yes</v>
      </c>
    </row>
    <row r="66" customFormat="false" ht="15" hidden="false" customHeight="true" outlineLevel="0" collapsed="false">
      <c r="A66" s="34" t="n">
        <v>46265</v>
      </c>
      <c r="B66" s="34" t="n">
        <v>46266</v>
      </c>
      <c r="C66" s="13" t="s">
        <v>340</v>
      </c>
      <c r="D66" s="13" t="s">
        <v>450</v>
      </c>
      <c r="E66" s="35" t="n">
        <v>46266.6972222222</v>
      </c>
      <c r="F66" s="13" t="s">
        <v>313</v>
      </c>
      <c r="G66" s="4" t="str">
        <f aca="false">IF($D66="","",$A66&amp;"|"&amp;$B66&amp;"|"&amp;$C66&amp;"|"&amp;$D66)</f>
        <v>46265|46266|FD-1007|Changed to the status of Fund accounting signed off</v>
      </c>
      <c r="H66" s="4" t="str">
        <f aca="false">IF($D66="","",$G66&amp;"|"&amp;TEXT($E66,"0.000000"))</f>
        <v>46265|46266|FD-1007|Changed to the status of Fund accounting signed off|46266.697222</v>
      </c>
      <c r="I66" s="29" t="n">
        <f aca="false">IF($D66="","",IF(ISNUMBER($E66),FLOOR(($E66-$B66)*24,1),""))</f>
        <v>16</v>
      </c>
      <c r="J66" s="10" t="str">
        <f aca="false">IF($D66="","",IFERROR(IF(VLOOKUP($F66,Dim_Analyst!$A:$C,3,0)="Yes","Yes","No"),"No"))</f>
        <v>Yes</v>
      </c>
    </row>
    <row r="67" customFormat="false" ht="15" hidden="false" customHeight="true" outlineLevel="0" collapsed="false">
      <c r="A67" s="34" t="n">
        <v>46265</v>
      </c>
      <c r="B67" s="34" t="n">
        <v>46266</v>
      </c>
      <c r="C67" s="13" t="s">
        <v>340</v>
      </c>
      <c r="D67" s="13" t="s">
        <v>451</v>
      </c>
      <c r="E67" s="35" t="n">
        <v>46266.7145833333</v>
      </c>
      <c r="F67" s="13" t="s">
        <v>313</v>
      </c>
      <c r="G67" s="4" t="str">
        <f aca="false">IF($D67="","",$A67&amp;"|"&amp;$B67&amp;"|"&amp;$C67&amp;"|"&amp;$D67)</f>
        <v>46265|46266|FD-1007|Changed to the status of signed off</v>
      </c>
      <c r="H67" s="4" t="str">
        <f aca="false">IF($D67="","",$G67&amp;"|"&amp;TEXT($E67,"0.000000"))</f>
        <v>46265|46266|FD-1007|Changed to the status of signed off|46266.714583</v>
      </c>
      <c r="I67" s="29" t="n">
        <f aca="false">IF($D67="","",IF(ISNUMBER($E67),FLOOR(($E67-$B67)*24,1),""))</f>
        <v>17</v>
      </c>
      <c r="J67" s="10" t="str">
        <f aca="false">IF($D67="","",IFERROR(IF(VLOOKUP($F67,Dim_Analyst!$A:$C,3,0)="Yes","Yes","No"),"No"))</f>
        <v>Yes</v>
      </c>
    </row>
    <row r="68" customFormat="false" ht="15" hidden="false" customHeight="true" outlineLevel="0" collapsed="false">
      <c r="A68" s="34" t="n">
        <v>46264</v>
      </c>
      <c r="B68" s="34" t="n">
        <v>46266</v>
      </c>
      <c r="C68" s="13" t="s">
        <v>342</v>
      </c>
      <c r="D68" s="13" t="s">
        <v>448</v>
      </c>
      <c r="E68" s="35" t="n">
        <v>46266.5388888889</v>
      </c>
      <c r="F68" s="13" t="s">
        <v>321</v>
      </c>
      <c r="G68" s="4" t="str">
        <f aca="false">IF($D68="","",$A68&amp;"|"&amp;$B68&amp;"|"&amp;$C68&amp;"|"&amp;$D68)</f>
        <v>46264|46266|FD-1008|Changed to the status of Calculated</v>
      </c>
      <c r="H68" s="4" t="str">
        <f aca="false">IF($D68="","",$G68&amp;"|"&amp;TEXT($E68,"0.000000"))</f>
        <v>46264|46266|FD-1008|Changed to the status of Calculated|46266.538889</v>
      </c>
      <c r="I68" s="29" t="n">
        <f aca="false">IF($D68="","",IF(ISNUMBER($E68),FLOOR(($E68-$B68)*24,1),""))</f>
        <v>12</v>
      </c>
      <c r="J68" s="10" t="str">
        <f aca="false">IF($D68="","",IFERROR(IF(VLOOKUP($F68,Dim_Analyst!$A:$C,3,0)="Yes","Yes","No"),"No"))</f>
        <v>Yes</v>
      </c>
    </row>
    <row r="69" customFormat="false" ht="15" hidden="false" customHeight="true" outlineLevel="0" collapsed="false">
      <c r="A69" s="34" t="n">
        <v>46264</v>
      </c>
      <c r="B69" s="34" t="n">
        <v>46266</v>
      </c>
      <c r="C69" s="13" t="s">
        <v>342</v>
      </c>
      <c r="D69" s="13" t="s">
        <v>449</v>
      </c>
      <c r="E69" s="35" t="n">
        <v>46266.5472222222</v>
      </c>
      <c r="F69" s="13" t="s">
        <v>313</v>
      </c>
      <c r="G69" s="4" t="str">
        <f aca="false">IF($D69="","",$A69&amp;"|"&amp;$B69&amp;"|"&amp;$C69&amp;"|"&amp;$D69)</f>
        <v>46264|46266|FD-1008|Changed to the status of Controlled</v>
      </c>
      <c r="H69" s="4" t="str">
        <f aca="false">IF($D69="","",$G69&amp;"|"&amp;TEXT($E69,"0.000000"))</f>
        <v>46264|46266|FD-1008|Changed to the status of Controlled|46266.547222</v>
      </c>
      <c r="I69" s="29" t="n">
        <f aca="false">IF($D69="","",IF(ISNUMBER($E69),FLOOR(($E69-$B69)*24,1),""))</f>
        <v>13</v>
      </c>
      <c r="J69" s="10" t="str">
        <f aca="false">IF($D69="","",IFERROR(IF(VLOOKUP($F69,Dim_Analyst!$A:$C,3,0)="Yes","Yes","No"),"No"))</f>
        <v>Yes</v>
      </c>
    </row>
    <row r="70" customFormat="false" ht="15" hidden="false" customHeight="true" outlineLevel="0" collapsed="false">
      <c r="A70" s="34" t="n">
        <v>46264</v>
      </c>
      <c r="B70" s="34" t="n">
        <v>46266</v>
      </c>
      <c r="C70" s="13" t="s">
        <v>342</v>
      </c>
      <c r="D70" s="13" t="s">
        <v>450</v>
      </c>
      <c r="E70" s="35" t="n">
        <v>46266.5520833333</v>
      </c>
      <c r="F70" s="13" t="s">
        <v>321</v>
      </c>
      <c r="G70" s="4" t="str">
        <f aca="false">IF($D70="","",$A70&amp;"|"&amp;$B70&amp;"|"&amp;$C70&amp;"|"&amp;$D70)</f>
        <v>46264|46266|FD-1008|Changed to the status of Fund accounting signed off</v>
      </c>
      <c r="H70" s="4" t="str">
        <f aca="false">IF($D70="","",$G70&amp;"|"&amp;TEXT($E70,"0.000000"))</f>
        <v>46264|46266|FD-1008|Changed to the status of Fund accounting signed off|46266.552083</v>
      </c>
      <c r="I70" s="29" t="n">
        <f aca="false">IF($D70="","",IF(ISNUMBER($E70),FLOOR(($E70-$B70)*24,1),""))</f>
        <v>13</v>
      </c>
      <c r="J70" s="10" t="str">
        <f aca="false">IF($D70="","",IFERROR(IF(VLOOKUP($F70,Dim_Analyst!$A:$C,3,0)="Yes","Yes","No"),"No"))</f>
        <v>Yes</v>
      </c>
    </row>
    <row r="71" customFormat="false" ht="15" hidden="false" customHeight="true" outlineLevel="0" collapsed="false">
      <c r="A71" s="34" t="n">
        <v>46264</v>
      </c>
      <c r="B71" s="34" t="n">
        <v>46266</v>
      </c>
      <c r="C71" s="13" t="s">
        <v>342</v>
      </c>
      <c r="D71" s="13" t="s">
        <v>451</v>
      </c>
      <c r="E71" s="35" t="n">
        <v>46266.5743055556</v>
      </c>
      <c r="F71" s="13" t="s">
        <v>321</v>
      </c>
      <c r="G71" s="4" t="str">
        <f aca="false">IF($D71="","",$A71&amp;"|"&amp;$B71&amp;"|"&amp;$C71&amp;"|"&amp;$D71)</f>
        <v>46264|46266|FD-1008|Changed to the status of signed off</v>
      </c>
      <c r="H71" s="4" t="str">
        <f aca="false">IF($D71="","",$G71&amp;"|"&amp;TEXT($E71,"0.000000"))</f>
        <v>46264|46266|FD-1008|Changed to the status of signed off|46266.574306</v>
      </c>
      <c r="I71" s="29" t="n">
        <f aca="false">IF($D71="","",IF(ISNUMBER($E71),FLOOR(($E71-$B71)*24,1),""))</f>
        <v>13</v>
      </c>
      <c r="J71" s="10" t="str">
        <f aca="false">IF($D71="","",IFERROR(IF(VLOOKUP($F71,Dim_Analyst!$A:$C,3,0)="Yes","Yes","No"),"No"))</f>
        <v>Yes</v>
      </c>
    </row>
    <row r="72" customFormat="false" ht="15" hidden="false" customHeight="true" outlineLevel="0" collapsed="false">
      <c r="A72" s="34" t="n">
        <v>46264</v>
      </c>
      <c r="B72" s="34" t="n">
        <v>46266</v>
      </c>
      <c r="C72" s="13" t="s">
        <v>344</v>
      </c>
      <c r="D72" s="13" t="s">
        <v>448</v>
      </c>
      <c r="E72" s="35" t="n">
        <v>46266.5833333333</v>
      </c>
      <c r="F72" s="13" t="s">
        <v>328</v>
      </c>
      <c r="G72" s="4" t="str">
        <f aca="false">IF($D72="","",$A72&amp;"|"&amp;$B72&amp;"|"&amp;$C72&amp;"|"&amp;$D72)</f>
        <v>46264|46266|FD-1009|Changed to the status of Calculated</v>
      </c>
      <c r="H72" s="4" t="str">
        <f aca="false">IF($D72="","",$G72&amp;"|"&amp;TEXT($E72,"0.000000"))</f>
        <v>46264|46266|FD-1009|Changed to the status of Calculated|46266.583333</v>
      </c>
      <c r="I72" s="29" t="n">
        <f aca="false">IF($D72="","",IF(ISNUMBER($E72),FLOOR(($E72-$B72)*24,1),""))</f>
        <v>14</v>
      </c>
      <c r="J72" s="10" t="str">
        <f aca="false">IF($D72="","",IFERROR(IF(VLOOKUP($F72,Dim_Analyst!$A:$C,3,0)="Yes","Yes","No"),"No"))</f>
        <v>Yes</v>
      </c>
    </row>
    <row r="73" customFormat="false" ht="15" hidden="false" customHeight="true" outlineLevel="0" collapsed="false">
      <c r="A73" s="34" t="n">
        <v>46264</v>
      </c>
      <c r="B73" s="34" t="n">
        <v>46266</v>
      </c>
      <c r="C73" s="13" t="s">
        <v>344</v>
      </c>
      <c r="D73" s="13" t="s">
        <v>449</v>
      </c>
      <c r="E73" s="35" t="n">
        <v>46266.5881944444</v>
      </c>
      <c r="F73" s="13" t="s">
        <v>321</v>
      </c>
      <c r="G73" s="4" t="str">
        <f aca="false">IF($D73="","",$A73&amp;"|"&amp;$B73&amp;"|"&amp;$C73&amp;"|"&amp;$D73)</f>
        <v>46264|46266|FD-1009|Changed to the status of Controlled</v>
      </c>
      <c r="H73" s="4" t="str">
        <f aca="false">IF($D73="","",$G73&amp;"|"&amp;TEXT($E73,"0.000000"))</f>
        <v>46264|46266|FD-1009|Changed to the status of Controlled|46266.588194</v>
      </c>
      <c r="I73" s="29" t="n">
        <f aca="false">IF($D73="","",IF(ISNUMBER($E73),FLOOR(($E73-$B73)*24,1),""))</f>
        <v>14</v>
      </c>
      <c r="J73" s="10" t="str">
        <f aca="false">IF($D73="","",IFERROR(IF(VLOOKUP($F73,Dim_Analyst!$A:$C,3,0)="Yes","Yes","No"),"No"))</f>
        <v>Yes</v>
      </c>
    </row>
    <row r="74" customFormat="false" ht="15" hidden="false" customHeight="true" outlineLevel="0" collapsed="false">
      <c r="A74" s="34" t="n">
        <v>46264</v>
      </c>
      <c r="B74" s="34" t="n">
        <v>46266</v>
      </c>
      <c r="C74" s="13" t="s">
        <v>344</v>
      </c>
      <c r="D74" s="13" t="s">
        <v>450</v>
      </c>
      <c r="E74" s="35" t="n">
        <v>46266.5909722222</v>
      </c>
      <c r="F74" s="13" t="s">
        <v>328</v>
      </c>
      <c r="G74" s="4" t="str">
        <f aca="false">IF($D74="","",$A74&amp;"|"&amp;$B74&amp;"|"&amp;$C74&amp;"|"&amp;$D74)</f>
        <v>46264|46266|FD-1009|Changed to the status of Fund accounting signed off</v>
      </c>
      <c r="H74" s="4" t="str">
        <f aca="false">IF($D74="","",$G74&amp;"|"&amp;TEXT($E74,"0.000000"))</f>
        <v>46264|46266|FD-1009|Changed to the status of Fund accounting signed off|46266.590972</v>
      </c>
      <c r="I74" s="29" t="n">
        <f aca="false">IF($D74="","",IF(ISNUMBER($E74),FLOOR(($E74-$B74)*24,1),""))</f>
        <v>14</v>
      </c>
      <c r="J74" s="10" t="str">
        <f aca="false">IF($D74="","",IFERROR(IF(VLOOKUP($F74,Dim_Analyst!$A:$C,3,0)="Yes","Yes","No"),"No"))</f>
        <v>Yes</v>
      </c>
    </row>
    <row r="75" customFormat="false" ht="15" hidden="false" customHeight="true" outlineLevel="0" collapsed="false">
      <c r="A75" s="34" t="n">
        <v>46264</v>
      </c>
      <c r="B75" s="34" t="n">
        <v>46266</v>
      </c>
      <c r="C75" s="13" t="s">
        <v>344</v>
      </c>
      <c r="D75" s="13" t="s">
        <v>451</v>
      </c>
      <c r="E75" s="35" t="n">
        <v>46266.6361111111</v>
      </c>
      <c r="F75" s="13" t="s">
        <v>452</v>
      </c>
      <c r="G75" s="4" t="str">
        <f aca="false">IF($D75="","",$A75&amp;"|"&amp;$B75&amp;"|"&amp;$C75&amp;"|"&amp;$D75)</f>
        <v>46264|46266|FD-1009|Changed to the status of signed off</v>
      </c>
      <c r="H75" s="4" t="str">
        <f aca="false">IF($D75="","",$G75&amp;"|"&amp;TEXT($E75,"0.000000"))</f>
        <v>46264|46266|FD-1009|Changed to the status of signed off|46266.636111</v>
      </c>
      <c r="I75" s="29" t="n">
        <f aca="false">IF($D75="","",IF(ISNUMBER($E75),FLOOR(($E75-$B75)*24,1),""))</f>
        <v>15</v>
      </c>
      <c r="J75" s="10" t="str">
        <f aca="false">IF($D75="","",IFERROR(IF(VLOOKUP($F75,Dim_Analyst!$A:$C,3,0)="Yes","Yes","No"),"No"))</f>
        <v>No</v>
      </c>
    </row>
    <row r="76" customFormat="false" ht="15" hidden="false" customHeight="true" outlineLevel="0" collapsed="false">
      <c r="A76" s="34" t="n">
        <v>46264</v>
      </c>
      <c r="B76" s="34" t="n">
        <v>46266</v>
      </c>
      <c r="C76" s="13" t="s">
        <v>346</v>
      </c>
      <c r="D76" s="13" t="s">
        <v>448</v>
      </c>
      <c r="E76" s="35" t="n">
        <v>46266.6729166667</v>
      </c>
      <c r="F76" s="13" t="s">
        <v>332</v>
      </c>
      <c r="G76" s="4" t="str">
        <f aca="false">IF($D76="","",$A76&amp;"|"&amp;$B76&amp;"|"&amp;$C76&amp;"|"&amp;$D76)</f>
        <v>46264|46266|FD-1010|Changed to the status of Calculated</v>
      </c>
      <c r="H76" s="4" t="str">
        <f aca="false">IF($D76="","",$G76&amp;"|"&amp;TEXT($E76,"0.000000"))</f>
        <v>46264|46266|FD-1010|Changed to the status of Calculated|46266.672917</v>
      </c>
      <c r="I76" s="29" t="n">
        <f aca="false">IF($D76="","",IF(ISNUMBER($E76),FLOOR(($E76-$B76)*24,1),""))</f>
        <v>16</v>
      </c>
      <c r="J76" s="10" t="str">
        <f aca="false">IF($D76="","",IFERROR(IF(VLOOKUP($F76,Dim_Analyst!$A:$C,3,0)="Yes","Yes","No"),"No"))</f>
        <v>Yes</v>
      </c>
    </row>
    <row r="77" customFormat="false" ht="15" hidden="false" customHeight="true" outlineLevel="0" collapsed="false">
      <c r="A77" s="34" t="n">
        <v>46264</v>
      </c>
      <c r="B77" s="34" t="n">
        <v>46266</v>
      </c>
      <c r="C77" s="13" t="s">
        <v>346</v>
      </c>
      <c r="D77" s="13" t="s">
        <v>450</v>
      </c>
      <c r="E77" s="35" t="n">
        <v>46266.68125</v>
      </c>
      <c r="F77" s="13" t="s">
        <v>332</v>
      </c>
      <c r="G77" s="4" t="str">
        <f aca="false">IF($D77="","",$A77&amp;"|"&amp;$B77&amp;"|"&amp;$C77&amp;"|"&amp;$D77)</f>
        <v>46264|46266|FD-1010|Changed to the status of Fund accounting signed off</v>
      </c>
      <c r="H77" s="4" t="str">
        <f aca="false">IF($D77="","",$G77&amp;"|"&amp;TEXT($E77,"0.000000"))</f>
        <v>46264|46266|FD-1010|Changed to the status of Fund accounting signed off|46266.681250</v>
      </c>
      <c r="I77" s="29" t="n">
        <f aca="false">IF($D77="","",IF(ISNUMBER($E77),FLOOR(($E77-$B77)*24,1),""))</f>
        <v>16</v>
      </c>
      <c r="J77" s="10" t="str">
        <f aca="false">IF($D77="","",IFERROR(IF(VLOOKUP($F77,Dim_Analyst!$A:$C,3,0)="Yes","Yes","No"),"No"))</f>
        <v>Yes</v>
      </c>
    </row>
    <row r="78" customFormat="false" ht="15" hidden="false" customHeight="true" outlineLevel="0" collapsed="false">
      <c r="A78" s="34" t="n">
        <v>46264</v>
      </c>
      <c r="B78" s="34" t="n">
        <v>46266</v>
      </c>
      <c r="C78" s="13" t="s">
        <v>346</v>
      </c>
      <c r="D78" s="13" t="s">
        <v>451</v>
      </c>
      <c r="E78" s="35" t="n">
        <v>46266.7222222222</v>
      </c>
      <c r="F78" s="13" t="s">
        <v>453</v>
      </c>
      <c r="G78" s="4" t="str">
        <f aca="false">IF($D78="","",$A78&amp;"|"&amp;$B78&amp;"|"&amp;$C78&amp;"|"&amp;$D78)</f>
        <v>46264|46266|FD-1010|Changed to the status of signed off</v>
      </c>
      <c r="H78" s="4" t="str">
        <f aca="false">IF($D78="","",$G78&amp;"|"&amp;TEXT($E78,"0.000000"))</f>
        <v>46264|46266|FD-1010|Changed to the status of signed off|46266.722222</v>
      </c>
      <c r="I78" s="29" t="n">
        <f aca="false">IF($D78="","",IF(ISNUMBER($E78),FLOOR(($E78-$B78)*24,1),""))</f>
        <v>17</v>
      </c>
      <c r="J78" s="10" t="str">
        <f aca="false">IF($D78="","",IFERROR(IF(VLOOKUP($F78,Dim_Analyst!$A:$C,3,0)="Yes","Yes","No"),"No"))</f>
        <v>No</v>
      </c>
    </row>
    <row r="79" customFormat="false" ht="15" hidden="false" customHeight="true" outlineLevel="0" collapsed="false">
      <c r="A79" s="34" t="n">
        <v>46266</v>
      </c>
      <c r="B79" s="34" t="n">
        <v>46267</v>
      </c>
      <c r="C79" s="13" t="s">
        <v>308</v>
      </c>
      <c r="D79" s="13" t="s">
        <v>448</v>
      </c>
      <c r="E79" s="35" t="n">
        <v>46267.5847222222</v>
      </c>
      <c r="F79" s="13" t="s">
        <v>328</v>
      </c>
      <c r="G79" s="4" t="str">
        <f aca="false">IF($D79="","",$A79&amp;"|"&amp;$B79&amp;"|"&amp;$C79&amp;"|"&amp;$D79)</f>
        <v>46266|46267|FD-1001|Changed to the status of Calculated</v>
      </c>
      <c r="H79" s="4" t="str">
        <f aca="false">IF($D79="","",$G79&amp;"|"&amp;TEXT($E79,"0.000000"))</f>
        <v>46266|46267|FD-1001|Changed to the status of Calculated|46267.584722</v>
      </c>
      <c r="I79" s="29" t="n">
        <f aca="false">IF($D79="","",IF(ISNUMBER($E79),FLOOR(($E79-$B79)*24,1),""))</f>
        <v>14</v>
      </c>
      <c r="J79" s="10" t="str">
        <f aca="false">IF($D79="","",IFERROR(IF(VLOOKUP($F79,Dim_Analyst!$A:$C,3,0)="Yes","Yes","No"),"No"))</f>
        <v>Yes</v>
      </c>
    </row>
    <row r="80" customFormat="false" ht="15" hidden="false" customHeight="true" outlineLevel="0" collapsed="false">
      <c r="A80" s="34" t="n">
        <v>46266</v>
      </c>
      <c r="B80" s="34" t="n">
        <v>46267</v>
      </c>
      <c r="C80" s="13" t="s">
        <v>308</v>
      </c>
      <c r="D80" s="13" t="s">
        <v>449</v>
      </c>
      <c r="E80" s="35" t="n">
        <v>46267.5986111111</v>
      </c>
      <c r="F80" s="13" t="s">
        <v>339</v>
      </c>
      <c r="G80" s="4" t="str">
        <f aca="false">IF($D80="","",$A80&amp;"|"&amp;$B80&amp;"|"&amp;$C80&amp;"|"&amp;$D80)</f>
        <v>46266|46267|FD-1001|Changed to the status of Controlled</v>
      </c>
      <c r="H80" s="4" t="str">
        <f aca="false">IF($D80="","",$G80&amp;"|"&amp;TEXT($E80,"0.000000"))</f>
        <v>46266|46267|FD-1001|Changed to the status of Controlled|46267.598611</v>
      </c>
      <c r="I80" s="29" t="n">
        <f aca="false">IF($D80="","",IF(ISNUMBER($E80),FLOOR(($E80-$B80)*24,1),""))</f>
        <v>14</v>
      </c>
      <c r="J80" s="10" t="str">
        <f aca="false">IF($D80="","",IFERROR(IF(VLOOKUP($F80,Dim_Analyst!$A:$C,3,0)="Yes","Yes","No"),"No"))</f>
        <v>Yes</v>
      </c>
    </row>
    <row r="81" customFormat="false" ht="15" hidden="false" customHeight="true" outlineLevel="0" collapsed="false">
      <c r="A81" s="34" t="n">
        <v>46266</v>
      </c>
      <c r="B81" s="34" t="n">
        <v>46267</v>
      </c>
      <c r="C81" s="13" t="s">
        <v>308</v>
      </c>
      <c r="D81" s="13" t="s">
        <v>450</v>
      </c>
      <c r="E81" s="35" t="n">
        <v>46267.60625</v>
      </c>
      <c r="F81" s="13" t="s">
        <v>328</v>
      </c>
      <c r="G81" s="4" t="str">
        <f aca="false">IF($D81="","",$A81&amp;"|"&amp;$B81&amp;"|"&amp;$C81&amp;"|"&amp;$D81)</f>
        <v>46266|46267|FD-1001|Changed to the status of Fund accounting signed off</v>
      </c>
      <c r="H81" s="4" t="str">
        <f aca="false">IF($D81="","",$G81&amp;"|"&amp;TEXT($E81,"0.000000"))</f>
        <v>46266|46267|FD-1001|Changed to the status of Fund accounting signed off|46267.606250</v>
      </c>
      <c r="I81" s="29" t="n">
        <f aca="false">IF($D81="","",IF(ISNUMBER($E81),FLOOR(($E81-$B81)*24,1),""))</f>
        <v>14</v>
      </c>
      <c r="J81" s="10" t="str">
        <f aca="false">IF($D81="","",IFERROR(IF(VLOOKUP($F81,Dim_Analyst!$A:$C,3,0)="Yes","Yes","No"),"No"))</f>
        <v>Yes</v>
      </c>
    </row>
    <row r="82" customFormat="false" ht="15" hidden="false" customHeight="true" outlineLevel="0" collapsed="false">
      <c r="A82" s="34" t="n">
        <v>46266</v>
      </c>
      <c r="B82" s="34" t="n">
        <v>46267</v>
      </c>
      <c r="C82" s="13" t="s">
        <v>308</v>
      </c>
      <c r="D82" s="13" t="s">
        <v>451</v>
      </c>
      <c r="E82" s="35" t="n">
        <v>46267.6270833333</v>
      </c>
      <c r="F82" s="13" t="s">
        <v>328</v>
      </c>
      <c r="G82" s="4" t="str">
        <f aca="false">IF($D82="","",$A82&amp;"|"&amp;$B82&amp;"|"&amp;$C82&amp;"|"&amp;$D82)</f>
        <v>46266|46267|FD-1001|Changed to the status of signed off</v>
      </c>
      <c r="H82" s="4" t="str">
        <f aca="false">IF($D82="","",$G82&amp;"|"&amp;TEXT($E82,"0.000000"))</f>
        <v>46266|46267|FD-1001|Changed to the status of signed off|46267.627083</v>
      </c>
      <c r="I82" s="29" t="n">
        <f aca="false">IF($D82="","",IF(ISNUMBER($E82),FLOOR(($E82-$B82)*24,1),""))</f>
        <v>15</v>
      </c>
      <c r="J82" s="10" t="str">
        <f aca="false">IF($D82="","",IFERROR(IF(VLOOKUP($F82,Dim_Analyst!$A:$C,3,0)="Yes","Yes","No"),"No"))</f>
        <v>Yes</v>
      </c>
    </row>
    <row r="83" customFormat="false" ht="15" hidden="false" customHeight="true" outlineLevel="0" collapsed="false">
      <c r="A83" s="34" t="n">
        <v>46266</v>
      </c>
      <c r="B83" s="34" t="n">
        <v>46267</v>
      </c>
      <c r="C83" s="13" t="s">
        <v>317</v>
      </c>
      <c r="D83" s="13" t="s">
        <v>448</v>
      </c>
      <c r="E83" s="35" t="n">
        <v>46267.6138888889</v>
      </c>
      <c r="F83" s="13" t="s">
        <v>321</v>
      </c>
      <c r="G83" s="4" t="str">
        <f aca="false">IF($D83="","",$A83&amp;"|"&amp;$B83&amp;"|"&amp;$C83&amp;"|"&amp;$D83)</f>
        <v>46266|46267|FD-1002|Changed to the status of Calculated</v>
      </c>
      <c r="H83" s="4" t="str">
        <f aca="false">IF($D83="","",$G83&amp;"|"&amp;TEXT($E83,"0.000000"))</f>
        <v>46266|46267|FD-1002|Changed to the status of Calculated|46267.613889</v>
      </c>
      <c r="I83" s="29" t="n">
        <f aca="false">IF($D83="","",IF(ISNUMBER($E83),FLOOR(($E83-$B83)*24,1),""))</f>
        <v>14</v>
      </c>
      <c r="J83" s="10" t="str">
        <f aca="false">IF($D83="","",IFERROR(IF(VLOOKUP($F83,Dim_Analyst!$A:$C,3,0)="Yes","Yes","No"),"No"))</f>
        <v>Yes</v>
      </c>
    </row>
    <row r="84" customFormat="false" ht="15" hidden="false" customHeight="true" outlineLevel="0" collapsed="false">
      <c r="A84" s="34" t="n">
        <v>46266</v>
      </c>
      <c r="B84" s="34" t="n">
        <v>46267</v>
      </c>
      <c r="C84" s="13" t="s">
        <v>317</v>
      </c>
      <c r="D84" s="13" t="s">
        <v>449</v>
      </c>
      <c r="E84" s="35" t="n">
        <v>46267.6236111111</v>
      </c>
      <c r="F84" s="13" t="s">
        <v>328</v>
      </c>
      <c r="G84" s="4" t="str">
        <f aca="false">IF($D84="","",$A84&amp;"|"&amp;$B84&amp;"|"&amp;$C84&amp;"|"&amp;$D84)</f>
        <v>46266|46267|FD-1002|Changed to the status of Controlled</v>
      </c>
      <c r="H84" s="4" t="str">
        <f aca="false">IF($D84="","",$G84&amp;"|"&amp;TEXT($E84,"0.000000"))</f>
        <v>46266|46267|FD-1002|Changed to the status of Controlled|46267.623611</v>
      </c>
      <c r="I84" s="29" t="n">
        <f aca="false">IF($D84="","",IF(ISNUMBER($E84),FLOOR(($E84-$B84)*24,1),""))</f>
        <v>14</v>
      </c>
      <c r="J84" s="10" t="str">
        <f aca="false">IF($D84="","",IFERROR(IF(VLOOKUP($F84,Dim_Analyst!$A:$C,3,0)="Yes","Yes","No"),"No"))</f>
        <v>Yes</v>
      </c>
    </row>
    <row r="85" customFormat="false" ht="15" hidden="false" customHeight="true" outlineLevel="0" collapsed="false">
      <c r="A85" s="34" t="n">
        <v>46266</v>
      </c>
      <c r="B85" s="34" t="n">
        <v>46267</v>
      </c>
      <c r="C85" s="13" t="s">
        <v>317</v>
      </c>
      <c r="D85" s="13" t="s">
        <v>450</v>
      </c>
      <c r="E85" s="35" t="n">
        <v>46267.6326388889</v>
      </c>
      <c r="F85" s="13" t="s">
        <v>321</v>
      </c>
      <c r="G85" s="4" t="str">
        <f aca="false">IF($D85="","",$A85&amp;"|"&amp;$B85&amp;"|"&amp;$C85&amp;"|"&amp;$D85)</f>
        <v>46266|46267|FD-1002|Changed to the status of Fund accounting signed off</v>
      </c>
      <c r="H85" s="4" t="str">
        <f aca="false">IF($D85="","",$G85&amp;"|"&amp;TEXT($E85,"0.000000"))</f>
        <v>46266|46267|FD-1002|Changed to the status of Fund accounting signed off|46267.632639</v>
      </c>
      <c r="I85" s="29" t="n">
        <f aca="false">IF($D85="","",IF(ISNUMBER($E85),FLOOR(($E85-$B85)*24,1),""))</f>
        <v>15</v>
      </c>
      <c r="J85" s="10" t="str">
        <f aca="false">IF($D85="","",IFERROR(IF(VLOOKUP($F85,Dim_Analyst!$A:$C,3,0)="Yes","Yes","No"),"No"))</f>
        <v>Yes</v>
      </c>
    </row>
    <row r="86" customFormat="false" ht="15" hidden="false" customHeight="true" outlineLevel="0" collapsed="false">
      <c r="A86" s="34" t="n">
        <v>46266</v>
      </c>
      <c r="B86" s="34" t="n">
        <v>46267</v>
      </c>
      <c r="C86" s="13" t="s">
        <v>317</v>
      </c>
      <c r="D86" s="13" t="s">
        <v>451</v>
      </c>
      <c r="E86" s="35" t="n">
        <v>46267.6430555556</v>
      </c>
      <c r="F86" s="13" t="s">
        <v>321</v>
      </c>
      <c r="G86" s="4" t="str">
        <f aca="false">IF($D86="","",$A86&amp;"|"&amp;$B86&amp;"|"&amp;$C86&amp;"|"&amp;$D86)</f>
        <v>46266|46267|FD-1002|Changed to the status of signed off</v>
      </c>
      <c r="H86" s="4" t="str">
        <f aca="false">IF($D86="","",$G86&amp;"|"&amp;TEXT($E86,"0.000000"))</f>
        <v>46266|46267|FD-1002|Changed to the status of signed off|46267.643056</v>
      </c>
      <c r="I86" s="29" t="n">
        <f aca="false">IF($D86="","",IF(ISNUMBER($E86),FLOOR(($E86-$B86)*24,1),""))</f>
        <v>15</v>
      </c>
      <c r="J86" s="10" t="str">
        <f aca="false">IF($D86="","",IFERROR(IF(VLOOKUP($F86,Dim_Analyst!$A:$C,3,0)="Yes","Yes","No"),"No"))</f>
        <v>Yes</v>
      </c>
    </row>
    <row r="87" customFormat="false" ht="15" hidden="false" customHeight="true" outlineLevel="0" collapsed="false">
      <c r="A87" s="34" t="n">
        <v>46266</v>
      </c>
      <c r="B87" s="34" t="n">
        <v>46267</v>
      </c>
      <c r="C87" s="13" t="s">
        <v>324</v>
      </c>
      <c r="D87" s="13" t="s">
        <v>448</v>
      </c>
      <c r="E87" s="35" t="n">
        <v>46267.5159722222</v>
      </c>
      <c r="F87" s="13" t="s">
        <v>328</v>
      </c>
      <c r="G87" s="4" t="str">
        <f aca="false">IF($D87="","",$A87&amp;"|"&amp;$B87&amp;"|"&amp;$C87&amp;"|"&amp;$D87)</f>
        <v>46266|46267|FD-1003|Changed to the status of Calculated</v>
      </c>
      <c r="H87" s="4" t="str">
        <f aca="false">IF($D87="","",$G87&amp;"|"&amp;TEXT($E87,"0.000000"))</f>
        <v>46266|46267|FD-1003|Changed to the status of Calculated|46267.515972</v>
      </c>
      <c r="I87" s="29" t="n">
        <f aca="false">IF($D87="","",IF(ISNUMBER($E87),FLOOR(($E87-$B87)*24,1),""))</f>
        <v>12</v>
      </c>
      <c r="J87" s="10" t="str">
        <f aca="false">IF($D87="","",IFERROR(IF(VLOOKUP($F87,Dim_Analyst!$A:$C,3,0)="Yes","Yes","No"),"No"))</f>
        <v>Yes</v>
      </c>
    </row>
    <row r="88" customFormat="false" ht="15" hidden="false" customHeight="true" outlineLevel="0" collapsed="false">
      <c r="A88" s="34" t="n">
        <v>46266</v>
      </c>
      <c r="B88" s="34" t="n">
        <v>46267</v>
      </c>
      <c r="C88" s="13" t="s">
        <v>324</v>
      </c>
      <c r="D88" s="13" t="s">
        <v>449</v>
      </c>
      <c r="E88" s="35" t="n">
        <v>46267.525</v>
      </c>
      <c r="F88" s="13" t="s">
        <v>336</v>
      </c>
      <c r="G88" s="4" t="str">
        <f aca="false">IF($D88="","",$A88&amp;"|"&amp;$B88&amp;"|"&amp;$C88&amp;"|"&amp;$D88)</f>
        <v>46266|46267|FD-1003|Changed to the status of Controlled</v>
      </c>
      <c r="H88" s="4" t="str">
        <f aca="false">IF($D88="","",$G88&amp;"|"&amp;TEXT($E88,"0.000000"))</f>
        <v>46266|46267|FD-1003|Changed to the status of Controlled|46267.525000</v>
      </c>
      <c r="I88" s="29" t="n">
        <f aca="false">IF($D88="","",IF(ISNUMBER($E88),FLOOR(($E88-$B88)*24,1),""))</f>
        <v>12</v>
      </c>
      <c r="J88" s="10" t="str">
        <f aca="false">IF($D88="","",IFERROR(IF(VLOOKUP($F88,Dim_Analyst!$A:$C,3,0)="Yes","Yes","No"),"No"))</f>
        <v>Yes</v>
      </c>
    </row>
    <row r="89" customFormat="false" ht="15" hidden="false" customHeight="true" outlineLevel="0" collapsed="false">
      <c r="A89" s="34" t="n">
        <v>46266</v>
      </c>
      <c r="B89" s="34" t="n">
        <v>46267</v>
      </c>
      <c r="C89" s="13" t="s">
        <v>324</v>
      </c>
      <c r="D89" s="13" t="s">
        <v>450</v>
      </c>
      <c r="E89" s="35" t="n">
        <v>46267.5326388889</v>
      </c>
      <c r="F89" s="13" t="s">
        <v>328</v>
      </c>
      <c r="G89" s="4" t="str">
        <f aca="false">IF($D89="","",$A89&amp;"|"&amp;$B89&amp;"|"&amp;$C89&amp;"|"&amp;$D89)</f>
        <v>46266|46267|FD-1003|Changed to the status of Fund accounting signed off</v>
      </c>
      <c r="H89" s="4" t="str">
        <f aca="false">IF($D89="","",$G89&amp;"|"&amp;TEXT($E89,"0.000000"))</f>
        <v>46266|46267|FD-1003|Changed to the status of Fund accounting signed off|46267.532639</v>
      </c>
      <c r="I89" s="29" t="n">
        <f aca="false">IF($D89="","",IF(ISNUMBER($E89),FLOOR(($E89-$B89)*24,1),""))</f>
        <v>12</v>
      </c>
      <c r="J89" s="10" t="str">
        <f aca="false">IF($D89="","",IFERROR(IF(VLOOKUP($F89,Dim_Analyst!$A:$C,3,0)="Yes","Yes","No"),"No"))</f>
        <v>Yes</v>
      </c>
    </row>
    <row r="90" customFormat="false" ht="15" hidden="false" customHeight="true" outlineLevel="0" collapsed="false">
      <c r="A90" s="34" t="n">
        <v>46266</v>
      </c>
      <c r="B90" s="34" t="n">
        <v>46267</v>
      </c>
      <c r="C90" s="13" t="s">
        <v>324</v>
      </c>
      <c r="D90" s="13" t="s">
        <v>451</v>
      </c>
      <c r="E90" s="35" t="n">
        <v>46267.5381944445</v>
      </c>
      <c r="F90" s="13" t="s">
        <v>328</v>
      </c>
      <c r="G90" s="4" t="str">
        <f aca="false">IF($D90="","",$A90&amp;"|"&amp;$B90&amp;"|"&amp;$C90&amp;"|"&amp;$D90)</f>
        <v>46266|46267|FD-1003|Changed to the status of signed off</v>
      </c>
      <c r="H90" s="4" t="str">
        <f aca="false">IF($D90="","",$G90&amp;"|"&amp;TEXT($E90,"0.000000"))</f>
        <v>46266|46267|FD-1003|Changed to the status of signed off|46267.538194</v>
      </c>
      <c r="I90" s="29" t="n">
        <f aca="false">IF($D90="","",IF(ISNUMBER($E90),FLOOR(($E90-$B90)*24,1),""))</f>
        <v>12</v>
      </c>
      <c r="J90" s="10" t="str">
        <f aca="false">IF($D90="","",IFERROR(IF(VLOOKUP($F90,Dim_Analyst!$A:$C,3,0)="Yes","Yes","No"),"No"))</f>
        <v>Yes</v>
      </c>
    </row>
    <row r="91" customFormat="false" ht="15" hidden="false" customHeight="true" outlineLevel="0" collapsed="false">
      <c r="A91" s="34" t="n">
        <v>46266</v>
      </c>
      <c r="B91" s="34" t="n">
        <v>46267</v>
      </c>
      <c r="C91" s="13" t="s">
        <v>330</v>
      </c>
      <c r="D91" s="13" t="s">
        <v>448</v>
      </c>
      <c r="E91" s="35" t="n">
        <v>46267.6604166667</v>
      </c>
      <c r="F91" s="13" t="s">
        <v>332</v>
      </c>
      <c r="G91" s="4" t="str">
        <f aca="false">IF($D91="","",$A91&amp;"|"&amp;$B91&amp;"|"&amp;$C91&amp;"|"&amp;$D91)</f>
        <v>46266|46267|FD-1004|Changed to the status of Calculated</v>
      </c>
      <c r="H91" s="4" t="str">
        <f aca="false">IF($D91="","",$G91&amp;"|"&amp;TEXT($E91,"0.000000"))</f>
        <v>46266|46267|FD-1004|Changed to the status of Calculated|46267.660417</v>
      </c>
      <c r="I91" s="29" t="n">
        <f aca="false">IF($D91="","",IF(ISNUMBER($E91),FLOOR(($E91-$B91)*24,1),""))</f>
        <v>15</v>
      </c>
      <c r="J91" s="10" t="str">
        <f aca="false">IF($D91="","",IFERROR(IF(VLOOKUP($F91,Dim_Analyst!$A:$C,3,0)="Yes","Yes","No"),"No"))</f>
        <v>Yes</v>
      </c>
    </row>
    <row r="92" customFormat="false" ht="15" hidden="false" customHeight="true" outlineLevel="0" collapsed="false">
      <c r="A92" s="34" t="n">
        <v>46266</v>
      </c>
      <c r="B92" s="34" t="n">
        <v>46267</v>
      </c>
      <c r="C92" s="13" t="s">
        <v>330</v>
      </c>
      <c r="D92" s="13" t="s">
        <v>448</v>
      </c>
      <c r="E92" s="35" t="n">
        <v>46267.7006944444</v>
      </c>
      <c r="F92" s="13" t="s">
        <v>332</v>
      </c>
      <c r="G92" s="4" t="str">
        <f aca="false">IF($D92="","",$A92&amp;"|"&amp;$B92&amp;"|"&amp;$C92&amp;"|"&amp;$D92)</f>
        <v>46266|46267|FD-1004|Changed to the status of Calculated</v>
      </c>
      <c r="H92" s="4" t="str">
        <f aca="false">IF($D92="","",$G92&amp;"|"&amp;TEXT($E92,"0.000000"))</f>
        <v>46266|46267|FD-1004|Changed to the status of Calculated|46267.700694</v>
      </c>
      <c r="I92" s="29" t="n">
        <f aca="false">IF($D92="","",IF(ISNUMBER($E92),FLOOR(($E92-$B92)*24,1),""))</f>
        <v>16</v>
      </c>
      <c r="J92" s="10" t="str">
        <f aca="false">IF($D92="","",IFERROR(IF(VLOOKUP($F92,Dim_Analyst!$A:$C,3,0)="Yes","Yes","No"),"No"))</f>
        <v>Yes</v>
      </c>
    </row>
    <row r="93" customFormat="false" ht="15" hidden="false" customHeight="true" outlineLevel="0" collapsed="false">
      <c r="A93" s="34" t="n">
        <v>46266</v>
      </c>
      <c r="B93" s="34" t="n">
        <v>46267</v>
      </c>
      <c r="C93" s="13" t="s">
        <v>330</v>
      </c>
      <c r="D93" s="13" t="s">
        <v>449</v>
      </c>
      <c r="E93" s="35" t="n">
        <v>46267.70625</v>
      </c>
      <c r="F93" s="13" t="s">
        <v>339</v>
      </c>
      <c r="G93" s="4" t="str">
        <f aca="false">IF($D93="","",$A93&amp;"|"&amp;$B93&amp;"|"&amp;$C93&amp;"|"&amp;$D93)</f>
        <v>46266|46267|FD-1004|Changed to the status of Controlled</v>
      </c>
      <c r="H93" s="4" t="str">
        <f aca="false">IF($D93="","",$G93&amp;"|"&amp;TEXT($E93,"0.000000"))</f>
        <v>46266|46267|FD-1004|Changed to the status of Controlled|46267.706250</v>
      </c>
      <c r="I93" s="29" t="n">
        <f aca="false">IF($D93="","",IF(ISNUMBER($E93),FLOOR(($E93-$B93)*24,1),""))</f>
        <v>16</v>
      </c>
      <c r="J93" s="10" t="str">
        <f aca="false">IF($D93="","",IFERROR(IF(VLOOKUP($F93,Dim_Analyst!$A:$C,3,0)="Yes","Yes","No"),"No"))</f>
        <v>Yes</v>
      </c>
    </row>
    <row r="94" customFormat="false" ht="15" hidden="false" customHeight="true" outlineLevel="0" collapsed="false">
      <c r="A94" s="34" t="n">
        <v>46266</v>
      </c>
      <c r="B94" s="34" t="n">
        <v>46267</v>
      </c>
      <c r="C94" s="13" t="s">
        <v>330</v>
      </c>
      <c r="D94" s="13" t="s">
        <v>450</v>
      </c>
      <c r="E94" s="35" t="n">
        <v>46267.7131944444</v>
      </c>
      <c r="F94" s="13" t="s">
        <v>332</v>
      </c>
      <c r="G94" s="4" t="str">
        <f aca="false">IF($D94="","",$A94&amp;"|"&amp;$B94&amp;"|"&amp;$C94&amp;"|"&amp;$D94)</f>
        <v>46266|46267|FD-1004|Changed to the status of Fund accounting signed off</v>
      </c>
      <c r="H94" s="4" t="str">
        <f aca="false">IF($D94="","",$G94&amp;"|"&amp;TEXT($E94,"0.000000"))</f>
        <v>46266|46267|FD-1004|Changed to the status of Fund accounting signed off|46267.713194</v>
      </c>
      <c r="I94" s="29" t="n">
        <f aca="false">IF($D94="","",IF(ISNUMBER($E94),FLOOR(($E94-$B94)*24,1),""))</f>
        <v>17</v>
      </c>
      <c r="J94" s="10" t="str">
        <f aca="false">IF($D94="","",IFERROR(IF(VLOOKUP($F94,Dim_Analyst!$A:$C,3,0)="Yes","Yes","No"),"No"))</f>
        <v>Yes</v>
      </c>
    </row>
    <row r="95" customFormat="false" ht="15" hidden="false" customHeight="true" outlineLevel="0" collapsed="false">
      <c r="A95" s="34" t="n">
        <v>46266</v>
      </c>
      <c r="B95" s="34" t="n">
        <v>46267</v>
      </c>
      <c r="C95" s="13" t="s">
        <v>330</v>
      </c>
      <c r="D95" s="13" t="s">
        <v>451</v>
      </c>
      <c r="E95" s="35" t="n">
        <v>46267.7513888889</v>
      </c>
      <c r="F95" s="13" t="s">
        <v>452</v>
      </c>
      <c r="G95" s="4" t="str">
        <f aca="false">IF($D95="","",$A95&amp;"|"&amp;$B95&amp;"|"&amp;$C95&amp;"|"&amp;$D95)</f>
        <v>46266|46267|FD-1004|Changed to the status of signed off</v>
      </c>
      <c r="H95" s="4" t="str">
        <f aca="false">IF($D95="","",$G95&amp;"|"&amp;TEXT($E95,"0.000000"))</f>
        <v>46266|46267|FD-1004|Changed to the status of signed off|46267.751389</v>
      </c>
      <c r="I95" s="29" t="n">
        <f aca="false">IF($D95="","",IF(ISNUMBER($E95),FLOOR(($E95-$B95)*24,1),""))</f>
        <v>18</v>
      </c>
      <c r="J95" s="10" t="str">
        <f aca="false">IF($D95="","",IFERROR(IF(VLOOKUP($F95,Dim_Analyst!$A:$C,3,0)="Yes","Yes","No"),"No"))</f>
        <v>No</v>
      </c>
    </row>
    <row r="96" customFormat="false" ht="15" hidden="false" customHeight="true" outlineLevel="0" collapsed="false">
      <c r="A96" s="34" t="n">
        <v>46266</v>
      </c>
      <c r="B96" s="34" t="n">
        <v>46267</v>
      </c>
      <c r="C96" s="13" t="s">
        <v>334</v>
      </c>
      <c r="D96" s="13" t="s">
        <v>448</v>
      </c>
      <c r="E96" s="35" t="n">
        <v>46267.5895833333</v>
      </c>
      <c r="F96" s="13" t="s">
        <v>336</v>
      </c>
      <c r="G96" s="4" t="str">
        <f aca="false">IF($D96="","",$A96&amp;"|"&amp;$B96&amp;"|"&amp;$C96&amp;"|"&amp;$D96)</f>
        <v>46266|46267|FD-1005|Changed to the status of Calculated</v>
      </c>
      <c r="H96" s="4" t="str">
        <f aca="false">IF($D96="","",$G96&amp;"|"&amp;TEXT($E96,"0.000000"))</f>
        <v>46266|46267|FD-1005|Changed to the status of Calculated|46267.589583</v>
      </c>
      <c r="I96" s="29" t="n">
        <f aca="false">IF($D96="","",IF(ISNUMBER($E96),FLOOR(($E96-$B96)*24,1),""))</f>
        <v>14</v>
      </c>
      <c r="J96" s="10" t="str">
        <f aca="false">IF($D96="","",IFERROR(IF(VLOOKUP($F96,Dim_Analyst!$A:$C,3,0)="Yes","Yes","No"),"No"))</f>
        <v>Yes</v>
      </c>
    </row>
    <row r="97" customFormat="false" ht="15" hidden="false" customHeight="true" outlineLevel="0" collapsed="false">
      <c r="A97" s="34" t="n">
        <v>46266</v>
      </c>
      <c r="B97" s="34" t="n">
        <v>46267</v>
      </c>
      <c r="C97" s="13" t="s">
        <v>334</v>
      </c>
      <c r="D97" s="13" t="s">
        <v>448</v>
      </c>
      <c r="E97" s="35" t="n">
        <v>46267.6520833333</v>
      </c>
      <c r="F97" s="13" t="s">
        <v>336</v>
      </c>
      <c r="G97" s="4" t="str">
        <f aca="false">IF($D97="","",$A97&amp;"|"&amp;$B97&amp;"|"&amp;$C97&amp;"|"&amp;$D97)</f>
        <v>46266|46267|FD-1005|Changed to the status of Calculated</v>
      </c>
      <c r="H97" s="4" t="str">
        <f aca="false">IF($D97="","",$G97&amp;"|"&amp;TEXT($E97,"0.000000"))</f>
        <v>46266|46267|FD-1005|Changed to the status of Calculated|46267.652083</v>
      </c>
      <c r="I97" s="29" t="n">
        <f aca="false">IF($D97="","",IF(ISNUMBER($E97),FLOOR(($E97-$B97)*24,1),""))</f>
        <v>15</v>
      </c>
      <c r="J97" s="10" t="str">
        <f aca="false">IF($D97="","",IFERROR(IF(VLOOKUP($F97,Dim_Analyst!$A:$C,3,0)="Yes","Yes","No"),"No"))</f>
        <v>Yes</v>
      </c>
    </row>
    <row r="98" customFormat="false" ht="15" hidden="false" customHeight="true" outlineLevel="0" collapsed="false">
      <c r="A98" s="34" t="n">
        <v>46266</v>
      </c>
      <c r="B98" s="34" t="n">
        <v>46267</v>
      </c>
      <c r="C98" s="13" t="s">
        <v>334</v>
      </c>
      <c r="D98" s="13" t="s">
        <v>450</v>
      </c>
      <c r="E98" s="35" t="n">
        <v>46267.6743055556</v>
      </c>
      <c r="F98" s="13" t="s">
        <v>336</v>
      </c>
      <c r="G98" s="4" t="str">
        <f aca="false">IF($D98="","",$A98&amp;"|"&amp;$B98&amp;"|"&amp;$C98&amp;"|"&amp;$D98)</f>
        <v>46266|46267|FD-1005|Changed to the status of Fund accounting signed off</v>
      </c>
      <c r="H98" s="4" t="str">
        <f aca="false">IF($D98="","",$G98&amp;"|"&amp;TEXT($E98,"0.000000"))</f>
        <v>46266|46267|FD-1005|Changed to the status of Fund accounting signed off|46267.674306</v>
      </c>
      <c r="I98" s="29" t="n">
        <f aca="false">IF($D98="","",IF(ISNUMBER($E98),FLOOR(($E98-$B98)*24,1),""))</f>
        <v>16</v>
      </c>
      <c r="J98" s="10" t="str">
        <f aca="false">IF($D98="","",IFERROR(IF(VLOOKUP($F98,Dim_Analyst!$A:$C,3,0)="Yes","Yes","No"),"No"))</f>
        <v>Yes</v>
      </c>
    </row>
    <row r="99" customFormat="false" ht="15" hidden="false" customHeight="true" outlineLevel="0" collapsed="false">
      <c r="A99" s="34" t="n">
        <v>46266</v>
      </c>
      <c r="B99" s="34" t="n">
        <v>46267</v>
      </c>
      <c r="C99" s="13" t="s">
        <v>334</v>
      </c>
      <c r="D99" s="13" t="s">
        <v>451</v>
      </c>
      <c r="E99" s="35" t="n">
        <v>46267.7256944445</v>
      </c>
      <c r="F99" s="13" t="s">
        <v>453</v>
      </c>
      <c r="G99" s="4" t="str">
        <f aca="false">IF($D99="","",$A99&amp;"|"&amp;$B99&amp;"|"&amp;$C99&amp;"|"&amp;$D99)</f>
        <v>46266|46267|FD-1005|Changed to the status of signed off</v>
      </c>
      <c r="H99" s="4" t="str">
        <f aca="false">IF($D99="","",$G99&amp;"|"&amp;TEXT($E99,"0.000000"))</f>
        <v>46266|46267|FD-1005|Changed to the status of signed off|46267.725694</v>
      </c>
      <c r="I99" s="29" t="n">
        <f aca="false">IF($D99="","",IF(ISNUMBER($E99),FLOOR(($E99-$B99)*24,1),""))</f>
        <v>17</v>
      </c>
      <c r="J99" s="10" t="str">
        <f aca="false">IF($D99="","",IFERROR(IF(VLOOKUP($F99,Dim_Analyst!$A:$C,3,0)="Yes","Yes","No"),"No"))</f>
        <v>No</v>
      </c>
    </row>
    <row r="100" customFormat="false" ht="15" hidden="false" customHeight="true" outlineLevel="0" collapsed="false">
      <c r="A100" s="34" t="n">
        <v>46266</v>
      </c>
      <c r="B100" s="34" t="n">
        <v>46267</v>
      </c>
      <c r="C100" s="13" t="s">
        <v>337</v>
      </c>
      <c r="D100" s="13" t="s">
        <v>448</v>
      </c>
      <c r="E100" s="35" t="n">
        <v>46267.6611111111</v>
      </c>
      <c r="F100" s="13" t="s">
        <v>339</v>
      </c>
      <c r="G100" s="4" t="str">
        <f aca="false">IF($D100="","",$A100&amp;"|"&amp;$B100&amp;"|"&amp;$C100&amp;"|"&amp;$D100)</f>
        <v>46266|46267|FD-1006|Changed to the status of Calculated</v>
      </c>
      <c r="H100" s="4" t="str">
        <f aca="false">IF($D100="","",$G100&amp;"|"&amp;TEXT($E100,"0.000000"))</f>
        <v>46266|46267|FD-1006|Changed to the status of Calculated|46267.661111</v>
      </c>
      <c r="I100" s="29" t="n">
        <f aca="false">IF($D100="","",IF(ISNUMBER($E100),FLOOR(($E100-$B100)*24,1),""))</f>
        <v>15</v>
      </c>
      <c r="J100" s="10" t="str">
        <f aca="false">IF($D100="","",IFERROR(IF(VLOOKUP($F100,Dim_Analyst!$A:$C,3,0)="Yes","Yes","No"),"No"))</f>
        <v>Yes</v>
      </c>
    </row>
    <row r="101" customFormat="false" ht="15" hidden="false" customHeight="true" outlineLevel="0" collapsed="false">
      <c r="A101" s="34" t="n">
        <v>46266</v>
      </c>
      <c r="B101" s="34" t="n">
        <v>46267</v>
      </c>
      <c r="C101" s="13" t="s">
        <v>337</v>
      </c>
      <c r="D101" s="13" t="s">
        <v>449</v>
      </c>
      <c r="E101" s="35" t="n">
        <v>46267.6673611111</v>
      </c>
      <c r="F101" s="13" t="s">
        <v>313</v>
      </c>
      <c r="G101" s="4" t="str">
        <f aca="false">IF($D101="","",$A101&amp;"|"&amp;$B101&amp;"|"&amp;$C101&amp;"|"&amp;$D101)</f>
        <v>46266|46267|FD-1006|Changed to the status of Controlled</v>
      </c>
      <c r="H101" s="4" t="str">
        <f aca="false">IF($D101="","",$G101&amp;"|"&amp;TEXT($E101,"0.000000"))</f>
        <v>46266|46267|FD-1006|Changed to the status of Controlled|46267.667361</v>
      </c>
      <c r="I101" s="29" t="n">
        <f aca="false">IF($D101="","",IF(ISNUMBER($E101),FLOOR(($E101-$B101)*24,1),""))</f>
        <v>16</v>
      </c>
      <c r="J101" s="10" t="str">
        <f aca="false">IF($D101="","",IFERROR(IF(VLOOKUP($F101,Dim_Analyst!$A:$C,3,0)="Yes","Yes","No"),"No"))</f>
        <v>Yes</v>
      </c>
    </row>
    <row r="102" customFormat="false" ht="15" hidden="false" customHeight="true" outlineLevel="0" collapsed="false">
      <c r="A102" s="34" t="n">
        <v>46266</v>
      </c>
      <c r="B102" s="34" t="n">
        <v>46267</v>
      </c>
      <c r="C102" s="13" t="s">
        <v>337</v>
      </c>
      <c r="D102" s="13" t="s">
        <v>450</v>
      </c>
      <c r="E102" s="35" t="n">
        <v>46267.6798611111</v>
      </c>
      <c r="F102" s="13" t="s">
        <v>339</v>
      </c>
      <c r="G102" s="4" t="str">
        <f aca="false">IF($D102="","",$A102&amp;"|"&amp;$B102&amp;"|"&amp;$C102&amp;"|"&amp;$D102)</f>
        <v>46266|46267|FD-1006|Changed to the status of Fund accounting signed off</v>
      </c>
      <c r="H102" s="4" t="str">
        <f aca="false">IF($D102="","",$G102&amp;"|"&amp;TEXT($E102,"0.000000"))</f>
        <v>46266|46267|FD-1006|Changed to the status of Fund accounting signed off|46267.679861</v>
      </c>
      <c r="I102" s="29" t="n">
        <f aca="false">IF($D102="","",IF(ISNUMBER($E102),FLOOR(($E102-$B102)*24,1),""))</f>
        <v>16</v>
      </c>
      <c r="J102" s="10" t="str">
        <f aca="false">IF($D102="","",IFERROR(IF(VLOOKUP($F102,Dim_Analyst!$A:$C,3,0)="Yes","Yes","No"),"No"))</f>
        <v>Yes</v>
      </c>
    </row>
    <row r="103" customFormat="false" ht="15" hidden="false" customHeight="true" outlineLevel="0" collapsed="false">
      <c r="A103" s="34" t="n">
        <v>46266</v>
      </c>
      <c r="B103" s="34" t="n">
        <v>46267</v>
      </c>
      <c r="C103" s="13" t="s">
        <v>337</v>
      </c>
      <c r="D103" s="13" t="s">
        <v>451</v>
      </c>
      <c r="E103" s="35" t="n">
        <v>46267.6965277778</v>
      </c>
      <c r="F103" s="13" t="s">
        <v>339</v>
      </c>
      <c r="G103" s="4" t="str">
        <f aca="false">IF($D103="","",$A103&amp;"|"&amp;$B103&amp;"|"&amp;$C103&amp;"|"&amp;$D103)</f>
        <v>46266|46267|FD-1006|Changed to the status of signed off</v>
      </c>
      <c r="H103" s="4" t="str">
        <f aca="false">IF($D103="","",$G103&amp;"|"&amp;TEXT($E103,"0.000000"))</f>
        <v>46266|46267|FD-1006|Changed to the status of signed off|46267.696528</v>
      </c>
      <c r="I103" s="29" t="n">
        <f aca="false">IF($D103="","",IF(ISNUMBER($E103),FLOOR(($E103-$B103)*24,1),""))</f>
        <v>16</v>
      </c>
      <c r="J103" s="10" t="str">
        <f aca="false">IF($D103="","",IFERROR(IF(VLOOKUP($F103,Dim_Analyst!$A:$C,3,0)="Yes","Yes","No"),"No"))</f>
        <v>Yes</v>
      </c>
    </row>
    <row r="104" customFormat="false" ht="15" hidden="false" customHeight="true" outlineLevel="0" collapsed="false">
      <c r="A104" s="34" t="n">
        <v>46266</v>
      </c>
      <c r="B104" s="34" t="n">
        <v>46267</v>
      </c>
      <c r="C104" s="13" t="s">
        <v>340</v>
      </c>
      <c r="D104" s="13" t="s">
        <v>448</v>
      </c>
      <c r="E104" s="35" t="n">
        <v>46267.6534722222</v>
      </c>
      <c r="F104" s="13" t="s">
        <v>313</v>
      </c>
      <c r="G104" s="4" t="str">
        <f aca="false">IF($D104="","",$A104&amp;"|"&amp;$B104&amp;"|"&amp;$C104&amp;"|"&amp;$D104)</f>
        <v>46266|46267|FD-1007|Changed to the status of Calculated</v>
      </c>
      <c r="H104" s="4" t="str">
        <f aca="false">IF($D104="","",$G104&amp;"|"&amp;TEXT($E104,"0.000000"))</f>
        <v>46266|46267|FD-1007|Changed to the status of Calculated|46267.653472</v>
      </c>
      <c r="I104" s="29" t="n">
        <f aca="false">IF($D104="","",IF(ISNUMBER($E104),FLOOR(($E104-$B104)*24,1),""))</f>
        <v>15</v>
      </c>
      <c r="J104" s="10" t="str">
        <f aca="false">IF($D104="","",IFERROR(IF(VLOOKUP($F104,Dim_Analyst!$A:$C,3,0)="Yes","Yes","No"),"No"))</f>
        <v>Yes</v>
      </c>
    </row>
    <row r="105" customFormat="false" ht="15" hidden="false" customHeight="true" outlineLevel="0" collapsed="false">
      <c r="A105" s="34" t="n">
        <v>46266</v>
      </c>
      <c r="B105" s="34" t="n">
        <v>46267</v>
      </c>
      <c r="C105" s="13" t="s">
        <v>340</v>
      </c>
      <c r="D105" s="13" t="s">
        <v>449</v>
      </c>
      <c r="E105" s="35" t="n">
        <v>46267.6631944445</v>
      </c>
      <c r="F105" s="13" t="s">
        <v>313</v>
      </c>
      <c r="G105" s="4" t="str">
        <f aca="false">IF($D105="","",$A105&amp;"|"&amp;$B105&amp;"|"&amp;$C105&amp;"|"&amp;$D105)</f>
        <v>46266|46267|FD-1007|Changed to the status of Controlled</v>
      </c>
      <c r="H105" s="4" t="str">
        <f aca="false">IF($D105="","",$G105&amp;"|"&amp;TEXT($E105,"0.000000"))</f>
        <v>46266|46267|FD-1007|Changed to the status of Controlled|46267.663194</v>
      </c>
      <c r="I105" s="29" t="n">
        <f aca="false">IF($D105="","",IF(ISNUMBER($E105),FLOOR(($E105-$B105)*24,1),""))</f>
        <v>15</v>
      </c>
      <c r="J105" s="10" t="str">
        <f aca="false">IF($D105="","",IFERROR(IF(VLOOKUP($F105,Dim_Analyst!$A:$C,3,0)="Yes","Yes","No"),"No"))</f>
        <v>Yes</v>
      </c>
    </row>
    <row r="106" customFormat="false" ht="15" hidden="false" customHeight="true" outlineLevel="0" collapsed="false">
      <c r="A106" s="34" t="n">
        <v>46266</v>
      </c>
      <c r="B106" s="34" t="n">
        <v>46267</v>
      </c>
      <c r="C106" s="13" t="s">
        <v>340</v>
      </c>
      <c r="D106" s="13" t="s">
        <v>450</v>
      </c>
      <c r="E106" s="35" t="n">
        <v>46267.6708333333</v>
      </c>
      <c r="F106" s="13" t="s">
        <v>313</v>
      </c>
      <c r="G106" s="4" t="str">
        <f aca="false">IF($D106="","",$A106&amp;"|"&amp;$B106&amp;"|"&amp;$C106&amp;"|"&amp;$D106)</f>
        <v>46266|46267|FD-1007|Changed to the status of Fund accounting signed off</v>
      </c>
      <c r="H106" s="4" t="str">
        <f aca="false">IF($D106="","",$G106&amp;"|"&amp;TEXT($E106,"0.000000"))</f>
        <v>46266|46267|FD-1007|Changed to the status of Fund accounting signed off|46267.670833</v>
      </c>
      <c r="I106" s="29" t="n">
        <f aca="false">IF($D106="","",IF(ISNUMBER($E106),FLOOR(($E106-$B106)*24,1),""))</f>
        <v>16</v>
      </c>
      <c r="J106" s="10" t="str">
        <f aca="false">IF($D106="","",IFERROR(IF(VLOOKUP($F106,Dim_Analyst!$A:$C,3,0)="Yes","Yes","No"),"No"))</f>
        <v>Yes</v>
      </c>
    </row>
    <row r="107" customFormat="false" ht="15" hidden="false" customHeight="true" outlineLevel="0" collapsed="false">
      <c r="A107" s="34" t="n">
        <v>46266</v>
      </c>
      <c r="B107" s="34" t="n">
        <v>46267</v>
      </c>
      <c r="C107" s="13" t="s">
        <v>340</v>
      </c>
      <c r="D107" s="13" t="s">
        <v>451</v>
      </c>
      <c r="E107" s="35" t="n">
        <v>46267.6895833333</v>
      </c>
      <c r="F107" s="13" t="s">
        <v>313</v>
      </c>
      <c r="G107" s="4" t="str">
        <f aca="false">IF($D107="","",$A107&amp;"|"&amp;$B107&amp;"|"&amp;$C107&amp;"|"&amp;$D107)</f>
        <v>46266|46267|FD-1007|Changed to the status of signed off</v>
      </c>
      <c r="H107" s="4" t="str">
        <f aca="false">IF($D107="","",$G107&amp;"|"&amp;TEXT($E107,"0.000000"))</f>
        <v>46266|46267|FD-1007|Changed to the status of signed off|46267.689583</v>
      </c>
      <c r="I107" s="29" t="n">
        <f aca="false">IF($D107="","",IF(ISNUMBER($E107),FLOOR(($E107-$B107)*24,1),""))</f>
        <v>16</v>
      </c>
      <c r="J107" s="10" t="str">
        <f aca="false">IF($D107="","",IFERROR(IF(VLOOKUP($F107,Dim_Analyst!$A:$C,3,0)="Yes","Yes","No"),"No"))</f>
        <v>Yes</v>
      </c>
    </row>
    <row r="108" customFormat="false" ht="15" hidden="false" customHeight="true" outlineLevel="0" collapsed="false">
      <c r="G108" s="4" t="str">
        <f aca="false">IF($D108="","",$A108&amp;"|"&amp;$B108&amp;"|"&amp;$C108&amp;"|"&amp;$D108)</f>
        <v/>
      </c>
      <c r="H108" s="4" t="str">
        <f aca="false">IF($D108="","",$G108&amp;"|"&amp;TEXT($E108,"0.000000"))</f>
        <v/>
      </c>
      <c r="I108" s="29" t="str">
        <f aca="false">IF($D108="","",IF(ISNUMBER($E108),FLOOR(($E108-$B108)*24,1),""))</f>
        <v/>
      </c>
      <c r="J108" s="10" t="str">
        <f aca="false">IF($D108="","",IFERROR(IF(VLOOKUP($F108,Dim_Analyst!$A:$C,3,0)="Yes","Yes","No"),"No"))</f>
        <v/>
      </c>
    </row>
    <row r="109" customFormat="false" ht="15" hidden="false" customHeight="true" outlineLevel="0" collapsed="false">
      <c r="G109" s="4" t="str">
        <f aca="false">IF($D109="","",$A109&amp;"|"&amp;$B109&amp;"|"&amp;$C109&amp;"|"&amp;$D109)</f>
        <v/>
      </c>
      <c r="H109" s="4" t="str">
        <f aca="false">IF($D109="","",$G109&amp;"|"&amp;TEXT($E109,"0.000000"))</f>
        <v/>
      </c>
      <c r="I109" s="29" t="str">
        <f aca="false">IF($D109="","",IF(ISNUMBER($E109),FLOOR(($E109-$B109)*24,1),""))</f>
        <v/>
      </c>
      <c r="J109" s="10" t="str">
        <f aca="false">IF($D109="","",IFERROR(IF(VLOOKUP($F109,Dim_Analyst!$A:$C,3,0)="Yes","Yes","No"),"No"))</f>
        <v/>
      </c>
    </row>
    <row r="110" customFormat="false" ht="15" hidden="false" customHeight="true" outlineLevel="0" collapsed="false">
      <c r="A110" s="40" t="s">
        <v>454</v>
      </c>
      <c r="G110" s="4" t="str">
        <f aca="false">IF($D110="","",$A110&amp;"|"&amp;$B110&amp;"|"&amp;$C110&amp;"|"&amp;$D110)</f>
        <v/>
      </c>
      <c r="H110" s="4" t="str">
        <f aca="false">IF($D110="","",$G110&amp;"|"&amp;TEXT($E110,"0.000000"))</f>
        <v/>
      </c>
      <c r="I110" s="29" t="str">
        <f aca="false">IF($D110="","",IF(ISNUMBER($E110),FLOOR(($E110-$B110)*24,1),""))</f>
        <v/>
      </c>
      <c r="J110" s="10" t="str">
        <f aca="false">IF($D110="","",IFERROR(IF(VLOOKUP($F110,Dim_Analyst!$A:$C,3,0)="Yes","Yes","No"),"No"))</f>
        <v/>
      </c>
    </row>
    <row r="111" customFormat="false" ht="15" hidden="false" customHeight="true" outlineLevel="0" collapsed="false">
      <c r="G111" s="4" t="str">
        <f aca="false">IF($D111="","",$A111&amp;"|"&amp;$B111&amp;"|"&amp;$C111&amp;"|"&amp;$D111)</f>
        <v/>
      </c>
      <c r="H111" s="4" t="str">
        <f aca="false">IF($D111="","",$G111&amp;"|"&amp;TEXT($E111,"0.000000"))</f>
        <v/>
      </c>
      <c r="I111" s="29" t="str">
        <f aca="false">IF($D111="","",IF(ISNUMBER($E111),FLOOR(($E111-$B111)*24,1),""))</f>
        <v/>
      </c>
      <c r="J111" s="10" t="str">
        <f aca="false">IF($D111="","",IFERROR(IF(VLOOKUP($F111,Dim_Analyst!$A:$C,3,0)="Yes","Yes","No"),"No"))</f>
        <v/>
      </c>
    </row>
    <row r="112" customFormat="false" ht="15" hidden="false" customHeight="true" outlineLevel="0" collapsed="false">
      <c r="G112" s="4" t="str">
        <f aca="false">IF($D112="","",$A112&amp;"|"&amp;$B112&amp;"|"&amp;$C112&amp;"|"&amp;$D112)</f>
        <v/>
      </c>
      <c r="H112" s="4" t="str">
        <f aca="false">IF($D112="","",$G112&amp;"|"&amp;TEXT($E112,"0.000000"))</f>
        <v/>
      </c>
      <c r="I112" s="29" t="str">
        <f aca="false">IF($D112="","",IF(ISNUMBER($E112),FLOOR(($E112-$B112)*24,1),""))</f>
        <v/>
      </c>
      <c r="J112" s="10" t="str">
        <f aca="false">IF($D112="","",IFERROR(IF(VLOOKUP($F112,Dim_Analyst!$A:$C,3,0)="Yes","Yes","No"),"No"))</f>
        <v/>
      </c>
    </row>
    <row r="113" customFormat="false" ht="15" hidden="false" customHeight="true" outlineLevel="0" collapsed="false">
      <c r="G113" s="4" t="str">
        <f aca="false">IF($D113="","",$A113&amp;"|"&amp;$B113&amp;"|"&amp;$C113&amp;"|"&amp;$D113)</f>
        <v/>
      </c>
      <c r="H113" s="4" t="str">
        <f aca="false">IF($D113="","",$G113&amp;"|"&amp;TEXT($E113,"0.000000"))</f>
        <v/>
      </c>
      <c r="I113" s="29" t="str">
        <f aca="false">IF($D113="","",IF(ISNUMBER($E113),FLOOR(($E113-$B113)*24,1),""))</f>
        <v/>
      </c>
      <c r="J113" s="10" t="str">
        <f aca="false">IF($D113="","",IFERROR(IF(VLOOKUP($F113,Dim_Analyst!$A:$C,3,0)="Yes","Yes","No"),"No"))</f>
        <v/>
      </c>
    </row>
    <row r="114" customFormat="false" ht="15" hidden="false" customHeight="true" outlineLevel="0" collapsed="false">
      <c r="G114" s="4" t="str">
        <f aca="false">IF($D114="","",$A114&amp;"|"&amp;$B114&amp;"|"&amp;$C114&amp;"|"&amp;$D114)</f>
        <v/>
      </c>
      <c r="H114" s="4" t="str">
        <f aca="false">IF($D114="","",$G114&amp;"|"&amp;TEXT($E114,"0.000000"))</f>
        <v/>
      </c>
      <c r="I114" s="29" t="str">
        <f aca="false">IF($D114="","",IF(ISNUMBER($E114),FLOOR(($E114-$B114)*24,1),""))</f>
        <v/>
      </c>
      <c r="J114" s="10" t="str">
        <f aca="false">IF($D114="","",IFERROR(IF(VLOOKUP($F114,Dim_Analyst!$A:$C,3,0)="Yes","Yes","No"),"No"))</f>
        <v/>
      </c>
    </row>
    <row r="115" customFormat="false" ht="15" hidden="false" customHeight="true" outlineLevel="0" collapsed="false">
      <c r="G115" s="4" t="str">
        <f aca="false">IF($D115="","",$A115&amp;"|"&amp;$B115&amp;"|"&amp;$C115&amp;"|"&amp;$D115)</f>
        <v/>
      </c>
      <c r="H115" s="4" t="str">
        <f aca="false">IF($D115="","",$G115&amp;"|"&amp;TEXT($E115,"0.000000"))</f>
        <v/>
      </c>
      <c r="I115" s="29" t="str">
        <f aca="false">IF($D115="","",IF(ISNUMBER($E115),FLOOR(($E115-$B115)*24,1),""))</f>
        <v/>
      </c>
      <c r="J115" s="10" t="str">
        <f aca="false">IF($D115="","",IFERROR(IF(VLOOKUP($F115,Dim_Analyst!$A:$C,3,0)="Yes","Yes","No"),"No"))</f>
        <v/>
      </c>
    </row>
    <row r="116" customFormat="false" ht="15" hidden="false" customHeight="true" outlineLevel="0" collapsed="false">
      <c r="G116" s="4" t="str">
        <f aca="false">IF($D116="","",$A116&amp;"|"&amp;$B116&amp;"|"&amp;$C116&amp;"|"&amp;$D116)</f>
        <v/>
      </c>
      <c r="H116" s="4" t="str">
        <f aca="false">IF($D116="","",$G116&amp;"|"&amp;TEXT($E116,"0.000000"))</f>
        <v/>
      </c>
      <c r="I116" s="29" t="str">
        <f aca="false">IF($D116="","",IF(ISNUMBER($E116),FLOOR(($E116-$B116)*24,1),""))</f>
        <v/>
      </c>
      <c r="J116" s="10" t="str">
        <f aca="false">IF($D116="","",IFERROR(IF(VLOOKUP($F116,Dim_Analyst!$A:$C,3,0)="Yes","Yes","No"),"No"))</f>
        <v/>
      </c>
    </row>
    <row r="117" customFormat="false" ht="15" hidden="false" customHeight="true" outlineLevel="0" collapsed="false">
      <c r="G117" s="4" t="str">
        <f aca="false">IF($D117="","",$A117&amp;"|"&amp;$B117&amp;"|"&amp;$C117&amp;"|"&amp;$D117)</f>
        <v/>
      </c>
      <c r="H117" s="4" t="str">
        <f aca="false">IF($D117="","",$G117&amp;"|"&amp;TEXT($E117,"0.000000"))</f>
        <v/>
      </c>
      <c r="I117" s="29" t="str">
        <f aca="false">IF($D117="","",IF(ISNUMBER($E117),FLOOR(($E117-$B117)*24,1),""))</f>
        <v/>
      </c>
      <c r="J117" s="10" t="str">
        <f aca="false">IF($D117="","",IFERROR(IF(VLOOKUP($F117,Dim_Analyst!$A:$C,3,0)="Yes","Yes","No"),"No"))</f>
        <v/>
      </c>
    </row>
    <row r="118" customFormat="false" ht="15" hidden="false" customHeight="true" outlineLevel="0" collapsed="false">
      <c r="G118" s="4" t="str">
        <f aca="false">IF($D118="","",$A118&amp;"|"&amp;$B118&amp;"|"&amp;$C118&amp;"|"&amp;$D118)</f>
        <v/>
      </c>
      <c r="H118" s="4" t="str">
        <f aca="false">IF($D118="","",$G118&amp;"|"&amp;TEXT($E118,"0.000000"))</f>
        <v/>
      </c>
      <c r="I118" s="29" t="str">
        <f aca="false">IF($D118="","",IF(ISNUMBER($E118),FLOOR(($E118-$B118)*24,1),""))</f>
        <v/>
      </c>
      <c r="J118" s="10" t="str">
        <f aca="false">IF($D118="","",IFERROR(IF(VLOOKUP($F118,Dim_Analyst!$A:$C,3,0)="Yes","Yes","No"),"No"))</f>
        <v/>
      </c>
    </row>
    <row r="119" customFormat="false" ht="15" hidden="false" customHeight="true" outlineLevel="0" collapsed="false">
      <c r="G119" s="4" t="str">
        <f aca="false">IF($D119="","",$A119&amp;"|"&amp;$B119&amp;"|"&amp;$C119&amp;"|"&amp;$D119)</f>
        <v/>
      </c>
      <c r="H119" s="4" t="str">
        <f aca="false">IF($D119="","",$G119&amp;"|"&amp;TEXT($E119,"0.000000"))</f>
        <v/>
      </c>
      <c r="I119" s="29" t="str">
        <f aca="false">IF($D119="","",IF(ISNUMBER($E119),FLOOR(($E119-$B119)*24,1),""))</f>
        <v/>
      </c>
      <c r="J119" s="10" t="str">
        <f aca="false">IF($D119="","",IFERROR(IF(VLOOKUP($F119,Dim_Analyst!$A:$C,3,0)="Yes","Yes","No"),"No"))</f>
        <v/>
      </c>
    </row>
    <row r="120" customFormat="false" ht="15" hidden="false" customHeight="true" outlineLevel="0" collapsed="false">
      <c r="G120" s="4" t="str">
        <f aca="false">IF($D120="","",$A120&amp;"|"&amp;$B120&amp;"|"&amp;$C120&amp;"|"&amp;$D120)</f>
        <v/>
      </c>
      <c r="H120" s="4" t="str">
        <f aca="false">IF($D120="","",$G120&amp;"|"&amp;TEXT($E120,"0.000000"))</f>
        <v/>
      </c>
      <c r="I120" s="29" t="str">
        <f aca="false">IF($D120="","",IF(ISNUMBER($E120),FLOOR(($E120-$B120)*24,1),""))</f>
        <v/>
      </c>
      <c r="J120" s="10" t="str">
        <f aca="false">IF($D120="","",IFERROR(IF(VLOOKUP($F120,Dim_Analyst!$A:$C,3,0)="Yes","Yes","No"),"No"))</f>
        <v/>
      </c>
    </row>
    <row r="121" customFormat="false" ht="15" hidden="false" customHeight="true" outlineLevel="0" collapsed="false">
      <c r="G121" s="4" t="str">
        <f aca="false">IF($D121="","",$A121&amp;"|"&amp;$B121&amp;"|"&amp;$C121&amp;"|"&amp;$D121)</f>
        <v/>
      </c>
      <c r="H121" s="4" t="str">
        <f aca="false">IF($D121="","",$G121&amp;"|"&amp;TEXT($E121,"0.000000"))</f>
        <v/>
      </c>
      <c r="I121" s="29" t="str">
        <f aca="false">IF($D121="","",IF(ISNUMBER($E121),FLOOR(($E121-$B121)*24,1),""))</f>
        <v/>
      </c>
      <c r="J121" s="10" t="str">
        <f aca="false">IF($D121="","",IFERROR(IF(VLOOKUP($F121,Dim_Analyst!$A:$C,3,0)="Yes","Yes","No"),"No"))</f>
        <v/>
      </c>
    </row>
    <row r="122" customFormat="false" ht="15" hidden="false" customHeight="true" outlineLevel="0" collapsed="false">
      <c r="G122" s="4" t="str">
        <f aca="false">IF($D122="","",$A122&amp;"|"&amp;$B122&amp;"|"&amp;$C122&amp;"|"&amp;$D122)</f>
        <v/>
      </c>
      <c r="H122" s="4" t="str">
        <f aca="false">IF($D122="","",$G122&amp;"|"&amp;TEXT($E122,"0.000000"))</f>
        <v/>
      </c>
      <c r="I122" s="29" t="str">
        <f aca="false">IF($D122="","",IF(ISNUMBER($E122),FLOOR(($E122-$B122)*24,1),""))</f>
        <v/>
      </c>
      <c r="J122" s="10" t="str">
        <f aca="false">IF($D122="","",IFERROR(IF(VLOOKUP($F122,Dim_Analyst!$A:$C,3,0)="Yes","Yes","No"),"No"))</f>
        <v/>
      </c>
    </row>
    <row r="123" customFormat="false" ht="15" hidden="false" customHeight="true" outlineLevel="0" collapsed="false">
      <c r="G123" s="4" t="str">
        <f aca="false">IF($D123="","",$A123&amp;"|"&amp;$B123&amp;"|"&amp;$C123&amp;"|"&amp;$D123)</f>
        <v/>
      </c>
      <c r="H123" s="4" t="str">
        <f aca="false">IF($D123="","",$G123&amp;"|"&amp;TEXT($E123,"0.000000"))</f>
        <v/>
      </c>
      <c r="I123" s="29" t="str">
        <f aca="false">IF($D123="","",IF(ISNUMBER($E123),FLOOR(($E123-$B123)*24,1),""))</f>
        <v/>
      </c>
      <c r="J123" s="10" t="str">
        <f aca="false">IF($D123="","",IFERROR(IF(VLOOKUP($F123,Dim_Analyst!$A:$C,3,0)="Yes","Yes","No"),"No"))</f>
        <v/>
      </c>
    </row>
    <row r="124" customFormat="false" ht="15" hidden="false" customHeight="true" outlineLevel="0" collapsed="false">
      <c r="G124" s="4" t="str">
        <f aca="false">IF($D124="","",$A124&amp;"|"&amp;$B124&amp;"|"&amp;$C124&amp;"|"&amp;$D124)</f>
        <v/>
      </c>
      <c r="H124" s="4" t="str">
        <f aca="false">IF($D124="","",$G124&amp;"|"&amp;TEXT($E124,"0.000000"))</f>
        <v/>
      </c>
      <c r="I124" s="29" t="str">
        <f aca="false">IF($D124="","",IF(ISNUMBER($E124),FLOOR(($E124-$B124)*24,1),""))</f>
        <v/>
      </c>
      <c r="J124" s="10" t="str">
        <f aca="false">IF($D124="","",IFERROR(IF(VLOOKUP($F124,Dim_Analyst!$A:$C,3,0)="Yes","Yes","No"),"No"))</f>
        <v/>
      </c>
    </row>
    <row r="125" customFormat="false" ht="15" hidden="false" customHeight="true" outlineLevel="0" collapsed="false">
      <c r="G125" s="4" t="str">
        <f aca="false">IF($D125="","",$A125&amp;"|"&amp;$B125&amp;"|"&amp;$C125&amp;"|"&amp;$D125)</f>
        <v/>
      </c>
      <c r="H125" s="4" t="str">
        <f aca="false">IF($D125="","",$G125&amp;"|"&amp;TEXT($E125,"0.000000"))</f>
        <v/>
      </c>
      <c r="I125" s="29" t="str">
        <f aca="false">IF($D125="","",IF(ISNUMBER($E125),FLOOR(($E125-$B125)*24,1),""))</f>
        <v/>
      </c>
      <c r="J125" s="10" t="str">
        <f aca="false">IF($D125="","",IFERROR(IF(VLOOKUP($F125,Dim_Analyst!$A:$C,3,0)="Yes","Yes","No"),"No"))</f>
        <v/>
      </c>
    </row>
    <row r="126" customFormat="false" ht="15" hidden="false" customHeight="true" outlineLevel="0" collapsed="false">
      <c r="G126" s="4" t="str">
        <f aca="false">IF($D126="","",$A126&amp;"|"&amp;$B126&amp;"|"&amp;$C126&amp;"|"&amp;$D126)</f>
        <v/>
      </c>
      <c r="H126" s="4" t="str">
        <f aca="false">IF($D126="","",$G126&amp;"|"&amp;TEXT($E126,"0.000000"))</f>
        <v/>
      </c>
      <c r="I126" s="29" t="str">
        <f aca="false">IF($D126="","",IF(ISNUMBER($E126),FLOOR(($E126-$B126)*24,1),""))</f>
        <v/>
      </c>
      <c r="J126" s="10" t="str">
        <f aca="false">IF($D126="","",IFERROR(IF(VLOOKUP($F126,Dim_Analyst!$A:$C,3,0)="Yes","Yes","No"),"No"))</f>
        <v/>
      </c>
    </row>
    <row r="127" customFormat="false" ht="15" hidden="false" customHeight="true" outlineLevel="0" collapsed="false">
      <c r="G127" s="4" t="str">
        <f aca="false">IF($D127="","",$A127&amp;"|"&amp;$B127&amp;"|"&amp;$C127&amp;"|"&amp;$D127)</f>
        <v/>
      </c>
      <c r="H127" s="4" t="str">
        <f aca="false">IF($D127="","",$G127&amp;"|"&amp;TEXT($E127,"0.000000"))</f>
        <v/>
      </c>
      <c r="I127" s="29" t="str">
        <f aca="false">IF($D127="","",IF(ISNUMBER($E127),FLOOR(($E127-$B127)*24,1),""))</f>
        <v/>
      </c>
      <c r="J127" s="10" t="str">
        <f aca="false">IF($D127="","",IFERROR(IF(VLOOKUP($F127,Dim_Analyst!$A:$C,3,0)="Yes","Yes","No"),"No"))</f>
        <v/>
      </c>
    </row>
    <row r="128" customFormat="false" ht="15" hidden="false" customHeight="true" outlineLevel="0" collapsed="false">
      <c r="G128" s="4" t="str">
        <f aca="false">IF($D128="","",$A128&amp;"|"&amp;$B128&amp;"|"&amp;$C128&amp;"|"&amp;$D128)</f>
        <v/>
      </c>
      <c r="H128" s="4" t="str">
        <f aca="false">IF($D128="","",$G128&amp;"|"&amp;TEXT($E128,"0.000000"))</f>
        <v/>
      </c>
      <c r="I128" s="29" t="str">
        <f aca="false">IF($D128="","",IF(ISNUMBER($E128),FLOOR(($E128-$B128)*24,1),""))</f>
        <v/>
      </c>
      <c r="J128" s="10" t="str">
        <f aca="false">IF($D128="","",IFERROR(IF(VLOOKUP($F128,Dim_Analyst!$A:$C,3,0)="Yes","Yes","No"),"No"))</f>
        <v/>
      </c>
    </row>
    <row r="129" customFormat="false" ht="15" hidden="false" customHeight="true" outlineLevel="0" collapsed="false">
      <c r="G129" s="4" t="str">
        <f aca="false">IF($D129="","",$A129&amp;"|"&amp;$B129&amp;"|"&amp;$C129&amp;"|"&amp;$D129)</f>
        <v/>
      </c>
      <c r="H129" s="4" t="str">
        <f aca="false">IF($D129="","",$G129&amp;"|"&amp;TEXT($E129,"0.000000"))</f>
        <v/>
      </c>
      <c r="I129" s="29" t="str">
        <f aca="false">IF($D129="","",IF(ISNUMBER($E129),FLOOR(($E129-$B129)*24,1),""))</f>
        <v/>
      </c>
      <c r="J129" s="10" t="str">
        <f aca="false">IF($D129="","",IFERROR(IF(VLOOKUP($F129,Dim_Analyst!$A:$C,3,0)="Yes","Yes","No"),"No"))</f>
        <v/>
      </c>
    </row>
    <row r="130" customFormat="false" ht="15" hidden="false" customHeight="true" outlineLevel="0" collapsed="false">
      <c r="G130" s="4" t="str">
        <f aca="false">IF($D130="","",$A130&amp;"|"&amp;$B130&amp;"|"&amp;$C130&amp;"|"&amp;$D130)</f>
        <v/>
      </c>
      <c r="H130" s="4" t="str">
        <f aca="false">IF($D130="","",$G130&amp;"|"&amp;TEXT($E130,"0.000000"))</f>
        <v/>
      </c>
      <c r="I130" s="29" t="str">
        <f aca="false">IF($D130="","",IF(ISNUMBER($E130),FLOOR(($E130-$B130)*24,1),""))</f>
        <v/>
      </c>
      <c r="J130" s="10" t="str">
        <f aca="false">IF($D130="","",IFERROR(IF(VLOOKUP($F130,Dim_Analyst!$A:$C,3,0)="Yes","Yes","No"),"No"))</f>
        <v/>
      </c>
    </row>
    <row r="131" customFormat="false" ht="15" hidden="false" customHeight="true" outlineLevel="0" collapsed="false">
      <c r="G131" s="4" t="str">
        <f aca="false">IF($D131="","",$A131&amp;"|"&amp;$B131&amp;"|"&amp;$C131&amp;"|"&amp;$D131)</f>
        <v/>
      </c>
      <c r="H131" s="4" t="str">
        <f aca="false">IF($D131="","",$G131&amp;"|"&amp;TEXT($E131,"0.000000"))</f>
        <v/>
      </c>
      <c r="I131" s="29" t="str">
        <f aca="false">IF($D131="","",IF(ISNUMBER($E131),FLOOR(($E131-$B131)*24,1),""))</f>
        <v/>
      </c>
      <c r="J131" s="10" t="str">
        <f aca="false">IF($D131="","",IFERROR(IF(VLOOKUP($F131,Dim_Analyst!$A:$C,3,0)="Yes","Yes","No"),"No"))</f>
        <v/>
      </c>
    </row>
    <row r="132" customFormat="false" ht="15" hidden="false" customHeight="true" outlineLevel="0" collapsed="false">
      <c r="G132" s="4" t="str">
        <f aca="false">IF($D132="","",$A132&amp;"|"&amp;$B132&amp;"|"&amp;$C132&amp;"|"&amp;$D132)</f>
        <v/>
      </c>
      <c r="H132" s="4" t="str">
        <f aca="false">IF($D132="","",$G132&amp;"|"&amp;TEXT($E132,"0.000000"))</f>
        <v/>
      </c>
      <c r="I132" s="29" t="str">
        <f aca="false">IF($D132="","",IF(ISNUMBER($E132),FLOOR(($E132-$B132)*24,1),""))</f>
        <v/>
      </c>
      <c r="J132" s="10" t="str">
        <f aca="false">IF($D132="","",IFERROR(IF(VLOOKUP($F132,Dim_Analyst!$A:$C,3,0)="Yes","Yes","No"),"No"))</f>
        <v/>
      </c>
    </row>
    <row r="133" customFormat="false" ht="15" hidden="false" customHeight="true" outlineLevel="0" collapsed="false">
      <c r="G133" s="4" t="str">
        <f aca="false">IF($D133="","",$A133&amp;"|"&amp;$B133&amp;"|"&amp;$C133&amp;"|"&amp;$D133)</f>
        <v/>
      </c>
      <c r="H133" s="4" t="str">
        <f aca="false">IF($D133="","",$G133&amp;"|"&amp;TEXT($E133,"0.000000"))</f>
        <v/>
      </c>
      <c r="I133" s="29" t="str">
        <f aca="false">IF($D133="","",IF(ISNUMBER($E133),FLOOR(($E133-$B133)*24,1),""))</f>
        <v/>
      </c>
      <c r="J133" s="10" t="str">
        <f aca="false">IF($D133="","",IFERROR(IF(VLOOKUP($F133,Dim_Analyst!$A:$C,3,0)="Yes","Yes","No"),"No"))</f>
        <v/>
      </c>
    </row>
    <row r="134" customFormat="false" ht="15" hidden="false" customHeight="true" outlineLevel="0" collapsed="false">
      <c r="G134" s="4" t="str">
        <f aca="false">IF($D134="","",$A134&amp;"|"&amp;$B134&amp;"|"&amp;$C134&amp;"|"&amp;$D134)</f>
        <v/>
      </c>
      <c r="H134" s="4" t="str">
        <f aca="false">IF($D134="","",$G134&amp;"|"&amp;TEXT($E134,"0.000000"))</f>
        <v/>
      </c>
      <c r="I134" s="29" t="str">
        <f aca="false">IF($D134="","",IF(ISNUMBER($E134),FLOOR(($E134-$B134)*24,1),""))</f>
        <v/>
      </c>
      <c r="J134" s="10" t="str">
        <f aca="false">IF($D134="","",IFERROR(IF(VLOOKUP($F134,Dim_Analyst!$A:$C,3,0)="Yes","Yes","No"),"No"))</f>
        <v/>
      </c>
    </row>
    <row r="135" customFormat="false" ht="15" hidden="false" customHeight="true" outlineLevel="0" collapsed="false">
      <c r="G135" s="4" t="str">
        <f aca="false">IF($D135="","",$A135&amp;"|"&amp;$B135&amp;"|"&amp;$C135&amp;"|"&amp;$D135)</f>
        <v/>
      </c>
      <c r="H135" s="4" t="str">
        <f aca="false">IF($D135="","",$G135&amp;"|"&amp;TEXT($E135,"0.000000"))</f>
        <v/>
      </c>
      <c r="I135" s="29" t="str">
        <f aca="false">IF($D135="","",IF(ISNUMBER($E135),FLOOR(($E135-$B135)*24,1),""))</f>
        <v/>
      </c>
      <c r="J135" s="10" t="str">
        <f aca="false">IF($D135="","",IFERROR(IF(VLOOKUP($F135,Dim_Analyst!$A:$C,3,0)="Yes","Yes","No"),"No"))</f>
        <v/>
      </c>
    </row>
    <row r="136" customFormat="false" ht="15" hidden="false" customHeight="true" outlineLevel="0" collapsed="false">
      <c r="G136" s="4" t="str">
        <f aca="false">IF($D136="","",$A136&amp;"|"&amp;$B136&amp;"|"&amp;$C136&amp;"|"&amp;$D136)</f>
        <v/>
      </c>
      <c r="H136" s="4" t="str">
        <f aca="false">IF($D136="","",$G136&amp;"|"&amp;TEXT($E136,"0.000000"))</f>
        <v/>
      </c>
      <c r="I136" s="29" t="str">
        <f aca="false">IF($D136="","",IF(ISNUMBER($E136),FLOOR(($E136-$B136)*24,1),""))</f>
        <v/>
      </c>
      <c r="J136" s="10" t="str">
        <f aca="false">IF($D136="","",IFERROR(IF(VLOOKUP($F136,Dim_Analyst!$A:$C,3,0)="Yes","Yes","No"),"No"))</f>
        <v/>
      </c>
    </row>
    <row r="137" customFormat="false" ht="15" hidden="false" customHeight="true" outlineLevel="0" collapsed="false">
      <c r="G137" s="4" t="str">
        <f aca="false">IF($D137="","",$A137&amp;"|"&amp;$B137&amp;"|"&amp;$C137&amp;"|"&amp;$D137)</f>
        <v/>
      </c>
      <c r="H137" s="4" t="str">
        <f aca="false">IF($D137="","",$G137&amp;"|"&amp;TEXT($E137,"0.000000"))</f>
        <v/>
      </c>
      <c r="I137" s="29" t="str">
        <f aca="false">IF($D137="","",IF(ISNUMBER($E137),FLOOR(($E137-$B137)*24,1),""))</f>
        <v/>
      </c>
      <c r="J137" s="10" t="str">
        <f aca="false">IF($D137="","",IFERROR(IF(VLOOKUP($F137,Dim_Analyst!$A:$C,3,0)="Yes","Yes","No"),"No"))</f>
        <v/>
      </c>
    </row>
    <row r="138" customFormat="false" ht="15" hidden="false" customHeight="true" outlineLevel="0" collapsed="false">
      <c r="G138" s="4" t="str">
        <f aca="false">IF($D138="","",$A138&amp;"|"&amp;$B138&amp;"|"&amp;$C138&amp;"|"&amp;$D138)</f>
        <v/>
      </c>
      <c r="H138" s="4" t="str">
        <f aca="false">IF($D138="","",$G138&amp;"|"&amp;TEXT($E138,"0.000000"))</f>
        <v/>
      </c>
      <c r="I138" s="29" t="str">
        <f aca="false">IF($D138="","",IF(ISNUMBER($E138),FLOOR(($E138-$B138)*24,1),""))</f>
        <v/>
      </c>
      <c r="J138" s="10" t="str">
        <f aca="false">IF($D138="","",IFERROR(IF(VLOOKUP($F138,Dim_Analyst!$A:$C,3,0)="Yes","Yes","No"),"No"))</f>
        <v/>
      </c>
    </row>
    <row r="139" customFormat="false" ht="15" hidden="false" customHeight="true" outlineLevel="0" collapsed="false">
      <c r="G139" s="4" t="str">
        <f aca="false">IF($D139="","",$A139&amp;"|"&amp;$B139&amp;"|"&amp;$C139&amp;"|"&amp;$D139)</f>
        <v/>
      </c>
      <c r="H139" s="4" t="str">
        <f aca="false">IF($D139="","",$G139&amp;"|"&amp;TEXT($E139,"0.000000"))</f>
        <v/>
      </c>
      <c r="I139" s="29" t="str">
        <f aca="false">IF($D139="","",IF(ISNUMBER($E139),FLOOR(($E139-$B139)*24,1),""))</f>
        <v/>
      </c>
      <c r="J139" s="10" t="str">
        <f aca="false">IF($D139="","",IFERROR(IF(VLOOKUP($F139,Dim_Analyst!$A:$C,3,0)="Yes","Yes","No"),"No"))</f>
        <v/>
      </c>
    </row>
    <row r="140" customFormat="false" ht="15" hidden="false" customHeight="true" outlineLevel="0" collapsed="false">
      <c r="G140" s="4" t="str">
        <f aca="false">IF($D140="","",$A140&amp;"|"&amp;$B140&amp;"|"&amp;$C140&amp;"|"&amp;$D140)</f>
        <v/>
      </c>
      <c r="H140" s="4" t="str">
        <f aca="false">IF($D140="","",$G140&amp;"|"&amp;TEXT($E140,"0.000000"))</f>
        <v/>
      </c>
      <c r="I140" s="29" t="str">
        <f aca="false">IF($D140="","",IF(ISNUMBER($E140),FLOOR(($E140-$B140)*24,1),""))</f>
        <v/>
      </c>
      <c r="J140" s="10" t="str">
        <f aca="false">IF($D140="","",IFERROR(IF(VLOOKUP($F140,Dim_Analyst!$A:$C,3,0)="Yes","Yes","No"),"No"))</f>
        <v/>
      </c>
    </row>
    <row r="141" customFormat="false" ht="15" hidden="false" customHeight="true" outlineLevel="0" collapsed="false">
      <c r="G141" s="4" t="str">
        <f aca="false">IF($D141="","",$A141&amp;"|"&amp;$B141&amp;"|"&amp;$C141&amp;"|"&amp;$D141)</f>
        <v/>
      </c>
      <c r="H141" s="4" t="str">
        <f aca="false">IF($D141="","",$G141&amp;"|"&amp;TEXT($E141,"0.000000"))</f>
        <v/>
      </c>
      <c r="I141" s="29" t="str">
        <f aca="false">IF($D141="","",IF(ISNUMBER($E141),FLOOR(($E141-$B141)*24,1),""))</f>
        <v/>
      </c>
      <c r="J141" s="10" t="str">
        <f aca="false">IF($D141="","",IFERROR(IF(VLOOKUP($F141,Dim_Analyst!$A:$C,3,0)="Yes","Yes","No"),"No"))</f>
        <v/>
      </c>
    </row>
    <row r="142" customFormat="false" ht="15" hidden="false" customHeight="true" outlineLevel="0" collapsed="false">
      <c r="G142" s="4" t="str">
        <f aca="false">IF($D142="","",$A142&amp;"|"&amp;$B142&amp;"|"&amp;$C142&amp;"|"&amp;$D142)</f>
        <v/>
      </c>
      <c r="H142" s="4" t="str">
        <f aca="false">IF($D142="","",$G142&amp;"|"&amp;TEXT($E142,"0.000000"))</f>
        <v/>
      </c>
      <c r="I142" s="29" t="str">
        <f aca="false">IF($D142="","",IF(ISNUMBER($E142),FLOOR(($E142-$B142)*24,1),""))</f>
        <v/>
      </c>
      <c r="J142" s="10" t="str">
        <f aca="false">IF($D142="","",IFERROR(IF(VLOOKUP($F142,Dim_Analyst!$A:$C,3,0)="Yes","Yes","No"),"No"))</f>
        <v/>
      </c>
    </row>
    <row r="143" customFormat="false" ht="15" hidden="false" customHeight="true" outlineLevel="0" collapsed="false">
      <c r="G143" s="4" t="str">
        <f aca="false">IF($D143="","",$A143&amp;"|"&amp;$B143&amp;"|"&amp;$C143&amp;"|"&amp;$D143)</f>
        <v/>
      </c>
      <c r="H143" s="4" t="str">
        <f aca="false">IF($D143="","",$G143&amp;"|"&amp;TEXT($E143,"0.000000"))</f>
        <v/>
      </c>
      <c r="I143" s="29" t="str">
        <f aca="false">IF($D143="","",IF(ISNUMBER($E143),FLOOR(($E143-$B143)*24,1),""))</f>
        <v/>
      </c>
      <c r="J143" s="10" t="str">
        <f aca="false">IF($D143="","",IFERROR(IF(VLOOKUP($F143,Dim_Analyst!$A:$C,3,0)="Yes","Yes","No"),"No"))</f>
        <v/>
      </c>
    </row>
    <row r="144" customFormat="false" ht="15" hidden="false" customHeight="true" outlineLevel="0" collapsed="false">
      <c r="G144" s="4" t="str">
        <f aca="false">IF($D144="","",$A144&amp;"|"&amp;$B144&amp;"|"&amp;$C144&amp;"|"&amp;$D144)</f>
        <v/>
      </c>
      <c r="H144" s="4" t="str">
        <f aca="false">IF($D144="","",$G144&amp;"|"&amp;TEXT($E144,"0.000000"))</f>
        <v/>
      </c>
      <c r="I144" s="29" t="str">
        <f aca="false">IF($D144="","",IF(ISNUMBER($E144),FLOOR(($E144-$B144)*24,1),""))</f>
        <v/>
      </c>
      <c r="J144" s="10" t="str">
        <f aca="false">IF($D144="","",IFERROR(IF(VLOOKUP($F144,Dim_Analyst!$A:$C,3,0)="Yes","Yes","No"),"No"))</f>
        <v/>
      </c>
    </row>
    <row r="145" customFormat="false" ht="15" hidden="false" customHeight="true" outlineLevel="0" collapsed="false">
      <c r="G145" s="4" t="str">
        <f aca="false">IF($D145="","",$A145&amp;"|"&amp;$B145&amp;"|"&amp;$C145&amp;"|"&amp;$D145)</f>
        <v/>
      </c>
      <c r="H145" s="4" t="str">
        <f aca="false">IF($D145="","",$G145&amp;"|"&amp;TEXT($E145,"0.000000"))</f>
        <v/>
      </c>
      <c r="I145" s="29" t="str">
        <f aca="false">IF($D145="","",IF(ISNUMBER($E145),FLOOR(($E145-$B145)*24,1),""))</f>
        <v/>
      </c>
      <c r="J145" s="10" t="str">
        <f aca="false">IF($D145="","",IFERROR(IF(VLOOKUP($F145,Dim_Analyst!$A:$C,3,0)="Yes","Yes","No"),"No"))</f>
        <v/>
      </c>
    </row>
    <row r="146" customFormat="false" ht="15" hidden="false" customHeight="true" outlineLevel="0" collapsed="false">
      <c r="G146" s="4" t="str">
        <f aca="false">IF($D146="","",$A146&amp;"|"&amp;$B146&amp;"|"&amp;$C146&amp;"|"&amp;$D146)</f>
        <v/>
      </c>
      <c r="H146" s="4" t="str">
        <f aca="false">IF($D146="","",$G146&amp;"|"&amp;TEXT($E146,"0.000000"))</f>
        <v/>
      </c>
      <c r="I146" s="29" t="str">
        <f aca="false">IF($D146="","",IF(ISNUMBER($E146),FLOOR(($E146-$B146)*24,1),""))</f>
        <v/>
      </c>
      <c r="J146" s="10" t="str">
        <f aca="false">IF($D146="","",IFERROR(IF(VLOOKUP($F146,Dim_Analyst!$A:$C,3,0)="Yes","Yes","No"),"No"))</f>
        <v/>
      </c>
    </row>
    <row r="147" customFormat="false" ht="15" hidden="false" customHeight="true" outlineLevel="0" collapsed="false">
      <c r="G147" s="4" t="str">
        <f aca="false">IF($D147="","",$A147&amp;"|"&amp;$B147&amp;"|"&amp;$C147&amp;"|"&amp;$D147)</f>
        <v/>
      </c>
      <c r="H147" s="4" t="str">
        <f aca="false">IF($D147="","",$G147&amp;"|"&amp;TEXT($E147,"0.000000"))</f>
        <v/>
      </c>
      <c r="I147" s="29" t="str">
        <f aca="false">IF($D147="","",IF(ISNUMBER($E147),FLOOR(($E147-$B147)*24,1),""))</f>
        <v/>
      </c>
      <c r="J147" s="10" t="str">
        <f aca="false">IF($D147="","",IFERROR(IF(VLOOKUP($F147,Dim_Analyst!$A:$C,3,0)="Yes","Yes","No"),"No"))</f>
        <v/>
      </c>
    </row>
    <row r="148" customFormat="false" ht="15" hidden="false" customHeight="true" outlineLevel="0" collapsed="false">
      <c r="G148" s="4" t="str">
        <f aca="false">IF($D148="","",$A148&amp;"|"&amp;$B148&amp;"|"&amp;$C148&amp;"|"&amp;$D148)</f>
        <v/>
      </c>
      <c r="H148" s="4" t="str">
        <f aca="false">IF($D148="","",$G148&amp;"|"&amp;TEXT($E148,"0.000000"))</f>
        <v/>
      </c>
      <c r="I148" s="29" t="str">
        <f aca="false">IF($D148="","",IF(ISNUMBER($E148),FLOOR(($E148-$B148)*24,1),""))</f>
        <v/>
      </c>
      <c r="J148" s="10" t="str">
        <f aca="false">IF($D148="","",IFERROR(IF(VLOOKUP($F148,Dim_Analyst!$A:$C,3,0)="Yes","Yes","No"),"No"))</f>
        <v/>
      </c>
    </row>
    <row r="149" customFormat="false" ht="15" hidden="false" customHeight="true" outlineLevel="0" collapsed="false">
      <c r="G149" s="4" t="str">
        <f aca="false">IF($D149="","",$A149&amp;"|"&amp;$B149&amp;"|"&amp;$C149&amp;"|"&amp;$D149)</f>
        <v/>
      </c>
      <c r="H149" s="4" t="str">
        <f aca="false">IF($D149="","",$G149&amp;"|"&amp;TEXT($E149,"0.000000"))</f>
        <v/>
      </c>
      <c r="I149" s="29" t="str">
        <f aca="false">IF($D149="","",IF(ISNUMBER($E149),FLOOR(($E149-$B149)*24,1),""))</f>
        <v/>
      </c>
      <c r="J149" s="10" t="str">
        <f aca="false">IF($D149="","",IFERROR(IF(VLOOKUP($F149,Dim_Analyst!$A:$C,3,0)="Yes","Yes","No"),"No"))</f>
        <v/>
      </c>
    </row>
    <row r="150" customFormat="false" ht="15" hidden="false" customHeight="true" outlineLevel="0" collapsed="false">
      <c r="G150" s="4" t="str">
        <f aca="false">IF($D150="","",$A150&amp;"|"&amp;$B150&amp;"|"&amp;$C150&amp;"|"&amp;$D150)</f>
        <v/>
      </c>
      <c r="H150" s="4" t="str">
        <f aca="false">IF($D150="","",$G150&amp;"|"&amp;TEXT($E150,"0.000000"))</f>
        <v/>
      </c>
      <c r="I150" s="29" t="str">
        <f aca="false">IF($D150="","",IF(ISNUMBER($E150),FLOOR(($E150-$B150)*24,1),""))</f>
        <v/>
      </c>
      <c r="J150" s="10" t="str">
        <f aca="false">IF($D150="","",IFERROR(IF(VLOOKUP($F150,Dim_Analyst!$A:$C,3,0)="Yes","Yes","No"),"No"))</f>
        <v/>
      </c>
    </row>
    <row r="151" customFormat="false" ht="15" hidden="false" customHeight="true" outlineLevel="0" collapsed="false">
      <c r="G151" s="4" t="str">
        <f aca="false">IF($D151="","",$A151&amp;"|"&amp;$B151&amp;"|"&amp;$C151&amp;"|"&amp;$D151)</f>
        <v/>
      </c>
      <c r="H151" s="4" t="str">
        <f aca="false">IF($D151="","",$G151&amp;"|"&amp;TEXT($E151,"0.000000"))</f>
        <v/>
      </c>
      <c r="I151" s="29" t="str">
        <f aca="false">IF($D151="","",IF(ISNUMBER($E151),FLOOR(($E151-$B151)*24,1),""))</f>
        <v/>
      </c>
      <c r="J151" s="10" t="str">
        <f aca="false">IF($D151="","",IFERROR(IF(VLOOKUP($F151,Dim_Analyst!$A:$C,3,0)="Yes","Yes","No"),"No"))</f>
        <v/>
      </c>
    </row>
    <row r="152" customFormat="false" ht="15" hidden="false" customHeight="true" outlineLevel="0" collapsed="false">
      <c r="G152" s="4" t="str">
        <f aca="false">IF($D152="","",$A152&amp;"|"&amp;$B152&amp;"|"&amp;$C152&amp;"|"&amp;$D152)</f>
        <v/>
      </c>
      <c r="H152" s="4" t="str">
        <f aca="false">IF($D152="","",$G152&amp;"|"&amp;TEXT($E152,"0.000000"))</f>
        <v/>
      </c>
      <c r="I152" s="29" t="str">
        <f aca="false">IF($D152="","",IF(ISNUMBER($E152),FLOOR(($E152-$B152)*24,1),""))</f>
        <v/>
      </c>
      <c r="J152" s="10" t="str">
        <f aca="false">IF($D152="","",IFERROR(IF(VLOOKUP($F152,Dim_Analyst!$A:$C,3,0)="Yes","Yes","No"),"No"))</f>
        <v/>
      </c>
    </row>
    <row r="153" customFormat="false" ht="15" hidden="false" customHeight="true" outlineLevel="0" collapsed="false">
      <c r="G153" s="4" t="str">
        <f aca="false">IF($D153="","",$A153&amp;"|"&amp;$B153&amp;"|"&amp;$C153&amp;"|"&amp;$D153)</f>
        <v/>
      </c>
      <c r="H153" s="4" t="str">
        <f aca="false">IF($D153="","",$G153&amp;"|"&amp;TEXT($E153,"0.000000"))</f>
        <v/>
      </c>
      <c r="I153" s="29" t="str">
        <f aca="false">IF($D153="","",IF(ISNUMBER($E153),FLOOR(($E153-$B153)*24,1),""))</f>
        <v/>
      </c>
      <c r="J153" s="10" t="str">
        <f aca="false">IF($D153="","",IFERROR(IF(VLOOKUP($F153,Dim_Analyst!$A:$C,3,0)="Yes","Yes","No"),"No"))</f>
        <v/>
      </c>
    </row>
    <row r="154" customFormat="false" ht="15" hidden="false" customHeight="true" outlineLevel="0" collapsed="false">
      <c r="G154" s="4" t="str">
        <f aca="false">IF($D154="","",$A154&amp;"|"&amp;$B154&amp;"|"&amp;$C154&amp;"|"&amp;$D154)</f>
        <v/>
      </c>
      <c r="H154" s="4" t="str">
        <f aca="false">IF($D154="","",$G154&amp;"|"&amp;TEXT($E154,"0.000000"))</f>
        <v/>
      </c>
      <c r="I154" s="29" t="str">
        <f aca="false">IF($D154="","",IF(ISNUMBER($E154),FLOOR(($E154-$B154)*24,1),""))</f>
        <v/>
      </c>
      <c r="J154" s="10" t="str">
        <f aca="false">IF($D154="","",IFERROR(IF(VLOOKUP($F154,Dim_Analyst!$A:$C,3,0)="Yes","Yes","No"),"No"))</f>
        <v/>
      </c>
    </row>
    <row r="155" customFormat="false" ht="15" hidden="false" customHeight="true" outlineLevel="0" collapsed="false">
      <c r="G155" s="4" t="str">
        <f aca="false">IF($D155="","",$A155&amp;"|"&amp;$B155&amp;"|"&amp;$C155&amp;"|"&amp;$D155)</f>
        <v/>
      </c>
      <c r="H155" s="4" t="str">
        <f aca="false">IF($D155="","",$G155&amp;"|"&amp;TEXT($E155,"0.000000"))</f>
        <v/>
      </c>
      <c r="I155" s="29" t="str">
        <f aca="false">IF($D155="","",IF(ISNUMBER($E155),FLOOR(($E155-$B155)*24,1),""))</f>
        <v/>
      </c>
      <c r="J155" s="10" t="str">
        <f aca="false">IF($D155="","",IFERROR(IF(VLOOKUP($F155,Dim_Analyst!$A:$C,3,0)="Yes","Yes","No"),"No"))</f>
        <v/>
      </c>
    </row>
    <row r="156" customFormat="false" ht="15" hidden="false" customHeight="true" outlineLevel="0" collapsed="false">
      <c r="G156" s="4" t="str">
        <f aca="false">IF($D156="","",$A156&amp;"|"&amp;$B156&amp;"|"&amp;$C156&amp;"|"&amp;$D156)</f>
        <v/>
      </c>
      <c r="H156" s="4" t="str">
        <f aca="false">IF($D156="","",$G156&amp;"|"&amp;TEXT($E156,"0.000000"))</f>
        <v/>
      </c>
      <c r="I156" s="29" t="str">
        <f aca="false">IF($D156="","",IF(ISNUMBER($E156),FLOOR(($E156-$B156)*24,1),""))</f>
        <v/>
      </c>
      <c r="J156" s="10" t="str">
        <f aca="false">IF($D156="","",IFERROR(IF(VLOOKUP($F156,Dim_Analyst!$A:$C,3,0)="Yes","Yes","No"),"No"))</f>
        <v/>
      </c>
    </row>
    <row r="157" customFormat="false" ht="15" hidden="false" customHeight="true" outlineLevel="0" collapsed="false">
      <c r="G157" s="4" t="str">
        <f aca="false">IF($D157="","",$A157&amp;"|"&amp;$B157&amp;"|"&amp;$C157&amp;"|"&amp;$D157)</f>
        <v/>
      </c>
      <c r="H157" s="4" t="str">
        <f aca="false">IF($D157="","",$G157&amp;"|"&amp;TEXT($E157,"0.000000"))</f>
        <v/>
      </c>
      <c r="I157" s="29" t="str">
        <f aca="false">IF($D157="","",IF(ISNUMBER($E157),FLOOR(($E157-$B157)*24,1),""))</f>
        <v/>
      </c>
      <c r="J157" s="10" t="str">
        <f aca="false">IF($D157="","",IFERROR(IF(VLOOKUP($F157,Dim_Analyst!$A:$C,3,0)="Yes","Yes","No"),"No"))</f>
        <v/>
      </c>
    </row>
    <row r="158" customFormat="false" ht="15" hidden="false" customHeight="true" outlineLevel="0" collapsed="false">
      <c r="G158" s="4" t="str">
        <f aca="false">IF($D158="","",$A158&amp;"|"&amp;$B158&amp;"|"&amp;$C158&amp;"|"&amp;$D158)</f>
        <v/>
      </c>
      <c r="H158" s="4" t="str">
        <f aca="false">IF($D158="","",$G158&amp;"|"&amp;TEXT($E158,"0.000000"))</f>
        <v/>
      </c>
      <c r="I158" s="29" t="str">
        <f aca="false">IF($D158="","",IF(ISNUMBER($E158),FLOOR(($E158-$B158)*24,1),""))</f>
        <v/>
      </c>
      <c r="J158" s="10" t="str">
        <f aca="false">IF($D158="","",IFERROR(IF(VLOOKUP($F158,Dim_Analyst!$A:$C,3,0)="Yes","Yes","No"),"No"))</f>
        <v/>
      </c>
    </row>
    <row r="159" customFormat="false" ht="15" hidden="false" customHeight="true" outlineLevel="0" collapsed="false">
      <c r="G159" s="4" t="str">
        <f aca="false">IF($D159="","",$A159&amp;"|"&amp;$B159&amp;"|"&amp;$C159&amp;"|"&amp;$D159)</f>
        <v/>
      </c>
      <c r="H159" s="4" t="str">
        <f aca="false">IF($D159="","",$G159&amp;"|"&amp;TEXT($E159,"0.000000"))</f>
        <v/>
      </c>
      <c r="I159" s="29" t="str">
        <f aca="false">IF($D159="","",IF(ISNUMBER($E159),FLOOR(($E159-$B159)*24,1),""))</f>
        <v/>
      </c>
      <c r="J159" s="10" t="str">
        <f aca="false">IF($D159="","",IFERROR(IF(VLOOKUP($F159,Dim_Analyst!$A:$C,3,0)="Yes","Yes","No"),"No"))</f>
        <v/>
      </c>
    </row>
    <row r="160" customFormat="false" ht="15" hidden="false" customHeight="true" outlineLevel="0" collapsed="false">
      <c r="G160" s="4" t="str">
        <f aca="false">IF($D160="","",$A160&amp;"|"&amp;$B160&amp;"|"&amp;$C160&amp;"|"&amp;$D160)</f>
        <v/>
      </c>
      <c r="H160" s="4" t="str">
        <f aca="false">IF($D160="","",$G160&amp;"|"&amp;TEXT($E160,"0.000000"))</f>
        <v/>
      </c>
      <c r="I160" s="29" t="str">
        <f aca="false">IF($D160="","",IF(ISNUMBER($E160),FLOOR(($E160-$B160)*24,1),""))</f>
        <v/>
      </c>
      <c r="J160" s="10" t="str">
        <f aca="false">IF($D160="","",IFERROR(IF(VLOOKUP($F160,Dim_Analyst!$A:$C,3,0)="Yes","Yes","No"),"No"))</f>
        <v/>
      </c>
    </row>
    <row r="161" customFormat="false" ht="15" hidden="false" customHeight="true" outlineLevel="0" collapsed="false">
      <c r="G161" s="4" t="str">
        <f aca="false">IF($D161="","",$A161&amp;"|"&amp;$B161&amp;"|"&amp;$C161&amp;"|"&amp;$D161)</f>
        <v/>
      </c>
      <c r="H161" s="4" t="str">
        <f aca="false">IF($D161="","",$G161&amp;"|"&amp;TEXT($E161,"0.000000"))</f>
        <v/>
      </c>
      <c r="I161" s="29" t="str">
        <f aca="false">IF($D161="","",IF(ISNUMBER($E161),FLOOR(($E161-$B161)*24,1),""))</f>
        <v/>
      </c>
      <c r="J161" s="10" t="str">
        <f aca="false">IF($D161="","",IFERROR(IF(VLOOKUP($F161,Dim_Analyst!$A:$C,3,0)="Yes","Yes","No"),"No"))</f>
        <v/>
      </c>
    </row>
    <row r="162" customFormat="false" ht="15" hidden="false" customHeight="true" outlineLevel="0" collapsed="false">
      <c r="G162" s="4" t="str">
        <f aca="false">IF($D162="","",$A162&amp;"|"&amp;$B162&amp;"|"&amp;$C162&amp;"|"&amp;$D162)</f>
        <v/>
      </c>
      <c r="H162" s="4" t="str">
        <f aca="false">IF($D162="","",$G162&amp;"|"&amp;TEXT($E162,"0.000000"))</f>
        <v/>
      </c>
      <c r="I162" s="29" t="str">
        <f aca="false">IF($D162="","",IF(ISNUMBER($E162),FLOOR(($E162-$B162)*24,1),""))</f>
        <v/>
      </c>
      <c r="J162" s="10" t="str">
        <f aca="false">IF($D162="","",IFERROR(IF(VLOOKUP($F162,Dim_Analyst!$A:$C,3,0)="Yes","Yes","No"),"No"))</f>
        <v/>
      </c>
    </row>
    <row r="163" customFormat="false" ht="15" hidden="false" customHeight="true" outlineLevel="0" collapsed="false">
      <c r="G163" s="4" t="str">
        <f aca="false">IF($D163="","",$A163&amp;"|"&amp;$B163&amp;"|"&amp;$C163&amp;"|"&amp;$D163)</f>
        <v/>
      </c>
      <c r="H163" s="4" t="str">
        <f aca="false">IF($D163="","",$G163&amp;"|"&amp;TEXT($E163,"0.000000"))</f>
        <v/>
      </c>
      <c r="I163" s="29" t="str">
        <f aca="false">IF($D163="","",IF(ISNUMBER($E163),FLOOR(($E163-$B163)*24,1),""))</f>
        <v/>
      </c>
      <c r="J163" s="10" t="str">
        <f aca="false">IF($D163="","",IFERROR(IF(VLOOKUP($F163,Dim_Analyst!$A:$C,3,0)="Yes","Yes","No"),"No"))</f>
        <v/>
      </c>
    </row>
    <row r="164" customFormat="false" ht="15" hidden="false" customHeight="true" outlineLevel="0" collapsed="false">
      <c r="G164" s="4" t="str">
        <f aca="false">IF($D164="","",$A164&amp;"|"&amp;$B164&amp;"|"&amp;$C164&amp;"|"&amp;$D164)</f>
        <v/>
      </c>
      <c r="H164" s="4" t="str">
        <f aca="false">IF($D164="","",$G164&amp;"|"&amp;TEXT($E164,"0.000000"))</f>
        <v/>
      </c>
      <c r="I164" s="29" t="str">
        <f aca="false">IF($D164="","",IF(ISNUMBER($E164),FLOOR(($E164-$B164)*24,1),""))</f>
        <v/>
      </c>
      <c r="J164" s="10" t="str">
        <f aca="false">IF($D164="","",IFERROR(IF(VLOOKUP($F164,Dim_Analyst!$A:$C,3,0)="Yes","Yes","No"),"No"))</f>
        <v/>
      </c>
    </row>
    <row r="165" customFormat="false" ht="15" hidden="false" customHeight="true" outlineLevel="0" collapsed="false">
      <c r="G165" s="4" t="str">
        <f aca="false">IF($D165="","",$A165&amp;"|"&amp;$B165&amp;"|"&amp;$C165&amp;"|"&amp;$D165)</f>
        <v/>
      </c>
      <c r="H165" s="4" t="str">
        <f aca="false">IF($D165="","",$G165&amp;"|"&amp;TEXT($E165,"0.000000"))</f>
        <v/>
      </c>
      <c r="I165" s="29" t="str">
        <f aca="false">IF($D165="","",IF(ISNUMBER($E165),FLOOR(($E165-$B165)*24,1),""))</f>
        <v/>
      </c>
      <c r="J165" s="10" t="str">
        <f aca="false">IF($D165="","",IFERROR(IF(VLOOKUP($F165,Dim_Analyst!$A:$C,3,0)="Yes","Yes","No"),"No"))</f>
        <v/>
      </c>
    </row>
    <row r="166" customFormat="false" ht="15" hidden="false" customHeight="true" outlineLevel="0" collapsed="false">
      <c r="G166" s="4" t="str">
        <f aca="false">IF($D166="","",$A166&amp;"|"&amp;$B166&amp;"|"&amp;$C166&amp;"|"&amp;$D166)</f>
        <v/>
      </c>
      <c r="H166" s="4" t="str">
        <f aca="false">IF($D166="","",$G166&amp;"|"&amp;TEXT($E166,"0.000000"))</f>
        <v/>
      </c>
      <c r="I166" s="29" t="str">
        <f aca="false">IF($D166="","",IF(ISNUMBER($E166),FLOOR(($E166-$B166)*24,1),""))</f>
        <v/>
      </c>
      <c r="J166" s="10" t="str">
        <f aca="false">IF($D166="","",IFERROR(IF(VLOOKUP($F166,Dim_Analyst!$A:$C,3,0)="Yes","Yes","No"),"No"))</f>
        <v/>
      </c>
    </row>
    <row r="167" customFormat="false" ht="15" hidden="false" customHeight="true" outlineLevel="0" collapsed="false">
      <c r="G167" s="4" t="str">
        <f aca="false">IF($D167="","",$A167&amp;"|"&amp;$B167&amp;"|"&amp;$C167&amp;"|"&amp;$D167)</f>
        <v/>
      </c>
      <c r="H167" s="4" t="str">
        <f aca="false">IF($D167="","",$G167&amp;"|"&amp;TEXT($E167,"0.000000"))</f>
        <v/>
      </c>
      <c r="I167" s="29" t="str">
        <f aca="false">IF($D167="","",IF(ISNUMBER($E167),FLOOR(($E167-$B167)*24,1),""))</f>
        <v/>
      </c>
      <c r="J167" s="10" t="str">
        <f aca="false">IF($D167="","",IFERROR(IF(VLOOKUP($F167,Dim_Analyst!$A:$C,3,0)="Yes","Yes","No"),"No"))</f>
        <v/>
      </c>
    </row>
    <row r="168" customFormat="false" ht="15" hidden="false" customHeight="true" outlineLevel="0" collapsed="false">
      <c r="G168" s="4" t="str">
        <f aca="false">IF($D168="","",$A168&amp;"|"&amp;$B168&amp;"|"&amp;$C168&amp;"|"&amp;$D168)</f>
        <v/>
      </c>
      <c r="H168" s="4" t="str">
        <f aca="false">IF($D168="","",$G168&amp;"|"&amp;TEXT($E168,"0.000000"))</f>
        <v/>
      </c>
      <c r="I168" s="29" t="str">
        <f aca="false">IF($D168="","",IF(ISNUMBER($E168),FLOOR(($E168-$B168)*24,1),""))</f>
        <v/>
      </c>
      <c r="J168" s="10" t="str">
        <f aca="false">IF($D168="","",IFERROR(IF(VLOOKUP($F168,Dim_Analyst!$A:$C,3,0)="Yes","Yes","No"),"No"))</f>
        <v/>
      </c>
    </row>
    <row r="169" customFormat="false" ht="15" hidden="false" customHeight="true" outlineLevel="0" collapsed="false">
      <c r="G169" s="4" t="str">
        <f aca="false">IF($D169="","",$A169&amp;"|"&amp;$B169&amp;"|"&amp;$C169&amp;"|"&amp;$D169)</f>
        <v/>
      </c>
      <c r="H169" s="4" t="str">
        <f aca="false">IF($D169="","",$G169&amp;"|"&amp;TEXT($E169,"0.000000"))</f>
        <v/>
      </c>
      <c r="I169" s="29" t="str">
        <f aca="false">IF($D169="","",IF(ISNUMBER($E169),FLOOR(($E169-$B169)*24,1),""))</f>
        <v/>
      </c>
      <c r="J169" s="10" t="str">
        <f aca="false">IF($D169="","",IFERROR(IF(VLOOKUP($F169,Dim_Analyst!$A:$C,3,0)="Yes","Yes","No"),"No"))</f>
        <v/>
      </c>
    </row>
    <row r="170" customFormat="false" ht="15" hidden="false" customHeight="true" outlineLevel="0" collapsed="false">
      <c r="G170" s="4" t="str">
        <f aca="false">IF($D170="","",$A170&amp;"|"&amp;$B170&amp;"|"&amp;$C170&amp;"|"&amp;$D170)</f>
        <v/>
      </c>
      <c r="H170" s="4" t="str">
        <f aca="false">IF($D170="","",$G170&amp;"|"&amp;TEXT($E170,"0.000000"))</f>
        <v/>
      </c>
      <c r="I170" s="29" t="str">
        <f aca="false">IF($D170="","",IF(ISNUMBER($E170),FLOOR(($E170-$B170)*24,1),""))</f>
        <v/>
      </c>
      <c r="J170" s="10" t="str">
        <f aca="false">IF($D170="","",IFERROR(IF(VLOOKUP($F170,Dim_Analyst!$A:$C,3,0)="Yes","Yes","No"),"No"))</f>
        <v/>
      </c>
    </row>
    <row r="171" customFormat="false" ht="15" hidden="false" customHeight="true" outlineLevel="0" collapsed="false">
      <c r="G171" s="4" t="str">
        <f aca="false">IF($D171="","",$A171&amp;"|"&amp;$B171&amp;"|"&amp;$C171&amp;"|"&amp;$D171)</f>
        <v/>
      </c>
      <c r="H171" s="4" t="str">
        <f aca="false">IF($D171="","",$G171&amp;"|"&amp;TEXT($E171,"0.000000"))</f>
        <v/>
      </c>
      <c r="I171" s="29" t="str">
        <f aca="false">IF($D171="","",IF(ISNUMBER($E171),FLOOR(($E171-$B171)*24,1),""))</f>
        <v/>
      </c>
      <c r="J171" s="10" t="str">
        <f aca="false">IF($D171="","",IFERROR(IF(VLOOKUP($F171,Dim_Analyst!$A:$C,3,0)="Yes","Yes","No"),"No"))</f>
        <v/>
      </c>
    </row>
    <row r="172" customFormat="false" ht="15" hidden="false" customHeight="true" outlineLevel="0" collapsed="false">
      <c r="G172" s="4" t="str">
        <f aca="false">IF($D172="","",$A172&amp;"|"&amp;$B172&amp;"|"&amp;$C172&amp;"|"&amp;$D172)</f>
        <v/>
      </c>
      <c r="H172" s="4" t="str">
        <f aca="false">IF($D172="","",$G172&amp;"|"&amp;TEXT($E172,"0.000000"))</f>
        <v/>
      </c>
      <c r="I172" s="29" t="str">
        <f aca="false">IF($D172="","",IF(ISNUMBER($E172),FLOOR(($E172-$B172)*24,1),""))</f>
        <v/>
      </c>
      <c r="J172" s="10" t="str">
        <f aca="false">IF($D172="","",IFERROR(IF(VLOOKUP($F172,Dim_Analyst!$A:$C,3,0)="Yes","Yes","No"),"No"))</f>
        <v/>
      </c>
    </row>
    <row r="173" customFormat="false" ht="15" hidden="false" customHeight="true" outlineLevel="0" collapsed="false">
      <c r="G173" s="4" t="str">
        <f aca="false">IF($D173="","",$A173&amp;"|"&amp;$B173&amp;"|"&amp;$C173&amp;"|"&amp;$D173)</f>
        <v/>
      </c>
      <c r="H173" s="4" t="str">
        <f aca="false">IF($D173="","",$G173&amp;"|"&amp;TEXT($E173,"0.000000"))</f>
        <v/>
      </c>
      <c r="I173" s="29" t="str">
        <f aca="false">IF($D173="","",IF(ISNUMBER($E173),FLOOR(($E173-$B173)*24,1),""))</f>
        <v/>
      </c>
      <c r="J173" s="10" t="str">
        <f aca="false">IF($D173="","",IFERROR(IF(VLOOKUP($F173,Dim_Analyst!$A:$C,3,0)="Yes","Yes","No"),"No"))</f>
        <v/>
      </c>
    </row>
    <row r="174" customFormat="false" ht="15" hidden="false" customHeight="true" outlineLevel="0" collapsed="false">
      <c r="G174" s="4" t="str">
        <f aca="false">IF($D174="","",$A174&amp;"|"&amp;$B174&amp;"|"&amp;$C174&amp;"|"&amp;$D174)</f>
        <v/>
      </c>
      <c r="H174" s="4" t="str">
        <f aca="false">IF($D174="","",$G174&amp;"|"&amp;TEXT($E174,"0.000000"))</f>
        <v/>
      </c>
      <c r="I174" s="29" t="str">
        <f aca="false">IF($D174="","",IF(ISNUMBER($E174),FLOOR(($E174-$B174)*24,1),""))</f>
        <v/>
      </c>
      <c r="J174" s="10" t="str">
        <f aca="false">IF($D174="","",IFERROR(IF(VLOOKUP($F174,Dim_Analyst!$A:$C,3,0)="Yes","Yes","No"),"No"))</f>
        <v/>
      </c>
    </row>
    <row r="175" customFormat="false" ht="15" hidden="false" customHeight="true" outlineLevel="0" collapsed="false">
      <c r="G175" s="4" t="str">
        <f aca="false">IF($D175="","",$A175&amp;"|"&amp;$B175&amp;"|"&amp;$C175&amp;"|"&amp;$D175)</f>
        <v/>
      </c>
      <c r="H175" s="4" t="str">
        <f aca="false">IF($D175="","",$G175&amp;"|"&amp;TEXT($E175,"0.000000"))</f>
        <v/>
      </c>
      <c r="I175" s="29" t="str">
        <f aca="false">IF($D175="","",IF(ISNUMBER($E175),FLOOR(($E175-$B175)*24,1),""))</f>
        <v/>
      </c>
      <c r="J175" s="10" t="str">
        <f aca="false">IF($D175="","",IFERROR(IF(VLOOKUP($F175,Dim_Analyst!$A:$C,3,0)="Yes","Yes","No"),"No"))</f>
        <v/>
      </c>
    </row>
    <row r="176" customFormat="false" ht="15" hidden="false" customHeight="true" outlineLevel="0" collapsed="false">
      <c r="G176" s="4" t="str">
        <f aca="false">IF($D176="","",$A176&amp;"|"&amp;$B176&amp;"|"&amp;$C176&amp;"|"&amp;$D176)</f>
        <v/>
      </c>
      <c r="H176" s="4" t="str">
        <f aca="false">IF($D176="","",$G176&amp;"|"&amp;TEXT($E176,"0.000000"))</f>
        <v/>
      </c>
      <c r="I176" s="29" t="str">
        <f aca="false">IF($D176="","",IF(ISNUMBER($E176),FLOOR(($E176-$B176)*24,1),""))</f>
        <v/>
      </c>
      <c r="J176" s="10" t="str">
        <f aca="false">IF($D176="","",IFERROR(IF(VLOOKUP($F176,Dim_Analyst!$A:$C,3,0)="Yes","Yes","No"),"No"))</f>
        <v/>
      </c>
    </row>
    <row r="177" customFormat="false" ht="15" hidden="false" customHeight="true" outlineLevel="0" collapsed="false">
      <c r="G177" s="4" t="str">
        <f aca="false">IF($D177="","",$A177&amp;"|"&amp;$B177&amp;"|"&amp;$C177&amp;"|"&amp;$D177)</f>
        <v/>
      </c>
      <c r="H177" s="4" t="str">
        <f aca="false">IF($D177="","",$G177&amp;"|"&amp;TEXT($E177,"0.000000"))</f>
        <v/>
      </c>
      <c r="I177" s="29" t="str">
        <f aca="false">IF($D177="","",IF(ISNUMBER($E177),FLOOR(($E177-$B177)*24,1),""))</f>
        <v/>
      </c>
      <c r="J177" s="10" t="str">
        <f aca="false">IF($D177="","",IFERROR(IF(VLOOKUP($F177,Dim_Analyst!$A:$C,3,0)="Yes","Yes","No"),"No"))</f>
        <v/>
      </c>
    </row>
    <row r="178" customFormat="false" ht="15" hidden="false" customHeight="true" outlineLevel="0" collapsed="false">
      <c r="G178" s="4" t="str">
        <f aca="false">IF($D178="","",$A178&amp;"|"&amp;$B178&amp;"|"&amp;$C178&amp;"|"&amp;$D178)</f>
        <v/>
      </c>
      <c r="H178" s="4" t="str">
        <f aca="false">IF($D178="","",$G178&amp;"|"&amp;TEXT($E178,"0.000000"))</f>
        <v/>
      </c>
      <c r="I178" s="29" t="str">
        <f aca="false">IF($D178="","",IF(ISNUMBER($E178),FLOOR(($E178-$B178)*24,1),""))</f>
        <v/>
      </c>
      <c r="J178" s="10" t="str">
        <f aca="false">IF($D178="","",IFERROR(IF(VLOOKUP($F178,Dim_Analyst!$A:$C,3,0)="Yes","Yes","No"),"No"))</f>
        <v/>
      </c>
    </row>
    <row r="179" customFormat="false" ht="15" hidden="false" customHeight="true" outlineLevel="0" collapsed="false">
      <c r="G179" s="4" t="str">
        <f aca="false">IF($D179="","",$A179&amp;"|"&amp;$B179&amp;"|"&amp;$C179&amp;"|"&amp;$D179)</f>
        <v/>
      </c>
      <c r="H179" s="4" t="str">
        <f aca="false">IF($D179="","",$G179&amp;"|"&amp;TEXT($E179,"0.000000"))</f>
        <v/>
      </c>
      <c r="I179" s="29" t="str">
        <f aca="false">IF($D179="","",IF(ISNUMBER($E179),FLOOR(($E179-$B179)*24,1),""))</f>
        <v/>
      </c>
      <c r="J179" s="10" t="str">
        <f aca="false">IF($D179="","",IFERROR(IF(VLOOKUP($F179,Dim_Analyst!$A:$C,3,0)="Yes","Yes","No"),"No"))</f>
        <v/>
      </c>
    </row>
    <row r="180" customFormat="false" ht="15" hidden="false" customHeight="true" outlineLevel="0" collapsed="false">
      <c r="G180" s="4" t="str">
        <f aca="false">IF($D180="","",$A180&amp;"|"&amp;$B180&amp;"|"&amp;$C180&amp;"|"&amp;$D180)</f>
        <v/>
      </c>
      <c r="H180" s="4" t="str">
        <f aca="false">IF($D180="","",$G180&amp;"|"&amp;TEXT($E180,"0.000000"))</f>
        <v/>
      </c>
      <c r="I180" s="29" t="str">
        <f aca="false">IF($D180="","",IF(ISNUMBER($E180),FLOOR(($E180-$B180)*24,1),""))</f>
        <v/>
      </c>
      <c r="J180" s="10" t="str">
        <f aca="false">IF($D180="","",IFERROR(IF(VLOOKUP($F180,Dim_Analyst!$A:$C,3,0)="Yes","Yes","No"),"No"))</f>
        <v/>
      </c>
    </row>
    <row r="181" customFormat="false" ht="15" hidden="false" customHeight="true" outlineLevel="0" collapsed="false">
      <c r="G181" s="4" t="str">
        <f aca="false">IF($D181="","",$A181&amp;"|"&amp;$B181&amp;"|"&amp;$C181&amp;"|"&amp;$D181)</f>
        <v/>
      </c>
      <c r="H181" s="4" t="str">
        <f aca="false">IF($D181="","",$G181&amp;"|"&amp;TEXT($E181,"0.000000"))</f>
        <v/>
      </c>
      <c r="I181" s="29" t="str">
        <f aca="false">IF($D181="","",IF(ISNUMBER($E181),FLOOR(($E181-$B181)*24,1),""))</f>
        <v/>
      </c>
      <c r="J181" s="10" t="str">
        <f aca="false">IF($D181="","",IFERROR(IF(VLOOKUP($F181,Dim_Analyst!$A:$C,3,0)="Yes","Yes","No"),"No"))</f>
        <v/>
      </c>
    </row>
    <row r="182" customFormat="false" ht="15" hidden="false" customHeight="true" outlineLevel="0" collapsed="false">
      <c r="G182" s="4" t="str">
        <f aca="false">IF($D182="","",$A182&amp;"|"&amp;$B182&amp;"|"&amp;$C182&amp;"|"&amp;$D182)</f>
        <v/>
      </c>
      <c r="H182" s="4" t="str">
        <f aca="false">IF($D182="","",$G182&amp;"|"&amp;TEXT($E182,"0.000000"))</f>
        <v/>
      </c>
      <c r="I182" s="29" t="str">
        <f aca="false">IF($D182="","",IF(ISNUMBER($E182),FLOOR(($E182-$B182)*24,1),""))</f>
        <v/>
      </c>
      <c r="J182" s="10" t="str">
        <f aca="false">IF($D182="","",IFERROR(IF(VLOOKUP($F182,Dim_Analyst!$A:$C,3,0)="Yes","Yes","No"),"No"))</f>
        <v/>
      </c>
    </row>
    <row r="183" customFormat="false" ht="15" hidden="false" customHeight="true" outlineLevel="0" collapsed="false">
      <c r="G183" s="4" t="str">
        <f aca="false">IF($D183="","",$A183&amp;"|"&amp;$B183&amp;"|"&amp;$C183&amp;"|"&amp;$D183)</f>
        <v/>
      </c>
      <c r="H183" s="4" t="str">
        <f aca="false">IF($D183="","",$G183&amp;"|"&amp;TEXT($E183,"0.000000"))</f>
        <v/>
      </c>
      <c r="I183" s="29" t="str">
        <f aca="false">IF($D183="","",IF(ISNUMBER($E183),FLOOR(($E183-$B183)*24,1),""))</f>
        <v/>
      </c>
      <c r="J183" s="10" t="str">
        <f aca="false">IF($D183="","",IFERROR(IF(VLOOKUP($F183,Dim_Analyst!$A:$C,3,0)="Yes","Yes","No"),"No"))</f>
        <v/>
      </c>
    </row>
    <row r="184" customFormat="false" ht="15" hidden="false" customHeight="true" outlineLevel="0" collapsed="false">
      <c r="G184" s="4" t="str">
        <f aca="false">IF($D184="","",$A184&amp;"|"&amp;$B184&amp;"|"&amp;$C184&amp;"|"&amp;$D184)</f>
        <v/>
      </c>
      <c r="H184" s="4" t="str">
        <f aca="false">IF($D184="","",$G184&amp;"|"&amp;TEXT($E184,"0.000000"))</f>
        <v/>
      </c>
      <c r="I184" s="29" t="str">
        <f aca="false">IF($D184="","",IF(ISNUMBER($E184),FLOOR(($E184-$B184)*24,1),""))</f>
        <v/>
      </c>
      <c r="J184" s="10" t="str">
        <f aca="false">IF($D184="","",IFERROR(IF(VLOOKUP($F184,Dim_Analyst!$A:$C,3,0)="Yes","Yes","No"),"No"))</f>
        <v/>
      </c>
    </row>
    <row r="185" customFormat="false" ht="15" hidden="false" customHeight="true" outlineLevel="0" collapsed="false">
      <c r="G185" s="4" t="str">
        <f aca="false">IF($D185="","",$A185&amp;"|"&amp;$B185&amp;"|"&amp;$C185&amp;"|"&amp;$D185)</f>
        <v/>
      </c>
      <c r="H185" s="4" t="str">
        <f aca="false">IF($D185="","",$G185&amp;"|"&amp;TEXT($E185,"0.000000"))</f>
        <v/>
      </c>
      <c r="I185" s="29" t="str">
        <f aca="false">IF($D185="","",IF(ISNUMBER($E185),FLOOR(($E185-$B185)*24,1),""))</f>
        <v/>
      </c>
      <c r="J185" s="10" t="str">
        <f aca="false">IF($D185="","",IFERROR(IF(VLOOKUP($F185,Dim_Analyst!$A:$C,3,0)="Yes","Yes","No"),"No"))</f>
        <v/>
      </c>
    </row>
    <row r="186" customFormat="false" ht="15" hidden="false" customHeight="true" outlineLevel="0" collapsed="false">
      <c r="G186" s="4" t="str">
        <f aca="false">IF($D186="","",$A186&amp;"|"&amp;$B186&amp;"|"&amp;$C186&amp;"|"&amp;$D186)</f>
        <v/>
      </c>
      <c r="H186" s="4" t="str">
        <f aca="false">IF($D186="","",$G186&amp;"|"&amp;TEXT($E186,"0.000000"))</f>
        <v/>
      </c>
      <c r="I186" s="29" t="str">
        <f aca="false">IF($D186="","",IF(ISNUMBER($E186),FLOOR(($E186-$B186)*24,1),""))</f>
        <v/>
      </c>
      <c r="J186" s="10" t="str">
        <f aca="false">IF($D186="","",IFERROR(IF(VLOOKUP($F186,Dim_Analyst!$A:$C,3,0)="Yes","Yes","No"),"No"))</f>
        <v/>
      </c>
    </row>
    <row r="187" customFormat="false" ht="15" hidden="false" customHeight="true" outlineLevel="0" collapsed="false">
      <c r="G187" s="4" t="str">
        <f aca="false">IF($D187="","",$A187&amp;"|"&amp;$B187&amp;"|"&amp;$C187&amp;"|"&amp;$D187)</f>
        <v/>
      </c>
      <c r="H187" s="4" t="str">
        <f aca="false">IF($D187="","",$G187&amp;"|"&amp;TEXT($E187,"0.000000"))</f>
        <v/>
      </c>
      <c r="I187" s="29" t="str">
        <f aca="false">IF($D187="","",IF(ISNUMBER($E187),FLOOR(($E187-$B187)*24,1),""))</f>
        <v/>
      </c>
      <c r="J187" s="10" t="str">
        <f aca="false">IF($D187="","",IFERROR(IF(VLOOKUP($F187,Dim_Analyst!$A:$C,3,0)="Yes","Yes","No"),"No"))</f>
        <v/>
      </c>
    </row>
    <row r="188" customFormat="false" ht="15" hidden="false" customHeight="true" outlineLevel="0" collapsed="false">
      <c r="G188" s="4" t="str">
        <f aca="false">IF($D188="","",$A188&amp;"|"&amp;$B188&amp;"|"&amp;$C188&amp;"|"&amp;$D188)</f>
        <v/>
      </c>
      <c r="H188" s="4" t="str">
        <f aca="false">IF($D188="","",$G188&amp;"|"&amp;TEXT($E188,"0.000000"))</f>
        <v/>
      </c>
      <c r="I188" s="29" t="str">
        <f aca="false">IF($D188="","",IF(ISNUMBER($E188),FLOOR(($E188-$B188)*24,1),""))</f>
        <v/>
      </c>
      <c r="J188" s="10" t="str">
        <f aca="false">IF($D188="","",IFERROR(IF(VLOOKUP($F188,Dim_Analyst!$A:$C,3,0)="Yes","Yes","No"),"No"))</f>
        <v/>
      </c>
    </row>
    <row r="189" customFormat="false" ht="15" hidden="false" customHeight="true" outlineLevel="0" collapsed="false">
      <c r="G189" s="4" t="str">
        <f aca="false">IF($D189="","",$A189&amp;"|"&amp;$B189&amp;"|"&amp;$C189&amp;"|"&amp;$D189)</f>
        <v/>
      </c>
      <c r="H189" s="4" t="str">
        <f aca="false">IF($D189="","",$G189&amp;"|"&amp;TEXT($E189,"0.000000"))</f>
        <v/>
      </c>
      <c r="I189" s="29" t="str">
        <f aca="false">IF($D189="","",IF(ISNUMBER($E189),FLOOR(($E189-$B189)*24,1),""))</f>
        <v/>
      </c>
      <c r="J189" s="10" t="str">
        <f aca="false">IF($D189="","",IFERROR(IF(VLOOKUP($F189,Dim_Analyst!$A:$C,3,0)="Yes","Yes","No"),"No"))</f>
        <v/>
      </c>
    </row>
    <row r="190" customFormat="false" ht="15" hidden="false" customHeight="true" outlineLevel="0" collapsed="false">
      <c r="G190" s="4" t="str">
        <f aca="false">IF($D190="","",$A190&amp;"|"&amp;$B190&amp;"|"&amp;$C190&amp;"|"&amp;$D190)</f>
        <v/>
      </c>
      <c r="H190" s="4" t="str">
        <f aca="false">IF($D190="","",$G190&amp;"|"&amp;TEXT($E190,"0.000000"))</f>
        <v/>
      </c>
      <c r="I190" s="29" t="str">
        <f aca="false">IF($D190="","",IF(ISNUMBER($E190),FLOOR(($E190-$B190)*24,1),""))</f>
        <v/>
      </c>
      <c r="J190" s="10" t="str">
        <f aca="false">IF($D190="","",IFERROR(IF(VLOOKUP($F190,Dim_Analyst!$A:$C,3,0)="Yes","Yes","No"),"No"))</f>
        <v/>
      </c>
    </row>
    <row r="191" customFormat="false" ht="15" hidden="false" customHeight="true" outlineLevel="0" collapsed="false">
      <c r="G191" s="4" t="str">
        <f aca="false">IF($D191="","",$A191&amp;"|"&amp;$B191&amp;"|"&amp;$C191&amp;"|"&amp;$D191)</f>
        <v/>
      </c>
      <c r="H191" s="4" t="str">
        <f aca="false">IF($D191="","",$G191&amp;"|"&amp;TEXT($E191,"0.000000"))</f>
        <v/>
      </c>
      <c r="I191" s="29" t="str">
        <f aca="false">IF($D191="","",IF(ISNUMBER($E191),FLOOR(($E191-$B191)*24,1),""))</f>
        <v/>
      </c>
      <c r="J191" s="10" t="str">
        <f aca="false">IF($D191="","",IFERROR(IF(VLOOKUP($F191,Dim_Analyst!$A:$C,3,0)="Yes","Yes","No"),"No"))</f>
        <v/>
      </c>
    </row>
    <row r="192" customFormat="false" ht="15" hidden="false" customHeight="true" outlineLevel="0" collapsed="false">
      <c r="G192" s="4" t="str">
        <f aca="false">IF($D192="","",$A192&amp;"|"&amp;$B192&amp;"|"&amp;$C192&amp;"|"&amp;$D192)</f>
        <v/>
      </c>
      <c r="H192" s="4" t="str">
        <f aca="false">IF($D192="","",$G192&amp;"|"&amp;TEXT($E192,"0.000000"))</f>
        <v/>
      </c>
      <c r="I192" s="29" t="str">
        <f aca="false">IF($D192="","",IF(ISNUMBER($E192),FLOOR(($E192-$B192)*24,1),""))</f>
        <v/>
      </c>
      <c r="J192" s="10" t="str">
        <f aca="false">IF($D192="","",IFERROR(IF(VLOOKUP($F192,Dim_Analyst!$A:$C,3,0)="Yes","Yes","No"),"No"))</f>
        <v/>
      </c>
    </row>
    <row r="193" customFormat="false" ht="15" hidden="false" customHeight="true" outlineLevel="0" collapsed="false">
      <c r="G193" s="4" t="str">
        <f aca="false">IF($D193="","",$A193&amp;"|"&amp;$B193&amp;"|"&amp;$C193&amp;"|"&amp;$D193)</f>
        <v/>
      </c>
      <c r="H193" s="4" t="str">
        <f aca="false">IF($D193="","",$G193&amp;"|"&amp;TEXT($E193,"0.000000"))</f>
        <v/>
      </c>
      <c r="I193" s="29" t="str">
        <f aca="false">IF($D193="","",IF(ISNUMBER($E193),FLOOR(($E193-$B193)*24,1),""))</f>
        <v/>
      </c>
      <c r="J193" s="10" t="str">
        <f aca="false">IF($D193="","",IFERROR(IF(VLOOKUP($F193,Dim_Analyst!$A:$C,3,0)="Yes","Yes","No"),"No"))</f>
        <v/>
      </c>
    </row>
    <row r="194" customFormat="false" ht="15" hidden="false" customHeight="true" outlineLevel="0" collapsed="false">
      <c r="G194" s="4" t="str">
        <f aca="false">IF($D194="","",$A194&amp;"|"&amp;$B194&amp;"|"&amp;$C194&amp;"|"&amp;$D194)</f>
        <v/>
      </c>
      <c r="H194" s="4" t="str">
        <f aca="false">IF($D194="","",$G194&amp;"|"&amp;TEXT($E194,"0.000000"))</f>
        <v/>
      </c>
      <c r="I194" s="29" t="str">
        <f aca="false">IF($D194="","",IF(ISNUMBER($E194),FLOOR(($E194-$B194)*24,1),""))</f>
        <v/>
      </c>
      <c r="J194" s="10" t="str">
        <f aca="false">IF($D194="","",IFERROR(IF(VLOOKUP($F194,Dim_Analyst!$A:$C,3,0)="Yes","Yes","No"),"No"))</f>
        <v/>
      </c>
    </row>
    <row r="195" customFormat="false" ht="15" hidden="false" customHeight="true" outlineLevel="0" collapsed="false">
      <c r="G195" s="4" t="str">
        <f aca="false">IF($D195="","",$A195&amp;"|"&amp;$B195&amp;"|"&amp;$C195&amp;"|"&amp;$D195)</f>
        <v/>
      </c>
      <c r="H195" s="4" t="str">
        <f aca="false">IF($D195="","",$G195&amp;"|"&amp;TEXT($E195,"0.000000"))</f>
        <v/>
      </c>
      <c r="I195" s="29" t="str">
        <f aca="false">IF($D195="","",IF(ISNUMBER($E195),FLOOR(($E195-$B195)*24,1),""))</f>
        <v/>
      </c>
      <c r="J195" s="10" t="str">
        <f aca="false">IF($D195="","",IFERROR(IF(VLOOKUP($F195,Dim_Analyst!$A:$C,3,0)="Yes","Yes","No"),"No"))</f>
        <v/>
      </c>
    </row>
    <row r="196" customFormat="false" ht="15" hidden="false" customHeight="true" outlineLevel="0" collapsed="false">
      <c r="G196" s="4" t="str">
        <f aca="false">IF($D196="","",$A196&amp;"|"&amp;$B196&amp;"|"&amp;$C196&amp;"|"&amp;$D196)</f>
        <v/>
      </c>
      <c r="H196" s="4" t="str">
        <f aca="false">IF($D196="","",$G196&amp;"|"&amp;TEXT($E196,"0.000000"))</f>
        <v/>
      </c>
      <c r="I196" s="29" t="str">
        <f aca="false">IF($D196="","",IF(ISNUMBER($E196),FLOOR(($E196-$B196)*24,1),""))</f>
        <v/>
      </c>
      <c r="J196" s="10" t="str">
        <f aca="false">IF($D196="","",IFERROR(IF(VLOOKUP($F196,Dim_Analyst!$A:$C,3,0)="Yes","Yes","No"),"No"))</f>
        <v/>
      </c>
    </row>
    <row r="197" customFormat="false" ht="15" hidden="false" customHeight="true" outlineLevel="0" collapsed="false">
      <c r="G197" s="4" t="str">
        <f aca="false">IF($D197="","",$A197&amp;"|"&amp;$B197&amp;"|"&amp;$C197&amp;"|"&amp;$D197)</f>
        <v/>
      </c>
      <c r="H197" s="4" t="str">
        <f aca="false">IF($D197="","",$G197&amp;"|"&amp;TEXT($E197,"0.000000"))</f>
        <v/>
      </c>
      <c r="I197" s="29" t="str">
        <f aca="false">IF($D197="","",IF(ISNUMBER($E197),FLOOR(($E197-$B197)*24,1),""))</f>
        <v/>
      </c>
      <c r="J197" s="10" t="str">
        <f aca="false">IF($D197="","",IFERROR(IF(VLOOKUP($F197,Dim_Analyst!$A:$C,3,0)="Yes","Yes","No"),"No"))</f>
        <v/>
      </c>
    </row>
    <row r="198" customFormat="false" ht="15" hidden="false" customHeight="true" outlineLevel="0" collapsed="false">
      <c r="G198" s="4" t="str">
        <f aca="false">IF($D198="","",$A198&amp;"|"&amp;$B198&amp;"|"&amp;$C198&amp;"|"&amp;$D198)</f>
        <v/>
      </c>
      <c r="H198" s="4" t="str">
        <f aca="false">IF($D198="","",$G198&amp;"|"&amp;TEXT($E198,"0.000000"))</f>
        <v/>
      </c>
      <c r="I198" s="29" t="str">
        <f aca="false">IF($D198="","",IF(ISNUMBER($E198),FLOOR(($E198-$B198)*24,1),""))</f>
        <v/>
      </c>
      <c r="J198" s="10" t="str">
        <f aca="false">IF($D198="","",IFERROR(IF(VLOOKUP($F198,Dim_Analyst!$A:$C,3,0)="Yes","Yes","No"),"No"))</f>
        <v/>
      </c>
    </row>
    <row r="199" customFormat="false" ht="15" hidden="false" customHeight="true" outlineLevel="0" collapsed="false">
      <c r="G199" s="4" t="str">
        <f aca="false">IF($D199="","",$A199&amp;"|"&amp;$B199&amp;"|"&amp;$C199&amp;"|"&amp;$D199)</f>
        <v/>
      </c>
      <c r="H199" s="4" t="str">
        <f aca="false">IF($D199="","",$G199&amp;"|"&amp;TEXT($E199,"0.000000"))</f>
        <v/>
      </c>
      <c r="I199" s="29" t="str">
        <f aca="false">IF($D199="","",IF(ISNUMBER($E199),FLOOR(($E199-$B199)*24,1),""))</f>
        <v/>
      </c>
      <c r="J199" s="10" t="str">
        <f aca="false">IF($D199="","",IFERROR(IF(VLOOKUP($F199,Dim_Analyst!$A:$C,3,0)="Yes","Yes","No"),"No"))</f>
        <v/>
      </c>
    </row>
    <row r="200" customFormat="false" ht="15" hidden="false" customHeight="true" outlineLevel="0" collapsed="false">
      <c r="G200" s="4" t="str">
        <f aca="false">IF($D200="","",$A200&amp;"|"&amp;$B200&amp;"|"&amp;$C200&amp;"|"&amp;$D200)</f>
        <v/>
      </c>
      <c r="H200" s="4" t="str">
        <f aca="false">IF($D200="","",$G200&amp;"|"&amp;TEXT($E200,"0.000000"))</f>
        <v/>
      </c>
      <c r="I200" s="29" t="str">
        <f aca="false">IF($D200="","",IF(ISNUMBER($E200),FLOOR(($E200-$B200)*24,1),""))</f>
        <v/>
      </c>
      <c r="J200" s="10" t="str">
        <f aca="false">IF($D200="","",IFERROR(IF(VLOOKUP($F200,Dim_Analyst!$A:$C,3,0)="Yes","Yes","No"),"No"))</f>
        <v/>
      </c>
    </row>
    <row r="201" customFormat="false" ht="15" hidden="false" customHeight="true" outlineLevel="0" collapsed="false">
      <c r="G201" s="4" t="str">
        <f aca="false">IF($D201="","",$A201&amp;"|"&amp;$B201&amp;"|"&amp;$C201&amp;"|"&amp;$D201)</f>
        <v/>
      </c>
      <c r="H201" s="4" t="str">
        <f aca="false">IF($D201="","",$G201&amp;"|"&amp;TEXT($E201,"0.000000"))</f>
        <v/>
      </c>
      <c r="I201" s="29" t="str">
        <f aca="false">IF($D201="","",IF(ISNUMBER($E201),FLOOR(($E201-$B201)*24,1),""))</f>
        <v/>
      </c>
      <c r="J201" s="10" t="str">
        <f aca="false">IF($D201="","",IFERROR(IF(VLOOKUP($F201,Dim_Analyst!$A:$C,3,0)="Yes","Yes","No"),"No"))</f>
        <v/>
      </c>
    </row>
    <row r="202" customFormat="false" ht="15" hidden="false" customHeight="true" outlineLevel="0" collapsed="false">
      <c r="G202" s="4" t="str">
        <f aca="false">IF($D202="","",$A202&amp;"|"&amp;$B202&amp;"|"&amp;$C202&amp;"|"&amp;$D202)</f>
        <v/>
      </c>
      <c r="H202" s="4" t="str">
        <f aca="false">IF($D202="","",$G202&amp;"|"&amp;TEXT($E202,"0.000000"))</f>
        <v/>
      </c>
      <c r="I202" s="29" t="str">
        <f aca="false">IF($D202="","",IF(ISNUMBER($E202),FLOOR(($E202-$B202)*24,1),""))</f>
        <v/>
      </c>
      <c r="J202" s="10" t="str">
        <f aca="false">IF($D202="","",IFERROR(IF(VLOOKUP($F202,Dim_Analyst!$A:$C,3,0)="Yes","Yes","No"),"No"))</f>
        <v/>
      </c>
    </row>
    <row r="203" customFormat="false" ht="15" hidden="false" customHeight="true" outlineLevel="0" collapsed="false">
      <c r="G203" s="4" t="str">
        <f aca="false">IF($D203="","",$A203&amp;"|"&amp;$B203&amp;"|"&amp;$C203&amp;"|"&amp;$D203)</f>
        <v/>
      </c>
      <c r="H203" s="4" t="str">
        <f aca="false">IF($D203="","",$G203&amp;"|"&amp;TEXT($E203,"0.000000"))</f>
        <v/>
      </c>
      <c r="I203" s="29" t="str">
        <f aca="false">IF($D203="","",IF(ISNUMBER($E203),FLOOR(($E203-$B203)*24,1),""))</f>
        <v/>
      </c>
      <c r="J203" s="10" t="str">
        <f aca="false">IF($D203="","",IFERROR(IF(VLOOKUP($F203,Dim_Analyst!$A:$C,3,0)="Yes","Yes","No"),"No"))</f>
        <v/>
      </c>
    </row>
    <row r="204" customFormat="false" ht="15" hidden="false" customHeight="true" outlineLevel="0" collapsed="false">
      <c r="G204" s="4" t="str">
        <f aca="false">IF($D204="","",$A204&amp;"|"&amp;$B204&amp;"|"&amp;$C204&amp;"|"&amp;$D204)</f>
        <v/>
      </c>
      <c r="H204" s="4" t="str">
        <f aca="false">IF($D204="","",$G204&amp;"|"&amp;TEXT($E204,"0.000000"))</f>
        <v/>
      </c>
      <c r="I204" s="29" t="str">
        <f aca="false">IF($D204="","",IF(ISNUMBER($E204),FLOOR(($E204-$B204)*24,1),""))</f>
        <v/>
      </c>
      <c r="J204" s="10" t="str">
        <f aca="false">IF($D204="","",IFERROR(IF(VLOOKUP($F204,Dim_Analyst!$A:$C,3,0)="Yes","Yes","No"),"No"))</f>
        <v/>
      </c>
    </row>
    <row r="205" customFormat="false" ht="15" hidden="false" customHeight="true" outlineLevel="0" collapsed="false">
      <c r="G205" s="4" t="str">
        <f aca="false">IF($D205="","",$A205&amp;"|"&amp;$B205&amp;"|"&amp;$C205&amp;"|"&amp;$D205)</f>
        <v/>
      </c>
      <c r="H205" s="4" t="str">
        <f aca="false">IF($D205="","",$G205&amp;"|"&amp;TEXT($E205,"0.000000"))</f>
        <v/>
      </c>
      <c r="I205" s="29" t="str">
        <f aca="false">IF($D205="","",IF(ISNUMBER($E205),FLOOR(($E205-$B205)*24,1),""))</f>
        <v/>
      </c>
      <c r="J205" s="10" t="str">
        <f aca="false">IF($D205="","",IFERROR(IF(VLOOKUP($F205,Dim_Analyst!$A:$C,3,0)="Yes","Yes","No"),"No"))</f>
        <v/>
      </c>
    </row>
    <row r="206" customFormat="false" ht="15" hidden="false" customHeight="true" outlineLevel="0" collapsed="false">
      <c r="G206" s="4" t="str">
        <f aca="false">IF($D206="","",$A206&amp;"|"&amp;$B206&amp;"|"&amp;$C206&amp;"|"&amp;$D206)</f>
        <v/>
      </c>
      <c r="H206" s="4" t="str">
        <f aca="false">IF($D206="","",$G206&amp;"|"&amp;TEXT($E206,"0.000000"))</f>
        <v/>
      </c>
      <c r="I206" s="29" t="str">
        <f aca="false">IF($D206="","",IF(ISNUMBER($E206),FLOOR(($E206-$B206)*24,1),""))</f>
        <v/>
      </c>
      <c r="J206" s="10" t="str">
        <f aca="false">IF($D206="","",IFERROR(IF(VLOOKUP($F206,Dim_Analyst!$A:$C,3,0)="Yes","Yes","No"),"No"))</f>
        <v/>
      </c>
    </row>
    <row r="207" customFormat="false" ht="15" hidden="false" customHeight="true" outlineLevel="0" collapsed="false">
      <c r="G207" s="4" t="str">
        <f aca="false">IF($D207="","",$A207&amp;"|"&amp;$B207&amp;"|"&amp;$C207&amp;"|"&amp;$D207)</f>
        <v/>
      </c>
      <c r="H207" s="4" t="str">
        <f aca="false">IF($D207="","",$G207&amp;"|"&amp;TEXT($E207,"0.000000"))</f>
        <v/>
      </c>
      <c r="I207" s="29" t="str">
        <f aca="false">IF($D207="","",IF(ISNUMBER($E207),FLOOR(($E207-$B207)*24,1),""))</f>
        <v/>
      </c>
      <c r="J207" s="10" t="str">
        <f aca="false">IF($D207="","",IFERROR(IF(VLOOKUP($F207,Dim_Analyst!$A:$C,3,0)="Yes","Yes","No"),"No"))</f>
        <v/>
      </c>
    </row>
    <row r="208" customFormat="false" ht="15" hidden="false" customHeight="true" outlineLevel="0" collapsed="false">
      <c r="G208" s="4" t="str">
        <f aca="false">IF($D208="","",$A208&amp;"|"&amp;$B208&amp;"|"&amp;$C208&amp;"|"&amp;$D208)</f>
        <v/>
      </c>
      <c r="H208" s="4" t="str">
        <f aca="false">IF($D208="","",$G208&amp;"|"&amp;TEXT($E208,"0.000000"))</f>
        <v/>
      </c>
      <c r="I208" s="29" t="str">
        <f aca="false">IF($D208="","",IF(ISNUMBER($E208),FLOOR(($E208-$B208)*24,1),""))</f>
        <v/>
      </c>
      <c r="J208" s="10" t="str">
        <f aca="false">IF($D208="","",IFERROR(IF(VLOOKUP($F208,Dim_Analyst!$A:$C,3,0)="Yes","Yes","No"),"No"))</f>
        <v/>
      </c>
    </row>
    <row r="209" customFormat="false" ht="15" hidden="false" customHeight="true" outlineLevel="0" collapsed="false">
      <c r="G209" s="4" t="str">
        <f aca="false">IF($D209="","",$A209&amp;"|"&amp;$B209&amp;"|"&amp;$C209&amp;"|"&amp;$D209)</f>
        <v/>
      </c>
      <c r="H209" s="4" t="str">
        <f aca="false">IF($D209="","",$G209&amp;"|"&amp;TEXT($E209,"0.000000"))</f>
        <v/>
      </c>
      <c r="I209" s="29" t="str">
        <f aca="false">IF($D209="","",IF(ISNUMBER($E209),FLOOR(($E209-$B209)*24,1),""))</f>
        <v/>
      </c>
      <c r="J209" s="10" t="str">
        <f aca="false">IF($D209="","",IFERROR(IF(VLOOKUP($F209,Dim_Analyst!$A:$C,3,0)="Yes","Yes","No"),"No"))</f>
        <v/>
      </c>
    </row>
    <row r="210" customFormat="false" ht="15" hidden="false" customHeight="true" outlineLevel="0" collapsed="false">
      <c r="G210" s="4" t="str">
        <f aca="false">IF($D210="","",$A210&amp;"|"&amp;$B210&amp;"|"&amp;$C210&amp;"|"&amp;$D210)</f>
        <v/>
      </c>
      <c r="H210" s="4" t="str">
        <f aca="false">IF($D210="","",$G210&amp;"|"&amp;TEXT($E210,"0.000000"))</f>
        <v/>
      </c>
      <c r="I210" s="29" t="str">
        <f aca="false">IF($D210="","",IF(ISNUMBER($E210),FLOOR(($E210-$B210)*24,1),""))</f>
        <v/>
      </c>
      <c r="J210" s="10" t="str">
        <f aca="false">IF($D210="","",IFERROR(IF(VLOOKUP($F210,Dim_Analyst!$A:$C,3,0)="Yes","Yes","No"),"No"))</f>
        <v/>
      </c>
    </row>
    <row r="211" customFormat="false" ht="15" hidden="false" customHeight="true" outlineLevel="0" collapsed="false">
      <c r="G211" s="4" t="str">
        <f aca="false">IF($D211="","",$A211&amp;"|"&amp;$B211&amp;"|"&amp;$C211&amp;"|"&amp;$D211)</f>
        <v/>
      </c>
      <c r="H211" s="4" t="str">
        <f aca="false">IF($D211="","",$G211&amp;"|"&amp;TEXT($E211,"0.000000"))</f>
        <v/>
      </c>
      <c r="I211" s="29" t="str">
        <f aca="false">IF($D211="","",IF(ISNUMBER($E211),FLOOR(($E211-$B211)*24,1),""))</f>
        <v/>
      </c>
      <c r="J211" s="10" t="str">
        <f aca="false">IF($D211="","",IFERROR(IF(VLOOKUP($F211,Dim_Analyst!$A:$C,3,0)="Yes","Yes","No"),"No"))</f>
        <v/>
      </c>
    </row>
    <row r="212" customFormat="false" ht="15" hidden="false" customHeight="true" outlineLevel="0" collapsed="false">
      <c r="G212" s="4" t="str">
        <f aca="false">IF($D212="","",$A212&amp;"|"&amp;$B212&amp;"|"&amp;$C212&amp;"|"&amp;$D212)</f>
        <v/>
      </c>
      <c r="H212" s="4" t="str">
        <f aca="false">IF($D212="","",$G212&amp;"|"&amp;TEXT($E212,"0.000000"))</f>
        <v/>
      </c>
      <c r="I212" s="29" t="str">
        <f aca="false">IF($D212="","",IF(ISNUMBER($E212),FLOOR(($E212-$B212)*24,1),""))</f>
        <v/>
      </c>
      <c r="J212" s="10" t="str">
        <f aca="false">IF($D212="","",IFERROR(IF(VLOOKUP($F212,Dim_Analyst!$A:$C,3,0)="Yes","Yes","No"),"No"))</f>
        <v/>
      </c>
    </row>
    <row r="213" customFormat="false" ht="15" hidden="false" customHeight="true" outlineLevel="0" collapsed="false">
      <c r="G213" s="4" t="str">
        <f aca="false">IF($D213="","",$A213&amp;"|"&amp;$B213&amp;"|"&amp;$C213&amp;"|"&amp;$D213)</f>
        <v/>
      </c>
      <c r="H213" s="4" t="str">
        <f aca="false">IF($D213="","",$G213&amp;"|"&amp;TEXT($E213,"0.000000"))</f>
        <v/>
      </c>
      <c r="I213" s="29" t="str">
        <f aca="false">IF($D213="","",IF(ISNUMBER($E213),FLOOR(($E213-$B213)*24,1),""))</f>
        <v/>
      </c>
      <c r="J213" s="10" t="str">
        <f aca="false">IF($D213="","",IFERROR(IF(VLOOKUP($F213,Dim_Analyst!$A:$C,3,0)="Yes","Yes","No"),"No"))</f>
        <v/>
      </c>
    </row>
    <row r="214" customFormat="false" ht="15" hidden="false" customHeight="true" outlineLevel="0" collapsed="false">
      <c r="G214" s="4" t="str">
        <f aca="false">IF($D214="","",$A214&amp;"|"&amp;$B214&amp;"|"&amp;$C214&amp;"|"&amp;$D214)</f>
        <v/>
      </c>
      <c r="H214" s="4" t="str">
        <f aca="false">IF($D214="","",$G214&amp;"|"&amp;TEXT($E214,"0.000000"))</f>
        <v/>
      </c>
      <c r="I214" s="29" t="str">
        <f aca="false">IF($D214="","",IF(ISNUMBER($E214),FLOOR(($E214-$B214)*24,1),""))</f>
        <v/>
      </c>
      <c r="J214" s="10" t="str">
        <f aca="false">IF($D214="","",IFERROR(IF(VLOOKUP($F214,Dim_Analyst!$A:$C,3,0)="Yes","Yes","No"),"No"))</f>
        <v/>
      </c>
    </row>
    <row r="215" customFormat="false" ht="15" hidden="false" customHeight="true" outlineLevel="0" collapsed="false">
      <c r="G215" s="4" t="str">
        <f aca="false">IF($D215="","",$A215&amp;"|"&amp;$B215&amp;"|"&amp;$C215&amp;"|"&amp;$D215)</f>
        <v/>
      </c>
      <c r="H215" s="4" t="str">
        <f aca="false">IF($D215="","",$G215&amp;"|"&amp;TEXT($E215,"0.000000"))</f>
        <v/>
      </c>
      <c r="I215" s="29" t="str">
        <f aca="false">IF($D215="","",IF(ISNUMBER($E215),FLOOR(($E215-$B215)*24,1),""))</f>
        <v/>
      </c>
      <c r="J215" s="10" t="str">
        <f aca="false">IF($D215="","",IFERROR(IF(VLOOKUP($F215,Dim_Analyst!$A:$C,3,0)="Yes","Yes","No"),"No"))</f>
        <v/>
      </c>
    </row>
    <row r="216" customFormat="false" ht="15" hidden="false" customHeight="true" outlineLevel="0" collapsed="false">
      <c r="G216" s="4" t="str">
        <f aca="false">IF($D216="","",$A216&amp;"|"&amp;$B216&amp;"|"&amp;$C216&amp;"|"&amp;$D216)</f>
        <v/>
      </c>
      <c r="H216" s="4" t="str">
        <f aca="false">IF($D216="","",$G216&amp;"|"&amp;TEXT($E216,"0.000000"))</f>
        <v/>
      </c>
      <c r="I216" s="29" t="str">
        <f aca="false">IF($D216="","",IF(ISNUMBER($E216),FLOOR(($E216-$B216)*24,1),""))</f>
        <v/>
      </c>
      <c r="J216" s="10" t="str">
        <f aca="false">IF($D216="","",IFERROR(IF(VLOOKUP($F216,Dim_Analyst!$A:$C,3,0)="Yes","Yes","No"),"No"))</f>
        <v/>
      </c>
    </row>
    <row r="217" customFormat="false" ht="15" hidden="false" customHeight="true" outlineLevel="0" collapsed="false">
      <c r="G217" s="4" t="str">
        <f aca="false">IF($D217="","",$A217&amp;"|"&amp;$B217&amp;"|"&amp;$C217&amp;"|"&amp;$D217)</f>
        <v/>
      </c>
      <c r="H217" s="4" t="str">
        <f aca="false">IF($D217="","",$G217&amp;"|"&amp;TEXT($E217,"0.000000"))</f>
        <v/>
      </c>
      <c r="I217" s="29" t="str">
        <f aca="false">IF($D217="","",IF(ISNUMBER($E217),FLOOR(($E217-$B217)*24,1),""))</f>
        <v/>
      </c>
      <c r="J217" s="10" t="str">
        <f aca="false">IF($D217="","",IFERROR(IF(VLOOKUP($F217,Dim_Analyst!$A:$C,3,0)="Yes","Yes","No"),"No"))</f>
        <v/>
      </c>
    </row>
    <row r="218" customFormat="false" ht="15" hidden="false" customHeight="true" outlineLevel="0" collapsed="false">
      <c r="G218" s="4" t="str">
        <f aca="false">IF($D218="","",$A218&amp;"|"&amp;$B218&amp;"|"&amp;$C218&amp;"|"&amp;$D218)</f>
        <v/>
      </c>
      <c r="H218" s="4" t="str">
        <f aca="false">IF($D218="","",$G218&amp;"|"&amp;TEXT($E218,"0.000000"))</f>
        <v/>
      </c>
      <c r="I218" s="29" t="str">
        <f aca="false">IF($D218="","",IF(ISNUMBER($E218),FLOOR(($E218-$B218)*24,1),""))</f>
        <v/>
      </c>
      <c r="J218" s="10" t="str">
        <f aca="false">IF($D218="","",IFERROR(IF(VLOOKUP($F218,Dim_Analyst!$A:$C,3,0)="Yes","Yes","No"),"No"))</f>
        <v/>
      </c>
    </row>
    <row r="219" customFormat="false" ht="15" hidden="false" customHeight="true" outlineLevel="0" collapsed="false">
      <c r="G219" s="4" t="str">
        <f aca="false">IF($D219="","",$A219&amp;"|"&amp;$B219&amp;"|"&amp;$C219&amp;"|"&amp;$D219)</f>
        <v/>
      </c>
      <c r="H219" s="4" t="str">
        <f aca="false">IF($D219="","",$G219&amp;"|"&amp;TEXT($E219,"0.000000"))</f>
        <v/>
      </c>
      <c r="I219" s="29" t="str">
        <f aca="false">IF($D219="","",IF(ISNUMBER($E219),FLOOR(($E219-$B219)*24,1),""))</f>
        <v/>
      </c>
      <c r="J219" s="10" t="str">
        <f aca="false">IF($D219="","",IFERROR(IF(VLOOKUP($F219,Dim_Analyst!$A:$C,3,0)="Yes","Yes","No"),"No"))</f>
        <v/>
      </c>
    </row>
    <row r="220" customFormat="false" ht="15" hidden="false" customHeight="true" outlineLevel="0" collapsed="false">
      <c r="G220" s="4" t="str">
        <f aca="false">IF($D220="","",$A220&amp;"|"&amp;$B220&amp;"|"&amp;$C220&amp;"|"&amp;$D220)</f>
        <v/>
      </c>
      <c r="H220" s="4" t="str">
        <f aca="false">IF($D220="","",$G220&amp;"|"&amp;TEXT($E220,"0.000000"))</f>
        <v/>
      </c>
      <c r="I220" s="29" t="str">
        <f aca="false">IF($D220="","",IF(ISNUMBER($E220),FLOOR(($E220-$B220)*24,1),""))</f>
        <v/>
      </c>
      <c r="J220" s="10" t="str">
        <f aca="false">IF($D220="","",IFERROR(IF(VLOOKUP($F220,Dim_Analyst!$A:$C,3,0)="Yes","Yes","No"),"No"))</f>
        <v/>
      </c>
    </row>
    <row r="221" customFormat="false" ht="15" hidden="false" customHeight="true" outlineLevel="0" collapsed="false">
      <c r="G221" s="4" t="str">
        <f aca="false">IF($D221="","",$A221&amp;"|"&amp;$B221&amp;"|"&amp;$C221&amp;"|"&amp;$D221)</f>
        <v/>
      </c>
      <c r="H221" s="4" t="str">
        <f aca="false">IF($D221="","",$G221&amp;"|"&amp;TEXT($E221,"0.000000"))</f>
        <v/>
      </c>
      <c r="I221" s="29" t="str">
        <f aca="false">IF($D221="","",IF(ISNUMBER($E221),FLOOR(($E221-$B221)*24,1),""))</f>
        <v/>
      </c>
      <c r="J221" s="10" t="str">
        <f aca="false">IF($D221="","",IFERROR(IF(VLOOKUP($F221,Dim_Analyst!$A:$C,3,0)="Yes","Yes","No"),"No"))</f>
        <v/>
      </c>
    </row>
    <row r="222" customFormat="false" ht="15" hidden="false" customHeight="true" outlineLevel="0" collapsed="false">
      <c r="G222" s="4" t="str">
        <f aca="false">IF($D222="","",$A222&amp;"|"&amp;$B222&amp;"|"&amp;$C222&amp;"|"&amp;$D222)</f>
        <v/>
      </c>
      <c r="H222" s="4" t="str">
        <f aca="false">IF($D222="","",$G222&amp;"|"&amp;TEXT($E222,"0.000000"))</f>
        <v/>
      </c>
      <c r="I222" s="29" t="str">
        <f aca="false">IF($D222="","",IF(ISNUMBER($E222),FLOOR(($E222-$B222)*24,1),""))</f>
        <v/>
      </c>
      <c r="J222" s="10" t="str">
        <f aca="false">IF($D222="","",IFERROR(IF(VLOOKUP($F222,Dim_Analyst!$A:$C,3,0)="Yes","Yes","No"),"No"))</f>
        <v/>
      </c>
    </row>
    <row r="223" customFormat="false" ht="15" hidden="false" customHeight="true" outlineLevel="0" collapsed="false">
      <c r="G223" s="4" t="str">
        <f aca="false">IF($D223="","",$A223&amp;"|"&amp;$B223&amp;"|"&amp;$C223&amp;"|"&amp;$D223)</f>
        <v/>
      </c>
      <c r="H223" s="4" t="str">
        <f aca="false">IF($D223="","",$G223&amp;"|"&amp;TEXT($E223,"0.000000"))</f>
        <v/>
      </c>
      <c r="I223" s="29" t="str">
        <f aca="false">IF($D223="","",IF(ISNUMBER($E223),FLOOR(($E223-$B223)*24,1),""))</f>
        <v/>
      </c>
      <c r="J223" s="10" t="str">
        <f aca="false">IF($D223="","",IFERROR(IF(VLOOKUP($F223,Dim_Analyst!$A:$C,3,0)="Yes","Yes","No"),"No"))</f>
        <v/>
      </c>
    </row>
    <row r="224" customFormat="false" ht="15" hidden="false" customHeight="true" outlineLevel="0" collapsed="false">
      <c r="G224" s="4" t="str">
        <f aca="false">IF($D224="","",$A224&amp;"|"&amp;$B224&amp;"|"&amp;$C224&amp;"|"&amp;$D224)</f>
        <v/>
      </c>
      <c r="H224" s="4" t="str">
        <f aca="false">IF($D224="","",$G224&amp;"|"&amp;TEXT($E224,"0.000000"))</f>
        <v/>
      </c>
      <c r="I224" s="29" t="str">
        <f aca="false">IF($D224="","",IF(ISNUMBER($E224),FLOOR(($E224-$B224)*24,1),""))</f>
        <v/>
      </c>
      <c r="J224" s="10" t="str">
        <f aca="false">IF($D224="","",IFERROR(IF(VLOOKUP($F224,Dim_Analyst!$A:$C,3,0)="Yes","Yes","No"),"No"))</f>
        <v/>
      </c>
    </row>
    <row r="225" customFormat="false" ht="15" hidden="false" customHeight="true" outlineLevel="0" collapsed="false">
      <c r="G225" s="4" t="str">
        <f aca="false">IF($D225="","",$A225&amp;"|"&amp;$B225&amp;"|"&amp;$C225&amp;"|"&amp;$D225)</f>
        <v/>
      </c>
      <c r="H225" s="4" t="str">
        <f aca="false">IF($D225="","",$G225&amp;"|"&amp;TEXT($E225,"0.000000"))</f>
        <v/>
      </c>
      <c r="I225" s="29" t="str">
        <f aca="false">IF($D225="","",IF(ISNUMBER($E225),FLOOR(($E225-$B225)*24,1),""))</f>
        <v/>
      </c>
      <c r="J225" s="10" t="str">
        <f aca="false">IF($D225="","",IFERROR(IF(VLOOKUP($F225,Dim_Analyst!$A:$C,3,0)="Yes","Yes","No"),"No"))</f>
        <v/>
      </c>
    </row>
    <row r="226" customFormat="false" ht="15" hidden="false" customHeight="true" outlineLevel="0" collapsed="false">
      <c r="G226" s="4" t="str">
        <f aca="false">IF($D226="","",$A226&amp;"|"&amp;$B226&amp;"|"&amp;$C226&amp;"|"&amp;$D226)</f>
        <v/>
      </c>
      <c r="H226" s="4" t="str">
        <f aca="false">IF($D226="","",$G226&amp;"|"&amp;TEXT($E226,"0.000000"))</f>
        <v/>
      </c>
      <c r="I226" s="29" t="str">
        <f aca="false">IF($D226="","",IF(ISNUMBER($E226),FLOOR(($E226-$B226)*24,1),""))</f>
        <v/>
      </c>
      <c r="J226" s="10" t="str">
        <f aca="false">IF($D226="","",IFERROR(IF(VLOOKUP($F226,Dim_Analyst!$A:$C,3,0)="Yes","Yes","No"),"No"))</f>
        <v/>
      </c>
    </row>
    <row r="227" customFormat="false" ht="15" hidden="false" customHeight="true" outlineLevel="0" collapsed="false">
      <c r="G227" s="4" t="str">
        <f aca="false">IF($D227="","",$A227&amp;"|"&amp;$B227&amp;"|"&amp;$C227&amp;"|"&amp;$D227)</f>
        <v/>
      </c>
      <c r="H227" s="4" t="str">
        <f aca="false">IF($D227="","",$G227&amp;"|"&amp;TEXT($E227,"0.000000"))</f>
        <v/>
      </c>
      <c r="I227" s="29" t="str">
        <f aca="false">IF($D227="","",IF(ISNUMBER($E227),FLOOR(($E227-$B227)*24,1),""))</f>
        <v/>
      </c>
      <c r="J227" s="10" t="str">
        <f aca="false">IF($D227="","",IFERROR(IF(VLOOKUP($F227,Dim_Analyst!$A:$C,3,0)="Yes","Yes","No"),"No"))</f>
        <v/>
      </c>
    </row>
    <row r="228" customFormat="false" ht="15" hidden="false" customHeight="true" outlineLevel="0" collapsed="false">
      <c r="G228" s="4" t="str">
        <f aca="false">IF($D228="","",$A228&amp;"|"&amp;$B228&amp;"|"&amp;$C228&amp;"|"&amp;$D228)</f>
        <v/>
      </c>
      <c r="H228" s="4" t="str">
        <f aca="false">IF($D228="","",$G228&amp;"|"&amp;TEXT($E228,"0.000000"))</f>
        <v/>
      </c>
      <c r="I228" s="29" t="str">
        <f aca="false">IF($D228="","",IF(ISNUMBER($E228),FLOOR(($E228-$B228)*24,1),""))</f>
        <v/>
      </c>
      <c r="J228" s="10" t="str">
        <f aca="false">IF($D228="","",IFERROR(IF(VLOOKUP($F228,Dim_Analyst!$A:$C,3,0)="Yes","Yes","No"),"No"))</f>
        <v/>
      </c>
    </row>
    <row r="229" customFormat="false" ht="15" hidden="false" customHeight="true" outlineLevel="0" collapsed="false">
      <c r="G229" s="4" t="str">
        <f aca="false">IF($D229="","",$A229&amp;"|"&amp;$B229&amp;"|"&amp;$C229&amp;"|"&amp;$D229)</f>
        <v/>
      </c>
      <c r="H229" s="4" t="str">
        <f aca="false">IF($D229="","",$G229&amp;"|"&amp;TEXT($E229,"0.000000"))</f>
        <v/>
      </c>
      <c r="I229" s="29" t="str">
        <f aca="false">IF($D229="","",IF(ISNUMBER($E229),FLOOR(($E229-$B229)*24,1),""))</f>
        <v/>
      </c>
      <c r="J229" s="10" t="str">
        <f aca="false">IF($D229="","",IFERROR(IF(VLOOKUP($F229,Dim_Analyst!$A:$C,3,0)="Yes","Yes","No"),"No"))</f>
        <v/>
      </c>
    </row>
    <row r="230" customFormat="false" ht="15" hidden="false" customHeight="true" outlineLevel="0" collapsed="false">
      <c r="G230" s="4" t="str">
        <f aca="false">IF($D230="","",$A230&amp;"|"&amp;$B230&amp;"|"&amp;$C230&amp;"|"&amp;$D230)</f>
        <v/>
      </c>
      <c r="H230" s="4" t="str">
        <f aca="false">IF($D230="","",$G230&amp;"|"&amp;TEXT($E230,"0.000000"))</f>
        <v/>
      </c>
      <c r="I230" s="29" t="str">
        <f aca="false">IF($D230="","",IF(ISNUMBER($E230),FLOOR(($E230-$B230)*24,1),""))</f>
        <v/>
      </c>
      <c r="J230" s="10" t="str">
        <f aca="false">IF($D230="","",IFERROR(IF(VLOOKUP($F230,Dim_Analyst!$A:$C,3,0)="Yes","Yes","No"),"No"))</f>
        <v/>
      </c>
    </row>
    <row r="231" customFormat="false" ht="15" hidden="false" customHeight="true" outlineLevel="0" collapsed="false">
      <c r="G231" s="4" t="str">
        <f aca="false">IF($D231="","",$A231&amp;"|"&amp;$B231&amp;"|"&amp;$C231&amp;"|"&amp;$D231)</f>
        <v/>
      </c>
      <c r="H231" s="4" t="str">
        <f aca="false">IF($D231="","",$G231&amp;"|"&amp;TEXT($E231,"0.000000"))</f>
        <v/>
      </c>
      <c r="I231" s="29" t="str">
        <f aca="false">IF($D231="","",IF(ISNUMBER($E231),FLOOR(($E231-$B231)*24,1),""))</f>
        <v/>
      </c>
      <c r="J231" s="10" t="str">
        <f aca="false">IF($D231="","",IFERROR(IF(VLOOKUP($F231,Dim_Analyst!$A:$C,3,0)="Yes","Yes","No"),"No"))</f>
        <v/>
      </c>
    </row>
    <row r="232" customFormat="false" ht="15" hidden="false" customHeight="true" outlineLevel="0" collapsed="false">
      <c r="G232" s="4" t="str">
        <f aca="false">IF($D232="","",$A232&amp;"|"&amp;$B232&amp;"|"&amp;$C232&amp;"|"&amp;$D232)</f>
        <v/>
      </c>
      <c r="H232" s="4" t="str">
        <f aca="false">IF($D232="","",$G232&amp;"|"&amp;TEXT($E232,"0.000000"))</f>
        <v/>
      </c>
      <c r="I232" s="29" t="str">
        <f aca="false">IF($D232="","",IF(ISNUMBER($E232),FLOOR(($E232-$B232)*24,1),""))</f>
        <v/>
      </c>
      <c r="J232" s="10" t="str">
        <f aca="false">IF($D232="","",IFERROR(IF(VLOOKUP($F232,Dim_Analyst!$A:$C,3,0)="Yes","Yes","No"),"No"))</f>
        <v/>
      </c>
    </row>
    <row r="233" customFormat="false" ht="15" hidden="false" customHeight="true" outlineLevel="0" collapsed="false">
      <c r="G233" s="4" t="str">
        <f aca="false">IF($D233="","",$A233&amp;"|"&amp;$B233&amp;"|"&amp;$C233&amp;"|"&amp;$D233)</f>
        <v/>
      </c>
      <c r="H233" s="4" t="str">
        <f aca="false">IF($D233="","",$G233&amp;"|"&amp;TEXT($E233,"0.000000"))</f>
        <v/>
      </c>
      <c r="I233" s="29" t="str">
        <f aca="false">IF($D233="","",IF(ISNUMBER($E233),FLOOR(($E233-$B233)*24,1),""))</f>
        <v/>
      </c>
      <c r="J233" s="10" t="str">
        <f aca="false">IF($D233="","",IFERROR(IF(VLOOKUP($F233,Dim_Analyst!$A:$C,3,0)="Yes","Yes","No"),"No"))</f>
        <v/>
      </c>
    </row>
    <row r="234" customFormat="false" ht="15" hidden="false" customHeight="true" outlineLevel="0" collapsed="false">
      <c r="G234" s="4" t="str">
        <f aca="false">IF($D234="","",$A234&amp;"|"&amp;$B234&amp;"|"&amp;$C234&amp;"|"&amp;$D234)</f>
        <v/>
      </c>
      <c r="H234" s="4" t="str">
        <f aca="false">IF($D234="","",$G234&amp;"|"&amp;TEXT($E234,"0.000000"))</f>
        <v/>
      </c>
      <c r="I234" s="29" t="str">
        <f aca="false">IF($D234="","",IF(ISNUMBER($E234),FLOOR(($E234-$B234)*24,1),""))</f>
        <v/>
      </c>
      <c r="J234" s="10" t="str">
        <f aca="false">IF($D234="","",IFERROR(IF(VLOOKUP($F234,Dim_Analyst!$A:$C,3,0)="Yes","Yes","No"),"No"))</f>
        <v/>
      </c>
    </row>
    <row r="235" customFormat="false" ht="15" hidden="false" customHeight="true" outlineLevel="0" collapsed="false">
      <c r="G235" s="4" t="str">
        <f aca="false">IF($D235="","",$A235&amp;"|"&amp;$B235&amp;"|"&amp;$C235&amp;"|"&amp;$D235)</f>
        <v/>
      </c>
      <c r="H235" s="4" t="str">
        <f aca="false">IF($D235="","",$G235&amp;"|"&amp;TEXT($E235,"0.000000"))</f>
        <v/>
      </c>
      <c r="I235" s="29" t="str">
        <f aca="false">IF($D235="","",IF(ISNUMBER($E235),FLOOR(($E235-$B235)*24,1),""))</f>
        <v/>
      </c>
      <c r="J235" s="10" t="str">
        <f aca="false">IF($D235="","",IFERROR(IF(VLOOKUP($F235,Dim_Analyst!$A:$C,3,0)="Yes","Yes","No"),"No"))</f>
        <v/>
      </c>
    </row>
    <row r="236" customFormat="false" ht="15" hidden="false" customHeight="true" outlineLevel="0" collapsed="false">
      <c r="G236" s="4" t="str">
        <f aca="false">IF($D236="","",$A236&amp;"|"&amp;$B236&amp;"|"&amp;$C236&amp;"|"&amp;$D236)</f>
        <v/>
      </c>
      <c r="H236" s="4" t="str">
        <f aca="false">IF($D236="","",$G236&amp;"|"&amp;TEXT($E236,"0.000000"))</f>
        <v/>
      </c>
      <c r="I236" s="29" t="str">
        <f aca="false">IF($D236="","",IF(ISNUMBER($E236),FLOOR(($E236-$B236)*24,1),""))</f>
        <v/>
      </c>
      <c r="J236" s="10" t="str">
        <f aca="false">IF($D236="","",IFERROR(IF(VLOOKUP($F236,Dim_Analyst!$A:$C,3,0)="Yes","Yes","No"),"No"))</f>
        <v/>
      </c>
    </row>
    <row r="237" customFormat="false" ht="15" hidden="false" customHeight="true" outlineLevel="0" collapsed="false">
      <c r="G237" s="4" t="str">
        <f aca="false">IF($D237="","",$A237&amp;"|"&amp;$B237&amp;"|"&amp;$C237&amp;"|"&amp;$D237)</f>
        <v/>
      </c>
      <c r="H237" s="4" t="str">
        <f aca="false">IF($D237="","",$G237&amp;"|"&amp;TEXT($E237,"0.000000"))</f>
        <v/>
      </c>
      <c r="I237" s="29" t="str">
        <f aca="false">IF($D237="","",IF(ISNUMBER($E237),FLOOR(($E237-$B237)*24,1),""))</f>
        <v/>
      </c>
      <c r="J237" s="10" t="str">
        <f aca="false">IF($D237="","",IFERROR(IF(VLOOKUP($F237,Dim_Analyst!$A:$C,3,0)="Yes","Yes","No"),"No"))</f>
        <v/>
      </c>
    </row>
    <row r="238" customFormat="false" ht="15" hidden="false" customHeight="true" outlineLevel="0" collapsed="false">
      <c r="G238" s="4" t="str">
        <f aca="false">IF($D238="","",$A238&amp;"|"&amp;$B238&amp;"|"&amp;$C238&amp;"|"&amp;$D238)</f>
        <v/>
      </c>
      <c r="H238" s="4" t="str">
        <f aca="false">IF($D238="","",$G238&amp;"|"&amp;TEXT($E238,"0.000000"))</f>
        <v/>
      </c>
      <c r="I238" s="29" t="str">
        <f aca="false">IF($D238="","",IF(ISNUMBER($E238),FLOOR(($E238-$B238)*24,1),""))</f>
        <v/>
      </c>
      <c r="J238" s="10" t="str">
        <f aca="false">IF($D238="","",IFERROR(IF(VLOOKUP($F238,Dim_Analyst!$A:$C,3,0)="Yes","Yes","No"),"No"))</f>
        <v/>
      </c>
    </row>
    <row r="239" customFormat="false" ht="15" hidden="false" customHeight="true" outlineLevel="0" collapsed="false">
      <c r="G239" s="4" t="str">
        <f aca="false">IF($D239="","",$A239&amp;"|"&amp;$B239&amp;"|"&amp;$C239&amp;"|"&amp;$D239)</f>
        <v/>
      </c>
      <c r="H239" s="4" t="str">
        <f aca="false">IF($D239="","",$G239&amp;"|"&amp;TEXT($E239,"0.000000"))</f>
        <v/>
      </c>
      <c r="I239" s="29" t="str">
        <f aca="false">IF($D239="","",IF(ISNUMBER($E239),FLOOR(($E239-$B239)*24,1),""))</f>
        <v/>
      </c>
      <c r="J239" s="10" t="str">
        <f aca="false">IF($D239="","",IFERROR(IF(VLOOKUP($F239,Dim_Analyst!$A:$C,3,0)="Yes","Yes","No"),"No"))</f>
        <v/>
      </c>
    </row>
    <row r="240" customFormat="false" ht="15" hidden="false" customHeight="true" outlineLevel="0" collapsed="false">
      <c r="G240" s="4" t="str">
        <f aca="false">IF($D240="","",$A240&amp;"|"&amp;$B240&amp;"|"&amp;$C240&amp;"|"&amp;$D240)</f>
        <v/>
      </c>
      <c r="H240" s="4" t="str">
        <f aca="false">IF($D240="","",$G240&amp;"|"&amp;TEXT($E240,"0.000000"))</f>
        <v/>
      </c>
      <c r="I240" s="29" t="str">
        <f aca="false">IF($D240="","",IF(ISNUMBER($E240),FLOOR(($E240-$B240)*24,1),""))</f>
        <v/>
      </c>
      <c r="J240" s="10" t="str">
        <f aca="false">IF($D240="","",IFERROR(IF(VLOOKUP($F240,Dim_Analyst!$A:$C,3,0)="Yes","Yes","No"),"No"))</f>
        <v/>
      </c>
    </row>
    <row r="241" customFormat="false" ht="15" hidden="false" customHeight="true" outlineLevel="0" collapsed="false">
      <c r="G241" s="4" t="str">
        <f aca="false">IF($D241="","",$A241&amp;"|"&amp;$B241&amp;"|"&amp;$C241&amp;"|"&amp;$D241)</f>
        <v/>
      </c>
      <c r="H241" s="4" t="str">
        <f aca="false">IF($D241="","",$G241&amp;"|"&amp;TEXT($E241,"0.000000"))</f>
        <v/>
      </c>
      <c r="I241" s="29" t="str">
        <f aca="false">IF($D241="","",IF(ISNUMBER($E241),FLOOR(($E241-$B241)*24,1),""))</f>
        <v/>
      </c>
      <c r="J241" s="10" t="str">
        <f aca="false">IF($D241="","",IFERROR(IF(VLOOKUP($F241,Dim_Analyst!$A:$C,3,0)="Yes","Yes","No"),"No"))</f>
        <v/>
      </c>
    </row>
    <row r="242" customFormat="false" ht="15" hidden="false" customHeight="true" outlineLevel="0" collapsed="false">
      <c r="G242" s="4" t="str">
        <f aca="false">IF($D242="","",$A242&amp;"|"&amp;$B242&amp;"|"&amp;$C242&amp;"|"&amp;$D242)</f>
        <v/>
      </c>
      <c r="H242" s="4" t="str">
        <f aca="false">IF($D242="","",$G242&amp;"|"&amp;TEXT($E242,"0.000000"))</f>
        <v/>
      </c>
      <c r="I242" s="29" t="str">
        <f aca="false">IF($D242="","",IF(ISNUMBER($E242),FLOOR(($E242-$B242)*24,1),""))</f>
        <v/>
      </c>
      <c r="J242" s="10" t="str">
        <f aca="false">IF($D242="","",IFERROR(IF(VLOOKUP($F242,Dim_Analyst!$A:$C,3,0)="Yes","Yes","No"),"No"))</f>
        <v/>
      </c>
    </row>
    <row r="243" customFormat="false" ht="15" hidden="false" customHeight="true" outlineLevel="0" collapsed="false">
      <c r="G243" s="4" t="str">
        <f aca="false">IF($D243="","",$A243&amp;"|"&amp;$B243&amp;"|"&amp;$C243&amp;"|"&amp;$D243)</f>
        <v/>
      </c>
      <c r="H243" s="4" t="str">
        <f aca="false">IF($D243="","",$G243&amp;"|"&amp;TEXT($E243,"0.000000"))</f>
        <v/>
      </c>
      <c r="I243" s="29" t="str">
        <f aca="false">IF($D243="","",IF(ISNUMBER($E243),FLOOR(($E243-$B243)*24,1),""))</f>
        <v/>
      </c>
      <c r="J243" s="10" t="str">
        <f aca="false">IF($D243="","",IFERROR(IF(VLOOKUP($F243,Dim_Analyst!$A:$C,3,0)="Yes","Yes","No"),"No"))</f>
        <v/>
      </c>
    </row>
    <row r="244" customFormat="false" ht="15" hidden="false" customHeight="true" outlineLevel="0" collapsed="false">
      <c r="G244" s="4" t="str">
        <f aca="false">IF($D244="","",$A244&amp;"|"&amp;$B244&amp;"|"&amp;$C244&amp;"|"&amp;$D244)</f>
        <v/>
      </c>
      <c r="H244" s="4" t="str">
        <f aca="false">IF($D244="","",$G244&amp;"|"&amp;TEXT($E244,"0.000000"))</f>
        <v/>
      </c>
      <c r="I244" s="29" t="str">
        <f aca="false">IF($D244="","",IF(ISNUMBER($E244),FLOOR(($E244-$B244)*24,1),""))</f>
        <v/>
      </c>
      <c r="J244" s="10" t="str">
        <f aca="false">IF($D244="","",IFERROR(IF(VLOOKUP($F244,Dim_Analyst!$A:$C,3,0)="Yes","Yes","No"),"No"))</f>
        <v/>
      </c>
    </row>
    <row r="245" customFormat="false" ht="15" hidden="false" customHeight="true" outlineLevel="0" collapsed="false">
      <c r="G245" s="4" t="str">
        <f aca="false">IF($D245="","",$A245&amp;"|"&amp;$B245&amp;"|"&amp;$C245&amp;"|"&amp;$D245)</f>
        <v/>
      </c>
      <c r="H245" s="4" t="str">
        <f aca="false">IF($D245="","",$G245&amp;"|"&amp;TEXT($E245,"0.000000"))</f>
        <v/>
      </c>
      <c r="I245" s="29" t="str">
        <f aca="false">IF($D245="","",IF(ISNUMBER($E245),FLOOR(($E245-$B245)*24,1),""))</f>
        <v/>
      </c>
      <c r="J245" s="10" t="str">
        <f aca="false">IF($D245="","",IFERROR(IF(VLOOKUP($F245,Dim_Analyst!$A:$C,3,0)="Yes","Yes","No"),"No"))</f>
        <v/>
      </c>
    </row>
    <row r="246" customFormat="false" ht="15" hidden="false" customHeight="true" outlineLevel="0" collapsed="false">
      <c r="G246" s="4" t="str">
        <f aca="false">IF($D246="","",$A246&amp;"|"&amp;$B246&amp;"|"&amp;$C246&amp;"|"&amp;$D246)</f>
        <v/>
      </c>
      <c r="H246" s="4" t="str">
        <f aca="false">IF($D246="","",$G246&amp;"|"&amp;TEXT($E246,"0.000000"))</f>
        <v/>
      </c>
      <c r="I246" s="29" t="str">
        <f aca="false">IF($D246="","",IF(ISNUMBER($E246),FLOOR(($E246-$B246)*24,1),""))</f>
        <v/>
      </c>
      <c r="J246" s="10" t="str">
        <f aca="false">IF($D246="","",IFERROR(IF(VLOOKUP($F246,Dim_Analyst!$A:$C,3,0)="Yes","Yes","No"),"No"))</f>
        <v/>
      </c>
    </row>
    <row r="247" customFormat="false" ht="15" hidden="false" customHeight="true" outlineLevel="0" collapsed="false">
      <c r="G247" s="4" t="str">
        <f aca="false">IF($D247="","",$A247&amp;"|"&amp;$B247&amp;"|"&amp;$C247&amp;"|"&amp;$D247)</f>
        <v/>
      </c>
      <c r="H247" s="4" t="str">
        <f aca="false">IF($D247="","",$G247&amp;"|"&amp;TEXT($E247,"0.000000"))</f>
        <v/>
      </c>
      <c r="I247" s="29" t="str">
        <f aca="false">IF($D247="","",IF(ISNUMBER($E247),FLOOR(($E247-$B247)*24,1),""))</f>
        <v/>
      </c>
      <c r="J247" s="10" t="str">
        <f aca="false">IF($D247="","",IFERROR(IF(VLOOKUP($F247,Dim_Analyst!$A:$C,3,0)="Yes","Yes","No"),"No"))</f>
        <v/>
      </c>
    </row>
    <row r="248" customFormat="false" ht="15" hidden="false" customHeight="true" outlineLevel="0" collapsed="false">
      <c r="G248" s="4" t="str">
        <f aca="false">IF($D248="","",$A248&amp;"|"&amp;$B248&amp;"|"&amp;$C248&amp;"|"&amp;$D248)</f>
        <v/>
      </c>
      <c r="H248" s="4" t="str">
        <f aca="false">IF($D248="","",$G248&amp;"|"&amp;TEXT($E248,"0.000000"))</f>
        <v/>
      </c>
      <c r="I248" s="29" t="str">
        <f aca="false">IF($D248="","",IF(ISNUMBER($E248),FLOOR(($E248-$B248)*24,1),""))</f>
        <v/>
      </c>
      <c r="J248" s="10" t="str">
        <f aca="false">IF($D248="","",IFERROR(IF(VLOOKUP($F248,Dim_Analyst!$A:$C,3,0)="Yes","Yes","No"),"No"))</f>
        <v/>
      </c>
    </row>
    <row r="249" customFormat="false" ht="15" hidden="false" customHeight="true" outlineLevel="0" collapsed="false">
      <c r="G249" s="4" t="str">
        <f aca="false">IF($D249="","",$A249&amp;"|"&amp;$B249&amp;"|"&amp;$C249&amp;"|"&amp;$D249)</f>
        <v/>
      </c>
      <c r="H249" s="4" t="str">
        <f aca="false">IF($D249="","",$G249&amp;"|"&amp;TEXT($E249,"0.000000"))</f>
        <v/>
      </c>
      <c r="I249" s="29" t="str">
        <f aca="false">IF($D249="","",IF(ISNUMBER($E249),FLOOR(($E249-$B249)*24,1),""))</f>
        <v/>
      </c>
      <c r="J249" s="10" t="str">
        <f aca="false">IF($D249="","",IFERROR(IF(VLOOKUP($F249,Dim_Analyst!$A:$C,3,0)="Yes","Yes","No"),"No"))</f>
        <v/>
      </c>
    </row>
    <row r="250" customFormat="false" ht="15" hidden="false" customHeight="true" outlineLevel="0" collapsed="false">
      <c r="G250" s="4" t="str">
        <f aca="false">IF($D250="","",$A250&amp;"|"&amp;$B250&amp;"|"&amp;$C250&amp;"|"&amp;$D250)</f>
        <v/>
      </c>
      <c r="H250" s="4" t="str">
        <f aca="false">IF($D250="","",$G250&amp;"|"&amp;TEXT($E250,"0.000000"))</f>
        <v/>
      </c>
      <c r="I250" s="29" t="str">
        <f aca="false">IF($D250="","",IF(ISNUMBER($E250),FLOOR(($E250-$B250)*24,1),""))</f>
        <v/>
      </c>
      <c r="J250" s="10" t="str">
        <f aca="false">IF($D250="","",IFERROR(IF(VLOOKUP($F250,Dim_Analyst!$A:$C,3,0)="Yes","Yes","No"),"No"))</f>
        <v/>
      </c>
    </row>
    <row r="251" customFormat="false" ht="15" hidden="false" customHeight="true" outlineLevel="0" collapsed="false">
      <c r="G251" s="4" t="str">
        <f aca="false">IF($D251="","",$A251&amp;"|"&amp;$B251&amp;"|"&amp;$C251&amp;"|"&amp;$D251)</f>
        <v/>
      </c>
      <c r="H251" s="4" t="str">
        <f aca="false">IF($D251="","",$G251&amp;"|"&amp;TEXT($E251,"0.000000"))</f>
        <v/>
      </c>
      <c r="I251" s="29" t="str">
        <f aca="false">IF($D251="","",IF(ISNUMBER($E251),FLOOR(($E251-$B251)*24,1),""))</f>
        <v/>
      </c>
      <c r="J251" s="10" t="str">
        <f aca="false">IF($D251="","",IFERROR(IF(VLOOKUP($F251,Dim_Analyst!$A:$C,3,0)="Yes","Yes","No"),"No"))</f>
        <v/>
      </c>
    </row>
    <row r="252" customFormat="false" ht="15" hidden="false" customHeight="true" outlineLevel="0" collapsed="false">
      <c r="G252" s="4" t="str">
        <f aca="false">IF($D252="","",$A252&amp;"|"&amp;$B252&amp;"|"&amp;$C252&amp;"|"&amp;$D252)</f>
        <v/>
      </c>
      <c r="H252" s="4" t="str">
        <f aca="false">IF($D252="","",$G252&amp;"|"&amp;TEXT($E252,"0.000000"))</f>
        <v/>
      </c>
      <c r="I252" s="29" t="str">
        <f aca="false">IF($D252="","",IF(ISNUMBER($E252),FLOOR(($E252-$B252)*24,1),""))</f>
        <v/>
      </c>
      <c r="J252" s="10" t="str">
        <f aca="false">IF($D252="","",IFERROR(IF(VLOOKUP($F252,Dim_Analyst!$A:$C,3,0)="Yes","Yes","No"),"No"))</f>
        <v/>
      </c>
    </row>
    <row r="253" customFormat="false" ht="15" hidden="false" customHeight="true" outlineLevel="0" collapsed="false">
      <c r="G253" s="4" t="str">
        <f aca="false">IF($D253="","",$A253&amp;"|"&amp;$B253&amp;"|"&amp;$C253&amp;"|"&amp;$D253)</f>
        <v/>
      </c>
      <c r="H253" s="4" t="str">
        <f aca="false">IF($D253="","",$G253&amp;"|"&amp;TEXT($E253,"0.000000"))</f>
        <v/>
      </c>
      <c r="I253" s="29" t="str">
        <f aca="false">IF($D253="","",IF(ISNUMBER($E253),FLOOR(($E253-$B253)*24,1),""))</f>
        <v/>
      </c>
      <c r="J253" s="10" t="str">
        <f aca="false">IF($D253="","",IFERROR(IF(VLOOKUP($F253,Dim_Analyst!$A:$C,3,0)="Yes","Yes","No"),"No"))</f>
        <v/>
      </c>
    </row>
    <row r="254" customFormat="false" ht="15" hidden="false" customHeight="true" outlineLevel="0" collapsed="false">
      <c r="G254" s="4" t="str">
        <f aca="false">IF($D254="","",$A254&amp;"|"&amp;$B254&amp;"|"&amp;$C254&amp;"|"&amp;$D254)</f>
        <v/>
      </c>
      <c r="H254" s="4" t="str">
        <f aca="false">IF($D254="","",$G254&amp;"|"&amp;TEXT($E254,"0.000000"))</f>
        <v/>
      </c>
      <c r="I254" s="29" t="str">
        <f aca="false">IF($D254="","",IF(ISNUMBER($E254),FLOOR(($E254-$B254)*24,1),""))</f>
        <v/>
      </c>
      <c r="J254" s="10" t="str">
        <f aca="false">IF($D254="","",IFERROR(IF(VLOOKUP($F254,Dim_Analyst!$A:$C,3,0)="Yes","Yes","No"),"No"))</f>
        <v/>
      </c>
    </row>
    <row r="255" customFormat="false" ht="15" hidden="false" customHeight="true" outlineLevel="0" collapsed="false">
      <c r="G255" s="4" t="str">
        <f aca="false">IF($D255="","",$A255&amp;"|"&amp;$B255&amp;"|"&amp;$C255&amp;"|"&amp;$D255)</f>
        <v/>
      </c>
      <c r="H255" s="4" t="str">
        <f aca="false">IF($D255="","",$G255&amp;"|"&amp;TEXT($E255,"0.000000"))</f>
        <v/>
      </c>
      <c r="I255" s="29" t="str">
        <f aca="false">IF($D255="","",IF(ISNUMBER($E255),FLOOR(($E255-$B255)*24,1),""))</f>
        <v/>
      </c>
      <c r="J255" s="10" t="str">
        <f aca="false">IF($D255="","",IFERROR(IF(VLOOKUP($F255,Dim_Analyst!$A:$C,3,0)="Yes","Yes","No"),"No"))</f>
        <v/>
      </c>
    </row>
    <row r="256" customFormat="false" ht="15" hidden="false" customHeight="true" outlineLevel="0" collapsed="false">
      <c r="G256" s="4" t="str">
        <f aca="false">IF($D256="","",$A256&amp;"|"&amp;$B256&amp;"|"&amp;$C256&amp;"|"&amp;$D256)</f>
        <v/>
      </c>
      <c r="H256" s="4" t="str">
        <f aca="false">IF($D256="","",$G256&amp;"|"&amp;TEXT($E256,"0.000000"))</f>
        <v/>
      </c>
      <c r="I256" s="29" t="str">
        <f aca="false">IF($D256="","",IF(ISNUMBER($E256),FLOOR(($E256-$B256)*24,1),""))</f>
        <v/>
      </c>
      <c r="J256" s="10" t="str">
        <f aca="false">IF($D256="","",IFERROR(IF(VLOOKUP($F256,Dim_Analyst!$A:$C,3,0)="Yes","Yes","No"),"No"))</f>
        <v/>
      </c>
    </row>
    <row r="257" customFormat="false" ht="15" hidden="false" customHeight="true" outlineLevel="0" collapsed="false">
      <c r="G257" s="4" t="str">
        <f aca="false">IF($D257="","",$A257&amp;"|"&amp;$B257&amp;"|"&amp;$C257&amp;"|"&amp;$D257)</f>
        <v/>
      </c>
      <c r="H257" s="4" t="str">
        <f aca="false">IF($D257="","",$G257&amp;"|"&amp;TEXT($E257,"0.000000"))</f>
        <v/>
      </c>
      <c r="I257" s="29" t="str">
        <f aca="false">IF($D257="","",IF(ISNUMBER($E257),FLOOR(($E257-$B257)*24,1),""))</f>
        <v/>
      </c>
      <c r="J257" s="10" t="str">
        <f aca="false">IF($D257="","",IFERROR(IF(VLOOKUP($F257,Dim_Analyst!$A:$C,3,0)="Yes","Yes","No"),"No"))</f>
        <v/>
      </c>
    </row>
    <row r="258" customFormat="false" ht="15" hidden="false" customHeight="true" outlineLevel="0" collapsed="false">
      <c r="G258" s="4" t="str">
        <f aca="false">IF($D258="","",$A258&amp;"|"&amp;$B258&amp;"|"&amp;$C258&amp;"|"&amp;$D258)</f>
        <v/>
      </c>
      <c r="H258" s="4" t="str">
        <f aca="false">IF($D258="","",$G258&amp;"|"&amp;TEXT($E258,"0.000000"))</f>
        <v/>
      </c>
      <c r="I258" s="29" t="str">
        <f aca="false">IF($D258="","",IF(ISNUMBER($E258),FLOOR(($E258-$B258)*24,1),""))</f>
        <v/>
      </c>
      <c r="J258" s="10" t="str">
        <f aca="false">IF($D258="","",IFERROR(IF(VLOOKUP($F258,Dim_Analyst!$A:$C,3,0)="Yes","Yes","No"),"No"))</f>
        <v/>
      </c>
    </row>
    <row r="259" customFormat="false" ht="15" hidden="false" customHeight="true" outlineLevel="0" collapsed="false">
      <c r="G259" s="4" t="str">
        <f aca="false">IF($D259="","",$A259&amp;"|"&amp;$B259&amp;"|"&amp;$C259&amp;"|"&amp;$D259)</f>
        <v/>
      </c>
      <c r="H259" s="4" t="str">
        <f aca="false">IF($D259="","",$G259&amp;"|"&amp;TEXT($E259,"0.000000"))</f>
        <v/>
      </c>
      <c r="I259" s="29" t="str">
        <f aca="false">IF($D259="","",IF(ISNUMBER($E259),FLOOR(($E259-$B259)*24,1),""))</f>
        <v/>
      </c>
      <c r="J259" s="10" t="str">
        <f aca="false">IF($D259="","",IFERROR(IF(VLOOKUP($F259,Dim_Analyst!$A:$C,3,0)="Yes","Yes","No"),"No"))</f>
        <v/>
      </c>
    </row>
    <row r="260" customFormat="false" ht="15" hidden="false" customHeight="true" outlineLevel="0" collapsed="false">
      <c r="G260" s="4" t="str">
        <f aca="false">IF($D260="","",$A260&amp;"|"&amp;$B260&amp;"|"&amp;$C260&amp;"|"&amp;$D260)</f>
        <v/>
      </c>
      <c r="H260" s="4" t="str">
        <f aca="false">IF($D260="","",$G260&amp;"|"&amp;TEXT($E260,"0.000000"))</f>
        <v/>
      </c>
      <c r="I260" s="29" t="str">
        <f aca="false">IF($D260="","",IF(ISNUMBER($E260),FLOOR(($E260-$B260)*24,1),""))</f>
        <v/>
      </c>
      <c r="J260" s="10" t="str">
        <f aca="false">IF($D260="","",IFERROR(IF(VLOOKUP($F260,Dim_Analyst!$A:$C,3,0)="Yes","Yes","No"),"No"))</f>
        <v/>
      </c>
    </row>
    <row r="261" customFormat="false" ht="15" hidden="false" customHeight="true" outlineLevel="0" collapsed="false">
      <c r="G261" s="4" t="str">
        <f aca="false">IF($D261="","",$A261&amp;"|"&amp;$B261&amp;"|"&amp;$C261&amp;"|"&amp;$D261)</f>
        <v/>
      </c>
      <c r="H261" s="4" t="str">
        <f aca="false">IF($D261="","",$G261&amp;"|"&amp;TEXT($E261,"0.000000"))</f>
        <v/>
      </c>
      <c r="I261" s="29" t="str">
        <f aca="false">IF($D261="","",IF(ISNUMBER($E261),FLOOR(($E261-$B261)*24,1),""))</f>
        <v/>
      </c>
      <c r="J261" s="10" t="str">
        <f aca="false">IF($D261="","",IFERROR(IF(VLOOKUP($F261,Dim_Analyst!$A:$C,3,0)="Yes","Yes","No"),"No"))</f>
        <v/>
      </c>
    </row>
    <row r="262" customFormat="false" ht="15" hidden="false" customHeight="true" outlineLevel="0" collapsed="false">
      <c r="G262" s="4" t="str">
        <f aca="false">IF($D262="","",$A262&amp;"|"&amp;$B262&amp;"|"&amp;$C262&amp;"|"&amp;$D262)</f>
        <v/>
      </c>
      <c r="H262" s="4" t="str">
        <f aca="false">IF($D262="","",$G262&amp;"|"&amp;TEXT($E262,"0.000000"))</f>
        <v/>
      </c>
      <c r="I262" s="29" t="str">
        <f aca="false">IF($D262="","",IF(ISNUMBER($E262),FLOOR(($E262-$B262)*24,1),""))</f>
        <v/>
      </c>
      <c r="J262" s="10" t="str">
        <f aca="false">IF($D262="","",IFERROR(IF(VLOOKUP($F262,Dim_Analyst!$A:$C,3,0)="Yes","Yes","No"),"No"))</f>
        <v/>
      </c>
    </row>
    <row r="263" customFormat="false" ht="15" hidden="false" customHeight="true" outlineLevel="0" collapsed="false">
      <c r="G263" s="4" t="str">
        <f aca="false">IF($D263="","",$A263&amp;"|"&amp;$B263&amp;"|"&amp;$C263&amp;"|"&amp;$D263)</f>
        <v/>
      </c>
      <c r="H263" s="4" t="str">
        <f aca="false">IF($D263="","",$G263&amp;"|"&amp;TEXT($E263,"0.000000"))</f>
        <v/>
      </c>
      <c r="I263" s="29" t="str">
        <f aca="false">IF($D263="","",IF(ISNUMBER($E263),FLOOR(($E263-$B263)*24,1),""))</f>
        <v/>
      </c>
      <c r="J263" s="10" t="str">
        <f aca="false">IF($D263="","",IFERROR(IF(VLOOKUP($F263,Dim_Analyst!$A:$C,3,0)="Yes","Yes","No"),"No"))</f>
        <v/>
      </c>
    </row>
    <row r="264" customFormat="false" ht="15" hidden="false" customHeight="true" outlineLevel="0" collapsed="false">
      <c r="G264" s="4" t="str">
        <f aca="false">IF($D264="","",$A264&amp;"|"&amp;$B264&amp;"|"&amp;$C264&amp;"|"&amp;$D264)</f>
        <v/>
      </c>
      <c r="H264" s="4" t="str">
        <f aca="false">IF($D264="","",$G264&amp;"|"&amp;TEXT($E264,"0.000000"))</f>
        <v/>
      </c>
      <c r="I264" s="29" t="str">
        <f aca="false">IF($D264="","",IF(ISNUMBER($E264),FLOOR(($E264-$B264)*24,1),""))</f>
        <v/>
      </c>
      <c r="J264" s="10" t="str">
        <f aca="false">IF($D264="","",IFERROR(IF(VLOOKUP($F264,Dim_Analyst!$A:$C,3,0)="Yes","Yes","No"),"No"))</f>
        <v/>
      </c>
    </row>
    <row r="265" customFormat="false" ht="15" hidden="false" customHeight="true" outlineLevel="0" collapsed="false">
      <c r="G265" s="4" t="str">
        <f aca="false">IF($D265="","",$A265&amp;"|"&amp;$B265&amp;"|"&amp;$C265&amp;"|"&amp;$D265)</f>
        <v/>
      </c>
      <c r="H265" s="4" t="str">
        <f aca="false">IF($D265="","",$G265&amp;"|"&amp;TEXT($E265,"0.000000"))</f>
        <v/>
      </c>
      <c r="I265" s="29" t="str">
        <f aca="false">IF($D265="","",IF(ISNUMBER($E265),FLOOR(($E265-$B265)*24,1),""))</f>
        <v/>
      </c>
      <c r="J265" s="10" t="str">
        <f aca="false">IF($D265="","",IFERROR(IF(VLOOKUP($F265,Dim_Analyst!$A:$C,3,0)="Yes","Yes","No"),"No"))</f>
        <v/>
      </c>
    </row>
    <row r="266" customFormat="false" ht="15" hidden="false" customHeight="true" outlineLevel="0" collapsed="false">
      <c r="G266" s="4" t="str">
        <f aca="false">IF($D266="","",$A266&amp;"|"&amp;$B266&amp;"|"&amp;$C266&amp;"|"&amp;$D266)</f>
        <v/>
      </c>
      <c r="H266" s="4" t="str">
        <f aca="false">IF($D266="","",$G266&amp;"|"&amp;TEXT($E266,"0.000000"))</f>
        <v/>
      </c>
      <c r="I266" s="29" t="str">
        <f aca="false">IF($D266="","",IF(ISNUMBER($E266),FLOOR(($E266-$B266)*24,1),""))</f>
        <v/>
      </c>
      <c r="J266" s="10" t="str">
        <f aca="false">IF($D266="","",IFERROR(IF(VLOOKUP($F266,Dim_Analyst!$A:$C,3,0)="Yes","Yes","No"),"No"))</f>
        <v/>
      </c>
    </row>
    <row r="267" customFormat="false" ht="15" hidden="false" customHeight="true" outlineLevel="0" collapsed="false">
      <c r="G267" s="4" t="str">
        <f aca="false">IF($D267="","",$A267&amp;"|"&amp;$B267&amp;"|"&amp;$C267&amp;"|"&amp;$D267)</f>
        <v/>
      </c>
      <c r="H267" s="4" t="str">
        <f aca="false">IF($D267="","",$G267&amp;"|"&amp;TEXT($E267,"0.000000"))</f>
        <v/>
      </c>
      <c r="I267" s="29" t="str">
        <f aca="false">IF($D267="","",IF(ISNUMBER($E267),FLOOR(($E267-$B267)*24,1),""))</f>
        <v/>
      </c>
      <c r="J267" s="10" t="str">
        <f aca="false">IF($D267="","",IFERROR(IF(VLOOKUP($F267,Dim_Analyst!$A:$C,3,0)="Yes","Yes","No"),"No"))</f>
        <v/>
      </c>
    </row>
    <row r="268" customFormat="false" ht="15" hidden="false" customHeight="true" outlineLevel="0" collapsed="false">
      <c r="G268" s="4" t="str">
        <f aca="false">IF($D268="","",$A268&amp;"|"&amp;$B268&amp;"|"&amp;$C268&amp;"|"&amp;$D268)</f>
        <v/>
      </c>
      <c r="H268" s="4" t="str">
        <f aca="false">IF($D268="","",$G268&amp;"|"&amp;TEXT($E268,"0.000000"))</f>
        <v/>
      </c>
      <c r="I268" s="29" t="str">
        <f aca="false">IF($D268="","",IF(ISNUMBER($E268),FLOOR(($E268-$B268)*24,1),""))</f>
        <v/>
      </c>
      <c r="J268" s="10" t="str">
        <f aca="false">IF($D268="","",IFERROR(IF(VLOOKUP($F268,Dim_Analyst!$A:$C,3,0)="Yes","Yes","No"),"No"))</f>
        <v/>
      </c>
    </row>
    <row r="269" customFormat="false" ht="15" hidden="false" customHeight="true" outlineLevel="0" collapsed="false">
      <c r="G269" s="4" t="str">
        <f aca="false">IF($D269="","",$A269&amp;"|"&amp;$B269&amp;"|"&amp;$C269&amp;"|"&amp;$D269)</f>
        <v/>
      </c>
      <c r="H269" s="4" t="str">
        <f aca="false">IF($D269="","",$G269&amp;"|"&amp;TEXT($E269,"0.000000"))</f>
        <v/>
      </c>
      <c r="I269" s="29" t="str">
        <f aca="false">IF($D269="","",IF(ISNUMBER($E269),FLOOR(($E269-$B269)*24,1),""))</f>
        <v/>
      </c>
      <c r="J269" s="10" t="str">
        <f aca="false">IF($D269="","",IFERROR(IF(VLOOKUP($F269,Dim_Analyst!$A:$C,3,0)="Yes","Yes","No"),"No"))</f>
        <v/>
      </c>
    </row>
    <row r="270" customFormat="false" ht="15" hidden="false" customHeight="true" outlineLevel="0" collapsed="false">
      <c r="G270" s="4" t="str">
        <f aca="false">IF($D270="","",$A270&amp;"|"&amp;$B270&amp;"|"&amp;$C270&amp;"|"&amp;$D270)</f>
        <v/>
      </c>
      <c r="H270" s="4" t="str">
        <f aca="false">IF($D270="","",$G270&amp;"|"&amp;TEXT($E270,"0.000000"))</f>
        <v/>
      </c>
      <c r="I270" s="29" t="str">
        <f aca="false">IF($D270="","",IF(ISNUMBER($E270),FLOOR(($E270-$B270)*24,1),""))</f>
        <v/>
      </c>
      <c r="J270" s="10" t="str">
        <f aca="false">IF($D270="","",IFERROR(IF(VLOOKUP($F270,Dim_Analyst!$A:$C,3,0)="Yes","Yes","No"),"No"))</f>
        <v/>
      </c>
    </row>
    <row r="271" customFormat="false" ht="15" hidden="false" customHeight="true" outlineLevel="0" collapsed="false">
      <c r="G271" s="4" t="str">
        <f aca="false">IF($D271="","",$A271&amp;"|"&amp;$B271&amp;"|"&amp;$C271&amp;"|"&amp;$D271)</f>
        <v/>
      </c>
      <c r="H271" s="4" t="str">
        <f aca="false">IF($D271="","",$G271&amp;"|"&amp;TEXT($E271,"0.000000"))</f>
        <v/>
      </c>
      <c r="I271" s="29" t="str">
        <f aca="false">IF($D271="","",IF(ISNUMBER($E271),FLOOR(($E271-$B271)*24,1),""))</f>
        <v/>
      </c>
      <c r="J271" s="10" t="str">
        <f aca="false">IF($D271="","",IFERROR(IF(VLOOKUP($F271,Dim_Analyst!$A:$C,3,0)="Yes","Yes","No"),"No"))</f>
        <v/>
      </c>
    </row>
    <row r="272" customFormat="false" ht="15" hidden="false" customHeight="true" outlineLevel="0" collapsed="false">
      <c r="G272" s="4" t="str">
        <f aca="false">IF($D272="","",$A272&amp;"|"&amp;$B272&amp;"|"&amp;$C272&amp;"|"&amp;$D272)</f>
        <v/>
      </c>
      <c r="H272" s="4" t="str">
        <f aca="false">IF($D272="","",$G272&amp;"|"&amp;TEXT($E272,"0.000000"))</f>
        <v/>
      </c>
      <c r="I272" s="29" t="str">
        <f aca="false">IF($D272="","",IF(ISNUMBER($E272),FLOOR(($E272-$B272)*24,1),""))</f>
        <v/>
      </c>
      <c r="J272" s="10" t="str">
        <f aca="false">IF($D272="","",IFERROR(IF(VLOOKUP($F272,Dim_Analyst!$A:$C,3,0)="Yes","Yes","No"),"No"))</f>
        <v/>
      </c>
    </row>
    <row r="273" customFormat="false" ht="15" hidden="false" customHeight="true" outlineLevel="0" collapsed="false">
      <c r="G273" s="4" t="str">
        <f aca="false">IF($D273="","",$A273&amp;"|"&amp;$B273&amp;"|"&amp;$C273&amp;"|"&amp;$D273)</f>
        <v/>
      </c>
      <c r="H273" s="4" t="str">
        <f aca="false">IF($D273="","",$G273&amp;"|"&amp;TEXT($E273,"0.000000"))</f>
        <v/>
      </c>
      <c r="I273" s="29" t="str">
        <f aca="false">IF($D273="","",IF(ISNUMBER($E273),FLOOR(($E273-$B273)*24,1),""))</f>
        <v/>
      </c>
      <c r="J273" s="10" t="str">
        <f aca="false">IF($D273="","",IFERROR(IF(VLOOKUP($F273,Dim_Analyst!$A:$C,3,0)="Yes","Yes","No"),"No"))</f>
        <v/>
      </c>
    </row>
    <row r="274" customFormat="false" ht="15" hidden="false" customHeight="true" outlineLevel="0" collapsed="false">
      <c r="G274" s="4" t="str">
        <f aca="false">IF($D274="","",$A274&amp;"|"&amp;$B274&amp;"|"&amp;$C274&amp;"|"&amp;$D274)</f>
        <v/>
      </c>
      <c r="H274" s="4" t="str">
        <f aca="false">IF($D274="","",$G274&amp;"|"&amp;TEXT($E274,"0.000000"))</f>
        <v/>
      </c>
      <c r="I274" s="29" t="str">
        <f aca="false">IF($D274="","",IF(ISNUMBER($E274),FLOOR(($E274-$B274)*24,1),""))</f>
        <v/>
      </c>
      <c r="J274" s="10" t="str">
        <f aca="false">IF($D274="","",IFERROR(IF(VLOOKUP($F274,Dim_Analyst!$A:$C,3,0)="Yes","Yes","No"),"No"))</f>
        <v/>
      </c>
    </row>
    <row r="275" customFormat="false" ht="15" hidden="false" customHeight="true" outlineLevel="0" collapsed="false">
      <c r="G275" s="4" t="str">
        <f aca="false">IF($D275="","",$A275&amp;"|"&amp;$B275&amp;"|"&amp;$C275&amp;"|"&amp;$D275)</f>
        <v/>
      </c>
      <c r="H275" s="4" t="str">
        <f aca="false">IF($D275="","",$G275&amp;"|"&amp;TEXT($E275,"0.000000"))</f>
        <v/>
      </c>
      <c r="I275" s="29" t="str">
        <f aca="false">IF($D275="","",IF(ISNUMBER($E275),FLOOR(($E275-$B275)*24,1),""))</f>
        <v/>
      </c>
      <c r="J275" s="10" t="str">
        <f aca="false">IF($D275="","",IFERROR(IF(VLOOKUP($F275,Dim_Analyst!$A:$C,3,0)="Yes","Yes","No"),"No"))</f>
        <v/>
      </c>
    </row>
    <row r="276" customFormat="false" ht="15" hidden="false" customHeight="true" outlineLevel="0" collapsed="false">
      <c r="G276" s="4" t="str">
        <f aca="false">IF($D276="","",$A276&amp;"|"&amp;$B276&amp;"|"&amp;$C276&amp;"|"&amp;$D276)</f>
        <v/>
      </c>
      <c r="H276" s="4" t="str">
        <f aca="false">IF($D276="","",$G276&amp;"|"&amp;TEXT($E276,"0.000000"))</f>
        <v/>
      </c>
      <c r="I276" s="29" t="str">
        <f aca="false">IF($D276="","",IF(ISNUMBER($E276),FLOOR(($E276-$B276)*24,1),""))</f>
        <v/>
      </c>
      <c r="J276" s="10" t="str">
        <f aca="false">IF($D276="","",IFERROR(IF(VLOOKUP($F276,Dim_Analyst!$A:$C,3,0)="Yes","Yes","No"),"No"))</f>
        <v/>
      </c>
    </row>
    <row r="277" customFormat="false" ht="15" hidden="false" customHeight="true" outlineLevel="0" collapsed="false">
      <c r="G277" s="4" t="str">
        <f aca="false">IF($D277="","",$A277&amp;"|"&amp;$B277&amp;"|"&amp;$C277&amp;"|"&amp;$D277)</f>
        <v/>
      </c>
      <c r="H277" s="4" t="str">
        <f aca="false">IF($D277="","",$G277&amp;"|"&amp;TEXT($E277,"0.000000"))</f>
        <v/>
      </c>
      <c r="I277" s="29" t="str">
        <f aca="false">IF($D277="","",IF(ISNUMBER($E277),FLOOR(($E277-$B277)*24,1),""))</f>
        <v/>
      </c>
      <c r="J277" s="10" t="str">
        <f aca="false">IF($D277="","",IFERROR(IF(VLOOKUP($F277,Dim_Analyst!$A:$C,3,0)="Yes","Yes","No"),"No"))</f>
        <v/>
      </c>
    </row>
    <row r="278" customFormat="false" ht="15" hidden="false" customHeight="true" outlineLevel="0" collapsed="false">
      <c r="G278" s="4" t="str">
        <f aca="false">IF($D278="","",$A278&amp;"|"&amp;$B278&amp;"|"&amp;$C278&amp;"|"&amp;$D278)</f>
        <v/>
      </c>
      <c r="H278" s="4" t="str">
        <f aca="false">IF($D278="","",$G278&amp;"|"&amp;TEXT($E278,"0.000000"))</f>
        <v/>
      </c>
      <c r="I278" s="29" t="str">
        <f aca="false">IF($D278="","",IF(ISNUMBER($E278),FLOOR(($E278-$B278)*24,1),""))</f>
        <v/>
      </c>
      <c r="J278" s="10" t="str">
        <f aca="false">IF($D278="","",IFERROR(IF(VLOOKUP($F278,Dim_Analyst!$A:$C,3,0)="Yes","Yes","No"),"No"))</f>
        <v/>
      </c>
    </row>
    <row r="279" customFormat="false" ht="15" hidden="false" customHeight="true" outlineLevel="0" collapsed="false">
      <c r="G279" s="4" t="str">
        <f aca="false">IF($D279="","",$A279&amp;"|"&amp;$B279&amp;"|"&amp;$C279&amp;"|"&amp;$D279)</f>
        <v/>
      </c>
      <c r="H279" s="4" t="str">
        <f aca="false">IF($D279="","",$G279&amp;"|"&amp;TEXT($E279,"0.000000"))</f>
        <v/>
      </c>
      <c r="I279" s="29" t="str">
        <f aca="false">IF($D279="","",IF(ISNUMBER($E279),FLOOR(($E279-$B279)*24,1),""))</f>
        <v/>
      </c>
      <c r="J279" s="10" t="str">
        <f aca="false">IF($D279="","",IFERROR(IF(VLOOKUP($F279,Dim_Analyst!$A:$C,3,0)="Yes","Yes","No"),"No"))</f>
        <v/>
      </c>
    </row>
    <row r="280" customFormat="false" ht="15" hidden="false" customHeight="true" outlineLevel="0" collapsed="false">
      <c r="G280" s="4" t="str">
        <f aca="false">IF($D280="","",$A280&amp;"|"&amp;$B280&amp;"|"&amp;$C280&amp;"|"&amp;$D280)</f>
        <v/>
      </c>
      <c r="H280" s="4" t="str">
        <f aca="false">IF($D280="","",$G280&amp;"|"&amp;TEXT($E280,"0.000000"))</f>
        <v/>
      </c>
      <c r="I280" s="29" t="str">
        <f aca="false">IF($D280="","",IF(ISNUMBER($E280),FLOOR(($E280-$B280)*24,1),""))</f>
        <v/>
      </c>
      <c r="J280" s="10" t="str">
        <f aca="false">IF($D280="","",IFERROR(IF(VLOOKUP($F280,Dim_Analyst!$A:$C,3,0)="Yes","Yes","No"),"No"))</f>
        <v/>
      </c>
    </row>
    <row r="281" customFormat="false" ht="15" hidden="false" customHeight="true" outlineLevel="0" collapsed="false">
      <c r="G281" s="4" t="str">
        <f aca="false">IF($D281="","",$A281&amp;"|"&amp;$B281&amp;"|"&amp;$C281&amp;"|"&amp;$D281)</f>
        <v/>
      </c>
      <c r="H281" s="4" t="str">
        <f aca="false">IF($D281="","",$G281&amp;"|"&amp;TEXT($E281,"0.000000"))</f>
        <v/>
      </c>
      <c r="I281" s="29" t="str">
        <f aca="false">IF($D281="","",IF(ISNUMBER($E281),FLOOR(($E281-$B281)*24,1),""))</f>
        <v/>
      </c>
      <c r="J281" s="10" t="str">
        <f aca="false">IF($D281="","",IFERROR(IF(VLOOKUP($F281,Dim_Analyst!$A:$C,3,0)="Yes","Yes","No"),"No"))</f>
        <v/>
      </c>
    </row>
    <row r="282" customFormat="false" ht="15" hidden="false" customHeight="true" outlineLevel="0" collapsed="false">
      <c r="G282" s="4" t="str">
        <f aca="false">IF($D282="","",$A282&amp;"|"&amp;$B282&amp;"|"&amp;$C282&amp;"|"&amp;$D282)</f>
        <v/>
      </c>
      <c r="H282" s="4" t="str">
        <f aca="false">IF($D282="","",$G282&amp;"|"&amp;TEXT($E282,"0.000000"))</f>
        <v/>
      </c>
      <c r="I282" s="29" t="str">
        <f aca="false">IF($D282="","",IF(ISNUMBER($E282),FLOOR(($E282-$B282)*24,1),""))</f>
        <v/>
      </c>
      <c r="J282" s="10" t="str">
        <f aca="false">IF($D282="","",IFERROR(IF(VLOOKUP($F282,Dim_Analyst!$A:$C,3,0)="Yes","Yes","No"),"No"))</f>
        <v/>
      </c>
    </row>
    <row r="283" customFormat="false" ht="15" hidden="false" customHeight="true" outlineLevel="0" collapsed="false">
      <c r="G283" s="4" t="str">
        <f aca="false">IF($D283="","",$A283&amp;"|"&amp;$B283&amp;"|"&amp;$C283&amp;"|"&amp;$D283)</f>
        <v/>
      </c>
      <c r="H283" s="4" t="str">
        <f aca="false">IF($D283="","",$G283&amp;"|"&amp;TEXT($E283,"0.000000"))</f>
        <v/>
      </c>
      <c r="I283" s="29" t="str">
        <f aca="false">IF($D283="","",IF(ISNUMBER($E283),FLOOR(($E283-$B283)*24,1),""))</f>
        <v/>
      </c>
      <c r="J283" s="10" t="str">
        <f aca="false">IF($D283="","",IFERROR(IF(VLOOKUP($F283,Dim_Analyst!$A:$C,3,0)="Yes","Yes","No"),"No"))</f>
        <v/>
      </c>
    </row>
    <row r="284" customFormat="false" ht="15" hidden="false" customHeight="true" outlineLevel="0" collapsed="false">
      <c r="G284" s="4" t="str">
        <f aca="false">IF($D284="","",$A284&amp;"|"&amp;$B284&amp;"|"&amp;$C284&amp;"|"&amp;$D284)</f>
        <v/>
      </c>
      <c r="H284" s="4" t="str">
        <f aca="false">IF($D284="","",$G284&amp;"|"&amp;TEXT($E284,"0.000000"))</f>
        <v/>
      </c>
      <c r="I284" s="29" t="str">
        <f aca="false">IF($D284="","",IF(ISNUMBER($E284),FLOOR(($E284-$B284)*24,1),""))</f>
        <v/>
      </c>
      <c r="J284" s="10" t="str">
        <f aca="false">IF($D284="","",IFERROR(IF(VLOOKUP($F284,Dim_Analyst!$A:$C,3,0)="Yes","Yes","No"),"No"))</f>
        <v/>
      </c>
    </row>
    <row r="285" customFormat="false" ht="15" hidden="false" customHeight="true" outlineLevel="0" collapsed="false">
      <c r="G285" s="4" t="str">
        <f aca="false">IF($D285="","",$A285&amp;"|"&amp;$B285&amp;"|"&amp;$C285&amp;"|"&amp;$D285)</f>
        <v/>
      </c>
      <c r="H285" s="4" t="str">
        <f aca="false">IF($D285="","",$G285&amp;"|"&amp;TEXT($E285,"0.000000"))</f>
        <v/>
      </c>
      <c r="I285" s="29" t="str">
        <f aca="false">IF($D285="","",IF(ISNUMBER($E285),FLOOR(($E285-$B285)*24,1),""))</f>
        <v/>
      </c>
      <c r="J285" s="10" t="str">
        <f aca="false">IF($D285="","",IFERROR(IF(VLOOKUP($F285,Dim_Analyst!$A:$C,3,0)="Yes","Yes","No"),"No"))</f>
        <v/>
      </c>
    </row>
    <row r="286" customFormat="false" ht="15" hidden="false" customHeight="true" outlineLevel="0" collapsed="false">
      <c r="G286" s="4" t="str">
        <f aca="false">IF($D286="","",$A286&amp;"|"&amp;$B286&amp;"|"&amp;$C286&amp;"|"&amp;$D286)</f>
        <v/>
      </c>
      <c r="H286" s="4" t="str">
        <f aca="false">IF($D286="","",$G286&amp;"|"&amp;TEXT($E286,"0.000000"))</f>
        <v/>
      </c>
      <c r="I286" s="29" t="str">
        <f aca="false">IF($D286="","",IF(ISNUMBER($E286),FLOOR(($E286-$B286)*24,1),""))</f>
        <v/>
      </c>
      <c r="J286" s="10" t="str">
        <f aca="false">IF($D286="","",IFERROR(IF(VLOOKUP($F286,Dim_Analyst!$A:$C,3,0)="Yes","Yes","No"),"No"))</f>
        <v/>
      </c>
    </row>
    <row r="287" customFormat="false" ht="15" hidden="false" customHeight="true" outlineLevel="0" collapsed="false">
      <c r="G287" s="4" t="str">
        <f aca="false">IF($D287="","",$A287&amp;"|"&amp;$B287&amp;"|"&amp;$C287&amp;"|"&amp;$D287)</f>
        <v/>
      </c>
      <c r="H287" s="4" t="str">
        <f aca="false">IF($D287="","",$G287&amp;"|"&amp;TEXT($E287,"0.000000"))</f>
        <v/>
      </c>
      <c r="I287" s="29" t="str">
        <f aca="false">IF($D287="","",IF(ISNUMBER($E287),FLOOR(($E287-$B287)*24,1),""))</f>
        <v/>
      </c>
      <c r="J287" s="10" t="str">
        <f aca="false">IF($D287="","",IFERROR(IF(VLOOKUP($F287,Dim_Analyst!$A:$C,3,0)="Yes","Yes","No"),"No"))</f>
        <v/>
      </c>
    </row>
    <row r="288" customFormat="false" ht="15" hidden="false" customHeight="true" outlineLevel="0" collapsed="false">
      <c r="G288" s="4" t="str">
        <f aca="false">IF($D288="","",$A288&amp;"|"&amp;$B288&amp;"|"&amp;$C288&amp;"|"&amp;$D288)</f>
        <v/>
      </c>
      <c r="H288" s="4" t="str">
        <f aca="false">IF($D288="","",$G288&amp;"|"&amp;TEXT($E288,"0.000000"))</f>
        <v/>
      </c>
      <c r="I288" s="29" t="str">
        <f aca="false">IF($D288="","",IF(ISNUMBER($E288),FLOOR(($E288-$B288)*24,1),""))</f>
        <v/>
      </c>
      <c r="J288" s="10" t="str">
        <f aca="false">IF($D288="","",IFERROR(IF(VLOOKUP($F288,Dim_Analyst!$A:$C,3,0)="Yes","Yes","No"),"No"))</f>
        <v/>
      </c>
    </row>
    <row r="289" customFormat="false" ht="15" hidden="false" customHeight="true" outlineLevel="0" collapsed="false">
      <c r="G289" s="4" t="str">
        <f aca="false">IF($D289="","",$A289&amp;"|"&amp;$B289&amp;"|"&amp;$C289&amp;"|"&amp;$D289)</f>
        <v/>
      </c>
      <c r="H289" s="4" t="str">
        <f aca="false">IF($D289="","",$G289&amp;"|"&amp;TEXT($E289,"0.000000"))</f>
        <v/>
      </c>
      <c r="I289" s="29" t="str">
        <f aca="false">IF($D289="","",IF(ISNUMBER($E289),FLOOR(($E289-$B289)*24,1),""))</f>
        <v/>
      </c>
      <c r="J289" s="10" t="str">
        <f aca="false">IF($D289="","",IFERROR(IF(VLOOKUP($F289,Dim_Analyst!$A:$C,3,0)="Yes","Yes","No"),"No"))</f>
        <v/>
      </c>
    </row>
    <row r="290" customFormat="false" ht="15" hidden="false" customHeight="true" outlineLevel="0" collapsed="false">
      <c r="G290" s="4" t="str">
        <f aca="false">IF($D290="","",$A290&amp;"|"&amp;$B290&amp;"|"&amp;$C290&amp;"|"&amp;$D290)</f>
        <v/>
      </c>
      <c r="H290" s="4" t="str">
        <f aca="false">IF($D290="","",$G290&amp;"|"&amp;TEXT($E290,"0.000000"))</f>
        <v/>
      </c>
      <c r="I290" s="29" t="str">
        <f aca="false">IF($D290="","",IF(ISNUMBER($E290),FLOOR(($E290-$B290)*24,1),""))</f>
        <v/>
      </c>
      <c r="J290" s="10" t="str">
        <f aca="false">IF($D290="","",IFERROR(IF(VLOOKUP($F290,Dim_Analyst!$A:$C,3,0)="Yes","Yes","No"),"No"))</f>
        <v/>
      </c>
    </row>
    <row r="291" customFormat="false" ht="15" hidden="false" customHeight="true" outlineLevel="0" collapsed="false">
      <c r="G291" s="4" t="str">
        <f aca="false">IF($D291="","",$A291&amp;"|"&amp;$B291&amp;"|"&amp;$C291&amp;"|"&amp;$D291)</f>
        <v/>
      </c>
      <c r="H291" s="4" t="str">
        <f aca="false">IF($D291="","",$G291&amp;"|"&amp;TEXT($E291,"0.000000"))</f>
        <v/>
      </c>
      <c r="I291" s="29" t="str">
        <f aca="false">IF($D291="","",IF(ISNUMBER($E291),FLOOR(($E291-$B291)*24,1),""))</f>
        <v/>
      </c>
      <c r="J291" s="10" t="str">
        <f aca="false">IF($D291="","",IFERROR(IF(VLOOKUP($F291,Dim_Analyst!$A:$C,3,0)="Yes","Yes","No"),"No"))</f>
        <v/>
      </c>
    </row>
    <row r="292" customFormat="false" ht="15" hidden="false" customHeight="true" outlineLevel="0" collapsed="false">
      <c r="G292" s="4" t="str">
        <f aca="false">IF($D292="","",$A292&amp;"|"&amp;$B292&amp;"|"&amp;$C292&amp;"|"&amp;$D292)</f>
        <v/>
      </c>
      <c r="H292" s="4" t="str">
        <f aca="false">IF($D292="","",$G292&amp;"|"&amp;TEXT($E292,"0.000000"))</f>
        <v/>
      </c>
      <c r="I292" s="29" t="str">
        <f aca="false">IF($D292="","",IF(ISNUMBER($E292),FLOOR(($E292-$B292)*24,1),""))</f>
        <v/>
      </c>
      <c r="J292" s="10" t="str">
        <f aca="false">IF($D292="","",IFERROR(IF(VLOOKUP($F292,Dim_Analyst!$A:$C,3,0)="Yes","Yes","No"),"No"))</f>
        <v/>
      </c>
    </row>
    <row r="293" customFormat="false" ht="15" hidden="false" customHeight="true" outlineLevel="0" collapsed="false">
      <c r="G293" s="4" t="str">
        <f aca="false">IF($D293="","",$A293&amp;"|"&amp;$B293&amp;"|"&amp;$C293&amp;"|"&amp;$D293)</f>
        <v/>
      </c>
      <c r="H293" s="4" t="str">
        <f aca="false">IF($D293="","",$G293&amp;"|"&amp;TEXT($E293,"0.000000"))</f>
        <v/>
      </c>
      <c r="I293" s="29" t="str">
        <f aca="false">IF($D293="","",IF(ISNUMBER($E293),FLOOR(($E293-$B293)*24,1),""))</f>
        <v/>
      </c>
      <c r="J293" s="10" t="str">
        <f aca="false">IF($D293="","",IFERROR(IF(VLOOKUP($F293,Dim_Analyst!$A:$C,3,0)="Yes","Yes","No"),"No"))</f>
        <v/>
      </c>
    </row>
    <row r="294" customFormat="false" ht="15" hidden="false" customHeight="true" outlineLevel="0" collapsed="false">
      <c r="G294" s="4" t="str">
        <f aca="false">IF($D294="","",$A294&amp;"|"&amp;$B294&amp;"|"&amp;$C294&amp;"|"&amp;$D294)</f>
        <v/>
      </c>
      <c r="H294" s="4" t="str">
        <f aca="false">IF($D294="","",$G294&amp;"|"&amp;TEXT($E294,"0.000000"))</f>
        <v/>
      </c>
      <c r="I294" s="29" t="str">
        <f aca="false">IF($D294="","",IF(ISNUMBER($E294),FLOOR(($E294-$B294)*24,1),""))</f>
        <v/>
      </c>
      <c r="J294" s="10" t="str">
        <f aca="false">IF($D294="","",IFERROR(IF(VLOOKUP($F294,Dim_Analyst!$A:$C,3,0)="Yes","Yes","No"),"No"))</f>
        <v/>
      </c>
    </row>
    <row r="295" customFormat="false" ht="15" hidden="false" customHeight="true" outlineLevel="0" collapsed="false">
      <c r="G295" s="4" t="str">
        <f aca="false">IF($D295="","",$A295&amp;"|"&amp;$B295&amp;"|"&amp;$C295&amp;"|"&amp;$D295)</f>
        <v/>
      </c>
      <c r="H295" s="4" t="str">
        <f aca="false">IF($D295="","",$G295&amp;"|"&amp;TEXT($E295,"0.000000"))</f>
        <v/>
      </c>
      <c r="I295" s="29" t="str">
        <f aca="false">IF($D295="","",IF(ISNUMBER($E295),FLOOR(($E295-$B295)*24,1),""))</f>
        <v/>
      </c>
      <c r="J295" s="10" t="str">
        <f aca="false">IF($D295="","",IFERROR(IF(VLOOKUP($F295,Dim_Analyst!$A:$C,3,0)="Yes","Yes","No"),"No"))</f>
        <v/>
      </c>
    </row>
    <row r="296" customFormat="false" ht="15" hidden="false" customHeight="true" outlineLevel="0" collapsed="false">
      <c r="G296" s="4" t="str">
        <f aca="false">IF($D296="","",$A296&amp;"|"&amp;$B296&amp;"|"&amp;$C296&amp;"|"&amp;$D296)</f>
        <v/>
      </c>
      <c r="H296" s="4" t="str">
        <f aca="false">IF($D296="","",$G296&amp;"|"&amp;TEXT($E296,"0.000000"))</f>
        <v/>
      </c>
      <c r="I296" s="29" t="str">
        <f aca="false">IF($D296="","",IF(ISNUMBER($E296),FLOOR(($E296-$B296)*24,1),""))</f>
        <v/>
      </c>
      <c r="J296" s="10" t="str">
        <f aca="false">IF($D296="","",IFERROR(IF(VLOOKUP($F296,Dim_Analyst!$A:$C,3,0)="Yes","Yes","No"),"No"))</f>
        <v/>
      </c>
    </row>
    <row r="297" customFormat="false" ht="15" hidden="false" customHeight="true" outlineLevel="0" collapsed="false">
      <c r="G297" s="4" t="str">
        <f aca="false">IF($D297="","",$A297&amp;"|"&amp;$B297&amp;"|"&amp;$C297&amp;"|"&amp;$D297)</f>
        <v/>
      </c>
      <c r="H297" s="4" t="str">
        <f aca="false">IF($D297="","",$G297&amp;"|"&amp;TEXT($E297,"0.000000"))</f>
        <v/>
      </c>
      <c r="I297" s="29" t="str">
        <f aca="false">IF($D297="","",IF(ISNUMBER($E297),FLOOR(($E297-$B297)*24,1),""))</f>
        <v/>
      </c>
      <c r="J297" s="10" t="str">
        <f aca="false">IF($D297="","",IFERROR(IF(VLOOKUP($F297,Dim_Analyst!$A:$C,3,0)="Yes","Yes","No"),"No"))</f>
        <v/>
      </c>
    </row>
    <row r="298" customFormat="false" ht="15" hidden="false" customHeight="true" outlineLevel="0" collapsed="false">
      <c r="G298" s="4" t="str">
        <f aca="false">IF($D298="","",$A298&amp;"|"&amp;$B298&amp;"|"&amp;$C298&amp;"|"&amp;$D298)</f>
        <v/>
      </c>
      <c r="H298" s="4" t="str">
        <f aca="false">IF($D298="","",$G298&amp;"|"&amp;TEXT($E298,"0.000000"))</f>
        <v/>
      </c>
      <c r="I298" s="29" t="str">
        <f aca="false">IF($D298="","",IF(ISNUMBER($E298),FLOOR(($E298-$B298)*24,1),""))</f>
        <v/>
      </c>
      <c r="J298" s="10" t="str">
        <f aca="false">IF($D298="","",IFERROR(IF(VLOOKUP($F298,Dim_Analyst!$A:$C,3,0)="Yes","Yes","No"),"No"))</f>
        <v/>
      </c>
    </row>
    <row r="299" customFormat="false" ht="15" hidden="false" customHeight="true" outlineLevel="0" collapsed="false">
      <c r="G299" s="4" t="str">
        <f aca="false">IF($D299="","",$A299&amp;"|"&amp;$B299&amp;"|"&amp;$C299&amp;"|"&amp;$D299)</f>
        <v/>
      </c>
      <c r="H299" s="4" t="str">
        <f aca="false">IF($D299="","",$G299&amp;"|"&amp;TEXT($E299,"0.000000"))</f>
        <v/>
      </c>
      <c r="I299" s="29" t="str">
        <f aca="false">IF($D299="","",IF(ISNUMBER($E299),FLOOR(($E299-$B299)*24,1),""))</f>
        <v/>
      </c>
      <c r="J299" s="10" t="str">
        <f aca="false">IF($D299="","",IFERROR(IF(VLOOKUP($F299,Dim_Analyst!$A:$C,3,0)="Yes","Yes","No"),"No"))</f>
        <v/>
      </c>
    </row>
    <row r="300" customFormat="false" ht="15" hidden="false" customHeight="true" outlineLevel="0" collapsed="false">
      <c r="G300" s="4" t="str">
        <f aca="false">IF($D300="","",$A300&amp;"|"&amp;$B300&amp;"|"&amp;$C300&amp;"|"&amp;$D300)</f>
        <v/>
      </c>
      <c r="H300" s="4" t="str">
        <f aca="false">IF($D300="","",$G300&amp;"|"&amp;TEXT($E300,"0.000000"))</f>
        <v/>
      </c>
      <c r="I300" s="29" t="str">
        <f aca="false">IF($D300="","",IF(ISNUMBER($E300),FLOOR(($E300-$B300)*24,1),""))</f>
        <v/>
      </c>
      <c r="J300" s="10" t="str">
        <f aca="false">IF($D300="","",IFERROR(IF(VLOOKUP($F300,Dim_Analyst!$A:$C,3,0)="Yes","Yes","No"),"No"))</f>
        <v/>
      </c>
    </row>
    <row r="301" customFormat="false" ht="15" hidden="false" customHeight="true" outlineLevel="0" collapsed="false">
      <c r="G301" s="4" t="str">
        <f aca="false">IF($D301="","",$A301&amp;"|"&amp;$B301&amp;"|"&amp;$C301&amp;"|"&amp;$D301)</f>
        <v/>
      </c>
      <c r="H301" s="4" t="str">
        <f aca="false">IF($D301="","",$G301&amp;"|"&amp;TEXT($E301,"0.000000"))</f>
        <v/>
      </c>
      <c r="I301" s="29" t="str">
        <f aca="false">IF($D301="","",IF(ISNUMBER($E301),FLOOR(($E301-$B301)*24,1),""))</f>
        <v/>
      </c>
      <c r="J301" s="10" t="str">
        <f aca="false">IF($D301="","",IFERROR(IF(VLOOKUP($F301,Dim_Analyst!$A:$C,3,0)="Yes","Yes","No"),"No"))</f>
        <v/>
      </c>
    </row>
    <row r="302" customFormat="false" ht="15" hidden="false" customHeight="true" outlineLevel="0" collapsed="false">
      <c r="G302" s="4" t="str">
        <f aca="false">IF($D302="","",$A302&amp;"|"&amp;$B302&amp;"|"&amp;$C302&amp;"|"&amp;$D302)</f>
        <v/>
      </c>
      <c r="H302" s="4" t="str">
        <f aca="false">IF($D302="","",$G302&amp;"|"&amp;TEXT($E302,"0.000000"))</f>
        <v/>
      </c>
      <c r="I302" s="29" t="str">
        <f aca="false">IF($D302="","",IF(ISNUMBER($E302),FLOOR(($E302-$B302)*24,1),""))</f>
        <v/>
      </c>
      <c r="J302" s="10" t="str">
        <f aca="false">IF($D302="","",IFERROR(IF(VLOOKUP($F302,Dim_Analyst!$A:$C,3,0)="Yes","Yes","No"),"No"))</f>
        <v/>
      </c>
    </row>
    <row r="303" customFormat="false" ht="15" hidden="false" customHeight="true" outlineLevel="0" collapsed="false">
      <c r="G303" s="4" t="str">
        <f aca="false">IF($D303="","",$A303&amp;"|"&amp;$B303&amp;"|"&amp;$C303&amp;"|"&amp;$D303)</f>
        <v/>
      </c>
      <c r="H303" s="4" t="str">
        <f aca="false">IF($D303="","",$G303&amp;"|"&amp;TEXT($E303,"0.000000"))</f>
        <v/>
      </c>
      <c r="I303" s="29" t="str">
        <f aca="false">IF($D303="","",IF(ISNUMBER($E303),FLOOR(($E303-$B303)*24,1),""))</f>
        <v/>
      </c>
      <c r="J303" s="10" t="str">
        <f aca="false">IF($D303="","",IFERROR(IF(VLOOKUP($F303,Dim_Analyst!$A:$C,3,0)="Yes","Yes","No"),"No"))</f>
        <v/>
      </c>
    </row>
    <row r="304" customFormat="false" ht="15" hidden="false" customHeight="true" outlineLevel="0" collapsed="false">
      <c r="G304" s="4" t="str">
        <f aca="false">IF($D304="","",$A304&amp;"|"&amp;$B304&amp;"|"&amp;$C304&amp;"|"&amp;$D304)</f>
        <v/>
      </c>
      <c r="H304" s="4" t="str">
        <f aca="false">IF($D304="","",$G304&amp;"|"&amp;TEXT($E304,"0.000000"))</f>
        <v/>
      </c>
      <c r="I304" s="29" t="str">
        <f aca="false">IF($D304="","",IF(ISNUMBER($E304),FLOOR(($E304-$B304)*24,1),""))</f>
        <v/>
      </c>
      <c r="J304" s="10" t="str">
        <f aca="false">IF($D304="","",IFERROR(IF(VLOOKUP($F304,Dim_Analyst!$A:$C,3,0)="Yes","Yes","No"),"No"))</f>
        <v/>
      </c>
    </row>
    <row r="305" customFormat="false" ht="15" hidden="false" customHeight="true" outlineLevel="0" collapsed="false">
      <c r="G305" s="4" t="str">
        <f aca="false">IF($D305="","",$A305&amp;"|"&amp;$B305&amp;"|"&amp;$C305&amp;"|"&amp;$D305)</f>
        <v/>
      </c>
      <c r="H305" s="4" t="str">
        <f aca="false">IF($D305="","",$G305&amp;"|"&amp;TEXT($E305,"0.000000"))</f>
        <v/>
      </c>
      <c r="I305" s="29" t="str">
        <f aca="false">IF($D305="","",IF(ISNUMBER($E305),FLOOR(($E305-$B305)*24,1),""))</f>
        <v/>
      </c>
      <c r="J305" s="10" t="str">
        <f aca="false">IF($D305="","",IFERROR(IF(VLOOKUP($F305,Dim_Analyst!$A:$C,3,0)="Yes","Yes","No"),"No"))</f>
        <v/>
      </c>
    </row>
    <row r="306" customFormat="false" ht="15" hidden="false" customHeight="true" outlineLevel="0" collapsed="false">
      <c r="G306" s="4" t="str">
        <f aca="false">IF($D306="","",$A306&amp;"|"&amp;$B306&amp;"|"&amp;$C306&amp;"|"&amp;$D306)</f>
        <v/>
      </c>
      <c r="H306" s="4" t="str">
        <f aca="false">IF($D306="","",$G306&amp;"|"&amp;TEXT($E306,"0.000000"))</f>
        <v/>
      </c>
      <c r="I306" s="29" t="str">
        <f aca="false">IF($D306="","",IF(ISNUMBER($E306),FLOOR(($E306-$B306)*24,1),""))</f>
        <v/>
      </c>
      <c r="J306" s="10" t="str">
        <f aca="false">IF($D306="","",IFERROR(IF(VLOOKUP($F306,Dim_Analyst!$A:$C,3,0)="Yes","Yes","No"),"No"))</f>
        <v/>
      </c>
    </row>
    <row r="307" customFormat="false" ht="15" hidden="false" customHeight="true" outlineLevel="0" collapsed="false">
      <c r="G307" s="4" t="str">
        <f aca="false">IF($D307="","",$A307&amp;"|"&amp;$B307&amp;"|"&amp;$C307&amp;"|"&amp;$D307)</f>
        <v/>
      </c>
      <c r="H307" s="4" t="str">
        <f aca="false">IF($D307="","",$G307&amp;"|"&amp;TEXT($E307,"0.000000"))</f>
        <v/>
      </c>
      <c r="I307" s="29" t="str">
        <f aca="false">IF($D307="","",IF(ISNUMBER($E307),FLOOR(($E307-$B307)*24,1),""))</f>
        <v/>
      </c>
      <c r="J307" s="10" t="str">
        <f aca="false">IF($D307="","",IFERROR(IF(VLOOKUP($F307,Dim_Analyst!$A:$C,3,0)="Yes","Yes","No"),"No"))</f>
        <v/>
      </c>
    </row>
    <row r="308" customFormat="false" ht="15" hidden="false" customHeight="true" outlineLevel="0" collapsed="false">
      <c r="G308" s="4" t="str">
        <f aca="false">IF($D308="","",$A308&amp;"|"&amp;$B308&amp;"|"&amp;$C308&amp;"|"&amp;$D308)</f>
        <v/>
      </c>
      <c r="H308" s="4" t="str">
        <f aca="false">IF($D308="","",$G308&amp;"|"&amp;TEXT($E308,"0.000000"))</f>
        <v/>
      </c>
      <c r="I308" s="29" t="str">
        <f aca="false">IF($D308="","",IF(ISNUMBER($E308),FLOOR(($E308-$B308)*24,1),""))</f>
        <v/>
      </c>
      <c r="J308" s="10" t="str">
        <f aca="false">IF($D308="","",IFERROR(IF(VLOOKUP($F308,Dim_Analyst!$A:$C,3,0)="Yes","Yes","No"),"No"))</f>
        <v/>
      </c>
    </row>
    <row r="309" customFormat="false" ht="15" hidden="false" customHeight="true" outlineLevel="0" collapsed="false">
      <c r="G309" s="4" t="str">
        <f aca="false">IF($D309="","",$A309&amp;"|"&amp;$B309&amp;"|"&amp;$C309&amp;"|"&amp;$D309)</f>
        <v/>
      </c>
      <c r="H309" s="4" t="str">
        <f aca="false">IF($D309="","",$G309&amp;"|"&amp;TEXT($E309,"0.000000"))</f>
        <v/>
      </c>
      <c r="I309" s="29" t="str">
        <f aca="false">IF($D309="","",IF(ISNUMBER($E309),FLOOR(($E309-$B309)*24,1),""))</f>
        <v/>
      </c>
      <c r="J309" s="10" t="str">
        <f aca="false">IF($D309="","",IFERROR(IF(VLOOKUP($F309,Dim_Analyst!$A:$C,3,0)="Yes","Yes","No"),"No"))</f>
        <v/>
      </c>
    </row>
    <row r="310" customFormat="false" ht="15" hidden="false" customHeight="true" outlineLevel="0" collapsed="false">
      <c r="G310" s="4" t="str">
        <f aca="false">IF($D310="","",$A310&amp;"|"&amp;$B310&amp;"|"&amp;$C310&amp;"|"&amp;$D310)</f>
        <v/>
      </c>
      <c r="H310" s="4" t="str">
        <f aca="false">IF($D310="","",$G310&amp;"|"&amp;TEXT($E310,"0.000000"))</f>
        <v/>
      </c>
      <c r="I310" s="29" t="str">
        <f aca="false">IF($D310="","",IF(ISNUMBER($E310),FLOOR(($E310-$B310)*24,1),""))</f>
        <v/>
      </c>
      <c r="J310" s="10" t="str">
        <f aca="false">IF($D310="","",IFERROR(IF(VLOOKUP($F310,Dim_Analyst!$A:$C,3,0)="Yes","Yes","No"),"No"))</f>
        <v/>
      </c>
    </row>
    <row r="311" customFormat="false" ht="15" hidden="false" customHeight="true" outlineLevel="0" collapsed="false">
      <c r="G311" s="4" t="str">
        <f aca="false">IF($D311="","",$A311&amp;"|"&amp;$B311&amp;"|"&amp;$C311&amp;"|"&amp;$D311)</f>
        <v/>
      </c>
      <c r="H311" s="4" t="str">
        <f aca="false">IF($D311="","",$G311&amp;"|"&amp;TEXT($E311,"0.000000"))</f>
        <v/>
      </c>
      <c r="I311" s="29" t="str">
        <f aca="false">IF($D311="","",IF(ISNUMBER($E311),FLOOR(($E311-$B311)*24,1),""))</f>
        <v/>
      </c>
      <c r="J311" s="10" t="str">
        <f aca="false">IF($D311="","",IFERROR(IF(VLOOKUP($F311,Dim_Analyst!$A:$C,3,0)="Yes","Yes","No"),"No"))</f>
        <v/>
      </c>
    </row>
    <row r="312" customFormat="false" ht="15" hidden="false" customHeight="true" outlineLevel="0" collapsed="false">
      <c r="G312" s="4" t="str">
        <f aca="false">IF($D312="","",$A312&amp;"|"&amp;$B312&amp;"|"&amp;$C312&amp;"|"&amp;$D312)</f>
        <v/>
      </c>
      <c r="H312" s="4" t="str">
        <f aca="false">IF($D312="","",$G312&amp;"|"&amp;TEXT($E312,"0.000000"))</f>
        <v/>
      </c>
      <c r="I312" s="29" t="str">
        <f aca="false">IF($D312="","",IF(ISNUMBER($E312),FLOOR(($E312-$B312)*24,1),""))</f>
        <v/>
      </c>
      <c r="J312" s="10" t="str">
        <f aca="false">IF($D312="","",IFERROR(IF(VLOOKUP($F312,Dim_Analyst!$A:$C,3,0)="Yes","Yes","No"),"No"))</f>
        <v/>
      </c>
    </row>
    <row r="313" customFormat="false" ht="15" hidden="false" customHeight="true" outlineLevel="0" collapsed="false">
      <c r="G313" s="4" t="str">
        <f aca="false">IF($D313="","",$A313&amp;"|"&amp;$B313&amp;"|"&amp;$C313&amp;"|"&amp;$D313)</f>
        <v/>
      </c>
      <c r="H313" s="4" t="str">
        <f aca="false">IF($D313="","",$G313&amp;"|"&amp;TEXT($E313,"0.000000"))</f>
        <v/>
      </c>
      <c r="I313" s="29" t="str">
        <f aca="false">IF($D313="","",IF(ISNUMBER($E313),FLOOR(($E313-$B313)*24,1),""))</f>
        <v/>
      </c>
      <c r="J313" s="10" t="str">
        <f aca="false">IF($D313="","",IFERROR(IF(VLOOKUP($F313,Dim_Analyst!$A:$C,3,0)="Yes","Yes","No"),"No"))</f>
        <v/>
      </c>
    </row>
    <row r="314" customFormat="false" ht="15" hidden="false" customHeight="true" outlineLevel="0" collapsed="false">
      <c r="G314" s="4" t="str">
        <f aca="false">IF($D314="","",$A314&amp;"|"&amp;$B314&amp;"|"&amp;$C314&amp;"|"&amp;$D314)</f>
        <v/>
      </c>
      <c r="H314" s="4" t="str">
        <f aca="false">IF($D314="","",$G314&amp;"|"&amp;TEXT($E314,"0.000000"))</f>
        <v/>
      </c>
      <c r="I314" s="29" t="str">
        <f aca="false">IF($D314="","",IF(ISNUMBER($E314),FLOOR(($E314-$B314)*24,1),""))</f>
        <v/>
      </c>
      <c r="J314" s="10" t="str">
        <f aca="false">IF($D314="","",IFERROR(IF(VLOOKUP($F314,Dim_Analyst!$A:$C,3,0)="Yes","Yes","No"),"No"))</f>
        <v/>
      </c>
    </row>
    <row r="315" customFormat="false" ht="15" hidden="false" customHeight="true" outlineLevel="0" collapsed="false">
      <c r="G315" s="4" t="str">
        <f aca="false">IF($D315="","",$A315&amp;"|"&amp;$B315&amp;"|"&amp;$C315&amp;"|"&amp;$D315)</f>
        <v/>
      </c>
      <c r="H315" s="4" t="str">
        <f aca="false">IF($D315="","",$G315&amp;"|"&amp;TEXT($E315,"0.000000"))</f>
        <v/>
      </c>
      <c r="I315" s="29" t="str">
        <f aca="false">IF($D315="","",IF(ISNUMBER($E315),FLOOR(($E315-$B315)*24,1),""))</f>
        <v/>
      </c>
      <c r="J315" s="10" t="str">
        <f aca="false">IF($D315="","",IFERROR(IF(VLOOKUP($F315,Dim_Analyst!$A:$C,3,0)="Yes","Yes","No"),"No"))</f>
        <v/>
      </c>
    </row>
    <row r="316" customFormat="false" ht="15" hidden="false" customHeight="true" outlineLevel="0" collapsed="false">
      <c r="G316" s="4" t="str">
        <f aca="false">IF($D316="","",$A316&amp;"|"&amp;$B316&amp;"|"&amp;$C316&amp;"|"&amp;$D316)</f>
        <v/>
      </c>
      <c r="H316" s="4" t="str">
        <f aca="false">IF($D316="","",$G316&amp;"|"&amp;TEXT($E316,"0.000000"))</f>
        <v/>
      </c>
      <c r="I316" s="29" t="str">
        <f aca="false">IF($D316="","",IF(ISNUMBER($E316),FLOOR(($E316-$B316)*24,1),""))</f>
        <v/>
      </c>
      <c r="J316" s="10" t="str">
        <f aca="false">IF($D316="","",IFERROR(IF(VLOOKUP($F316,Dim_Analyst!$A:$C,3,0)="Yes","Yes","No"),"No"))</f>
        <v/>
      </c>
    </row>
    <row r="317" customFormat="false" ht="15" hidden="false" customHeight="true" outlineLevel="0" collapsed="false">
      <c r="G317" s="4" t="str">
        <f aca="false">IF($D317="","",$A317&amp;"|"&amp;$B317&amp;"|"&amp;$C317&amp;"|"&amp;$D317)</f>
        <v/>
      </c>
      <c r="H317" s="4" t="str">
        <f aca="false">IF($D317="","",$G317&amp;"|"&amp;TEXT($E317,"0.000000"))</f>
        <v/>
      </c>
      <c r="I317" s="29" t="str">
        <f aca="false">IF($D317="","",IF(ISNUMBER($E317),FLOOR(($E317-$B317)*24,1),""))</f>
        <v/>
      </c>
      <c r="J317" s="10" t="str">
        <f aca="false">IF($D317="","",IFERROR(IF(VLOOKUP($F317,Dim_Analyst!$A:$C,3,0)="Yes","Yes","No"),"No"))</f>
        <v/>
      </c>
    </row>
    <row r="318" customFormat="false" ht="15" hidden="false" customHeight="true" outlineLevel="0" collapsed="false">
      <c r="G318" s="4" t="str">
        <f aca="false">IF($D318="","",$A318&amp;"|"&amp;$B318&amp;"|"&amp;$C318&amp;"|"&amp;$D318)</f>
        <v/>
      </c>
      <c r="H318" s="4" t="str">
        <f aca="false">IF($D318="","",$G318&amp;"|"&amp;TEXT($E318,"0.000000"))</f>
        <v/>
      </c>
      <c r="I318" s="29" t="str">
        <f aca="false">IF($D318="","",IF(ISNUMBER($E318),FLOOR(($E318-$B318)*24,1),""))</f>
        <v/>
      </c>
      <c r="J318" s="10" t="str">
        <f aca="false">IF($D318="","",IFERROR(IF(VLOOKUP($F318,Dim_Analyst!$A:$C,3,0)="Yes","Yes","No"),"No"))</f>
        <v/>
      </c>
    </row>
    <row r="319" customFormat="false" ht="15" hidden="false" customHeight="true" outlineLevel="0" collapsed="false">
      <c r="G319" s="4" t="str">
        <f aca="false">IF($D319="","",$A319&amp;"|"&amp;$B319&amp;"|"&amp;$C319&amp;"|"&amp;$D319)</f>
        <v/>
      </c>
      <c r="H319" s="4" t="str">
        <f aca="false">IF($D319="","",$G319&amp;"|"&amp;TEXT($E319,"0.000000"))</f>
        <v/>
      </c>
      <c r="I319" s="29" t="str">
        <f aca="false">IF($D319="","",IF(ISNUMBER($E319),FLOOR(($E319-$B319)*24,1),""))</f>
        <v/>
      </c>
      <c r="J319" s="10" t="str">
        <f aca="false">IF($D319="","",IFERROR(IF(VLOOKUP($F319,Dim_Analyst!$A:$C,3,0)="Yes","Yes","No"),"No"))</f>
        <v/>
      </c>
    </row>
    <row r="320" customFormat="false" ht="15" hidden="false" customHeight="true" outlineLevel="0" collapsed="false">
      <c r="G320" s="4" t="str">
        <f aca="false">IF($D320="","",$A320&amp;"|"&amp;$B320&amp;"|"&amp;$C320&amp;"|"&amp;$D320)</f>
        <v/>
      </c>
      <c r="H320" s="4" t="str">
        <f aca="false">IF($D320="","",$G320&amp;"|"&amp;TEXT($E320,"0.000000"))</f>
        <v/>
      </c>
      <c r="I320" s="29" t="str">
        <f aca="false">IF($D320="","",IF(ISNUMBER($E320),FLOOR(($E320-$B320)*24,1),""))</f>
        <v/>
      </c>
      <c r="J320" s="10" t="str">
        <f aca="false">IF($D320="","",IFERROR(IF(VLOOKUP($F320,Dim_Analyst!$A:$C,3,0)="Yes","Yes","No"),"No"))</f>
        <v/>
      </c>
    </row>
    <row r="321" customFormat="false" ht="15" hidden="false" customHeight="true" outlineLevel="0" collapsed="false">
      <c r="G321" s="4" t="str">
        <f aca="false">IF($D321="","",$A321&amp;"|"&amp;$B321&amp;"|"&amp;$C321&amp;"|"&amp;$D321)</f>
        <v/>
      </c>
      <c r="H321" s="4" t="str">
        <f aca="false">IF($D321="","",$G321&amp;"|"&amp;TEXT($E321,"0.000000"))</f>
        <v/>
      </c>
      <c r="I321" s="29" t="str">
        <f aca="false">IF($D321="","",IF(ISNUMBER($E321),FLOOR(($E321-$B321)*24,1),""))</f>
        <v/>
      </c>
      <c r="J321" s="10" t="str">
        <f aca="false">IF($D321="","",IFERROR(IF(VLOOKUP($F321,Dim_Analyst!$A:$C,3,0)="Yes","Yes","No"),"No"))</f>
        <v/>
      </c>
    </row>
    <row r="322" customFormat="false" ht="15" hidden="false" customHeight="true" outlineLevel="0" collapsed="false">
      <c r="G322" s="4" t="str">
        <f aca="false">IF($D322="","",$A322&amp;"|"&amp;$B322&amp;"|"&amp;$C322&amp;"|"&amp;$D322)</f>
        <v/>
      </c>
      <c r="H322" s="4" t="str">
        <f aca="false">IF($D322="","",$G322&amp;"|"&amp;TEXT($E322,"0.000000"))</f>
        <v/>
      </c>
      <c r="I322" s="29" t="str">
        <f aca="false">IF($D322="","",IF(ISNUMBER($E322),FLOOR(($E322-$B322)*24,1),""))</f>
        <v/>
      </c>
      <c r="J322" s="10" t="str">
        <f aca="false">IF($D322="","",IFERROR(IF(VLOOKUP($F322,Dim_Analyst!$A:$C,3,0)="Yes","Yes","No"),"No"))</f>
        <v/>
      </c>
    </row>
    <row r="323" customFormat="false" ht="15" hidden="false" customHeight="true" outlineLevel="0" collapsed="false">
      <c r="G323" s="4" t="str">
        <f aca="false">IF($D323="","",$A323&amp;"|"&amp;$B323&amp;"|"&amp;$C323&amp;"|"&amp;$D323)</f>
        <v/>
      </c>
      <c r="H323" s="4" t="str">
        <f aca="false">IF($D323="","",$G323&amp;"|"&amp;TEXT($E323,"0.000000"))</f>
        <v/>
      </c>
      <c r="I323" s="29" t="str">
        <f aca="false">IF($D323="","",IF(ISNUMBER($E323),FLOOR(($E323-$B323)*24,1),""))</f>
        <v/>
      </c>
      <c r="J323" s="10" t="str">
        <f aca="false">IF($D323="","",IFERROR(IF(VLOOKUP($F323,Dim_Analyst!$A:$C,3,0)="Yes","Yes","No"),"No"))</f>
        <v/>
      </c>
    </row>
    <row r="324" customFormat="false" ht="15" hidden="false" customHeight="true" outlineLevel="0" collapsed="false">
      <c r="G324" s="4" t="str">
        <f aca="false">IF($D324="","",$A324&amp;"|"&amp;$B324&amp;"|"&amp;$C324&amp;"|"&amp;$D324)</f>
        <v/>
      </c>
      <c r="H324" s="4" t="str">
        <f aca="false">IF($D324="","",$G324&amp;"|"&amp;TEXT($E324,"0.000000"))</f>
        <v/>
      </c>
      <c r="I324" s="29" t="str">
        <f aca="false">IF($D324="","",IF(ISNUMBER($E324),FLOOR(($E324-$B324)*24,1),""))</f>
        <v/>
      </c>
      <c r="J324" s="10" t="str">
        <f aca="false">IF($D324="","",IFERROR(IF(VLOOKUP($F324,Dim_Analyst!$A:$C,3,0)="Yes","Yes","No"),"No"))</f>
        <v/>
      </c>
    </row>
    <row r="325" customFormat="false" ht="15" hidden="false" customHeight="true" outlineLevel="0" collapsed="false">
      <c r="G325" s="4" t="str">
        <f aca="false">IF($D325="","",$A325&amp;"|"&amp;$B325&amp;"|"&amp;$C325&amp;"|"&amp;$D325)</f>
        <v/>
      </c>
      <c r="H325" s="4" t="str">
        <f aca="false">IF($D325="","",$G325&amp;"|"&amp;TEXT($E325,"0.000000"))</f>
        <v/>
      </c>
      <c r="I325" s="29" t="str">
        <f aca="false">IF($D325="","",IF(ISNUMBER($E325),FLOOR(($E325-$B325)*24,1),""))</f>
        <v/>
      </c>
      <c r="J325" s="10" t="str">
        <f aca="false">IF($D325="","",IFERROR(IF(VLOOKUP($F325,Dim_Analyst!$A:$C,3,0)="Yes","Yes","No"),"No"))</f>
        <v/>
      </c>
    </row>
    <row r="326" customFormat="false" ht="15" hidden="false" customHeight="true" outlineLevel="0" collapsed="false">
      <c r="G326" s="4" t="str">
        <f aca="false">IF($D326="","",$A326&amp;"|"&amp;$B326&amp;"|"&amp;$C326&amp;"|"&amp;$D326)</f>
        <v/>
      </c>
      <c r="H326" s="4" t="str">
        <f aca="false">IF($D326="","",$G326&amp;"|"&amp;TEXT($E326,"0.000000"))</f>
        <v/>
      </c>
      <c r="I326" s="29" t="str">
        <f aca="false">IF($D326="","",IF(ISNUMBER($E326),FLOOR(($E326-$B326)*24,1),""))</f>
        <v/>
      </c>
      <c r="J326" s="10" t="str">
        <f aca="false">IF($D326="","",IFERROR(IF(VLOOKUP($F326,Dim_Analyst!$A:$C,3,0)="Yes","Yes","No"),"No"))</f>
        <v/>
      </c>
    </row>
    <row r="327" customFormat="false" ht="15" hidden="false" customHeight="true" outlineLevel="0" collapsed="false">
      <c r="G327" s="4" t="str">
        <f aca="false">IF($D327="","",$A327&amp;"|"&amp;$B327&amp;"|"&amp;$C327&amp;"|"&amp;$D327)</f>
        <v/>
      </c>
      <c r="H327" s="4" t="str">
        <f aca="false">IF($D327="","",$G327&amp;"|"&amp;TEXT($E327,"0.000000"))</f>
        <v/>
      </c>
      <c r="I327" s="29" t="str">
        <f aca="false">IF($D327="","",IF(ISNUMBER($E327),FLOOR(($E327-$B327)*24,1),""))</f>
        <v/>
      </c>
      <c r="J327" s="10" t="str">
        <f aca="false">IF($D327="","",IFERROR(IF(VLOOKUP($F327,Dim_Analyst!$A:$C,3,0)="Yes","Yes","No"),"No"))</f>
        <v/>
      </c>
    </row>
    <row r="328" customFormat="false" ht="15" hidden="false" customHeight="true" outlineLevel="0" collapsed="false">
      <c r="G328" s="4" t="str">
        <f aca="false">IF($D328="","",$A328&amp;"|"&amp;$B328&amp;"|"&amp;$C328&amp;"|"&amp;$D328)</f>
        <v/>
      </c>
      <c r="H328" s="4" t="str">
        <f aca="false">IF($D328="","",$G328&amp;"|"&amp;TEXT($E328,"0.000000"))</f>
        <v/>
      </c>
      <c r="I328" s="29" t="str">
        <f aca="false">IF($D328="","",IF(ISNUMBER($E328),FLOOR(($E328-$B328)*24,1),""))</f>
        <v/>
      </c>
      <c r="J328" s="10" t="str">
        <f aca="false">IF($D328="","",IFERROR(IF(VLOOKUP($F328,Dim_Analyst!$A:$C,3,0)="Yes","Yes","No"),"No"))</f>
        <v/>
      </c>
    </row>
    <row r="329" customFormat="false" ht="15" hidden="false" customHeight="true" outlineLevel="0" collapsed="false">
      <c r="G329" s="4" t="str">
        <f aca="false">IF($D329="","",$A329&amp;"|"&amp;$B329&amp;"|"&amp;$C329&amp;"|"&amp;$D329)</f>
        <v/>
      </c>
      <c r="H329" s="4" t="str">
        <f aca="false">IF($D329="","",$G329&amp;"|"&amp;TEXT($E329,"0.000000"))</f>
        <v/>
      </c>
      <c r="I329" s="29" t="str">
        <f aca="false">IF($D329="","",IF(ISNUMBER($E329),FLOOR(($E329-$B329)*24,1),""))</f>
        <v/>
      </c>
      <c r="J329" s="10" t="str">
        <f aca="false">IF($D329="","",IFERROR(IF(VLOOKUP($F329,Dim_Analyst!$A:$C,3,0)="Yes","Yes","No"),"No"))</f>
        <v/>
      </c>
    </row>
    <row r="330" customFormat="false" ht="15" hidden="false" customHeight="true" outlineLevel="0" collapsed="false">
      <c r="G330" s="4" t="str">
        <f aca="false">IF($D330="","",$A330&amp;"|"&amp;$B330&amp;"|"&amp;$C330&amp;"|"&amp;$D330)</f>
        <v/>
      </c>
      <c r="H330" s="4" t="str">
        <f aca="false">IF($D330="","",$G330&amp;"|"&amp;TEXT($E330,"0.000000"))</f>
        <v/>
      </c>
      <c r="I330" s="29" t="str">
        <f aca="false">IF($D330="","",IF(ISNUMBER($E330),FLOOR(($E330-$B330)*24,1),""))</f>
        <v/>
      </c>
      <c r="J330" s="10" t="str">
        <f aca="false">IF($D330="","",IFERROR(IF(VLOOKUP($F330,Dim_Analyst!$A:$C,3,0)="Yes","Yes","No"),"No"))</f>
        <v/>
      </c>
    </row>
    <row r="331" customFormat="false" ht="15" hidden="false" customHeight="true" outlineLevel="0" collapsed="false">
      <c r="G331" s="4" t="str">
        <f aca="false">IF($D331="","",$A331&amp;"|"&amp;$B331&amp;"|"&amp;$C331&amp;"|"&amp;$D331)</f>
        <v/>
      </c>
      <c r="H331" s="4" t="str">
        <f aca="false">IF($D331="","",$G331&amp;"|"&amp;TEXT($E331,"0.000000"))</f>
        <v/>
      </c>
      <c r="I331" s="29" t="str">
        <f aca="false">IF($D331="","",IF(ISNUMBER($E331),FLOOR(($E331-$B331)*24,1),""))</f>
        <v/>
      </c>
      <c r="J331" s="10" t="str">
        <f aca="false">IF($D331="","",IFERROR(IF(VLOOKUP($F331,Dim_Analyst!$A:$C,3,0)="Yes","Yes","No"),"No"))</f>
        <v/>
      </c>
    </row>
    <row r="332" customFormat="false" ht="15" hidden="false" customHeight="true" outlineLevel="0" collapsed="false">
      <c r="G332" s="4" t="str">
        <f aca="false">IF($D332="","",$A332&amp;"|"&amp;$B332&amp;"|"&amp;$C332&amp;"|"&amp;$D332)</f>
        <v/>
      </c>
      <c r="H332" s="4" t="str">
        <f aca="false">IF($D332="","",$G332&amp;"|"&amp;TEXT($E332,"0.000000"))</f>
        <v/>
      </c>
      <c r="I332" s="29" t="str">
        <f aca="false">IF($D332="","",IF(ISNUMBER($E332),FLOOR(($E332-$B332)*24,1),""))</f>
        <v/>
      </c>
      <c r="J332" s="10" t="str">
        <f aca="false">IF($D332="","",IFERROR(IF(VLOOKUP($F332,Dim_Analyst!$A:$C,3,0)="Yes","Yes","No"),"No"))</f>
        <v/>
      </c>
    </row>
    <row r="333" customFormat="false" ht="15" hidden="false" customHeight="true" outlineLevel="0" collapsed="false">
      <c r="G333" s="4" t="str">
        <f aca="false">IF($D333="","",$A333&amp;"|"&amp;$B333&amp;"|"&amp;$C333&amp;"|"&amp;$D333)</f>
        <v/>
      </c>
      <c r="H333" s="4" t="str">
        <f aca="false">IF($D333="","",$G333&amp;"|"&amp;TEXT($E333,"0.000000"))</f>
        <v/>
      </c>
      <c r="I333" s="29" t="str">
        <f aca="false">IF($D333="","",IF(ISNUMBER($E333),FLOOR(($E333-$B333)*24,1),""))</f>
        <v/>
      </c>
      <c r="J333" s="10" t="str">
        <f aca="false">IF($D333="","",IFERROR(IF(VLOOKUP($F333,Dim_Analyst!$A:$C,3,0)="Yes","Yes","No"),"No"))</f>
        <v/>
      </c>
    </row>
    <row r="334" customFormat="false" ht="15" hidden="false" customHeight="true" outlineLevel="0" collapsed="false">
      <c r="G334" s="4" t="str">
        <f aca="false">IF($D334="","",$A334&amp;"|"&amp;$B334&amp;"|"&amp;$C334&amp;"|"&amp;$D334)</f>
        <v/>
      </c>
      <c r="H334" s="4" t="str">
        <f aca="false">IF($D334="","",$G334&amp;"|"&amp;TEXT($E334,"0.000000"))</f>
        <v/>
      </c>
      <c r="I334" s="29" t="str">
        <f aca="false">IF($D334="","",IF(ISNUMBER($E334),FLOOR(($E334-$B334)*24,1),""))</f>
        <v/>
      </c>
      <c r="J334" s="10" t="str">
        <f aca="false">IF($D334="","",IFERROR(IF(VLOOKUP($F334,Dim_Analyst!$A:$C,3,0)="Yes","Yes","No"),"No"))</f>
        <v/>
      </c>
    </row>
    <row r="335" customFormat="false" ht="15" hidden="false" customHeight="true" outlineLevel="0" collapsed="false">
      <c r="G335" s="4" t="str">
        <f aca="false">IF($D335="","",$A335&amp;"|"&amp;$B335&amp;"|"&amp;$C335&amp;"|"&amp;$D335)</f>
        <v/>
      </c>
      <c r="H335" s="4" t="str">
        <f aca="false">IF($D335="","",$G335&amp;"|"&amp;TEXT($E335,"0.000000"))</f>
        <v/>
      </c>
      <c r="I335" s="29" t="str">
        <f aca="false">IF($D335="","",IF(ISNUMBER($E335),FLOOR(($E335-$B335)*24,1),""))</f>
        <v/>
      </c>
      <c r="J335" s="10" t="str">
        <f aca="false">IF($D335="","",IFERROR(IF(VLOOKUP($F335,Dim_Analyst!$A:$C,3,0)="Yes","Yes","No"),"No"))</f>
        <v/>
      </c>
    </row>
    <row r="336" customFormat="false" ht="15" hidden="false" customHeight="true" outlineLevel="0" collapsed="false">
      <c r="G336" s="4" t="str">
        <f aca="false">IF($D336="","",$A336&amp;"|"&amp;$B336&amp;"|"&amp;$C336&amp;"|"&amp;$D336)</f>
        <v/>
      </c>
      <c r="H336" s="4" t="str">
        <f aca="false">IF($D336="","",$G336&amp;"|"&amp;TEXT($E336,"0.000000"))</f>
        <v/>
      </c>
      <c r="I336" s="29" t="str">
        <f aca="false">IF($D336="","",IF(ISNUMBER($E336),FLOOR(($E336-$B336)*24,1),""))</f>
        <v/>
      </c>
      <c r="J336" s="10" t="str">
        <f aca="false">IF($D336="","",IFERROR(IF(VLOOKUP($F336,Dim_Analyst!$A:$C,3,0)="Yes","Yes","No"),"No"))</f>
        <v/>
      </c>
    </row>
    <row r="337" customFormat="false" ht="15" hidden="false" customHeight="true" outlineLevel="0" collapsed="false">
      <c r="G337" s="4" t="str">
        <f aca="false">IF($D337="","",$A337&amp;"|"&amp;$B337&amp;"|"&amp;$C337&amp;"|"&amp;$D337)</f>
        <v/>
      </c>
      <c r="H337" s="4" t="str">
        <f aca="false">IF($D337="","",$G337&amp;"|"&amp;TEXT($E337,"0.000000"))</f>
        <v/>
      </c>
      <c r="I337" s="29" t="str">
        <f aca="false">IF($D337="","",IF(ISNUMBER($E337),FLOOR(($E337-$B337)*24,1),""))</f>
        <v/>
      </c>
      <c r="J337" s="10" t="str">
        <f aca="false">IF($D337="","",IFERROR(IF(VLOOKUP($F337,Dim_Analyst!$A:$C,3,0)="Yes","Yes","No"),"No"))</f>
        <v/>
      </c>
    </row>
    <row r="338" customFormat="false" ht="15" hidden="false" customHeight="true" outlineLevel="0" collapsed="false">
      <c r="G338" s="4" t="str">
        <f aca="false">IF($D338="","",$A338&amp;"|"&amp;$B338&amp;"|"&amp;$C338&amp;"|"&amp;$D338)</f>
        <v/>
      </c>
      <c r="H338" s="4" t="str">
        <f aca="false">IF($D338="","",$G338&amp;"|"&amp;TEXT($E338,"0.000000"))</f>
        <v/>
      </c>
      <c r="I338" s="29" t="str">
        <f aca="false">IF($D338="","",IF(ISNUMBER($E338),FLOOR(($E338-$B338)*24,1),""))</f>
        <v/>
      </c>
      <c r="J338" s="10" t="str">
        <f aca="false">IF($D338="","",IFERROR(IF(VLOOKUP($F338,Dim_Analyst!$A:$C,3,0)="Yes","Yes","No"),"No"))</f>
        <v/>
      </c>
    </row>
    <row r="339" customFormat="false" ht="15" hidden="false" customHeight="true" outlineLevel="0" collapsed="false">
      <c r="G339" s="4" t="str">
        <f aca="false">IF($D339="","",$A339&amp;"|"&amp;$B339&amp;"|"&amp;$C339&amp;"|"&amp;$D339)</f>
        <v/>
      </c>
      <c r="H339" s="4" t="str">
        <f aca="false">IF($D339="","",$G339&amp;"|"&amp;TEXT($E339,"0.000000"))</f>
        <v/>
      </c>
      <c r="I339" s="29" t="str">
        <f aca="false">IF($D339="","",IF(ISNUMBER($E339),FLOOR(($E339-$B339)*24,1),""))</f>
        <v/>
      </c>
      <c r="J339" s="10" t="str">
        <f aca="false">IF($D339="","",IFERROR(IF(VLOOKUP($F339,Dim_Analyst!$A:$C,3,0)="Yes","Yes","No"),"No"))</f>
        <v/>
      </c>
    </row>
    <row r="340" customFormat="false" ht="15" hidden="false" customHeight="true" outlineLevel="0" collapsed="false">
      <c r="G340" s="4" t="str">
        <f aca="false">IF($D340="","",$A340&amp;"|"&amp;$B340&amp;"|"&amp;$C340&amp;"|"&amp;$D340)</f>
        <v/>
      </c>
      <c r="H340" s="4" t="str">
        <f aca="false">IF($D340="","",$G340&amp;"|"&amp;TEXT($E340,"0.000000"))</f>
        <v/>
      </c>
      <c r="I340" s="29" t="str">
        <f aca="false">IF($D340="","",IF(ISNUMBER($E340),FLOOR(($E340-$B340)*24,1),""))</f>
        <v/>
      </c>
      <c r="J340" s="10" t="str">
        <f aca="false">IF($D340="","",IFERROR(IF(VLOOKUP($F340,Dim_Analyst!$A:$C,3,0)="Yes","Yes","No"),"No"))</f>
        <v/>
      </c>
    </row>
    <row r="341" customFormat="false" ht="15" hidden="false" customHeight="true" outlineLevel="0" collapsed="false">
      <c r="G341" s="4" t="str">
        <f aca="false">IF($D341="","",$A341&amp;"|"&amp;$B341&amp;"|"&amp;$C341&amp;"|"&amp;$D341)</f>
        <v/>
      </c>
      <c r="H341" s="4" t="str">
        <f aca="false">IF($D341="","",$G341&amp;"|"&amp;TEXT($E341,"0.000000"))</f>
        <v/>
      </c>
      <c r="I341" s="29" t="str">
        <f aca="false">IF($D341="","",IF(ISNUMBER($E341),FLOOR(($E341-$B341)*24,1),""))</f>
        <v/>
      </c>
      <c r="J341" s="10" t="str">
        <f aca="false">IF($D341="","",IFERROR(IF(VLOOKUP($F341,Dim_Analyst!$A:$C,3,0)="Yes","Yes","No"),"No"))</f>
        <v/>
      </c>
    </row>
    <row r="342" customFormat="false" ht="15" hidden="false" customHeight="true" outlineLevel="0" collapsed="false">
      <c r="G342" s="4" t="str">
        <f aca="false">IF($D342="","",$A342&amp;"|"&amp;$B342&amp;"|"&amp;$C342&amp;"|"&amp;$D342)</f>
        <v/>
      </c>
      <c r="H342" s="4" t="str">
        <f aca="false">IF($D342="","",$G342&amp;"|"&amp;TEXT($E342,"0.000000"))</f>
        <v/>
      </c>
      <c r="I342" s="29" t="str">
        <f aca="false">IF($D342="","",IF(ISNUMBER($E342),FLOOR(($E342-$B342)*24,1),""))</f>
        <v/>
      </c>
      <c r="J342" s="10" t="str">
        <f aca="false">IF($D342="","",IFERROR(IF(VLOOKUP($F342,Dim_Analyst!$A:$C,3,0)="Yes","Yes","No"),"No"))</f>
        <v/>
      </c>
    </row>
    <row r="343" customFormat="false" ht="15" hidden="false" customHeight="true" outlineLevel="0" collapsed="false">
      <c r="G343" s="4" t="str">
        <f aca="false">IF($D343="","",$A343&amp;"|"&amp;$B343&amp;"|"&amp;$C343&amp;"|"&amp;$D343)</f>
        <v/>
      </c>
      <c r="H343" s="4" t="str">
        <f aca="false">IF($D343="","",$G343&amp;"|"&amp;TEXT($E343,"0.000000"))</f>
        <v/>
      </c>
      <c r="I343" s="29" t="str">
        <f aca="false">IF($D343="","",IF(ISNUMBER($E343),FLOOR(($E343-$B343)*24,1),""))</f>
        <v/>
      </c>
      <c r="J343" s="10" t="str">
        <f aca="false">IF($D343="","",IFERROR(IF(VLOOKUP($F343,Dim_Analyst!$A:$C,3,0)="Yes","Yes","No"),"No"))</f>
        <v/>
      </c>
    </row>
    <row r="344" customFormat="false" ht="15" hidden="false" customHeight="true" outlineLevel="0" collapsed="false">
      <c r="G344" s="4" t="str">
        <f aca="false">IF($D344="","",$A344&amp;"|"&amp;$B344&amp;"|"&amp;$C344&amp;"|"&amp;$D344)</f>
        <v/>
      </c>
      <c r="H344" s="4" t="str">
        <f aca="false">IF($D344="","",$G344&amp;"|"&amp;TEXT($E344,"0.000000"))</f>
        <v/>
      </c>
      <c r="I344" s="29" t="str">
        <f aca="false">IF($D344="","",IF(ISNUMBER($E344),FLOOR(($E344-$B344)*24,1),""))</f>
        <v/>
      </c>
      <c r="J344" s="10" t="str">
        <f aca="false">IF($D344="","",IFERROR(IF(VLOOKUP($F344,Dim_Analyst!$A:$C,3,0)="Yes","Yes","No"),"No"))</f>
        <v/>
      </c>
    </row>
    <row r="345" customFormat="false" ht="15" hidden="false" customHeight="true" outlineLevel="0" collapsed="false">
      <c r="G345" s="4" t="str">
        <f aca="false">IF($D345="","",$A345&amp;"|"&amp;$B345&amp;"|"&amp;$C345&amp;"|"&amp;$D345)</f>
        <v/>
      </c>
      <c r="H345" s="4" t="str">
        <f aca="false">IF($D345="","",$G345&amp;"|"&amp;TEXT($E345,"0.000000"))</f>
        <v/>
      </c>
      <c r="I345" s="29" t="str">
        <f aca="false">IF($D345="","",IF(ISNUMBER($E345),FLOOR(($E345-$B345)*24,1),""))</f>
        <v/>
      </c>
      <c r="J345" s="10" t="str">
        <f aca="false">IF($D345="","",IFERROR(IF(VLOOKUP($F345,Dim_Analyst!$A:$C,3,0)="Yes","Yes","No"),"No"))</f>
        <v/>
      </c>
    </row>
    <row r="346" customFormat="false" ht="15" hidden="false" customHeight="true" outlineLevel="0" collapsed="false">
      <c r="G346" s="4" t="str">
        <f aca="false">IF($D346="","",$A346&amp;"|"&amp;$B346&amp;"|"&amp;$C346&amp;"|"&amp;$D346)</f>
        <v/>
      </c>
      <c r="H346" s="4" t="str">
        <f aca="false">IF($D346="","",$G346&amp;"|"&amp;TEXT($E346,"0.000000"))</f>
        <v/>
      </c>
      <c r="I346" s="29" t="str">
        <f aca="false">IF($D346="","",IF(ISNUMBER($E346),FLOOR(($E346-$B346)*24,1),""))</f>
        <v/>
      </c>
      <c r="J346" s="10" t="str">
        <f aca="false">IF($D346="","",IFERROR(IF(VLOOKUP($F346,Dim_Analyst!$A:$C,3,0)="Yes","Yes","No"),"No"))</f>
        <v/>
      </c>
    </row>
    <row r="347" customFormat="false" ht="15" hidden="false" customHeight="true" outlineLevel="0" collapsed="false">
      <c r="G347" s="4" t="str">
        <f aca="false">IF($D347="","",$A347&amp;"|"&amp;$B347&amp;"|"&amp;$C347&amp;"|"&amp;$D347)</f>
        <v/>
      </c>
      <c r="H347" s="4" t="str">
        <f aca="false">IF($D347="","",$G347&amp;"|"&amp;TEXT($E347,"0.000000"))</f>
        <v/>
      </c>
      <c r="I347" s="29" t="str">
        <f aca="false">IF($D347="","",IF(ISNUMBER($E347),FLOOR(($E347-$B347)*24,1),""))</f>
        <v/>
      </c>
      <c r="J347" s="10" t="str">
        <f aca="false">IF($D347="","",IFERROR(IF(VLOOKUP($F347,Dim_Analyst!$A:$C,3,0)="Yes","Yes","No"),"No"))</f>
        <v/>
      </c>
    </row>
    <row r="348" customFormat="false" ht="15" hidden="false" customHeight="true" outlineLevel="0" collapsed="false">
      <c r="G348" s="4" t="str">
        <f aca="false">IF($D348="","",$A348&amp;"|"&amp;$B348&amp;"|"&amp;$C348&amp;"|"&amp;$D348)</f>
        <v/>
      </c>
      <c r="H348" s="4" t="str">
        <f aca="false">IF($D348="","",$G348&amp;"|"&amp;TEXT($E348,"0.000000"))</f>
        <v/>
      </c>
      <c r="I348" s="29" t="str">
        <f aca="false">IF($D348="","",IF(ISNUMBER($E348),FLOOR(($E348-$B348)*24,1),""))</f>
        <v/>
      </c>
      <c r="J348" s="10" t="str">
        <f aca="false">IF($D348="","",IFERROR(IF(VLOOKUP($F348,Dim_Analyst!$A:$C,3,0)="Yes","Yes","No"),"No"))</f>
        <v/>
      </c>
    </row>
    <row r="349" customFormat="false" ht="15" hidden="false" customHeight="true" outlineLevel="0" collapsed="false">
      <c r="G349" s="4" t="str">
        <f aca="false">IF($D349="","",$A349&amp;"|"&amp;$B349&amp;"|"&amp;$C349&amp;"|"&amp;$D349)</f>
        <v/>
      </c>
      <c r="H349" s="4" t="str">
        <f aca="false">IF($D349="","",$G349&amp;"|"&amp;TEXT($E349,"0.000000"))</f>
        <v/>
      </c>
      <c r="I349" s="29" t="str">
        <f aca="false">IF($D349="","",IF(ISNUMBER($E349),FLOOR(($E349-$B349)*24,1),""))</f>
        <v/>
      </c>
      <c r="J349" s="10" t="str">
        <f aca="false">IF($D349="","",IFERROR(IF(VLOOKUP($F349,Dim_Analyst!$A:$C,3,0)="Yes","Yes","No"),"No"))</f>
        <v/>
      </c>
    </row>
    <row r="350" customFormat="false" ht="15" hidden="false" customHeight="true" outlineLevel="0" collapsed="false">
      <c r="G350" s="4" t="str">
        <f aca="false">IF($D350="","",$A350&amp;"|"&amp;$B350&amp;"|"&amp;$C350&amp;"|"&amp;$D350)</f>
        <v/>
      </c>
      <c r="H350" s="4" t="str">
        <f aca="false">IF($D350="","",$G350&amp;"|"&amp;TEXT($E350,"0.000000"))</f>
        <v/>
      </c>
      <c r="I350" s="29" t="str">
        <f aca="false">IF($D350="","",IF(ISNUMBER($E350),FLOOR(($E350-$B350)*24,1),""))</f>
        <v/>
      </c>
      <c r="J350" s="10" t="str">
        <f aca="false">IF($D350="","",IFERROR(IF(VLOOKUP($F350,Dim_Analyst!$A:$C,3,0)="Yes","Yes","No"),"No"))</f>
        <v/>
      </c>
    </row>
    <row r="351" customFormat="false" ht="15" hidden="false" customHeight="true" outlineLevel="0" collapsed="false">
      <c r="G351" s="4" t="str">
        <f aca="false">IF($D351="","",$A351&amp;"|"&amp;$B351&amp;"|"&amp;$C351&amp;"|"&amp;$D351)</f>
        <v/>
      </c>
      <c r="H351" s="4" t="str">
        <f aca="false">IF($D351="","",$G351&amp;"|"&amp;TEXT($E351,"0.000000"))</f>
        <v/>
      </c>
      <c r="I351" s="29" t="str">
        <f aca="false">IF($D351="","",IF(ISNUMBER($E351),FLOOR(($E351-$B351)*24,1),""))</f>
        <v/>
      </c>
      <c r="J351" s="10" t="str">
        <f aca="false">IF($D351="","",IFERROR(IF(VLOOKUP($F351,Dim_Analyst!$A:$C,3,0)="Yes","Yes","No"),"No"))</f>
        <v/>
      </c>
    </row>
    <row r="352" customFormat="false" ht="15" hidden="false" customHeight="true" outlineLevel="0" collapsed="false">
      <c r="G352" s="4" t="str">
        <f aca="false">IF($D352="","",$A352&amp;"|"&amp;$B352&amp;"|"&amp;$C352&amp;"|"&amp;$D352)</f>
        <v/>
      </c>
      <c r="H352" s="4" t="str">
        <f aca="false">IF($D352="","",$G352&amp;"|"&amp;TEXT($E352,"0.000000"))</f>
        <v/>
      </c>
      <c r="I352" s="29" t="str">
        <f aca="false">IF($D352="","",IF(ISNUMBER($E352),FLOOR(($E352-$B352)*24,1),""))</f>
        <v/>
      </c>
      <c r="J352" s="10" t="str">
        <f aca="false">IF($D352="","",IFERROR(IF(VLOOKUP($F352,Dim_Analyst!$A:$C,3,0)="Yes","Yes","No"),"No"))</f>
        <v/>
      </c>
    </row>
    <row r="353" customFormat="false" ht="15" hidden="false" customHeight="true" outlineLevel="0" collapsed="false">
      <c r="G353" s="4" t="str">
        <f aca="false">IF($D353="","",$A353&amp;"|"&amp;$B353&amp;"|"&amp;$C353&amp;"|"&amp;$D353)</f>
        <v/>
      </c>
      <c r="H353" s="4" t="str">
        <f aca="false">IF($D353="","",$G353&amp;"|"&amp;TEXT($E353,"0.000000"))</f>
        <v/>
      </c>
      <c r="I353" s="29" t="str">
        <f aca="false">IF($D353="","",IF(ISNUMBER($E353),FLOOR(($E353-$B353)*24,1),""))</f>
        <v/>
      </c>
      <c r="J353" s="10" t="str">
        <f aca="false">IF($D353="","",IFERROR(IF(VLOOKUP($F353,Dim_Analyst!$A:$C,3,0)="Yes","Yes","No"),"No"))</f>
        <v/>
      </c>
    </row>
    <row r="354" customFormat="false" ht="15" hidden="false" customHeight="true" outlineLevel="0" collapsed="false">
      <c r="G354" s="4" t="str">
        <f aca="false">IF($D354="","",$A354&amp;"|"&amp;$B354&amp;"|"&amp;$C354&amp;"|"&amp;$D354)</f>
        <v/>
      </c>
      <c r="H354" s="4" t="str">
        <f aca="false">IF($D354="","",$G354&amp;"|"&amp;TEXT($E354,"0.000000"))</f>
        <v/>
      </c>
      <c r="I354" s="29" t="str">
        <f aca="false">IF($D354="","",IF(ISNUMBER($E354),FLOOR(($E354-$B354)*24,1),""))</f>
        <v/>
      </c>
      <c r="J354" s="10" t="str">
        <f aca="false">IF($D354="","",IFERROR(IF(VLOOKUP($F354,Dim_Analyst!$A:$C,3,0)="Yes","Yes","No"),"No"))</f>
        <v/>
      </c>
    </row>
    <row r="355" customFormat="false" ht="15" hidden="false" customHeight="true" outlineLevel="0" collapsed="false">
      <c r="G355" s="4" t="str">
        <f aca="false">IF($D355="","",$A355&amp;"|"&amp;$B355&amp;"|"&amp;$C355&amp;"|"&amp;$D355)</f>
        <v/>
      </c>
      <c r="H355" s="4" t="str">
        <f aca="false">IF($D355="","",$G355&amp;"|"&amp;TEXT($E355,"0.000000"))</f>
        <v/>
      </c>
      <c r="I355" s="29" t="str">
        <f aca="false">IF($D355="","",IF(ISNUMBER($E355),FLOOR(($E355-$B355)*24,1),""))</f>
        <v/>
      </c>
      <c r="J355" s="10" t="str">
        <f aca="false">IF($D355="","",IFERROR(IF(VLOOKUP($F355,Dim_Analyst!$A:$C,3,0)="Yes","Yes","No"),"No"))</f>
        <v/>
      </c>
    </row>
    <row r="356" customFormat="false" ht="15" hidden="false" customHeight="true" outlineLevel="0" collapsed="false">
      <c r="G356" s="4" t="str">
        <f aca="false">IF($D356="","",$A356&amp;"|"&amp;$B356&amp;"|"&amp;$C356&amp;"|"&amp;$D356)</f>
        <v/>
      </c>
      <c r="H356" s="4" t="str">
        <f aca="false">IF($D356="","",$G356&amp;"|"&amp;TEXT($E356,"0.000000"))</f>
        <v/>
      </c>
      <c r="I356" s="29" t="str">
        <f aca="false">IF($D356="","",IF(ISNUMBER($E356),FLOOR(($E356-$B356)*24,1),""))</f>
        <v/>
      </c>
      <c r="J356" s="10" t="str">
        <f aca="false">IF($D356="","",IFERROR(IF(VLOOKUP($F356,Dim_Analyst!$A:$C,3,0)="Yes","Yes","No"),"No"))</f>
        <v/>
      </c>
    </row>
    <row r="357" customFormat="false" ht="15" hidden="false" customHeight="true" outlineLevel="0" collapsed="false">
      <c r="G357" s="4" t="str">
        <f aca="false">IF($D357="","",$A357&amp;"|"&amp;$B357&amp;"|"&amp;$C357&amp;"|"&amp;$D357)</f>
        <v/>
      </c>
      <c r="H357" s="4" t="str">
        <f aca="false">IF($D357="","",$G357&amp;"|"&amp;TEXT($E357,"0.000000"))</f>
        <v/>
      </c>
      <c r="I357" s="29" t="str">
        <f aca="false">IF($D357="","",IF(ISNUMBER($E357),FLOOR(($E357-$B357)*24,1),""))</f>
        <v/>
      </c>
      <c r="J357" s="10" t="str">
        <f aca="false">IF($D357="","",IFERROR(IF(VLOOKUP($F357,Dim_Analyst!$A:$C,3,0)="Yes","Yes","No"),"No"))</f>
        <v/>
      </c>
    </row>
    <row r="358" customFormat="false" ht="15" hidden="false" customHeight="true" outlineLevel="0" collapsed="false">
      <c r="G358" s="4" t="str">
        <f aca="false">IF($D358="","",$A358&amp;"|"&amp;$B358&amp;"|"&amp;$C358&amp;"|"&amp;$D358)</f>
        <v/>
      </c>
      <c r="H358" s="4" t="str">
        <f aca="false">IF($D358="","",$G358&amp;"|"&amp;TEXT($E358,"0.000000"))</f>
        <v/>
      </c>
      <c r="I358" s="29" t="str">
        <f aca="false">IF($D358="","",IF(ISNUMBER($E358),FLOOR(($E358-$B358)*24,1),""))</f>
        <v/>
      </c>
      <c r="J358" s="10" t="str">
        <f aca="false">IF($D358="","",IFERROR(IF(VLOOKUP($F358,Dim_Analyst!$A:$C,3,0)="Yes","Yes","No"),"No"))</f>
        <v/>
      </c>
    </row>
    <row r="359" customFormat="false" ht="15" hidden="false" customHeight="true" outlineLevel="0" collapsed="false">
      <c r="G359" s="4" t="str">
        <f aca="false">IF($D359="","",$A359&amp;"|"&amp;$B359&amp;"|"&amp;$C359&amp;"|"&amp;$D359)</f>
        <v/>
      </c>
      <c r="H359" s="4" t="str">
        <f aca="false">IF($D359="","",$G359&amp;"|"&amp;TEXT($E359,"0.000000"))</f>
        <v/>
      </c>
      <c r="I359" s="29" t="str">
        <f aca="false">IF($D359="","",IF(ISNUMBER($E359),FLOOR(($E359-$B359)*24,1),""))</f>
        <v/>
      </c>
      <c r="J359" s="10" t="str">
        <f aca="false">IF($D359="","",IFERROR(IF(VLOOKUP($F359,Dim_Analyst!$A:$C,3,0)="Yes","Yes","No"),"No"))</f>
        <v/>
      </c>
    </row>
    <row r="360" customFormat="false" ht="15" hidden="false" customHeight="true" outlineLevel="0" collapsed="false">
      <c r="G360" s="4" t="str">
        <f aca="false">IF($D360="","",$A360&amp;"|"&amp;$B360&amp;"|"&amp;$C360&amp;"|"&amp;$D360)</f>
        <v/>
      </c>
      <c r="H360" s="4" t="str">
        <f aca="false">IF($D360="","",$G360&amp;"|"&amp;TEXT($E360,"0.000000"))</f>
        <v/>
      </c>
      <c r="I360" s="29" t="str">
        <f aca="false">IF($D360="","",IF(ISNUMBER($E360),FLOOR(($E360-$B360)*24,1),""))</f>
        <v/>
      </c>
      <c r="J360" s="10" t="str">
        <f aca="false">IF($D360="","",IFERROR(IF(VLOOKUP($F360,Dim_Analyst!$A:$C,3,0)="Yes","Yes","No"),"No"))</f>
        <v/>
      </c>
    </row>
    <row r="361" customFormat="false" ht="15" hidden="false" customHeight="true" outlineLevel="0" collapsed="false">
      <c r="G361" s="4" t="str">
        <f aca="false">IF($D361="","",$A361&amp;"|"&amp;$B361&amp;"|"&amp;$C361&amp;"|"&amp;$D361)</f>
        <v/>
      </c>
      <c r="H361" s="4" t="str">
        <f aca="false">IF($D361="","",$G361&amp;"|"&amp;TEXT($E361,"0.000000"))</f>
        <v/>
      </c>
      <c r="I361" s="29" t="str">
        <f aca="false">IF($D361="","",IF(ISNUMBER($E361),FLOOR(($E361-$B361)*24,1),""))</f>
        <v/>
      </c>
      <c r="J361" s="10" t="str">
        <f aca="false">IF($D361="","",IFERROR(IF(VLOOKUP($F361,Dim_Analyst!$A:$C,3,0)="Yes","Yes","No"),"No"))</f>
        <v/>
      </c>
    </row>
    <row r="362" customFormat="false" ht="15" hidden="false" customHeight="true" outlineLevel="0" collapsed="false">
      <c r="G362" s="4" t="str">
        <f aca="false">IF($D362="","",$A362&amp;"|"&amp;$B362&amp;"|"&amp;$C362&amp;"|"&amp;$D362)</f>
        <v/>
      </c>
      <c r="H362" s="4" t="str">
        <f aca="false">IF($D362="","",$G362&amp;"|"&amp;TEXT($E362,"0.000000"))</f>
        <v/>
      </c>
      <c r="I362" s="29" t="str">
        <f aca="false">IF($D362="","",IF(ISNUMBER($E362),FLOOR(($E362-$B362)*24,1),""))</f>
        <v/>
      </c>
      <c r="J362" s="10" t="str">
        <f aca="false">IF($D362="","",IFERROR(IF(VLOOKUP($F362,Dim_Analyst!$A:$C,3,0)="Yes","Yes","No"),"No"))</f>
        <v/>
      </c>
    </row>
    <row r="363" customFormat="false" ht="15" hidden="false" customHeight="true" outlineLevel="0" collapsed="false">
      <c r="G363" s="4" t="str">
        <f aca="false">IF($D363="","",$A363&amp;"|"&amp;$B363&amp;"|"&amp;$C363&amp;"|"&amp;$D363)</f>
        <v/>
      </c>
      <c r="H363" s="4" t="str">
        <f aca="false">IF($D363="","",$G363&amp;"|"&amp;TEXT($E363,"0.000000"))</f>
        <v/>
      </c>
      <c r="I363" s="29" t="str">
        <f aca="false">IF($D363="","",IF(ISNUMBER($E363),FLOOR(($E363-$B363)*24,1),""))</f>
        <v/>
      </c>
      <c r="J363" s="10" t="str">
        <f aca="false">IF($D363="","",IFERROR(IF(VLOOKUP($F363,Dim_Analyst!$A:$C,3,0)="Yes","Yes","No"),"No"))</f>
        <v/>
      </c>
    </row>
    <row r="364" customFormat="false" ht="15" hidden="false" customHeight="true" outlineLevel="0" collapsed="false">
      <c r="G364" s="4" t="str">
        <f aca="false">IF($D364="","",$A364&amp;"|"&amp;$B364&amp;"|"&amp;$C364&amp;"|"&amp;$D364)</f>
        <v/>
      </c>
      <c r="H364" s="4" t="str">
        <f aca="false">IF($D364="","",$G364&amp;"|"&amp;TEXT($E364,"0.000000"))</f>
        <v/>
      </c>
      <c r="I364" s="29" t="str">
        <f aca="false">IF($D364="","",IF(ISNUMBER($E364),FLOOR(($E364-$B364)*24,1),""))</f>
        <v/>
      </c>
      <c r="J364" s="10" t="str">
        <f aca="false">IF($D364="","",IFERROR(IF(VLOOKUP($F364,Dim_Analyst!$A:$C,3,0)="Yes","Yes","No"),"No"))</f>
        <v/>
      </c>
    </row>
    <row r="365" customFormat="false" ht="15" hidden="false" customHeight="true" outlineLevel="0" collapsed="false">
      <c r="G365" s="4" t="str">
        <f aca="false">IF($D365="","",$A365&amp;"|"&amp;$B365&amp;"|"&amp;$C365&amp;"|"&amp;$D365)</f>
        <v/>
      </c>
      <c r="H365" s="4" t="str">
        <f aca="false">IF($D365="","",$G365&amp;"|"&amp;TEXT($E365,"0.000000"))</f>
        <v/>
      </c>
      <c r="I365" s="29" t="str">
        <f aca="false">IF($D365="","",IF(ISNUMBER($E365),FLOOR(($E365-$B365)*24,1),""))</f>
        <v/>
      </c>
      <c r="J365" s="10" t="str">
        <f aca="false">IF($D365="","",IFERROR(IF(VLOOKUP($F365,Dim_Analyst!$A:$C,3,0)="Yes","Yes","No"),"No"))</f>
        <v/>
      </c>
    </row>
    <row r="366" customFormat="false" ht="15" hidden="false" customHeight="true" outlineLevel="0" collapsed="false">
      <c r="G366" s="4" t="str">
        <f aca="false">IF($D366="","",$A366&amp;"|"&amp;$B366&amp;"|"&amp;$C366&amp;"|"&amp;$D366)</f>
        <v/>
      </c>
      <c r="H366" s="4" t="str">
        <f aca="false">IF($D366="","",$G366&amp;"|"&amp;TEXT($E366,"0.000000"))</f>
        <v/>
      </c>
      <c r="I366" s="29" t="str">
        <f aca="false">IF($D366="","",IF(ISNUMBER($E366),FLOOR(($E366-$B366)*24,1),""))</f>
        <v/>
      </c>
      <c r="J366" s="10" t="str">
        <f aca="false">IF($D366="","",IFERROR(IF(VLOOKUP($F366,Dim_Analyst!$A:$C,3,0)="Yes","Yes","No"),"No"))</f>
        <v/>
      </c>
    </row>
    <row r="367" customFormat="false" ht="15" hidden="false" customHeight="true" outlineLevel="0" collapsed="false">
      <c r="G367" s="4" t="str">
        <f aca="false">IF($D367="","",$A367&amp;"|"&amp;$B367&amp;"|"&amp;$C367&amp;"|"&amp;$D367)</f>
        <v/>
      </c>
      <c r="H367" s="4" t="str">
        <f aca="false">IF($D367="","",$G367&amp;"|"&amp;TEXT($E367,"0.000000"))</f>
        <v/>
      </c>
      <c r="I367" s="29" t="str">
        <f aca="false">IF($D367="","",IF(ISNUMBER($E367),FLOOR(($E367-$B367)*24,1),""))</f>
        <v/>
      </c>
      <c r="J367" s="10" t="str">
        <f aca="false">IF($D367="","",IFERROR(IF(VLOOKUP($F367,Dim_Analyst!$A:$C,3,0)="Yes","Yes","No"),"No"))</f>
        <v/>
      </c>
    </row>
    <row r="368" customFormat="false" ht="15" hidden="false" customHeight="true" outlineLevel="0" collapsed="false">
      <c r="G368" s="4" t="str">
        <f aca="false">IF($D368="","",$A368&amp;"|"&amp;$B368&amp;"|"&amp;$C368&amp;"|"&amp;$D368)</f>
        <v/>
      </c>
      <c r="H368" s="4" t="str">
        <f aca="false">IF($D368="","",$G368&amp;"|"&amp;TEXT($E368,"0.000000"))</f>
        <v/>
      </c>
      <c r="I368" s="29" t="str">
        <f aca="false">IF($D368="","",IF(ISNUMBER($E368),FLOOR(($E368-$B368)*24,1),""))</f>
        <v/>
      </c>
      <c r="J368" s="10" t="str">
        <f aca="false">IF($D368="","",IFERROR(IF(VLOOKUP($F368,Dim_Analyst!$A:$C,3,0)="Yes","Yes","No"),"No"))</f>
        <v/>
      </c>
    </row>
    <row r="369" customFormat="false" ht="15" hidden="false" customHeight="true" outlineLevel="0" collapsed="false">
      <c r="G369" s="4" t="str">
        <f aca="false">IF($D369="","",$A369&amp;"|"&amp;$B369&amp;"|"&amp;$C369&amp;"|"&amp;$D369)</f>
        <v/>
      </c>
      <c r="H369" s="4" t="str">
        <f aca="false">IF($D369="","",$G369&amp;"|"&amp;TEXT($E369,"0.000000"))</f>
        <v/>
      </c>
      <c r="I369" s="29" t="str">
        <f aca="false">IF($D369="","",IF(ISNUMBER($E369),FLOOR(($E369-$B369)*24,1),""))</f>
        <v/>
      </c>
      <c r="J369" s="10" t="str">
        <f aca="false">IF($D369="","",IFERROR(IF(VLOOKUP($F369,Dim_Analyst!$A:$C,3,0)="Yes","Yes","No"),"No"))</f>
        <v/>
      </c>
    </row>
    <row r="370" customFormat="false" ht="15" hidden="false" customHeight="true" outlineLevel="0" collapsed="false">
      <c r="G370" s="4" t="str">
        <f aca="false">IF($D370="","",$A370&amp;"|"&amp;$B370&amp;"|"&amp;$C370&amp;"|"&amp;$D370)</f>
        <v/>
      </c>
      <c r="H370" s="4" t="str">
        <f aca="false">IF($D370="","",$G370&amp;"|"&amp;TEXT($E370,"0.000000"))</f>
        <v/>
      </c>
      <c r="I370" s="29" t="str">
        <f aca="false">IF($D370="","",IF(ISNUMBER($E370),FLOOR(($E370-$B370)*24,1),""))</f>
        <v/>
      </c>
      <c r="J370" s="10" t="str">
        <f aca="false">IF($D370="","",IFERROR(IF(VLOOKUP($F370,Dim_Analyst!$A:$C,3,0)="Yes","Yes","No"),"No"))</f>
        <v/>
      </c>
    </row>
    <row r="371" customFormat="false" ht="15" hidden="false" customHeight="true" outlineLevel="0" collapsed="false">
      <c r="G371" s="4" t="str">
        <f aca="false">IF($D371="","",$A371&amp;"|"&amp;$B371&amp;"|"&amp;$C371&amp;"|"&amp;$D371)</f>
        <v/>
      </c>
      <c r="H371" s="4" t="str">
        <f aca="false">IF($D371="","",$G371&amp;"|"&amp;TEXT($E371,"0.000000"))</f>
        <v/>
      </c>
      <c r="I371" s="29" t="str">
        <f aca="false">IF($D371="","",IF(ISNUMBER($E371),FLOOR(($E371-$B371)*24,1),""))</f>
        <v/>
      </c>
      <c r="J371" s="10" t="str">
        <f aca="false">IF($D371="","",IFERROR(IF(VLOOKUP($F371,Dim_Analyst!$A:$C,3,0)="Yes","Yes","No"),"No"))</f>
        <v/>
      </c>
    </row>
    <row r="372" customFormat="false" ht="15" hidden="false" customHeight="true" outlineLevel="0" collapsed="false">
      <c r="G372" s="4" t="str">
        <f aca="false">IF($D372="","",$A372&amp;"|"&amp;$B372&amp;"|"&amp;$C372&amp;"|"&amp;$D372)</f>
        <v/>
      </c>
      <c r="H372" s="4" t="str">
        <f aca="false">IF($D372="","",$G372&amp;"|"&amp;TEXT($E372,"0.000000"))</f>
        <v/>
      </c>
      <c r="I372" s="29" t="str">
        <f aca="false">IF($D372="","",IF(ISNUMBER($E372),FLOOR(($E372-$B372)*24,1),""))</f>
        <v/>
      </c>
      <c r="J372" s="10" t="str">
        <f aca="false">IF($D372="","",IFERROR(IF(VLOOKUP($F372,Dim_Analyst!$A:$C,3,0)="Yes","Yes","No"),"No"))</f>
        <v/>
      </c>
    </row>
    <row r="373" customFormat="false" ht="15" hidden="false" customHeight="true" outlineLevel="0" collapsed="false">
      <c r="G373" s="4" t="str">
        <f aca="false">IF($D373="","",$A373&amp;"|"&amp;$B373&amp;"|"&amp;$C373&amp;"|"&amp;$D373)</f>
        <v/>
      </c>
      <c r="H373" s="4" t="str">
        <f aca="false">IF($D373="","",$G373&amp;"|"&amp;TEXT($E373,"0.000000"))</f>
        <v/>
      </c>
      <c r="I373" s="29" t="str">
        <f aca="false">IF($D373="","",IF(ISNUMBER($E373),FLOOR(($E373-$B373)*24,1),""))</f>
        <v/>
      </c>
      <c r="J373" s="10" t="str">
        <f aca="false">IF($D373="","",IFERROR(IF(VLOOKUP($F373,Dim_Analyst!$A:$C,3,0)="Yes","Yes","No"),"No"))</f>
        <v/>
      </c>
    </row>
    <row r="374" customFormat="false" ht="15" hidden="false" customHeight="true" outlineLevel="0" collapsed="false">
      <c r="G374" s="4" t="str">
        <f aca="false">IF($D374="","",$A374&amp;"|"&amp;$B374&amp;"|"&amp;$C374&amp;"|"&amp;$D374)</f>
        <v/>
      </c>
      <c r="H374" s="4" t="str">
        <f aca="false">IF($D374="","",$G374&amp;"|"&amp;TEXT($E374,"0.000000"))</f>
        <v/>
      </c>
      <c r="I374" s="29" t="str">
        <f aca="false">IF($D374="","",IF(ISNUMBER($E374),FLOOR(($E374-$B374)*24,1),""))</f>
        <v/>
      </c>
      <c r="J374" s="10" t="str">
        <f aca="false">IF($D374="","",IFERROR(IF(VLOOKUP($F374,Dim_Analyst!$A:$C,3,0)="Yes","Yes","No"),"No"))</f>
        <v/>
      </c>
    </row>
    <row r="375" customFormat="false" ht="15" hidden="false" customHeight="true" outlineLevel="0" collapsed="false">
      <c r="G375" s="4" t="str">
        <f aca="false">IF($D375="","",$A375&amp;"|"&amp;$B375&amp;"|"&amp;$C375&amp;"|"&amp;$D375)</f>
        <v/>
      </c>
      <c r="H375" s="4" t="str">
        <f aca="false">IF($D375="","",$G375&amp;"|"&amp;TEXT($E375,"0.000000"))</f>
        <v/>
      </c>
      <c r="I375" s="29" t="str">
        <f aca="false">IF($D375="","",IF(ISNUMBER($E375),FLOOR(($E375-$B375)*24,1),""))</f>
        <v/>
      </c>
      <c r="J375" s="10" t="str">
        <f aca="false">IF($D375="","",IFERROR(IF(VLOOKUP($F375,Dim_Analyst!$A:$C,3,0)="Yes","Yes","No"),"No"))</f>
        <v/>
      </c>
    </row>
    <row r="376" customFormat="false" ht="15" hidden="false" customHeight="true" outlineLevel="0" collapsed="false">
      <c r="G376" s="4" t="str">
        <f aca="false">IF($D376="","",$A376&amp;"|"&amp;$B376&amp;"|"&amp;$C376&amp;"|"&amp;$D376)</f>
        <v/>
      </c>
      <c r="H376" s="4" t="str">
        <f aca="false">IF($D376="","",$G376&amp;"|"&amp;TEXT($E376,"0.000000"))</f>
        <v/>
      </c>
      <c r="I376" s="29" t="str">
        <f aca="false">IF($D376="","",IF(ISNUMBER($E376),FLOOR(($E376-$B376)*24,1),""))</f>
        <v/>
      </c>
      <c r="J376" s="10" t="str">
        <f aca="false">IF($D376="","",IFERROR(IF(VLOOKUP($F376,Dim_Analyst!$A:$C,3,0)="Yes","Yes","No"),"No"))</f>
        <v/>
      </c>
    </row>
    <row r="377" customFormat="false" ht="15" hidden="false" customHeight="true" outlineLevel="0" collapsed="false">
      <c r="G377" s="4" t="str">
        <f aca="false">IF($D377="","",$A377&amp;"|"&amp;$B377&amp;"|"&amp;$C377&amp;"|"&amp;$D377)</f>
        <v/>
      </c>
      <c r="H377" s="4" t="str">
        <f aca="false">IF($D377="","",$G377&amp;"|"&amp;TEXT($E377,"0.000000"))</f>
        <v/>
      </c>
      <c r="I377" s="29" t="str">
        <f aca="false">IF($D377="","",IF(ISNUMBER($E377),FLOOR(($E377-$B377)*24,1),""))</f>
        <v/>
      </c>
      <c r="J377" s="10" t="str">
        <f aca="false">IF($D377="","",IFERROR(IF(VLOOKUP($F377,Dim_Analyst!$A:$C,3,0)="Yes","Yes","No"),"No"))</f>
        <v/>
      </c>
    </row>
    <row r="378" customFormat="false" ht="15" hidden="false" customHeight="true" outlineLevel="0" collapsed="false">
      <c r="G378" s="4" t="str">
        <f aca="false">IF($D378="","",$A378&amp;"|"&amp;$B378&amp;"|"&amp;$C378&amp;"|"&amp;$D378)</f>
        <v/>
      </c>
      <c r="H378" s="4" t="str">
        <f aca="false">IF($D378="","",$G378&amp;"|"&amp;TEXT($E378,"0.000000"))</f>
        <v/>
      </c>
      <c r="I378" s="29" t="str">
        <f aca="false">IF($D378="","",IF(ISNUMBER($E378),FLOOR(($E378-$B378)*24,1),""))</f>
        <v/>
      </c>
      <c r="J378" s="10" t="str">
        <f aca="false">IF($D378="","",IFERROR(IF(VLOOKUP($F378,Dim_Analyst!$A:$C,3,0)="Yes","Yes","No"),"No"))</f>
        <v/>
      </c>
    </row>
    <row r="379" customFormat="false" ht="15" hidden="false" customHeight="true" outlineLevel="0" collapsed="false">
      <c r="G379" s="4" t="str">
        <f aca="false">IF($D379="","",$A379&amp;"|"&amp;$B379&amp;"|"&amp;$C379&amp;"|"&amp;$D379)</f>
        <v/>
      </c>
      <c r="H379" s="4" t="str">
        <f aca="false">IF($D379="","",$G379&amp;"|"&amp;TEXT($E379,"0.000000"))</f>
        <v/>
      </c>
      <c r="I379" s="29" t="str">
        <f aca="false">IF($D379="","",IF(ISNUMBER($E379),FLOOR(($E379-$B379)*24,1),""))</f>
        <v/>
      </c>
      <c r="J379" s="10" t="str">
        <f aca="false">IF($D379="","",IFERROR(IF(VLOOKUP($F379,Dim_Analyst!$A:$C,3,0)="Yes","Yes","No"),"No"))</f>
        <v/>
      </c>
    </row>
    <row r="380" customFormat="false" ht="15" hidden="false" customHeight="true" outlineLevel="0" collapsed="false">
      <c r="G380" s="4" t="str">
        <f aca="false">IF($D380="","",$A380&amp;"|"&amp;$B380&amp;"|"&amp;$C380&amp;"|"&amp;$D380)</f>
        <v/>
      </c>
      <c r="H380" s="4" t="str">
        <f aca="false">IF($D380="","",$G380&amp;"|"&amp;TEXT($E380,"0.000000"))</f>
        <v/>
      </c>
      <c r="I380" s="29" t="str">
        <f aca="false">IF($D380="","",IF(ISNUMBER($E380),FLOOR(($E380-$B380)*24,1),""))</f>
        <v/>
      </c>
      <c r="J380" s="10" t="str">
        <f aca="false">IF($D380="","",IFERROR(IF(VLOOKUP($F380,Dim_Analyst!$A:$C,3,0)="Yes","Yes","No"),"No"))</f>
        <v/>
      </c>
    </row>
    <row r="381" customFormat="false" ht="15" hidden="false" customHeight="true" outlineLevel="0" collapsed="false">
      <c r="G381" s="4" t="str">
        <f aca="false">IF($D381="","",$A381&amp;"|"&amp;$B381&amp;"|"&amp;$C381&amp;"|"&amp;$D381)</f>
        <v/>
      </c>
      <c r="H381" s="4" t="str">
        <f aca="false">IF($D381="","",$G381&amp;"|"&amp;TEXT($E381,"0.000000"))</f>
        <v/>
      </c>
      <c r="I381" s="29" t="str">
        <f aca="false">IF($D381="","",IF(ISNUMBER($E381),FLOOR(($E381-$B381)*24,1),""))</f>
        <v/>
      </c>
      <c r="J381" s="10" t="str">
        <f aca="false">IF($D381="","",IFERROR(IF(VLOOKUP($F381,Dim_Analyst!$A:$C,3,0)="Yes","Yes","No"),"No"))</f>
        <v/>
      </c>
    </row>
    <row r="382" customFormat="false" ht="15" hidden="false" customHeight="true" outlineLevel="0" collapsed="false">
      <c r="G382" s="4" t="str">
        <f aca="false">IF($D382="","",$A382&amp;"|"&amp;$B382&amp;"|"&amp;$C382&amp;"|"&amp;$D382)</f>
        <v/>
      </c>
      <c r="H382" s="4" t="str">
        <f aca="false">IF($D382="","",$G382&amp;"|"&amp;TEXT($E382,"0.000000"))</f>
        <v/>
      </c>
      <c r="I382" s="29" t="str">
        <f aca="false">IF($D382="","",IF(ISNUMBER($E382),FLOOR(($E382-$B382)*24,1),""))</f>
        <v/>
      </c>
      <c r="J382" s="10" t="str">
        <f aca="false">IF($D382="","",IFERROR(IF(VLOOKUP($F382,Dim_Analyst!$A:$C,3,0)="Yes","Yes","No"),"No"))</f>
        <v/>
      </c>
    </row>
    <row r="383" customFormat="false" ht="15" hidden="false" customHeight="true" outlineLevel="0" collapsed="false">
      <c r="G383" s="4" t="str">
        <f aca="false">IF($D383="","",$A383&amp;"|"&amp;$B383&amp;"|"&amp;$C383&amp;"|"&amp;$D383)</f>
        <v/>
      </c>
      <c r="H383" s="4" t="str">
        <f aca="false">IF($D383="","",$G383&amp;"|"&amp;TEXT($E383,"0.000000"))</f>
        <v/>
      </c>
      <c r="I383" s="29" t="str">
        <f aca="false">IF($D383="","",IF(ISNUMBER($E383),FLOOR(($E383-$B383)*24,1),""))</f>
        <v/>
      </c>
      <c r="J383" s="10" t="str">
        <f aca="false">IF($D383="","",IFERROR(IF(VLOOKUP($F383,Dim_Analyst!$A:$C,3,0)="Yes","Yes","No"),"No"))</f>
        <v/>
      </c>
    </row>
    <row r="384" customFormat="false" ht="15" hidden="false" customHeight="true" outlineLevel="0" collapsed="false">
      <c r="G384" s="4" t="str">
        <f aca="false">IF($D384="","",$A384&amp;"|"&amp;$B384&amp;"|"&amp;$C384&amp;"|"&amp;$D384)</f>
        <v/>
      </c>
      <c r="H384" s="4" t="str">
        <f aca="false">IF($D384="","",$G384&amp;"|"&amp;TEXT($E384,"0.000000"))</f>
        <v/>
      </c>
      <c r="I384" s="29" t="str">
        <f aca="false">IF($D384="","",IF(ISNUMBER($E384),FLOOR(($E384-$B384)*24,1),""))</f>
        <v/>
      </c>
      <c r="J384" s="10" t="str">
        <f aca="false">IF($D384="","",IFERROR(IF(VLOOKUP($F384,Dim_Analyst!$A:$C,3,0)="Yes","Yes","No"),"No"))</f>
        <v/>
      </c>
    </row>
    <row r="385" customFormat="false" ht="15" hidden="false" customHeight="true" outlineLevel="0" collapsed="false">
      <c r="G385" s="4" t="str">
        <f aca="false">IF($D385="","",$A385&amp;"|"&amp;$B385&amp;"|"&amp;$C385&amp;"|"&amp;$D385)</f>
        <v/>
      </c>
      <c r="H385" s="4" t="str">
        <f aca="false">IF($D385="","",$G385&amp;"|"&amp;TEXT($E385,"0.000000"))</f>
        <v/>
      </c>
      <c r="I385" s="29" t="str">
        <f aca="false">IF($D385="","",IF(ISNUMBER($E385),FLOOR(($E385-$B385)*24,1),""))</f>
        <v/>
      </c>
      <c r="J385" s="10" t="str">
        <f aca="false">IF($D385="","",IFERROR(IF(VLOOKUP($F385,Dim_Analyst!$A:$C,3,0)="Yes","Yes","No"),"No"))</f>
        <v/>
      </c>
    </row>
    <row r="386" customFormat="false" ht="15" hidden="false" customHeight="true" outlineLevel="0" collapsed="false">
      <c r="G386" s="4" t="str">
        <f aca="false">IF($D386="","",$A386&amp;"|"&amp;$B386&amp;"|"&amp;$C386&amp;"|"&amp;$D386)</f>
        <v/>
      </c>
      <c r="H386" s="4" t="str">
        <f aca="false">IF($D386="","",$G386&amp;"|"&amp;TEXT($E386,"0.000000"))</f>
        <v/>
      </c>
      <c r="I386" s="29" t="str">
        <f aca="false">IF($D386="","",IF(ISNUMBER($E386),FLOOR(($E386-$B386)*24,1),""))</f>
        <v/>
      </c>
      <c r="J386" s="10" t="str">
        <f aca="false">IF($D386="","",IFERROR(IF(VLOOKUP($F386,Dim_Analyst!$A:$C,3,0)="Yes","Yes","No"),"No"))</f>
        <v/>
      </c>
    </row>
    <row r="387" customFormat="false" ht="15" hidden="false" customHeight="true" outlineLevel="0" collapsed="false">
      <c r="G387" s="4" t="str">
        <f aca="false">IF($D387="","",$A387&amp;"|"&amp;$B387&amp;"|"&amp;$C387&amp;"|"&amp;$D387)</f>
        <v/>
      </c>
      <c r="H387" s="4" t="str">
        <f aca="false">IF($D387="","",$G387&amp;"|"&amp;TEXT($E387,"0.000000"))</f>
        <v/>
      </c>
      <c r="I387" s="29" t="str">
        <f aca="false">IF($D387="","",IF(ISNUMBER($E387),FLOOR(($E387-$B387)*24,1),""))</f>
        <v/>
      </c>
      <c r="J387" s="10" t="str">
        <f aca="false">IF($D387="","",IFERROR(IF(VLOOKUP($F387,Dim_Analyst!$A:$C,3,0)="Yes","Yes","No"),"No"))</f>
        <v/>
      </c>
    </row>
    <row r="388" customFormat="false" ht="15" hidden="false" customHeight="true" outlineLevel="0" collapsed="false">
      <c r="G388" s="4" t="str">
        <f aca="false">IF($D388="","",$A388&amp;"|"&amp;$B388&amp;"|"&amp;$C388&amp;"|"&amp;$D388)</f>
        <v/>
      </c>
      <c r="H388" s="4" t="str">
        <f aca="false">IF($D388="","",$G388&amp;"|"&amp;TEXT($E388,"0.000000"))</f>
        <v/>
      </c>
      <c r="I388" s="29" t="str">
        <f aca="false">IF($D388="","",IF(ISNUMBER($E388),FLOOR(($E388-$B388)*24,1),""))</f>
        <v/>
      </c>
      <c r="J388" s="10" t="str">
        <f aca="false">IF($D388="","",IFERROR(IF(VLOOKUP($F388,Dim_Analyst!$A:$C,3,0)="Yes","Yes","No"),"No"))</f>
        <v/>
      </c>
    </row>
    <row r="389" customFormat="false" ht="15" hidden="false" customHeight="true" outlineLevel="0" collapsed="false">
      <c r="G389" s="4" t="str">
        <f aca="false">IF($D389="","",$A389&amp;"|"&amp;$B389&amp;"|"&amp;$C389&amp;"|"&amp;$D389)</f>
        <v/>
      </c>
      <c r="H389" s="4" t="str">
        <f aca="false">IF($D389="","",$G389&amp;"|"&amp;TEXT($E389,"0.000000"))</f>
        <v/>
      </c>
      <c r="I389" s="29" t="str">
        <f aca="false">IF($D389="","",IF(ISNUMBER($E389),FLOOR(($E389-$B389)*24,1),""))</f>
        <v/>
      </c>
      <c r="J389" s="10" t="str">
        <f aca="false">IF($D389="","",IFERROR(IF(VLOOKUP($F389,Dim_Analyst!$A:$C,3,0)="Yes","Yes","No"),"No"))</f>
        <v/>
      </c>
    </row>
    <row r="390" customFormat="false" ht="15" hidden="false" customHeight="true" outlineLevel="0" collapsed="false">
      <c r="G390" s="4" t="str">
        <f aca="false">IF($D390="","",$A390&amp;"|"&amp;$B390&amp;"|"&amp;$C390&amp;"|"&amp;$D390)</f>
        <v/>
      </c>
      <c r="H390" s="4" t="str">
        <f aca="false">IF($D390="","",$G390&amp;"|"&amp;TEXT($E390,"0.000000"))</f>
        <v/>
      </c>
      <c r="I390" s="29" t="str">
        <f aca="false">IF($D390="","",IF(ISNUMBER($E390),FLOOR(($E390-$B390)*24,1),""))</f>
        <v/>
      </c>
      <c r="J390" s="10" t="str">
        <f aca="false">IF($D390="","",IFERROR(IF(VLOOKUP($F390,Dim_Analyst!$A:$C,3,0)="Yes","Yes","No"),"No"))</f>
        <v/>
      </c>
    </row>
    <row r="391" customFormat="false" ht="15" hidden="false" customHeight="true" outlineLevel="0" collapsed="false">
      <c r="G391" s="4" t="str">
        <f aca="false">IF($D391="","",$A391&amp;"|"&amp;$B391&amp;"|"&amp;$C391&amp;"|"&amp;$D391)</f>
        <v/>
      </c>
      <c r="H391" s="4" t="str">
        <f aca="false">IF($D391="","",$G391&amp;"|"&amp;TEXT($E391,"0.000000"))</f>
        <v/>
      </c>
      <c r="I391" s="29" t="str">
        <f aca="false">IF($D391="","",IF(ISNUMBER($E391),FLOOR(($E391-$B391)*24,1),""))</f>
        <v/>
      </c>
      <c r="J391" s="10" t="str">
        <f aca="false">IF($D391="","",IFERROR(IF(VLOOKUP($F391,Dim_Analyst!$A:$C,3,0)="Yes","Yes","No"),"No"))</f>
        <v/>
      </c>
    </row>
    <row r="392" customFormat="false" ht="15" hidden="false" customHeight="true" outlineLevel="0" collapsed="false">
      <c r="G392" s="4" t="str">
        <f aca="false">IF($D392="","",$A392&amp;"|"&amp;$B392&amp;"|"&amp;$C392&amp;"|"&amp;$D392)</f>
        <v/>
      </c>
      <c r="H392" s="4" t="str">
        <f aca="false">IF($D392="","",$G392&amp;"|"&amp;TEXT($E392,"0.000000"))</f>
        <v/>
      </c>
      <c r="I392" s="29" t="str">
        <f aca="false">IF($D392="","",IF(ISNUMBER($E392),FLOOR(($E392-$B392)*24,1),""))</f>
        <v/>
      </c>
      <c r="J392" s="10" t="str">
        <f aca="false">IF($D392="","",IFERROR(IF(VLOOKUP($F392,Dim_Analyst!$A:$C,3,0)="Yes","Yes","No"),"No"))</f>
        <v/>
      </c>
    </row>
    <row r="393" customFormat="false" ht="15" hidden="false" customHeight="true" outlineLevel="0" collapsed="false">
      <c r="G393" s="4" t="str">
        <f aca="false">IF($D393="","",$A393&amp;"|"&amp;$B393&amp;"|"&amp;$C393&amp;"|"&amp;$D393)</f>
        <v/>
      </c>
      <c r="H393" s="4" t="str">
        <f aca="false">IF($D393="","",$G393&amp;"|"&amp;TEXT($E393,"0.000000"))</f>
        <v/>
      </c>
      <c r="I393" s="29" t="str">
        <f aca="false">IF($D393="","",IF(ISNUMBER($E393),FLOOR(($E393-$B393)*24,1),""))</f>
        <v/>
      </c>
      <c r="J393" s="10" t="str">
        <f aca="false">IF($D393="","",IFERROR(IF(VLOOKUP($F393,Dim_Analyst!$A:$C,3,0)="Yes","Yes","No"),"No"))</f>
        <v/>
      </c>
    </row>
    <row r="394" customFormat="false" ht="15" hidden="false" customHeight="true" outlineLevel="0" collapsed="false">
      <c r="G394" s="4" t="str">
        <f aca="false">IF($D394="","",$A394&amp;"|"&amp;$B394&amp;"|"&amp;$C394&amp;"|"&amp;$D394)</f>
        <v/>
      </c>
      <c r="H394" s="4" t="str">
        <f aca="false">IF($D394="","",$G394&amp;"|"&amp;TEXT($E394,"0.000000"))</f>
        <v/>
      </c>
      <c r="I394" s="29" t="str">
        <f aca="false">IF($D394="","",IF(ISNUMBER($E394),FLOOR(($E394-$B394)*24,1),""))</f>
        <v/>
      </c>
      <c r="J394" s="10" t="str">
        <f aca="false">IF($D394="","",IFERROR(IF(VLOOKUP($F394,Dim_Analyst!$A:$C,3,0)="Yes","Yes","No"),"No"))</f>
        <v/>
      </c>
    </row>
    <row r="395" customFormat="false" ht="15" hidden="false" customHeight="true" outlineLevel="0" collapsed="false">
      <c r="G395" s="4" t="str">
        <f aca="false">IF($D395="","",$A395&amp;"|"&amp;$B395&amp;"|"&amp;$C395&amp;"|"&amp;$D395)</f>
        <v/>
      </c>
      <c r="H395" s="4" t="str">
        <f aca="false">IF($D395="","",$G395&amp;"|"&amp;TEXT($E395,"0.000000"))</f>
        <v/>
      </c>
      <c r="I395" s="29" t="str">
        <f aca="false">IF($D395="","",IF(ISNUMBER($E395),FLOOR(($E395-$B395)*24,1),""))</f>
        <v/>
      </c>
      <c r="J395" s="10" t="str">
        <f aca="false">IF($D395="","",IFERROR(IF(VLOOKUP($F395,Dim_Analyst!$A:$C,3,0)="Yes","Yes","No"),"No"))</f>
        <v/>
      </c>
    </row>
    <row r="396" customFormat="false" ht="15" hidden="false" customHeight="true" outlineLevel="0" collapsed="false">
      <c r="G396" s="4" t="str">
        <f aca="false">IF($D396="","",$A396&amp;"|"&amp;$B396&amp;"|"&amp;$C396&amp;"|"&amp;$D396)</f>
        <v/>
      </c>
      <c r="H396" s="4" t="str">
        <f aca="false">IF($D396="","",$G396&amp;"|"&amp;TEXT($E396,"0.000000"))</f>
        <v/>
      </c>
      <c r="I396" s="29" t="str">
        <f aca="false">IF($D396="","",IF(ISNUMBER($E396),FLOOR(($E396-$B396)*24,1),""))</f>
        <v/>
      </c>
      <c r="J396" s="10" t="str">
        <f aca="false">IF($D396="","",IFERROR(IF(VLOOKUP($F396,Dim_Analyst!$A:$C,3,0)="Yes","Yes","No"),"No"))</f>
        <v/>
      </c>
    </row>
    <row r="397" customFormat="false" ht="15" hidden="false" customHeight="true" outlineLevel="0" collapsed="false">
      <c r="G397" s="4" t="str">
        <f aca="false">IF($D397="","",$A397&amp;"|"&amp;$B397&amp;"|"&amp;$C397&amp;"|"&amp;$D397)</f>
        <v/>
      </c>
      <c r="H397" s="4" t="str">
        <f aca="false">IF($D397="","",$G397&amp;"|"&amp;TEXT($E397,"0.000000"))</f>
        <v/>
      </c>
      <c r="I397" s="29" t="str">
        <f aca="false">IF($D397="","",IF(ISNUMBER($E397),FLOOR(($E397-$B397)*24,1),""))</f>
        <v/>
      </c>
      <c r="J397" s="10" t="str">
        <f aca="false">IF($D397="","",IFERROR(IF(VLOOKUP($F397,Dim_Analyst!$A:$C,3,0)="Yes","Yes","No"),"No"))</f>
        <v/>
      </c>
    </row>
    <row r="398" customFormat="false" ht="15" hidden="false" customHeight="true" outlineLevel="0" collapsed="false">
      <c r="G398" s="4" t="str">
        <f aca="false">IF($D398="","",$A398&amp;"|"&amp;$B398&amp;"|"&amp;$C398&amp;"|"&amp;$D398)</f>
        <v/>
      </c>
      <c r="H398" s="4" t="str">
        <f aca="false">IF($D398="","",$G398&amp;"|"&amp;TEXT($E398,"0.000000"))</f>
        <v/>
      </c>
      <c r="I398" s="29" t="str">
        <f aca="false">IF($D398="","",IF(ISNUMBER($E398),FLOOR(($E398-$B398)*24,1),""))</f>
        <v/>
      </c>
      <c r="J398" s="10" t="str">
        <f aca="false">IF($D398="","",IFERROR(IF(VLOOKUP($F398,Dim_Analyst!$A:$C,3,0)="Yes","Yes","No"),"No"))</f>
        <v/>
      </c>
    </row>
    <row r="399" customFormat="false" ht="15" hidden="false" customHeight="true" outlineLevel="0" collapsed="false">
      <c r="G399" s="4" t="str">
        <f aca="false">IF($D399="","",$A399&amp;"|"&amp;$B399&amp;"|"&amp;$C399&amp;"|"&amp;$D399)</f>
        <v/>
      </c>
      <c r="H399" s="4" t="str">
        <f aca="false">IF($D399="","",$G399&amp;"|"&amp;TEXT($E399,"0.000000"))</f>
        <v/>
      </c>
      <c r="I399" s="29" t="str">
        <f aca="false">IF($D399="","",IF(ISNUMBER($E399),FLOOR(($E399-$B399)*24,1),""))</f>
        <v/>
      </c>
      <c r="J399" s="10" t="str">
        <f aca="false">IF($D399="","",IFERROR(IF(VLOOKUP($F399,Dim_Analyst!$A:$C,3,0)="Yes","Yes","No"),"No"))</f>
        <v/>
      </c>
    </row>
    <row r="400" customFormat="false" ht="15" hidden="false" customHeight="true" outlineLevel="0" collapsed="false">
      <c r="G400" s="4" t="str">
        <f aca="false">IF($D400="","",$A400&amp;"|"&amp;$B400&amp;"|"&amp;$C400&amp;"|"&amp;$D400)</f>
        <v/>
      </c>
      <c r="H400" s="4" t="str">
        <f aca="false">IF($D400="","",$G400&amp;"|"&amp;TEXT($E400,"0.000000"))</f>
        <v/>
      </c>
      <c r="I400" s="29" t="str">
        <f aca="false">IF($D400="","",IF(ISNUMBER($E400),FLOOR(($E400-$B400)*24,1),""))</f>
        <v/>
      </c>
      <c r="J400" s="10" t="str">
        <f aca="false">IF($D400="","",IFERROR(IF(VLOOKUP($F400,Dim_Analyst!$A:$C,3,0)="Yes","Yes","No"),"No"))</f>
        <v/>
      </c>
    </row>
    <row r="401" customFormat="false" ht="15" hidden="false" customHeight="true" outlineLevel="0" collapsed="false">
      <c r="G401" s="4" t="str">
        <f aca="false">IF($D401="","",$A401&amp;"|"&amp;$B401&amp;"|"&amp;$C401&amp;"|"&amp;$D401)</f>
        <v/>
      </c>
      <c r="H401" s="4" t="str">
        <f aca="false">IF($D401="","",$G401&amp;"|"&amp;TEXT($E401,"0.000000"))</f>
        <v/>
      </c>
      <c r="I401" s="29" t="str">
        <f aca="false">IF($D401="","",IF(ISNUMBER($E401),FLOOR(($E401-$B401)*24,1),""))</f>
        <v/>
      </c>
      <c r="J401" s="10" t="str">
        <f aca="false">IF($D401="","",IFERROR(IF(VLOOKUP($F401,Dim_Analyst!$A:$C,3,0)="Yes","Yes","No"),"No"))</f>
        <v/>
      </c>
    </row>
    <row r="402" customFormat="false" ht="15" hidden="false" customHeight="true" outlineLevel="0" collapsed="false">
      <c r="G402" s="4" t="str">
        <f aca="false">IF($D402="","",$A402&amp;"|"&amp;$B402&amp;"|"&amp;$C402&amp;"|"&amp;$D402)</f>
        <v/>
      </c>
      <c r="H402" s="4" t="str">
        <f aca="false">IF($D402="","",$G402&amp;"|"&amp;TEXT($E402,"0.000000"))</f>
        <v/>
      </c>
      <c r="I402" s="29" t="str">
        <f aca="false">IF($D402="","",IF(ISNUMBER($E402),FLOOR(($E402-$B402)*24,1),""))</f>
        <v/>
      </c>
      <c r="J402" s="10" t="str">
        <f aca="false">IF($D402="","",IFERROR(IF(VLOOKUP($F402,Dim_Analyst!$A:$C,3,0)="Yes","Yes","No"),"No"))</f>
        <v/>
      </c>
    </row>
    <row r="403" customFormat="false" ht="15" hidden="false" customHeight="true" outlineLevel="0" collapsed="false">
      <c r="G403" s="4" t="str">
        <f aca="false">IF($D403="","",$A403&amp;"|"&amp;$B403&amp;"|"&amp;$C403&amp;"|"&amp;$D403)</f>
        <v/>
      </c>
      <c r="H403" s="4" t="str">
        <f aca="false">IF($D403="","",$G403&amp;"|"&amp;TEXT($E403,"0.000000"))</f>
        <v/>
      </c>
      <c r="I403" s="29" t="str">
        <f aca="false">IF($D403="","",IF(ISNUMBER($E403),FLOOR(($E403-$B403)*24,1),""))</f>
        <v/>
      </c>
      <c r="J403" s="10" t="str">
        <f aca="false">IF($D403="","",IFERROR(IF(VLOOKUP($F403,Dim_Analyst!$A:$C,3,0)="Yes","Yes","No"),"No"))</f>
        <v/>
      </c>
    </row>
    <row r="404" customFormat="false" ht="15" hidden="false" customHeight="true" outlineLevel="0" collapsed="false">
      <c r="G404" s="4" t="str">
        <f aca="false">IF($D404="","",$A404&amp;"|"&amp;$B404&amp;"|"&amp;$C404&amp;"|"&amp;$D404)</f>
        <v/>
      </c>
      <c r="H404" s="4" t="str">
        <f aca="false">IF($D404="","",$G404&amp;"|"&amp;TEXT($E404,"0.000000"))</f>
        <v/>
      </c>
      <c r="I404" s="29" t="str">
        <f aca="false">IF($D404="","",IF(ISNUMBER($E404),FLOOR(($E404-$B404)*24,1),""))</f>
        <v/>
      </c>
      <c r="J404" s="10" t="str">
        <f aca="false">IF($D404="","",IFERROR(IF(VLOOKUP($F404,Dim_Analyst!$A:$C,3,0)="Yes","Yes","No"),"No"))</f>
        <v/>
      </c>
    </row>
    <row r="405" customFormat="false" ht="15" hidden="false" customHeight="true" outlineLevel="0" collapsed="false">
      <c r="G405" s="4" t="str">
        <f aca="false">IF($D405="","",$A405&amp;"|"&amp;$B405&amp;"|"&amp;$C405&amp;"|"&amp;$D405)</f>
        <v/>
      </c>
      <c r="H405" s="4" t="str">
        <f aca="false">IF($D405="","",$G405&amp;"|"&amp;TEXT($E405,"0.000000"))</f>
        <v/>
      </c>
      <c r="I405" s="29" t="str">
        <f aca="false">IF($D405="","",IF(ISNUMBER($E405),FLOOR(($E405-$B405)*24,1),""))</f>
        <v/>
      </c>
      <c r="J405" s="10" t="str">
        <f aca="false">IF($D405="","",IFERROR(IF(VLOOKUP($F405,Dim_Analyst!$A:$C,3,0)="Yes","Yes","No"),"No"))</f>
        <v/>
      </c>
    </row>
    <row r="406" customFormat="false" ht="15" hidden="false" customHeight="true" outlineLevel="0" collapsed="false">
      <c r="G406" s="4" t="str">
        <f aca="false">IF($D406="","",$A406&amp;"|"&amp;$B406&amp;"|"&amp;$C406&amp;"|"&amp;$D406)</f>
        <v/>
      </c>
      <c r="H406" s="4" t="str">
        <f aca="false">IF($D406="","",$G406&amp;"|"&amp;TEXT($E406,"0.000000"))</f>
        <v/>
      </c>
      <c r="I406" s="29" t="str">
        <f aca="false">IF($D406="","",IF(ISNUMBER($E406),FLOOR(($E406-$B406)*24,1),""))</f>
        <v/>
      </c>
      <c r="J406" s="10" t="str">
        <f aca="false">IF($D406="","",IFERROR(IF(VLOOKUP($F406,Dim_Analyst!$A:$C,3,0)="Yes","Yes","No"),"No"))</f>
        <v/>
      </c>
    </row>
    <row r="407" customFormat="false" ht="15" hidden="false" customHeight="true" outlineLevel="0" collapsed="false">
      <c r="G407" s="4" t="str">
        <f aca="false">IF($D407="","",$A407&amp;"|"&amp;$B407&amp;"|"&amp;$C407&amp;"|"&amp;$D407)</f>
        <v/>
      </c>
      <c r="H407" s="4" t="str">
        <f aca="false">IF($D407="","",$G407&amp;"|"&amp;TEXT($E407,"0.000000"))</f>
        <v/>
      </c>
      <c r="I407" s="29" t="str">
        <f aca="false">IF($D407="","",IF(ISNUMBER($E407),FLOOR(($E407-$B407)*24,1),""))</f>
        <v/>
      </c>
      <c r="J407" s="10" t="str">
        <f aca="false">IF($D407="","",IFERROR(IF(VLOOKUP($F407,Dim_Analyst!$A:$C,3,0)="Yes","Yes","No"),"No"))</f>
        <v/>
      </c>
    </row>
    <row r="408" customFormat="false" ht="15" hidden="false" customHeight="true" outlineLevel="0" collapsed="false">
      <c r="G408" s="4" t="str">
        <f aca="false">IF($D408="","",$A408&amp;"|"&amp;$B408&amp;"|"&amp;$C408&amp;"|"&amp;$D408)</f>
        <v/>
      </c>
      <c r="H408" s="4" t="str">
        <f aca="false">IF($D408="","",$G408&amp;"|"&amp;TEXT($E408,"0.000000"))</f>
        <v/>
      </c>
      <c r="I408" s="29" t="str">
        <f aca="false">IF($D408="","",IF(ISNUMBER($E408),FLOOR(($E408-$B408)*24,1),""))</f>
        <v/>
      </c>
      <c r="J408" s="10" t="str">
        <f aca="false">IF($D408="","",IFERROR(IF(VLOOKUP($F408,Dim_Analyst!$A:$C,3,0)="Yes","Yes","No"),"No"))</f>
        <v/>
      </c>
    </row>
    <row r="409" customFormat="false" ht="15" hidden="false" customHeight="true" outlineLevel="0" collapsed="false">
      <c r="G409" s="4" t="str">
        <f aca="false">IF($D409="","",$A409&amp;"|"&amp;$B409&amp;"|"&amp;$C409&amp;"|"&amp;$D409)</f>
        <v/>
      </c>
      <c r="H409" s="4" t="str">
        <f aca="false">IF($D409="","",$G409&amp;"|"&amp;TEXT($E409,"0.000000"))</f>
        <v/>
      </c>
      <c r="I409" s="29" t="str">
        <f aca="false">IF($D409="","",IF(ISNUMBER($E409),FLOOR(($E409-$B409)*24,1),""))</f>
        <v/>
      </c>
      <c r="J409" s="10" t="str">
        <f aca="false">IF($D409="","",IFERROR(IF(VLOOKUP($F409,Dim_Analyst!$A:$C,3,0)="Yes","Yes","No"),"No"))</f>
        <v/>
      </c>
    </row>
    <row r="410" customFormat="false" ht="15" hidden="false" customHeight="true" outlineLevel="0" collapsed="false">
      <c r="G410" s="4" t="str">
        <f aca="false">IF($D410="","",$A410&amp;"|"&amp;$B410&amp;"|"&amp;$C410&amp;"|"&amp;$D410)</f>
        <v/>
      </c>
      <c r="H410" s="4" t="str">
        <f aca="false">IF($D410="","",$G410&amp;"|"&amp;TEXT($E410,"0.000000"))</f>
        <v/>
      </c>
      <c r="I410" s="29" t="str">
        <f aca="false">IF($D410="","",IF(ISNUMBER($E410),FLOOR(($E410-$B410)*24,1),""))</f>
        <v/>
      </c>
      <c r="J410" s="10" t="str">
        <f aca="false">IF($D410="","",IFERROR(IF(VLOOKUP($F410,Dim_Analyst!$A:$C,3,0)="Yes","Yes","No"),"No"))</f>
        <v/>
      </c>
    </row>
    <row r="411" customFormat="false" ht="15" hidden="false" customHeight="true" outlineLevel="0" collapsed="false">
      <c r="G411" s="4" t="str">
        <f aca="false">IF($D411="","",$A411&amp;"|"&amp;$B411&amp;"|"&amp;$C411&amp;"|"&amp;$D411)</f>
        <v/>
      </c>
      <c r="H411" s="4" t="str">
        <f aca="false">IF($D411="","",$G411&amp;"|"&amp;TEXT($E411,"0.000000"))</f>
        <v/>
      </c>
      <c r="I411" s="29" t="str">
        <f aca="false">IF($D411="","",IF(ISNUMBER($E411),FLOOR(($E411-$B411)*24,1),""))</f>
        <v/>
      </c>
      <c r="J411" s="10" t="str">
        <f aca="false">IF($D411="","",IFERROR(IF(VLOOKUP($F411,Dim_Analyst!$A:$C,3,0)="Yes","Yes","No"),"No"))</f>
        <v/>
      </c>
    </row>
    <row r="412" customFormat="false" ht="15" hidden="false" customHeight="true" outlineLevel="0" collapsed="false">
      <c r="G412" s="4" t="str">
        <f aca="false">IF($D412="","",$A412&amp;"|"&amp;$B412&amp;"|"&amp;$C412&amp;"|"&amp;$D412)</f>
        <v/>
      </c>
      <c r="H412" s="4" t="str">
        <f aca="false">IF($D412="","",$G412&amp;"|"&amp;TEXT($E412,"0.000000"))</f>
        <v/>
      </c>
      <c r="I412" s="29" t="str">
        <f aca="false">IF($D412="","",IF(ISNUMBER($E412),FLOOR(($E412-$B412)*24,1),""))</f>
        <v/>
      </c>
      <c r="J412" s="10" t="str">
        <f aca="false">IF($D412="","",IFERROR(IF(VLOOKUP($F412,Dim_Analyst!$A:$C,3,0)="Yes","Yes","No"),"No"))</f>
        <v/>
      </c>
    </row>
    <row r="413" customFormat="false" ht="15" hidden="false" customHeight="true" outlineLevel="0" collapsed="false">
      <c r="G413" s="4" t="str">
        <f aca="false">IF($D413="","",$A413&amp;"|"&amp;$B413&amp;"|"&amp;$C413&amp;"|"&amp;$D413)</f>
        <v/>
      </c>
      <c r="H413" s="4" t="str">
        <f aca="false">IF($D413="","",$G413&amp;"|"&amp;TEXT($E413,"0.000000"))</f>
        <v/>
      </c>
      <c r="I413" s="29" t="str">
        <f aca="false">IF($D413="","",IF(ISNUMBER($E413),FLOOR(($E413-$B413)*24,1),""))</f>
        <v/>
      </c>
      <c r="J413" s="10" t="str">
        <f aca="false">IF($D413="","",IFERROR(IF(VLOOKUP($F413,Dim_Analyst!$A:$C,3,0)="Yes","Yes","No"),"No"))</f>
        <v/>
      </c>
    </row>
    <row r="414" customFormat="false" ht="15" hidden="false" customHeight="true" outlineLevel="0" collapsed="false">
      <c r="G414" s="4" t="str">
        <f aca="false">IF($D414="","",$A414&amp;"|"&amp;$B414&amp;"|"&amp;$C414&amp;"|"&amp;$D414)</f>
        <v/>
      </c>
      <c r="H414" s="4" t="str">
        <f aca="false">IF($D414="","",$G414&amp;"|"&amp;TEXT($E414,"0.000000"))</f>
        <v/>
      </c>
      <c r="I414" s="29" t="str">
        <f aca="false">IF($D414="","",IF(ISNUMBER($E414),FLOOR(($E414-$B414)*24,1),""))</f>
        <v/>
      </c>
      <c r="J414" s="10" t="str">
        <f aca="false">IF($D414="","",IFERROR(IF(VLOOKUP($F414,Dim_Analyst!$A:$C,3,0)="Yes","Yes","No"),"No"))</f>
        <v/>
      </c>
    </row>
    <row r="415" customFormat="false" ht="15" hidden="false" customHeight="true" outlineLevel="0" collapsed="false">
      <c r="G415" s="4" t="str">
        <f aca="false">IF($D415="","",$A415&amp;"|"&amp;$B415&amp;"|"&amp;$C415&amp;"|"&amp;$D415)</f>
        <v/>
      </c>
      <c r="H415" s="4" t="str">
        <f aca="false">IF($D415="","",$G415&amp;"|"&amp;TEXT($E415,"0.000000"))</f>
        <v/>
      </c>
      <c r="I415" s="29" t="str">
        <f aca="false">IF($D415="","",IF(ISNUMBER($E415),FLOOR(($E415-$B415)*24,1),""))</f>
        <v/>
      </c>
      <c r="J415" s="10" t="str">
        <f aca="false">IF($D415="","",IFERROR(IF(VLOOKUP($F415,Dim_Analyst!$A:$C,3,0)="Yes","Yes","No"),"No"))</f>
        <v/>
      </c>
    </row>
    <row r="416" customFormat="false" ht="15" hidden="false" customHeight="true" outlineLevel="0" collapsed="false">
      <c r="G416" s="4" t="str">
        <f aca="false">IF($D416="","",$A416&amp;"|"&amp;$B416&amp;"|"&amp;$C416&amp;"|"&amp;$D416)</f>
        <v/>
      </c>
      <c r="H416" s="4" t="str">
        <f aca="false">IF($D416="","",$G416&amp;"|"&amp;TEXT($E416,"0.000000"))</f>
        <v/>
      </c>
      <c r="I416" s="29" t="str">
        <f aca="false">IF($D416="","",IF(ISNUMBER($E416),FLOOR(($E416-$B416)*24,1),""))</f>
        <v/>
      </c>
      <c r="J416" s="10" t="str">
        <f aca="false">IF($D416="","",IFERROR(IF(VLOOKUP($F416,Dim_Analyst!$A:$C,3,0)="Yes","Yes","No"),"No"))</f>
        <v/>
      </c>
    </row>
    <row r="417" customFormat="false" ht="15" hidden="false" customHeight="true" outlineLevel="0" collapsed="false">
      <c r="G417" s="4" t="str">
        <f aca="false">IF($D417="","",$A417&amp;"|"&amp;$B417&amp;"|"&amp;$C417&amp;"|"&amp;$D417)</f>
        <v/>
      </c>
      <c r="H417" s="4" t="str">
        <f aca="false">IF($D417="","",$G417&amp;"|"&amp;TEXT($E417,"0.000000"))</f>
        <v/>
      </c>
      <c r="I417" s="29" t="str">
        <f aca="false">IF($D417="","",IF(ISNUMBER($E417),FLOOR(($E417-$B417)*24,1),""))</f>
        <v/>
      </c>
      <c r="J417" s="10" t="str">
        <f aca="false">IF($D417="","",IFERROR(IF(VLOOKUP($F417,Dim_Analyst!$A:$C,3,0)="Yes","Yes","No"),"No"))</f>
        <v/>
      </c>
    </row>
    <row r="418" customFormat="false" ht="15" hidden="false" customHeight="true" outlineLevel="0" collapsed="false">
      <c r="G418" s="4" t="str">
        <f aca="false">IF($D418="","",$A418&amp;"|"&amp;$B418&amp;"|"&amp;$C418&amp;"|"&amp;$D418)</f>
        <v/>
      </c>
      <c r="H418" s="4" t="str">
        <f aca="false">IF($D418="","",$G418&amp;"|"&amp;TEXT($E418,"0.000000"))</f>
        <v/>
      </c>
      <c r="I418" s="29" t="str">
        <f aca="false">IF($D418="","",IF(ISNUMBER($E418),FLOOR(($E418-$B418)*24,1),""))</f>
        <v/>
      </c>
      <c r="J418" s="10" t="str">
        <f aca="false">IF($D418="","",IFERROR(IF(VLOOKUP($F418,Dim_Analyst!$A:$C,3,0)="Yes","Yes","No"),"No"))</f>
        <v/>
      </c>
    </row>
    <row r="419" customFormat="false" ht="15" hidden="false" customHeight="true" outlineLevel="0" collapsed="false">
      <c r="G419" s="4" t="str">
        <f aca="false">IF($D419="","",$A419&amp;"|"&amp;$B419&amp;"|"&amp;$C419&amp;"|"&amp;$D419)</f>
        <v/>
      </c>
      <c r="H419" s="4" t="str">
        <f aca="false">IF($D419="","",$G419&amp;"|"&amp;TEXT($E419,"0.000000"))</f>
        <v/>
      </c>
      <c r="I419" s="29" t="str">
        <f aca="false">IF($D419="","",IF(ISNUMBER($E419),FLOOR(($E419-$B419)*24,1),""))</f>
        <v/>
      </c>
      <c r="J419" s="10" t="str">
        <f aca="false">IF($D419="","",IFERROR(IF(VLOOKUP($F419,Dim_Analyst!$A:$C,3,0)="Yes","Yes","No"),"No"))</f>
        <v/>
      </c>
    </row>
    <row r="420" customFormat="false" ht="15" hidden="false" customHeight="true" outlineLevel="0" collapsed="false">
      <c r="G420" s="4" t="str">
        <f aca="false">IF($D420="","",$A420&amp;"|"&amp;$B420&amp;"|"&amp;$C420&amp;"|"&amp;$D420)</f>
        <v/>
      </c>
      <c r="H420" s="4" t="str">
        <f aca="false">IF($D420="","",$G420&amp;"|"&amp;TEXT($E420,"0.000000"))</f>
        <v/>
      </c>
      <c r="I420" s="29" t="str">
        <f aca="false">IF($D420="","",IF(ISNUMBER($E420),FLOOR(($E420-$B420)*24,1),""))</f>
        <v/>
      </c>
      <c r="J420" s="10" t="str">
        <f aca="false">IF($D420="","",IFERROR(IF(VLOOKUP($F420,Dim_Analyst!$A:$C,3,0)="Yes","Yes","No"),"No"))</f>
        <v/>
      </c>
    </row>
    <row r="421" customFormat="false" ht="15" hidden="false" customHeight="true" outlineLevel="0" collapsed="false">
      <c r="G421" s="4" t="str">
        <f aca="false">IF($D421="","",$A421&amp;"|"&amp;$B421&amp;"|"&amp;$C421&amp;"|"&amp;$D421)</f>
        <v/>
      </c>
      <c r="H421" s="4" t="str">
        <f aca="false">IF($D421="","",$G421&amp;"|"&amp;TEXT($E421,"0.000000"))</f>
        <v/>
      </c>
      <c r="I421" s="29" t="str">
        <f aca="false">IF($D421="","",IF(ISNUMBER($E421),FLOOR(($E421-$B421)*24,1),""))</f>
        <v/>
      </c>
      <c r="J421" s="10" t="str">
        <f aca="false">IF($D421="","",IFERROR(IF(VLOOKUP($F421,Dim_Analyst!$A:$C,3,0)="Yes","Yes","No"),"No"))</f>
        <v/>
      </c>
    </row>
    <row r="422" customFormat="false" ht="15" hidden="false" customHeight="true" outlineLevel="0" collapsed="false">
      <c r="G422" s="4" t="str">
        <f aca="false">IF($D422="","",$A422&amp;"|"&amp;$B422&amp;"|"&amp;$C422&amp;"|"&amp;$D422)</f>
        <v/>
      </c>
      <c r="H422" s="4" t="str">
        <f aca="false">IF($D422="","",$G422&amp;"|"&amp;TEXT($E422,"0.000000"))</f>
        <v/>
      </c>
      <c r="I422" s="29" t="str">
        <f aca="false">IF($D422="","",IF(ISNUMBER($E422),FLOOR(($E422-$B422)*24,1),""))</f>
        <v/>
      </c>
      <c r="J422" s="10" t="str">
        <f aca="false">IF($D422="","",IFERROR(IF(VLOOKUP($F422,Dim_Analyst!$A:$C,3,0)="Yes","Yes","No"),"No"))</f>
        <v/>
      </c>
    </row>
    <row r="423" customFormat="false" ht="15" hidden="false" customHeight="true" outlineLevel="0" collapsed="false">
      <c r="G423" s="4" t="str">
        <f aca="false">IF($D423="","",$A423&amp;"|"&amp;$B423&amp;"|"&amp;$C423&amp;"|"&amp;$D423)</f>
        <v/>
      </c>
      <c r="H423" s="4" t="str">
        <f aca="false">IF($D423="","",$G423&amp;"|"&amp;TEXT($E423,"0.000000"))</f>
        <v/>
      </c>
      <c r="I423" s="29" t="str">
        <f aca="false">IF($D423="","",IF(ISNUMBER($E423),FLOOR(($E423-$B423)*24,1),""))</f>
        <v/>
      </c>
      <c r="J423" s="10" t="str">
        <f aca="false">IF($D423="","",IFERROR(IF(VLOOKUP($F423,Dim_Analyst!$A:$C,3,0)="Yes","Yes","No"),"No"))</f>
        <v/>
      </c>
    </row>
    <row r="424" customFormat="false" ht="15" hidden="false" customHeight="true" outlineLevel="0" collapsed="false">
      <c r="G424" s="4" t="str">
        <f aca="false">IF($D424="","",$A424&amp;"|"&amp;$B424&amp;"|"&amp;$C424&amp;"|"&amp;$D424)</f>
        <v/>
      </c>
      <c r="H424" s="4" t="str">
        <f aca="false">IF($D424="","",$G424&amp;"|"&amp;TEXT($E424,"0.000000"))</f>
        <v/>
      </c>
      <c r="I424" s="29" t="str">
        <f aca="false">IF($D424="","",IF(ISNUMBER($E424),FLOOR(($E424-$B424)*24,1),""))</f>
        <v/>
      </c>
      <c r="J424" s="10" t="str">
        <f aca="false">IF($D424="","",IFERROR(IF(VLOOKUP($F424,Dim_Analyst!$A:$C,3,0)="Yes","Yes","No"),"No"))</f>
        <v/>
      </c>
    </row>
    <row r="425" customFormat="false" ht="15" hidden="false" customHeight="true" outlineLevel="0" collapsed="false">
      <c r="G425" s="4" t="str">
        <f aca="false">IF($D425="","",$A425&amp;"|"&amp;$B425&amp;"|"&amp;$C425&amp;"|"&amp;$D425)</f>
        <v/>
      </c>
      <c r="H425" s="4" t="str">
        <f aca="false">IF($D425="","",$G425&amp;"|"&amp;TEXT($E425,"0.000000"))</f>
        <v/>
      </c>
      <c r="I425" s="29" t="str">
        <f aca="false">IF($D425="","",IF(ISNUMBER($E425),FLOOR(($E425-$B425)*24,1),""))</f>
        <v/>
      </c>
      <c r="J425" s="10" t="str">
        <f aca="false">IF($D425="","",IFERROR(IF(VLOOKUP($F425,Dim_Analyst!$A:$C,3,0)="Yes","Yes","No"),"No"))</f>
        <v/>
      </c>
    </row>
    <row r="426" customFormat="false" ht="15" hidden="false" customHeight="true" outlineLevel="0" collapsed="false">
      <c r="G426" s="4" t="str">
        <f aca="false">IF($D426="","",$A426&amp;"|"&amp;$B426&amp;"|"&amp;$C426&amp;"|"&amp;$D426)</f>
        <v/>
      </c>
      <c r="H426" s="4" t="str">
        <f aca="false">IF($D426="","",$G426&amp;"|"&amp;TEXT($E426,"0.000000"))</f>
        <v/>
      </c>
      <c r="I426" s="29" t="str">
        <f aca="false">IF($D426="","",IF(ISNUMBER($E426),FLOOR(($E426-$B426)*24,1),""))</f>
        <v/>
      </c>
      <c r="J426" s="10" t="str">
        <f aca="false">IF($D426="","",IFERROR(IF(VLOOKUP($F426,Dim_Analyst!$A:$C,3,0)="Yes","Yes","No"),"No"))</f>
        <v/>
      </c>
    </row>
    <row r="427" customFormat="false" ht="15" hidden="false" customHeight="true" outlineLevel="0" collapsed="false">
      <c r="G427" s="4" t="str">
        <f aca="false">IF($D427="","",$A427&amp;"|"&amp;$B427&amp;"|"&amp;$C427&amp;"|"&amp;$D427)</f>
        <v/>
      </c>
      <c r="H427" s="4" t="str">
        <f aca="false">IF($D427="","",$G427&amp;"|"&amp;TEXT($E427,"0.000000"))</f>
        <v/>
      </c>
      <c r="I427" s="29" t="str">
        <f aca="false">IF($D427="","",IF(ISNUMBER($E427),FLOOR(($E427-$B427)*24,1),""))</f>
        <v/>
      </c>
      <c r="J427" s="10" t="str">
        <f aca="false">IF($D427="","",IFERROR(IF(VLOOKUP($F427,Dim_Analyst!$A:$C,3,0)="Yes","Yes","No"),"No"))</f>
        <v/>
      </c>
    </row>
    <row r="428" customFormat="false" ht="15" hidden="false" customHeight="true" outlineLevel="0" collapsed="false">
      <c r="G428" s="4" t="str">
        <f aca="false">IF($D428="","",$A428&amp;"|"&amp;$B428&amp;"|"&amp;$C428&amp;"|"&amp;$D428)</f>
        <v/>
      </c>
      <c r="H428" s="4" t="str">
        <f aca="false">IF($D428="","",$G428&amp;"|"&amp;TEXT($E428,"0.000000"))</f>
        <v/>
      </c>
      <c r="I428" s="29" t="str">
        <f aca="false">IF($D428="","",IF(ISNUMBER($E428),FLOOR(($E428-$B428)*24,1),""))</f>
        <v/>
      </c>
      <c r="J428" s="10" t="str">
        <f aca="false">IF($D428="","",IFERROR(IF(VLOOKUP($F428,Dim_Analyst!$A:$C,3,0)="Yes","Yes","No"),"No"))</f>
        <v/>
      </c>
    </row>
    <row r="429" customFormat="false" ht="15" hidden="false" customHeight="true" outlineLevel="0" collapsed="false">
      <c r="G429" s="4" t="str">
        <f aca="false">IF($D429="","",$A429&amp;"|"&amp;$B429&amp;"|"&amp;$C429&amp;"|"&amp;$D429)</f>
        <v/>
      </c>
      <c r="H429" s="4" t="str">
        <f aca="false">IF($D429="","",$G429&amp;"|"&amp;TEXT($E429,"0.000000"))</f>
        <v/>
      </c>
      <c r="I429" s="29" t="str">
        <f aca="false">IF($D429="","",IF(ISNUMBER($E429),FLOOR(($E429-$B429)*24,1),""))</f>
        <v/>
      </c>
      <c r="J429" s="10" t="str">
        <f aca="false">IF($D429="","",IFERROR(IF(VLOOKUP($F429,Dim_Analyst!$A:$C,3,0)="Yes","Yes","No"),"No"))</f>
        <v/>
      </c>
    </row>
    <row r="430" customFormat="false" ht="15" hidden="false" customHeight="true" outlineLevel="0" collapsed="false">
      <c r="G430" s="4" t="str">
        <f aca="false">IF($D430="","",$A430&amp;"|"&amp;$B430&amp;"|"&amp;$C430&amp;"|"&amp;$D430)</f>
        <v/>
      </c>
      <c r="H430" s="4" t="str">
        <f aca="false">IF($D430="","",$G430&amp;"|"&amp;TEXT($E430,"0.000000"))</f>
        <v/>
      </c>
      <c r="I430" s="29" t="str">
        <f aca="false">IF($D430="","",IF(ISNUMBER($E430),FLOOR(($E430-$B430)*24,1),""))</f>
        <v/>
      </c>
      <c r="J430" s="10" t="str">
        <f aca="false">IF($D430="","",IFERROR(IF(VLOOKUP($F430,Dim_Analyst!$A:$C,3,0)="Yes","Yes","No"),"No"))</f>
        <v/>
      </c>
    </row>
    <row r="431" customFormat="false" ht="15" hidden="false" customHeight="true" outlineLevel="0" collapsed="false">
      <c r="G431" s="4" t="str">
        <f aca="false">IF($D431="","",$A431&amp;"|"&amp;$B431&amp;"|"&amp;$C431&amp;"|"&amp;$D431)</f>
        <v/>
      </c>
      <c r="H431" s="4" t="str">
        <f aca="false">IF($D431="","",$G431&amp;"|"&amp;TEXT($E431,"0.000000"))</f>
        <v/>
      </c>
      <c r="I431" s="29" t="str">
        <f aca="false">IF($D431="","",IF(ISNUMBER($E431),FLOOR(($E431-$B431)*24,1),""))</f>
        <v/>
      </c>
      <c r="J431" s="10" t="str">
        <f aca="false">IF($D431="","",IFERROR(IF(VLOOKUP($F431,Dim_Analyst!$A:$C,3,0)="Yes","Yes","No"),"No"))</f>
        <v/>
      </c>
    </row>
    <row r="432" customFormat="false" ht="15" hidden="false" customHeight="true" outlineLevel="0" collapsed="false">
      <c r="G432" s="4" t="str">
        <f aca="false">IF($D432="","",$A432&amp;"|"&amp;$B432&amp;"|"&amp;$C432&amp;"|"&amp;$D432)</f>
        <v/>
      </c>
      <c r="H432" s="4" t="str">
        <f aca="false">IF($D432="","",$G432&amp;"|"&amp;TEXT($E432,"0.000000"))</f>
        <v/>
      </c>
      <c r="I432" s="29" t="str">
        <f aca="false">IF($D432="","",IF(ISNUMBER($E432),FLOOR(($E432-$B432)*24,1),""))</f>
        <v/>
      </c>
      <c r="J432" s="10" t="str">
        <f aca="false">IF($D432="","",IFERROR(IF(VLOOKUP($F432,Dim_Analyst!$A:$C,3,0)="Yes","Yes","No"),"No"))</f>
        <v/>
      </c>
    </row>
    <row r="433" customFormat="false" ht="15" hidden="false" customHeight="true" outlineLevel="0" collapsed="false">
      <c r="G433" s="4" t="str">
        <f aca="false">IF($D433="","",$A433&amp;"|"&amp;$B433&amp;"|"&amp;$C433&amp;"|"&amp;$D433)</f>
        <v/>
      </c>
      <c r="H433" s="4" t="str">
        <f aca="false">IF($D433="","",$G433&amp;"|"&amp;TEXT($E433,"0.000000"))</f>
        <v/>
      </c>
      <c r="I433" s="29" t="str">
        <f aca="false">IF($D433="","",IF(ISNUMBER($E433),FLOOR(($E433-$B433)*24,1),""))</f>
        <v/>
      </c>
      <c r="J433" s="10" t="str">
        <f aca="false">IF($D433="","",IFERROR(IF(VLOOKUP($F433,Dim_Analyst!$A:$C,3,0)="Yes","Yes","No"),"No"))</f>
        <v/>
      </c>
    </row>
    <row r="434" customFormat="false" ht="15" hidden="false" customHeight="true" outlineLevel="0" collapsed="false">
      <c r="G434" s="4" t="str">
        <f aca="false">IF($D434="","",$A434&amp;"|"&amp;$B434&amp;"|"&amp;$C434&amp;"|"&amp;$D434)</f>
        <v/>
      </c>
      <c r="H434" s="4" t="str">
        <f aca="false">IF($D434="","",$G434&amp;"|"&amp;TEXT($E434,"0.000000"))</f>
        <v/>
      </c>
      <c r="I434" s="29" t="str">
        <f aca="false">IF($D434="","",IF(ISNUMBER($E434),FLOOR(($E434-$B434)*24,1),""))</f>
        <v/>
      </c>
      <c r="J434" s="10" t="str">
        <f aca="false">IF($D434="","",IFERROR(IF(VLOOKUP($F434,Dim_Analyst!$A:$C,3,0)="Yes","Yes","No"),"No"))</f>
        <v/>
      </c>
    </row>
    <row r="435" customFormat="false" ht="15" hidden="false" customHeight="true" outlineLevel="0" collapsed="false">
      <c r="G435" s="4" t="str">
        <f aca="false">IF($D435="","",$A435&amp;"|"&amp;$B435&amp;"|"&amp;$C435&amp;"|"&amp;$D435)</f>
        <v/>
      </c>
      <c r="H435" s="4" t="str">
        <f aca="false">IF($D435="","",$G435&amp;"|"&amp;TEXT($E435,"0.000000"))</f>
        <v/>
      </c>
      <c r="I435" s="29" t="str">
        <f aca="false">IF($D435="","",IF(ISNUMBER($E435),FLOOR(($E435-$B435)*24,1),""))</f>
        <v/>
      </c>
      <c r="J435" s="10" t="str">
        <f aca="false">IF($D435="","",IFERROR(IF(VLOOKUP($F435,Dim_Analyst!$A:$C,3,0)="Yes","Yes","No"),"No"))</f>
        <v/>
      </c>
    </row>
    <row r="436" customFormat="false" ht="15" hidden="false" customHeight="true" outlineLevel="0" collapsed="false">
      <c r="G436" s="4" t="str">
        <f aca="false">IF($D436="","",$A436&amp;"|"&amp;$B436&amp;"|"&amp;$C436&amp;"|"&amp;$D436)</f>
        <v/>
      </c>
      <c r="H436" s="4" t="str">
        <f aca="false">IF($D436="","",$G436&amp;"|"&amp;TEXT($E436,"0.000000"))</f>
        <v/>
      </c>
      <c r="I436" s="29" t="str">
        <f aca="false">IF($D436="","",IF(ISNUMBER($E436),FLOOR(($E436-$B436)*24,1),""))</f>
        <v/>
      </c>
      <c r="J436" s="10" t="str">
        <f aca="false">IF($D436="","",IFERROR(IF(VLOOKUP($F436,Dim_Analyst!$A:$C,3,0)="Yes","Yes","No"),"No"))</f>
        <v/>
      </c>
    </row>
    <row r="437" customFormat="false" ht="15" hidden="false" customHeight="true" outlineLevel="0" collapsed="false">
      <c r="G437" s="4" t="str">
        <f aca="false">IF($D437="","",$A437&amp;"|"&amp;$B437&amp;"|"&amp;$C437&amp;"|"&amp;$D437)</f>
        <v/>
      </c>
      <c r="H437" s="4" t="str">
        <f aca="false">IF($D437="","",$G437&amp;"|"&amp;TEXT($E437,"0.000000"))</f>
        <v/>
      </c>
      <c r="I437" s="29" t="str">
        <f aca="false">IF($D437="","",IF(ISNUMBER($E437),FLOOR(($E437-$B437)*24,1),""))</f>
        <v/>
      </c>
      <c r="J437" s="10" t="str">
        <f aca="false">IF($D437="","",IFERROR(IF(VLOOKUP($F437,Dim_Analyst!$A:$C,3,0)="Yes","Yes","No"),"No"))</f>
        <v/>
      </c>
    </row>
    <row r="438" customFormat="false" ht="15" hidden="false" customHeight="true" outlineLevel="0" collapsed="false">
      <c r="G438" s="4" t="str">
        <f aca="false">IF($D438="","",$A438&amp;"|"&amp;$B438&amp;"|"&amp;$C438&amp;"|"&amp;$D438)</f>
        <v/>
      </c>
      <c r="H438" s="4" t="str">
        <f aca="false">IF($D438="","",$G438&amp;"|"&amp;TEXT($E438,"0.000000"))</f>
        <v/>
      </c>
      <c r="I438" s="29" t="str">
        <f aca="false">IF($D438="","",IF(ISNUMBER($E438),FLOOR(($E438-$B438)*24,1),""))</f>
        <v/>
      </c>
      <c r="J438" s="10" t="str">
        <f aca="false">IF($D438="","",IFERROR(IF(VLOOKUP($F438,Dim_Analyst!$A:$C,3,0)="Yes","Yes","No"),"No"))</f>
        <v/>
      </c>
    </row>
    <row r="439" customFormat="false" ht="15" hidden="false" customHeight="true" outlineLevel="0" collapsed="false">
      <c r="G439" s="4" t="str">
        <f aca="false">IF($D439="","",$A439&amp;"|"&amp;$B439&amp;"|"&amp;$C439&amp;"|"&amp;$D439)</f>
        <v/>
      </c>
      <c r="H439" s="4" t="str">
        <f aca="false">IF($D439="","",$G439&amp;"|"&amp;TEXT($E439,"0.000000"))</f>
        <v/>
      </c>
      <c r="I439" s="29" t="str">
        <f aca="false">IF($D439="","",IF(ISNUMBER($E439),FLOOR(($E439-$B439)*24,1),""))</f>
        <v/>
      </c>
      <c r="J439" s="10" t="str">
        <f aca="false">IF($D439="","",IFERROR(IF(VLOOKUP($F439,Dim_Analyst!$A:$C,3,0)="Yes","Yes","No"),"No"))</f>
        <v/>
      </c>
    </row>
    <row r="440" customFormat="false" ht="15" hidden="false" customHeight="true" outlineLevel="0" collapsed="false">
      <c r="G440" s="4" t="str">
        <f aca="false">IF($D440="","",$A440&amp;"|"&amp;$B440&amp;"|"&amp;$C440&amp;"|"&amp;$D440)</f>
        <v/>
      </c>
      <c r="H440" s="4" t="str">
        <f aca="false">IF($D440="","",$G440&amp;"|"&amp;TEXT($E440,"0.000000"))</f>
        <v/>
      </c>
      <c r="I440" s="29" t="str">
        <f aca="false">IF($D440="","",IF(ISNUMBER($E440),FLOOR(($E440-$B440)*24,1),""))</f>
        <v/>
      </c>
      <c r="J440" s="10" t="str">
        <f aca="false">IF($D440="","",IFERROR(IF(VLOOKUP($F440,Dim_Analyst!$A:$C,3,0)="Yes","Yes","No"),"No"))</f>
        <v/>
      </c>
    </row>
    <row r="441" customFormat="false" ht="15" hidden="false" customHeight="true" outlineLevel="0" collapsed="false">
      <c r="G441" s="4" t="str">
        <f aca="false">IF($D441="","",$A441&amp;"|"&amp;$B441&amp;"|"&amp;$C441&amp;"|"&amp;$D441)</f>
        <v/>
      </c>
      <c r="H441" s="4" t="str">
        <f aca="false">IF($D441="","",$G441&amp;"|"&amp;TEXT($E441,"0.000000"))</f>
        <v/>
      </c>
      <c r="I441" s="29" t="str">
        <f aca="false">IF($D441="","",IF(ISNUMBER($E441),FLOOR(($E441-$B441)*24,1),""))</f>
        <v/>
      </c>
      <c r="J441" s="10" t="str">
        <f aca="false">IF($D441="","",IFERROR(IF(VLOOKUP($F441,Dim_Analyst!$A:$C,3,0)="Yes","Yes","No"),"No"))</f>
        <v/>
      </c>
    </row>
    <row r="442" customFormat="false" ht="15" hidden="false" customHeight="true" outlineLevel="0" collapsed="false">
      <c r="G442" s="4" t="str">
        <f aca="false">IF($D442="","",$A442&amp;"|"&amp;$B442&amp;"|"&amp;$C442&amp;"|"&amp;$D442)</f>
        <v/>
      </c>
      <c r="H442" s="4" t="str">
        <f aca="false">IF($D442="","",$G442&amp;"|"&amp;TEXT($E442,"0.000000"))</f>
        <v/>
      </c>
      <c r="I442" s="29" t="str">
        <f aca="false">IF($D442="","",IF(ISNUMBER($E442),FLOOR(($E442-$B442)*24,1),""))</f>
        <v/>
      </c>
      <c r="J442" s="10" t="str">
        <f aca="false">IF($D442="","",IFERROR(IF(VLOOKUP($F442,Dim_Analyst!$A:$C,3,0)="Yes","Yes","No"),"No"))</f>
        <v/>
      </c>
    </row>
    <row r="443" customFormat="false" ht="15" hidden="false" customHeight="true" outlineLevel="0" collapsed="false">
      <c r="G443" s="4" t="str">
        <f aca="false">IF($D443="","",$A443&amp;"|"&amp;$B443&amp;"|"&amp;$C443&amp;"|"&amp;$D443)</f>
        <v/>
      </c>
      <c r="H443" s="4" t="str">
        <f aca="false">IF($D443="","",$G443&amp;"|"&amp;TEXT($E443,"0.000000"))</f>
        <v/>
      </c>
      <c r="I443" s="29" t="str">
        <f aca="false">IF($D443="","",IF(ISNUMBER($E443),FLOOR(($E443-$B443)*24,1),""))</f>
        <v/>
      </c>
      <c r="J443" s="10" t="str">
        <f aca="false">IF($D443="","",IFERROR(IF(VLOOKUP($F443,Dim_Analyst!$A:$C,3,0)="Yes","Yes","No"),"No"))</f>
        <v/>
      </c>
    </row>
    <row r="444" customFormat="false" ht="15" hidden="false" customHeight="true" outlineLevel="0" collapsed="false">
      <c r="G444" s="4" t="str">
        <f aca="false">IF($D444="","",$A444&amp;"|"&amp;$B444&amp;"|"&amp;$C444&amp;"|"&amp;$D444)</f>
        <v/>
      </c>
      <c r="H444" s="4" t="str">
        <f aca="false">IF($D444="","",$G444&amp;"|"&amp;TEXT($E444,"0.000000"))</f>
        <v/>
      </c>
      <c r="I444" s="29" t="str">
        <f aca="false">IF($D444="","",IF(ISNUMBER($E444),FLOOR(($E444-$B444)*24,1),""))</f>
        <v/>
      </c>
      <c r="J444" s="10" t="str">
        <f aca="false">IF($D444="","",IFERROR(IF(VLOOKUP($F444,Dim_Analyst!$A:$C,3,0)="Yes","Yes","No"),"No"))</f>
        <v/>
      </c>
    </row>
    <row r="445" customFormat="false" ht="15" hidden="false" customHeight="true" outlineLevel="0" collapsed="false">
      <c r="G445" s="4" t="str">
        <f aca="false">IF($D445="","",$A445&amp;"|"&amp;$B445&amp;"|"&amp;$C445&amp;"|"&amp;$D445)</f>
        <v/>
      </c>
      <c r="H445" s="4" t="str">
        <f aca="false">IF($D445="","",$G445&amp;"|"&amp;TEXT($E445,"0.000000"))</f>
        <v/>
      </c>
      <c r="I445" s="29" t="str">
        <f aca="false">IF($D445="","",IF(ISNUMBER($E445),FLOOR(($E445-$B445)*24,1),""))</f>
        <v/>
      </c>
      <c r="J445" s="10" t="str">
        <f aca="false">IF($D445="","",IFERROR(IF(VLOOKUP($F445,Dim_Analyst!$A:$C,3,0)="Yes","Yes","No"),"No"))</f>
        <v/>
      </c>
    </row>
    <row r="446" customFormat="false" ht="15" hidden="false" customHeight="true" outlineLevel="0" collapsed="false">
      <c r="G446" s="4" t="str">
        <f aca="false">IF($D446="","",$A446&amp;"|"&amp;$B446&amp;"|"&amp;$C446&amp;"|"&amp;$D446)</f>
        <v/>
      </c>
      <c r="H446" s="4" t="str">
        <f aca="false">IF($D446="","",$G446&amp;"|"&amp;TEXT($E446,"0.000000"))</f>
        <v/>
      </c>
      <c r="I446" s="29" t="str">
        <f aca="false">IF($D446="","",IF(ISNUMBER($E446),FLOOR(($E446-$B446)*24,1),""))</f>
        <v/>
      </c>
      <c r="J446" s="10" t="str">
        <f aca="false">IF($D446="","",IFERROR(IF(VLOOKUP($F446,Dim_Analyst!$A:$C,3,0)="Yes","Yes","No"),"No"))</f>
        <v/>
      </c>
    </row>
    <row r="447" customFormat="false" ht="15" hidden="false" customHeight="true" outlineLevel="0" collapsed="false">
      <c r="G447" s="4" t="str">
        <f aca="false">IF($D447="","",$A447&amp;"|"&amp;$B447&amp;"|"&amp;$C447&amp;"|"&amp;$D447)</f>
        <v/>
      </c>
      <c r="H447" s="4" t="str">
        <f aca="false">IF($D447="","",$G447&amp;"|"&amp;TEXT($E447,"0.000000"))</f>
        <v/>
      </c>
      <c r="I447" s="29" t="str">
        <f aca="false">IF($D447="","",IF(ISNUMBER($E447),FLOOR(($E447-$B447)*24,1),""))</f>
        <v/>
      </c>
      <c r="J447" s="10" t="str">
        <f aca="false">IF($D447="","",IFERROR(IF(VLOOKUP($F447,Dim_Analyst!$A:$C,3,0)="Yes","Yes","No"),"No"))</f>
        <v/>
      </c>
    </row>
    <row r="448" customFormat="false" ht="15" hidden="false" customHeight="true" outlineLevel="0" collapsed="false">
      <c r="G448" s="4" t="str">
        <f aca="false">IF($D448="","",$A448&amp;"|"&amp;$B448&amp;"|"&amp;$C448&amp;"|"&amp;$D448)</f>
        <v/>
      </c>
      <c r="H448" s="4" t="str">
        <f aca="false">IF($D448="","",$G448&amp;"|"&amp;TEXT($E448,"0.000000"))</f>
        <v/>
      </c>
      <c r="I448" s="29" t="str">
        <f aca="false">IF($D448="","",IF(ISNUMBER($E448),FLOOR(($E448-$B448)*24,1),""))</f>
        <v/>
      </c>
      <c r="J448" s="10" t="str">
        <f aca="false">IF($D448="","",IFERROR(IF(VLOOKUP($F448,Dim_Analyst!$A:$C,3,0)="Yes","Yes","No"),"No"))</f>
        <v/>
      </c>
    </row>
    <row r="449" customFormat="false" ht="15" hidden="false" customHeight="true" outlineLevel="0" collapsed="false">
      <c r="G449" s="4" t="str">
        <f aca="false">IF($D449="","",$A449&amp;"|"&amp;$B449&amp;"|"&amp;$C449&amp;"|"&amp;$D449)</f>
        <v/>
      </c>
      <c r="H449" s="4" t="str">
        <f aca="false">IF($D449="","",$G449&amp;"|"&amp;TEXT($E449,"0.000000"))</f>
        <v/>
      </c>
      <c r="I449" s="29" t="str">
        <f aca="false">IF($D449="","",IF(ISNUMBER($E449),FLOOR(($E449-$B449)*24,1),""))</f>
        <v/>
      </c>
      <c r="J449" s="10" t="str">
        <f aca="false">IF($D449="","",IFERROR(IF(VLOOKUP($F449,Dim_Analyst!$A:$C,3,0)="Yes","Yes","No"),"No"))</f>
        <v/>
      </c>
    </row>
    <row r="450" customFormat="false" ht="15" hidden="false" customHeight="true" outlineLevel="0" collapsed="false">
      <c r="G450" s="4" t="str">
        <f aca="false">IF($D450="","",$A450&amp;"|"&amp;$B450&amp;"|"&amp;$C450&amp;"|"&amp;$D450)</f>
        <v/>
      </c>
      <c r="H450" s="4" t="str">
        <f aca="false">IF($D450="","",$G450&amp;"|"&amp;TEXT($E450,"0.000000"))</f>
        <v/>
      </c>
      <c r="I450" s="29" t="str">
        <f aca="false">IF($D450="","",IF(ISNUMBER($E450),FLOOR(($E450-$B450)*24,1),""))</f>
        <v/>
      </c>
      <c r="J450" s="10" t="str">
        <f aca="false">IF($D450="","",IFERROR(IF(VLOOKUP($F450,Dim_Analyst!$A:$C,3,0)="Yes","Yes","No"),"No"))</f>
        <v/>
      </c>
    </row>
    <row r="451" customFormat="false" ht="15" hidden="false" customHeight="true" outlineLevel="0" collapsed="false">
      <c r="G451" s="4" t="str">
        <f aca="false">IF($D451="","",$A451&amp;"|"&amp;$B451&amp;"|"&amp;$C451&amp;"|"&amp;$D451)</f>
        <v/>
      </c>
      <c r="H451" s="4" t="str">
        <f aca="false">IF($D451="","",$G451&amp;"|"&amp;TEXT($E451,"0.000000"))</f>
        <v/>
      </c>
      <c r="I451" s="29" t="str">
        <f aca="false">IF($D451="","",IF(ISNUMBER($E451),FLOOR(($E451-$B451)*24,1),""))</f>
        <v/>
      </c>
      <c r="J451" s="10" t="str">
        <f aca="false">IF($D451="","",IFERROR(IF(VLOOKUP($F451,Dim_Analyst!$A:$C,3,0)="Yes","Yes","No"),"No"))</f>
        <v/>
      </c>
    </row>
    <row r="452" customFormat="false" ht="15" hidden="false" customHeight="true" outlineLevel="0" collapsed="false">
      <c r="G452" s="4" t="str">
        <f aca="false">IF($D452="","",$A452&amp;"|"&amp;$B452&amp;"|"&amp;$C452&amp;"|"&amp;$D452)</f>
        <v/>
      </c>
      <c r="H452" s="4" t="str">
        <f aca="false">IF($D452="","",$G452&amp;"|"&amp;TEXT($E452,"0.000000"))</f>
        <v/>
      </c>
      <c r="I452" s="29" t="str">
        <f aca="false">IF($D452="","",IF(ISNUMBER($E452),FLOOR(($E452-$B452)*24,1),""))</f>
        <v/>
      </c>
      <c r="J452" s="10" t="str">
        <f aca="false">IF($D452="","",IFERROR(IF(VLOOKUP($F452,Dim_Analyst!$A:$C,3,0)="Yes","Yes","No"),"No"))</f>
        <v/>
      </c>
    </row>
    <row r="453" customFormat="false" ht="15" hidden="false" customHeight="true" outlineLevel="0" collapsed="false">
      <c r="G453" s="4" t="str">
        <f aca="false">IF($D453="","",$A453&amp;"|"&amp;$B453&amp;"|"&amp;$C453&amp;"|"&amp;$D453)</f>
        <v/>
      </c>
      <c r="H453" s="4" t="str">
        <f aca="false">IF($D453="","",$G453&amp;"|"&amp;TEXT($E453,"0.000000"))</f>
        <v/>
      </c>
      <c r="I453" s="29" t="str">
        <f aca="false">IF($D453="","",IF(ISNUMBER($E453),FLOOR(($E453-$B453)*24,1),""))</f>
        <v/>
      </c>
      <c r="J453" s="10" t="str">
        <f aca="false">IF($D453="","",IFERROR(IF(VLOOKUP($F453,Dim_Analyst!$A:$C,3,0)="Yes","Yes","No"),"No"))</f>
        <v/>
      </c>
    </row>
    <row r="454" customFormat="false" ht="15" hidden="false" customHeight="true" outlineLevel="0" collapsed="false">
      <c r="G454" s="4" t="str">
        <f aca="false">IF($D454="","",$A454&amp;"|"&amp;$B454&amp;"|"&amp;$C454&amp;"|"&amp;$D454)</f>
        <v/>
      </c>
      <c r="H454" s="4" t="str">
        <f aca="false">IF($D454="","",$G454&amp;"|"&amp;TEXT($E454,"0.000000"))</f>
        <v/>
      </c>
      <c r="I454" s="29" t="str">
        <f aca="false">IF($D454="","",IF(ISNUMBER($E454),FLOOR(($E454-$B454)*24,1),""))</f>
        <v/>
      </c>
      <c r="J454" s="10" t="str">
        <f aca="false">IF($D454="","",IFERROR(IF(VLOOKUP($F454,Dim_Analyst!$A:$C,3,0)="Yes","Yes","No"),"No"))</f>
        <v/>
      </c>
    </row>
    <row r="455" customFormat="false" ht="15" hidden="false" customHeight="true" outlineLevel="0" collapsed="false">
      <c r="G455" s="4" t="str">
        <f aca="false">IF($D455="","",$A455&amp;"|"&amp;$B455&amp;"|"&amp;$C455&amp;"|"&amp;$D455)</f>
        <v/>
      </c>
      <c r="H455" s="4" t="str">
        <f aca="false">IF($D455="","",$G455&amp;"|"&amp;TEXT($E455,"0.000000"))</f>
        <v/>
      </c>
      <c r="I455" s="29" t="str">
        <f aca="false">IF($D455="","",IF(ISNUMBER($E455),FLOOR(($E455-$B455)*24,1),""))</f>
        <v/>
      </c>
      <c r="J455" s="10" t="str">
        <f aca="false">IF($D455="","",IFERROR(IF(VLOOKUP($F455,Dim_Analyst!$A:$C,3,0)="Yes","Yes","No"),"No"))</f>
        <v/>
      </c>
    </row>
    <row r="456" customFormat="false" ht="15" hidden="false" customHeight="true" outlineLevel="0" collapsed="false">
      <c r="G456" s="4" t="str">
        <f aca="false">IF($D456="","",$A456&amp;"|"&amp;$B456&amp;"|"&amp;$C456&amp;"|"&amp;$D456)</f>
        <v/>
      </c>
      <c r="H456" s="4" t="str">
        <f aca="false">IF($D456="","",$G456&amp;"|"&amp;TEXT($E456,"0.000000"))</f>
        <v/>
      </c>
      <c r="I456" s="29" t="str">
        <f aca="false">IF($D456="","",IF(ISNUMBER($E456),FLOOR(($E456-$B456)*24,1),""))</f>
        <v/>
      </c>
      <c r="J456" s="10" t="str">
        <f aca="false">IF($D456="","",IFERROR(IF(VLOOKUP($F456,Dim_Analyst!$A:$C,3,0)="Yes","Yes","No"),"No"))</f>
        <v/>
      </c>
    </row>
    <row r="457" customFormat="false" ht="15" hidden="false" customHeight="true" outlineLevel="0" collapsed="false">
      <c r="G457" s="4" t="str">
        <f aca="false">IF($D457="","",$A457&amp;"|"&amp;$B457&amp;"|"&amp;$C457&amp;"|"&amp;$D457)</f>
        <v/>
      </c>
      <c r="H457" s="4" t="str">
        <f aca="false">IF($D457="","",$G457&amp;"|"&amp;TEXT($E457,"0.000000"))</f>
        <v/>
      </c>
      <c r="I457" s="29" t="str">
        <f aca="false">IF($D457="","",IF(ISNUMBER($E457),FLOOR(($E457-$B457)*24,1),""))</f>
        <v/>
      </c>
      <c r="J457" s="10" t="str">
        <f aca="false">IF($D457="","",IFERROR(IF(VLOOKUP($F457,Dim_Analyst!$A:$C,3,0)="Yes","Yes","No"),"No"))</f>
        <v/>
      </c>
    </row>
    <row r="458" customFormat="false" ht="15" hidden="false" customHeight="true" outlineLevel="0" collapsed="false">
      <c r="G458" s="4" t="str">
        <f aca="false">IF($D458="","",$A458&amp;"|"&amp;$B458&amp;"|"&amp;$C458&amp;"|"&amp;$D458)</f>
        <v/>
      </c>
      <c r="H458" s="4" t="str">
        <f aca="false">IF($D458="","",$G458&amp;"|"&amp;TEXT($E458,"0.000000"))</f>
        <v/>
      </c>
      <c r="I458" s="29" t="str">
        <f aca="false">IF($D458="","",IF(ISNUMBER($E458),FLOOR(($E458-$B458)*24,1),""))</f>
        <v/>
      </c>
      <c r="J458" s="10" t="str">
        <f aca="false">IF($D458="","",IFERROR(IF(VLOOKUP($F458,Dim_Analyst!$A:$C,3,0)="Yes","Yes","No"),"No"))</f>
        <v/>
      </c>
    </row>
    <row r="459" customFormat="false" ht="15" hidden="false" customHeight="true" outlineLevel="0" collapsed="false">
      <c r="G459" s="4" t="str">
        <f aca="false">IF($D459="","",$A459&amp;"|"&amp;$B459&amp;"|"&amp;$C459&amp;"|"&amp;$D459)</f>
        <v/>
      </c>
      <c r="H459" s="4" t="str">
        <f aca="false">IF($D459="","",$G459&amp;"|"&amp;TEXT($E459,"0.000000"))</f>
        <v/>
      </c>
      <c r="I459" s="29" t="str">
        <f aca="false">IF($D459="","",IF(ISNUMBER($E459),FLOOR(($E459-$B459)*24,1),""))</f>
        <v/>
      </c>
      <c r="J459" s="10" t="str">
        <f aca="false">IF($D459="","",IFERROR(IF(VLOOKUP($F459,Dim_Analyst!$A:$C,3,0)="Yes","Yes","No"),"No"))</f>
        <v/>
      </c>
    </row>
    <row r="460" customFormat="false" ht="15" hidden="false" customHeight="true" outlineLevel="0" collapsed="false">
      <c r="G460" s="4" t="str">
        <f aca="false">IF($D460="","",$A460&amp;"|"&amp;$B460&amp;"|"&amp;$C460&amp;"|"&amp;$D460)</f>
        <v/>
      </c>
      <c r="H460" s="4" t="str">
        <f aca="false">IF($D460="","",$G460&amp;"|"&amp;TEXT($E460,"0.000000"))</f>
        <v/>
      </c>
      <c r="I460" s="29" t="str">
        <f aca="false">IF($D460="","",IF(ISNUMBER($E460),FLOOR(($E460-$B460)*24,1),""))</f>
        <v/>
      </c>
      <c r="J460" s="10" t="str">
        <f aca="false">IF($D460="","",IFERROR(IF(VLOOKUP($F460,Dim_Analyst!$A:$C,3,0)="Yes","Yes","No"),"No"))</f>
        <v/>
      </c>
    </row>
    <row r="461" customFormat="false" ht="15" hidden="false" customHeight="true" outlineLevel="0" collapsed="false">
      <c r="G461" s="4" t="str">
        <f aca="false">IF($D461="","",$A461&amp;"|"&amp;$B461&amp;"|"&amp;$C461&amp;"|"&amp;$D461)</f>
        <v/>
      </c>
      <c r="H461" s="4" t="str">
        <f aca="false">IF($D461="","",$G461&amp;"|"&amp;TEXT($E461,"0.000000"))</f>
        <v/>
      </c>
      <c r="I461" s="29" t="str">
        <f aca="false">IF($D461="","",IF(ISNUMBER($E461),FLOOR(($E461-$B461)*24,1),""))</f>
        <v/>
      </c>
      <c r="J461" s="10" t="str">
        <f aca="false">IF($D461="","",IFERROR(IF(VLOOKUP($F461,Dim_Analyst!$A:$C,3,0)="Yes","Yes","No"),"No"))</f>
        <v/>
      </c>
    </row>
    <row r="462" customFormat="false" ht="15" hidden="false" customHeight="true" outlineLevel="0" collapsed="false">
      <c r="G462" s="4" t="str">
        <f aca="false">IF($D462="","",$A462&amp;"|"&amp;$B462&amp;"|"&amp;$C462&amp;"|"&amp;$D462)</f>
        <v/>
      </c>
      <c r="H462" s="4" t="str">
        <f aca="false">IF($D462="","",$G462&amp;"|"&amp;TEXT($E462,"0.000000"))</f>
        <v/>
      </c>
      <c r="I462" s="29" t="str">
        <f aca="false">IF($D462="","",IF(ISNUMBER($E462),FLOOR(($E462-$B462)*24,1),""))</f>
        <v/>
      </c>
      <c r="J462" s="10" t="str">
        <f aca="false">IF($D462="","",IFERROR(IF(VLOOKUP($F462,Dim_Analyst!$A:$C,3,0)="Yes","Yes","No"),"No"))</f>
        <v/>
      </c>
    </row>
    <row r="463" customFormat="false" ht="15" hidden="false" customHeight="true" outlineLevel="0" collapsed="false">
      <c r="G463" s="4" t="str">
        <f aca="false">IF($D463="","",$A463&amp;"|"&amp;$B463&amp;"|"&amp;$C463&amp;"|"&amp;$D463)</f>
        <v/>
      </c>
      <c r="H463" s="4" t="str">
        <f aca="false">IF($D463="","",$G463&amp;"|"&amp;TEXT($E463,"0.000000"))</f>
        <v/>
      </c>
      <c r="I463" s="29" t="str">
        <f aca="false">IF($D463="","",IF(ISNUMBER($E463),FLOOR(($E463-$B463)*24,1),""))</f>
        <v/>
      </c>
      <c r="J463" s="10" t="str">
        <f aca="false">IF($D463="","",IFERROR(IF(VLOOKUP($F463,Dim_Analyst!$A:$C,3,0)="Yes","Yes","No"),"No"))</f>
        <v/>
      </c>
    </row>
    <row r="464" customFormat="false" ht="15" hidden="false" customHeight="true" outlineLevel="0" collapsed="false">
      <c r="G464" s="4" t="str">
        <f aca="false">IF($D464="","",$A464&amp;"|"&amp;$B464&amp;"|"&amp;$C464&amp;"|"&amp;$D464)</f>
        <v/>
      </c>
      <c r="H464" s="4" t="str">
        <f aca="false">IF($D464="","",$G464&amp;"|"&amp;TEXT($E464,"0.000000"))</f>
        <v/>
      </c>
      <c r="I464" s="29" t="str">
        <f aca="false">IF($D464="","",IF(ISNUMBER($E464),FLOOR(($E464-$B464)*24,1),""))</f>
        <v/>
      </c>
      <c r="J464" s="10" t="str">
        <f aca="false">IF($D464="","",IFERROR(IF(VLOOKUP($F464,Dim_Analyst!$A:$C,3,0)="Yes","Yes","No"),"No"))</f>
        <v/>
      </c>
    </row>
    <row r="465" customFormat="false" ht="15" hidden="false" customHeight="true" outlineLevel="0" collapsed="false">
      <c r="G465" s="4" t="str">
        <f aca="false">IF($D465="","",$A465&amp;"|"&amp;$B465&amp;"|"&amp;$C465&amp;"|"&amp;$D465)</f>
        <v/>
      </c>
      <c r="H465" s="4" t="str">
        <f aca="false">IF($D465="","",$G465&amp;"|"&amp;TEXT($E465,"0.000000"))</f>
        <v/>
      </c>
      <c r="I465" s="29" t="str">
        <f aca="false">IF($D465="","",IF(ISNUMBER($E465),FLOOR(($E465-$B465)*24,1),""))</f>
        <v/>
      </c>
      <c r="J465" s="10" t="str">
        <f aca="false">IF($D465="","",IFERROR(IF(VLOOKUP($F465,Dim_Analyst!$A:$C,3,0)="Yes","Yes","No"),"No"))</f>
        <v/>
      </c>
    </row>
    <row r="466" customFormat="false" ht="15" hidden="false" customHeight="true" outlineLevel="0" collapsed="false">
      <c r="G466" s="4" t="str">
        <f aca="false">IF($D466="","",$A466&amp;"|"&amp;$B466&amp;"|"&amp;$C466&amp;"|"&amp;$D466)</f>
        <v/>
      </c>
      <c r="H466" s="4" t="str">
        <f aca="false">IF($D466="","",$G466&amp;"|"&amp;TEXT($E466,"0.000000"))</f>
        <v/>
      </c>
      <c r="I466" s="29" t="str">
        <f aca="false">IF($D466="","",IF(ISNUMBER($E466),FLOOR(($E466-$B466)*24,1),""))</f>
        <v/>
      </c>
      <c r="J466" s="10" t="str">
        <f aca="false">IF($D466="","",IFERROR(IF(VLOOKUP($F466,Dim_Analyst!$A:$C,3,0)="Yes","Yes","No"),"No"))</f>
        <v/>
      </c>
    </row>
    <row r="467" customFormat="false" ht="15" hidden="false" customHeight="true" outlineLevel="0" collapsed="false">
      <c r="G467" s="4" t="str">
        <f aca="false">IF($D467="","",$A467&amp;"|"&amp;$B467&amp;"|"&amp;$C467&amp;"|"&amp;$D467)</f>
        <v/>
      </c>
      <c r="H467" s="4" t="str">
        <f aca="false">IF($D467="","",$G467&amp;"|"&amp;TEXT($E467,"0.000000"))</f>
        <v/>
      </c>
      <c r="I467" s="29" t="str">
        <f aca="false">IF($D467="","",IF(ISNUMBER($E467),FLOOR(($E467-$B467)*24,1),""))</f>
        <v/>
      </c>
      <c r="J467" s="10" t="str">
        <f aca="false">IF($D467="","",IFERROR(IF(VLOOKUP($F467,Dim_Analyst!$A:$C,3,0)="Yes","Yes","No"),"No"))</f>
        <v/>
      </c>
    </row>
    <row r="468" customFormat="false" ht="15" hidden="false" customHeight="true" outlineLevel="0" collapsed="false">
      <c r="G468" s="4" t="str">
        <f aca="false">IF($D468="","",$A468&amp;"|"&amp;$B468&amp;"|"&amp;$C468&amp;"|"&amp;$D468)</f>
        <v/>
      </c>
      <c r="H468" s="4" t="str">
        <f aca="false">IF($D468="","",$G468&amp;"|"&amp;TEXT($E468,"0.000000"))</f>
        <v/>
      </c>
      <c r="I468" s="29" t="str">
        <f aca="false">IF($D468="","",IF(ISNUMBER($E468),FLOOR(($E468-$B468)*24,1),""))</f>
        <v/>
      </c>
      <c r="J468" s="10" t="str">
        <f aca="false">IF($D468="","",IFERROR(IF(VLOOKUP($F468,Dim_Analyst!$A:$C,3,0)="Yes","Yes","No"),"No"))</f>
        <v/>
      </c>
    </row>
    <row r="469" customFormat="false" ht="15" hidden="false" customHeight="true" outlineLevel="0" collapsed="false">
      <c r="G469" s="4" t="str">
        <f aca="false">IF($D469="","",$A469&amp;"|"&amp;$B469&amp;"|"&amp;$C469&amp;"|"&amp;$D469)</f>
        <v/>
      </c>
      <c r="H469" s="4" t="str">
        <f aca="false">IF($D469="","",$G469&amp;"|"&amp;TEXT($E469,"0.000000"))</f>
        <v/>
      </c>
      <c r="I469" s="29" t="str">
        <f aca="false">IF($D469="","",IF(ISNUMBER($E469),FLOOR(($E469-$B469)*24,1),""))</f>
        <v/>
      </c>
      <c r="J469" s="10" t="str">
        <f aca="false">IF($D469="","",IFERROR(IF(VLOOKUP($F469,Dim_Analyst!$A:$C,3,0)="Yes","Yes","No"),"No"))</f>
        <v/>
      </c>
    </row>
    <row r="470" customFormat="false" ht="15" hidden="false" customHeight="true" outlineLevel="0" collapsed="false">
      <c r="G470" s="4" t="str">
        <f aca="false">IF($D470="","",$A470&amp;"|"&amp;$B470&amp;"|"&amp;$C470&amp;"|"&amp;$D470)</f>
        <v/>
      </c>
      <c r="H470" s="4" t="str">
        <f aca="false">IF($D470="","",$G470&amp;"|"&amp;TEXT($E470,"0.000000"))</f>
        <v/>
      </c>
      <c r="I470" s="29" t="str">
        <f aca="false">IF($D470="","",IF(ISNUMBER($E470),FLOOR(($E470-$B470)*24,1),""))</f>
        <v/>
      </c>
      <c r="J470" s="10" t="str">
        <f aca="false">IF($D470="","",IFERROR(IF(VLOOKUP($F470,Dim_Analyst!$A:$C,3,0)="Yes","Yes","No"),"No"))</f>
        <v/>
      </c>
    </row>
    <row r="471" customFormat="false" ht="15" hidden="false" customHeight="true" outlineLevel="0" collapsed="false">
      <c r="G471" s="4" t="str">
        <f aca="false">IF($D471="","",$A471&amp;"|"&amp;$B471&amp;"|"&amp;$C471&amp;"|"&amp;$D471)</f>
        <v/>
      </c>
      <c r="H471" s="4" t="str">
        <f aca="false">IF($D471="","",$G471&amp;"|"&amp;TEXT($E471,"0.000000"))</f>
        <v/>
      </c>
      <c r="I471" s="29" t="str">
        <f aca="false">IF($D471="","",IF(ISNUMBER($E471),FLOOR(($E471-$B471)*24,1),""))</f>
        <v/>
      </c>
      <c r="J471" s="10" t="str">
        <f aca="false">IF($D471="","",IFERROR(IF(VLOOKUP($F471,Dim_Analyst!$A:$C,3,0)="Yes","Yes","No"),"No"))</f>
        <v/>
      </c>
    </row>
    <row r="472" customFormat="false" ht="15" hidden="false" customHeight="true" outlineLevel="0" collapsed="false">
      <c r="G472" s="4" t="str">
        <f aca="false">IF($D472="","",$A472&amp;"|"&amp;$B472&amp;"|"&amp;$C472&amp;"|"&amp;$D472)</f>
        <v/>
      </c>
      <c r="H472" s="4" t="str">
        <f aca="false">IF($D472="","",$G472&amp;"|"&amp;TEXT($E472,"0.000000"))</f>
        <v/>
      </c>
      <c r="I472" s="29" t="str">
        <f aca="false">IF($D472="","",IF(ISNUMBER($E472),FLOOR(($E472-$B472)*24,1),""))</f>
        <v/>
      </c>
      <c r="J472" s="10" t="str">
        <f aca="false">IF($D472="","",IFERROR(IF(VLOOKUP($F472,Dim_Analyst!$A:$C,3,0)="Yes","Yes","No"),"No"))</f>
        <v/>
      </c>
    </row>
    <row r="473" customFormat="false" ht="15" hidden="false" customHeight="true" outlineLevel="0" collapsed="false">
      <c r="G473" s="4" t="str">
        <f aca="false">IF($D473="","",$A473&amp;"|"&amp;$B473&amp;"|"&amp;$C473&amp;"|"&amp;$D473)</f>
        <v/>
      </c>
      <c r="H473" s="4" t="str">
        <f aca="false">IF($D473="","",$G473&amp;"|"&amp;TEXT($E473,"0.000000"))</f>
        <v/>
      </c>
      <c r="I473" s="29" t="str">
        <f aca="false">IF($D473="","",IF(ISNUMBER($E473),FLOOR(($E473-$B473)*24,1),""))</f>
        <v/>
      </c>
      <c r="J473" s="10" t="str">
        <f aca="false">IF($D473="","",IFERROR(IF(VLOOKUP($F473,Dim_Analyst!$A:$C,3,0)="Yes","Yes","No"),"No"))</f>
        <v/>
      </c>
    </row>
    <row r="474" customFormat="false" ht="15" hidden="false" customHeight="true" outlineLevel="0" collapsed="false">
      <c r="G474" s="4" t="str">
        <f aca="false">IF($D474="","",$A474&amp;"|"&amp;$B474&amp;"|"&amp;$C474&amp;"|"&amp;$D474)</f>
        <v/>
      </c>
      <c r="H474" s="4" t="str">
        <f aca="false">IF($D474="","",$G474&amp;"|"&amp;TEXT($E474,"0.000000"))</f>
        <v/>
      </c>
      <c r="I474" s="29" t="str">
        <f aca="false">IF($D474="","",IF(ISNUMBER($E474),FLOOR(($E474-$B474)*24,1),""))</f>
        <v/>
      </c>
      <c r="J474" s="10" t="str">
        <f aca="false">IF($D474="","",IFERROR(IF(VLOOKUP($F474,Dim_Analyst!$A:$C,3,0)="Yes","Yes","No"),"No"))</f>
        <v/>
      </c>
    </row>
    <row r="475" customFormat="false" ht="15" hidden="false" customHeight="true" outlineLevel="0" collapsed="false">
      <c r="G475" s="4" t="str">
        <f aca="false">IF($D475="","",$A475&amp;"|"&amp;$B475&amp;"|"&amp;$C475&amp;"|"&amp;$D475)</f>
        <v/>
      </c>
      <c r="H475" s="4" t="str">
        <f aca="false">IF($D475="","",$G475&amp;"|"&amp;TEXT($E475,"0.000000"))</f>
        <v/>
      </c>
      <c r="I475" s="29" t="str">
        <f aca="false">IF($D475="","",IF(ISNUMBER($E475),FLOOR(($E475-$B475)*24,1),""))</f>
        <v/>
      </c>
      <c r="J475" s="10" t="str">
        <f aca="false">IF($D475="","",IFERROR(IF(VLOOKUP($F475,Dim_Analyst!$A:$C,3,0)="Yes","Yes","No"),"No"))</f>
        <v/>
      </c>
    </row>
    <row r="476" customFormat="false" ht="15" hidden="false" customHeight="true" outlineLevel="0" collapsed="false">
      <c r="G476" s="4" t="str">
        <f aca="false">IF($D476="","",$A476&amp;"|"&amp;$B476&amp;"|"&amp;$C476&amp;"|"&amp;$D476)</f>
        <v/>
      </c>
      <c r="H476" s="4" t="str">
        <f aca="false">IF($D476="","",$G476&amp;"|"&amp;TEXT($E476,"0.000000"))</f>
        <v/>
      </c>
      <c r="I476" s="29" t="str">
        <f aca="false">IF($D476="","",IF(ISNUMBER($E476),FLOOR(($E476-$B476)*24,1),""))</f>
        <v/>
      </c>
      <c r="J476" s="10" t="str">
        <f aca="false">IF($D476="","",IFERROR(IF(VLOOKUP($F476,Dim_Analyst!$A:$C,3,0)="Yes","Yes","No"),"No"))</f>
        <v/>
      </c>
    </row>
    <row r="477" customFormat="false" ht="15" hidden="false" customHeight="true" outlineLevel="0" collapsed="false">
      <c r="G477" s="4" t="str">
        <f aca="false">IF($D477="","",$A477&amp;"|"&amp;$B477&amp;"|"&amp;$C477&amp;"|"&amp;$D477)</f>
        <v/>
      </c>
      <c r="H477" s="4" t="str">
        <f aca="false">IF($D477="","",$G477&amp;"|"&amp;TEXT($E477,"0.000000"))</f>
        <v/>
      </c>
      <c r="I477" s="29" t="str">
        <f aca="false">IF($D477="","",IF(ISNUMBER($E477),FLOOR(($E477-$B477)*24,1),""))</f>
        <v/>
      </c>
      <c r="J477" s="10" t="str">
        <f aca="false">IF($D477="","",IFERROR(IF(VLOOKUP($F477,Dim_Analyst!$A:$C,3,0)="Yes","Yes","No"),"No"))</f>
        <v/>
      </c>
    </row>
    <row r="478" customFormat="false" ht="15" hidden="false" customHeight="true" outlineLevel="0" collapsed="false">
      <c r="G478" s="4" t="str">
        <f aca="false">IF($D478="","",$A478&amp;"|"&amp;$B478&amp;"|"&amp;$C478&amp;"|"&amp;$D478)</f>
        <v/>
      </c>
      <c r="H478" s="4" t="str">
        <f aca="false">IF($D478="","",$G478&amp;"|"&amp;TEXT($E478,"0.000000"))</f>
        <v/>
      </c>
      <c r="I478" s="29" t="str">
        <f aca="false">IF($D478="","",IF(ISNUMBER($E478),FLOOR(($E478-$B478)*24,1),""))</f>
        <v/>
      </c>
      <c r="J478" s="10" t="str">
        <f aca="false">IF($D478="","",IFERROR(IF(VLOOKUP($F478,Dim_Analyst!$A:$C,3,0)="Yes","Yes","No"),"No"))</f>
        <v/>
      </c>
    </row>
    <row r="479" customFormat="false" ht="15" hidden="false" customHeight="true" outlineLevel="0" collapsed="false">
      <c r="G479" s="4" t="str">
        <f aca="false">IF($D479="","",$A479&amp;"|"&amp;$B479&amp;"|"&amp;$C479&amp;"|"&amp;$D479)</f>
        <v/>
      </c>
      <c r="H479" s="4" t="str">
        <f aca="false">IF($D479="","",$G479&amp;"|"&amp;TEXT($E479,"0.000000"))</f>
        <v/>
      </c>
      <c r="I479" s="29" t="str">
        <f aca="false">IF($D479="","",IF(ISNUMBER($E479),FLOOR(($E479-$B479)*24,1),""))</f>
        <v/>
      </c>
      <c r="J479" s="10" t="str">
        <f aca="false">IF($D479="","",IFERROR(IF(VLOOKUP($F479,Dim_Analyst!$A:$C,3,0)="Yes","Yes","No"),"No"))</f>
        <v/>
      </c>
    </row>
    <row r="480" customFormat="false" ht="15" hidden="false" customHeight="true" outlineLevel="0" collapsed="false">
      <c r="G480" s="4" t="str">
        <f aca="false">IF($D480="","",$A480&amp;"|"&amp;$B480&amp;"|"&amp;$C480&amp;"|"&amp;$D480)</f>
        <v/>
      </c>
      <c r="H480" s="4" t="str">
        <f aca="false">IF($D480="","",$G480&amp;"|"&amp;TEXT($E480,"0.000000"))</f>
        <v/>
      </c>
      <c r="I480" s="29" t="str">
        <f aca="false">IF($D480="","",IF(ISNUMBER($E480),FLOOR(($E480-$B480)*24,1),""))</f>
        <v/>
      </c>
      <c r="J480" s="10" t="str">
        <f aca="false">IF($D480="","",IFERROR(IF(VLOOKUP($F480,Dim_Analyst!$A:$C,3,0)="Yes","Yes","No"),"No"))</f>
        <v/>
      </c>
    </row>
    <row r="481" customFormat="false" ht="15" hidden="false" customHeight="true" outlineLevel="0" collapsed="false">
      <c r="G481" s="4" t="str">
        <f aca="false">IF($D481="","",$A481&amp;"|"&amp;$B481&amp;"|"&amp;$C481&amp;"|"&amp;$D481)</f>
        <v/>
      </c>
      <c r="H481" s="4" t="str">
        <f aca="false">IF($D481="","",$G481&amp;"|"&amp;TEXT($E481,"0.000000"))</f>
        <v/>
      </c>
      <c r="I481" s="29" t="str">
        <f aca="false">IF($D481="","",IF(ISNUMBER($E481),FLOOR(($E481-$B481)*24,1),""))</f>
        <v/>
      </c>
      <c r="J481" s="10" t="str">
        <f aca="false">IF($D481="","",IFERROR(IF(VLOOKUP($F481,Dim_Analyst!$A:$C,3,0)="Yes","Yes","No"),"No"))</f>
        <v/>
      </c>
    </row>
    <row r="482" customFormat="false" ht="15" hidden="false" customHeight="true" outlineLevel="0" collapsed="false">
      <c r="G482" s="4" t="str">
        <f aca="false">IF($D482="","",$A482&amp;"|"&amp;$B482&amp;"|"&amp;$C482&amp;"|"&amp;$D482)</f>
        <v/>
      </c>
      <c r="H482" s="4" t="str">
        <f aca="false">IF($D482="","",$G482&amp;"|"&amp;TEXT($E482,"0.000000"))</f>
        <v/>
      </c>
      <c r="I482" s="29" t="str">
        <f aca="false">IF($D482="","",IF(ISNUMBER($E482),FLOOR(($E482-$B482)*24,1),""))</f>
        <v/>
      </c>
      <c r="J482" s="10" t="str">
        <f aca="false">IF($D482="","",IFERROR(IF(VLOOKUP($F482,Dim_Analyst!$A:$C,3,0)="Yes","Yes","No"),"No"))</f>
        <v/>
      </c>
    </row>
    <row r="483" customFormat="false" ht="15" hidden="false" customHeight="true" outlineLevel="0" collapsed="false">
      <c r="G483" s="4" t="str">
        <f aca="false">IF($D483="","",$A483&amp;"|"&amp;$B483&amp;"|"&amp;$C483&amp;"|"&amp;$D483)</f>
        <v/>
      </c>
      <c r="H483" s="4" t="str">
        <f aca="false">IF($D483="","",$G483&amp;"|"&amp;TEXT($E483,"0.000000"))</f>
        <v/>
      </c>
      <c r="I483" s="29" t="str">
        <f aca="false">IF($D483="","",IF(ISNUMBER($E483),FLOOR(($E483-$B483)*24,1),""))</f>
        <v/>
      </c>
      <c r="J483" s="10" t="str">
        <f aca="false">IF($D483="","",IFERROR(IF(VLOOKUP($F483,Dim_Analyst!$A:$C,3,0)="Yes","Yes","No"),"No"))</f>
        <v/>
      </c>
    </row>
    <row r="484" customFormat="false" ht="15" hidden="false" customHeight="true" outlineLevel="0" collapsed="false">
      <c r="G484" s="4" t="str">
        <f aca="false">IF($D484="","",$A484&amp;"|"&amp;$B484&amp;"|"&amp;$C484&amp;"|"&amp;$D484)</f>
        <v/>
      </c>
      <c r="H484" s="4" t="str">
        <f aca="false">IF($D484="","",$G484&amp;"|"&amp;TEXT($E484,"0.000000"))</f>
        <v/>
      </c>
      <c r="I484" s="29" t="str">
        <f aca="false">IF($D484="","",IF(ISNUMBER($E484),FLOOR(($E484-$B484)*24,1),""))</f>
        <v/>
      </c>
      <c r="J484" s="10" t="str">
        <f aca="false">IF($D484="","",IFERROR(IF(VLOOKUP($F484,Dim_Analyst!$A:$C,3,0)="Yes","Yes","No"),"No"))</f>
        <v/>
      </c>
    </row>
    <row r="485" customFormat="false" ht="15" hidden="false" customHeight="true" outlineLevel="0" collapsed="false">
      <c r="G485" s="4" t="str">
        <f aca="false">IF($D485="","",$A485&amp;"|"&amp;$B485&amp;"|"&amp;$C485&amp;"|"&amp;$D485)</f>
        <v/>
      </c>
      <c r="H485" s="4" t="str">
        <f aca="false">IF($D485="","",$G485&amp;"|"&amp;TEXT($E485,"0.000000"))</f>
        <v/>
      </c>
      <c r="I485" s="29" t="str">
        <f aca="false">IF($D485="","",IF(ISNUMBER($E485),FLOOR(($E485-$B485)*24,1),""))</f>
        <v/>
      </c>
      <c r="J485" s="10" t="str">
        <f aca="false">IF($D485="","",IFERROR(IF(VLOOKUP($F485,Dim_Analyst!$A:$C,3,0)="Yes","Yes","No"),"No"))</f>
        <v/>
      </c>
    </row>
    <row r="486" customFormat="false" ht="15" hidden="false" customHeight="true" outlineLevel="0" collapsed="false">
      <c r="G486" s="4" t="str">
        <f aca="false">IF($D486="","",$A486&amp;"|"&amp;$B486&amp;"|"&amp;$C486&amp;"|"&amp;$D486)</f>
        <v/>
      </c>
      <c r="H486" s="4" t="str">
        <f aca="false">IF($D486="","",$G486&amp;"|"&amp;TEXT($E486,"0.000000"))</f>
        <v/>
      </c>
      <c r="I486" s="29" t="str">
        <f aca="false">IF($D486="","",IF(ISNUMBER($E486),FLOOR(($E486-$B486)*24,1),""))</f>
        <v/>
      </c>
      <c r="J486" s="10" t="str">
        <f aca="false">IF($D486="","",IFERROR(IF(VLOOKUP($F486,Dim_Analyst!$A:$C,3,0)="Yes","Yes","No"),"No"))</f>
        <v/>
      </c>
    </row>
    <row r="487" customFormat="false" ht="15" hidden="false" customHeight="true" outlineLevel="0" collapsed="false">
      <c r="G487" s="4" t="str">
        <f aca="false">IF($D487="","",$A487&amp;"|"&amp;$B487&amp;"|"&amp;$C487&amp;"|"&amp;$D487)</f>
        <v/>
      </c>
      <c r="H487" s="4" t="str">
        <f aca="false">IF($D487="","",$G487&amp;"|"&amp;TEXT($E487,"0.000000"))</f>
        <v/>
      </c>
      <c r="I487" s="29" t="str">
        <f aca="false">IF($D487="","",IF(ISNUMBER($E487),FLOOR(($E487-$B487)*24,1),""))</f>
        <v/>
      </c>
      <c r="J487" s="10" t="str">
        <f aca="false">IF($D487="","",IFERROR(IF(VLOOKUP($F487,Dim_Analyst!$A:$C,3,0)="Yes","Yes","No"),"No"))</f>
        <v/>
      </c>
    </row>
    <row r="488" customFormat="false" ht="15" hidden="false" customHeight="true" outlineLevel="0" collapsed="false">
      <c r="G488" s="4" t="str">
        <f aca="false">IF($D488="","",$A488&amp;"|"&amp;$B488&amp;"|"&amp;$C488&amp;"|"&amp;$D488)</f>
        <v/>
      </c>
      <c r="H488" s="4" t="str">
        <f aca="false">IF($D488="","",$G488&amp;"|"&amp;TEXT($E488,"0.000000"))</f>
        <v/>
      </c>
      <c r="I488" s="29" t="str">
        <f aca="false">IF($D488="","",IF(ISNUMBER($E488),FLOOR(($E488-$B488)*24,1),""))</f>
        <v/>
      </c>
      <c r="J488" s="10" t="str">
        <f aca="false">IF($D488="","",IFERROR(IF(VLOOKUP($F488,Dim_Analyst!$A:$C,3,0)="Yes","Yes","No"),"No"))</f>
        <v/>
      </c>
    </row>
    <row r="489" customFormat="false" ht="15" hidden="false" customHeight="true" outlineLevel="0" collapsed="false">
      <c r="G489" s="4" t="str">
        <f aca="false">IF($D489="","",$A489&amp;"|"&amp;$B489&amp;"|"&amp;$C489&amp;"|"&amp;$D489)</f>
        <v/>
      </c>
      <c r="H489" s="4" t="str">
        <f aca="false">IF($D489="","",$G489&amp;"|"&amp;TEXT($E489,"0.000000"))</f>
        <v/>
      </c>
      <c r="I489" s="29" t="str">
        <f aca="false">IF($D489="","",IF(ISNUMBER($E489),FLOOR(($E489-$B489)*24,1),""))</f>
        <v/>
      </c>
      <c r="J489" s="10" t="str">
        <f aca="false">IF($D489="","",IFERROR(IF(VLOOKUP($F489,Dim_Analyst!$A:$C,3,0)="Yes","Yes","No"),"No"))</f>
        <v/>
      </c>
    </row>
    <row r="490" customFormat="false" ht="15" hidden="false" customHeight="true" outlineLevel="0" collapsed="false">
      <c r="G490" s="4" t="str">
        <f aca="false">IF($D490="","",$A490&amp;"|"&amp;$B490&amp;"|"&amp;$C490&amp;"|"&amp;$D490)</f>
        <v/>
      </c>
      <c r="H490" s="4" t="str">
        <f aca="false">IF($D490="","",$G490&amp;"|"&amp;TEXT($E490,"0.000000"))</f>
        <v/>
      </c>
      <c r="I490" s="29" t="str">
        <f aca="false">IF($D490="","",IF(ISNUMBER($E490),FLOOR(($E490-$B490)*24,1),""))</f>
        <v/>
      </c>
      <c r="J490" s="10" t="str">
        <f aca="false">IF($D490="","",IFERROR(IF(VLOOKUP($F490,Dim_Analyst!$A:$C,3,0)="Yes","Yes","No"),"No"))</f>
        <v/>
      </c>
    </row>
    <row r="491" customFormat="false" ht="15" hidden="false" customHeight="true" outlineLevel="0" collapsed="false">
      <c r="G491" s="4" t="str">
        <f aca="false">IF($D491="","",$A491&amp;"|"&amp;$B491&amp;"|"&amp;$C491&amp;"|"&amp;$D491)</f>
        <v/>
      </c>
      <c r="H491" s="4" t="str">
        <f aca="false">IF($D491="","",$G491&amp;"|"&amp;TEXT($E491,"0.000000"))</f>
        <v/>
      </c>
      <c r="I491" s="29" t="str">
        <f aca="false">IF($D491="","",IF(ISNUMBER($E491),FLOOR(($E491-$B491)*24,1),""))</f>
        <v/>
      </c>
      <c r="J491" s="10" t="str">
        <f aca="false">IF($D491="","",IFERROR(IF(VLOOKUP($F491,Dim_Analyst!$A:$C,3,0)="Yes","Yes","No"),"No"))</f>
        <v/>
      </c>
    </row>
    <row r="492" customFormat="false" ht="15" hidden="false" customHeight="true" outlineLevel="0" collapsed="false">
      <c r="G492" s="4" t="str">
        <f aca="false">IF($D492="","",$A492&amp;"|"&amp;$B492&amp;"|"&amp;$C492&amp;"|"&amp;$D492)</f>
        <v/>
      </c>
      <c r="H492" s="4" t="str">
        <f aca="false">IF($D492="","",$G492&amp;"|"&amp;TEXT($E492,"0.000000"))</f>
        <v/>
      </c>
      <c r="I492" s="29" t="str">
        <f aca="false">IF($D492="","",IF(ISNUMBER($E492),FLOOR(($E492-$B492)*24,1),""))</f>
        <v/>
      </c>
      <c r="J492" s="10" t="str">
        <f aca="false">IF($D492="","",IFERROR(IF(VLOOKUP($F492,Dim_Analyst!$A:$C,3,0)="Yes","Yes","No"),"No"))</f>
        <v/>
      </c>
    </row>
    <row r="493" customFormat="false" ht="15" hidden="false" customHeight="true" outlineLevel="0" collapsed="false">
      <c r="G493" s="4" t="str">
        <f aca="false">IF($D493="","",$A493&amp;"|"&amp;$B493&amp;"|"&amp;$C493&amp;"|"&amp;$D493)</f>
        <v/>
      </c>
      <c r="H493" s="4" t="str">
        <f aca="false">IF($D493="","",$G493&amp;"|"&amp;TEXT($E493,"0.000000"))</f>
        <v/>
      </c>
      <c r="I493" s="29" t="str">
        <f aca="false">IF($D493="","",IF(ISNUMBER($E493),FLOOR(($E493-$B493)*24,1),""))</f>
        <v/>
      </c>
      <c r="J493" s="10" t="str">
        <f aca="false">IF($D493="","",IFERROR(IF(VLOOKUP($F493,Dim_Analyst!$A:$C,3,0)="Yes","Yes","No"),"No"))</f>
        <v/>
      </c>
    </row>
    <row r="494" customFormat="false" ht="15" hidden="false" customHeight="true" outlineLevel="0" collapsed="false">
      <c r="G494" s="4" t="str">
        <f aca="false">IF($D494="","",$A494&amp;"|"&amp;$B494&amp;"|"&amp;$C494&amp;"|"&amp;$D494)</f>
        <v/>
      </c>
      <c r="H494" s="4" t="str">
        <f aca="false">IF($D494="","",$G494&amp;"|"&amp;TEXT($E494,"0.000000"))</f>
        <v/>
      </c>
      <c r="I494" s="29" t="str">
        <f aca="false">IF($D494="","",IF(ISNUMBER($E494),FLOOR(($E494-$B494)*24,1),""))</f>
        <v/>
      </c>
      <c r="J494" s="10" t="str">
        <f aca="false">IF($D494="","",IFERROR(IF(VLOOKUP($F494,Dim_Analyst!$A:$C,3,0)="Yes","Yes","No"),"No"))</f>
        <v/>
      </c>
    </row>
    <row r="495" customFormat="false" ht="15" hidden="false" customHeight="true" outlineLevel="0" collapsed="false">
      <c r="G495" s="4" t="str">
        <f aca="false">IF($D495="","",$A495&amp;"|"&amp;$B495&amp;"|"&amp;$C495&amp;"|"&amp;$D495)</f>
        <v/>
      </c>
      <c r="H495" s="4" t="str">
        <f aca="false">IF($D495="","",$G495&amp;"|"&amp;TEXT($E495,"0.000000"))</f>
        <v/>
      </c>
      <c r="I495" s="29" t="str">
        <f aca="false">IF($D495="","",IF(ISNUMBER($E495),FLOOR(($E495-$B495)*24,1),""))</f>
        <v/>
      </c>
      <c r="J495" s="10" t="str">
        <f aca="false">IF($D495="","",IFERROR(IF(VLOOKUP($F495,Dim_Analyst!$A:$C,3,0)="Yes","Yes","No"),"No"))</f>
        <v/>
      </c>
    </row>
    <row r="496" customFormat="false" ht="15" hidden="false" customHeight="true" outlineLevel="0" collapsed="false">
      <c r="G496" s="4" t="str">
        <f aca="false">IF($D496="","",$A496&amp;"|"&amp;$B496&amp;"|"&amp;$C496&amp;"|"&amp;$D496)</f>
        <v/>
      </c>
      <c r="H496" s="4" t="str">
        <f aca="false">IF($D496="","",$G496&amp;"|"&amp;TEXT($E496,"0.000000"))</f>
        <v/>
      </c>
      <c r="I496" s="29" t="str">
        <f aca="false">IF($D496="","",IF(ISNUMBER($E496),FLOOR(($E496-$B496)*24,1),""))</f>
        <v/>
      </c>
      <c r="J496" s="10" t="str">
        <f aca="false">IF($D496="","",IFERROR(IF(VLOOKUP($F496,Dim_Analyst!$A:$C,3,0)="Yes","Yes","No"),"No"))</f>
        <v/>
      </c>
    </row>
    <row r="497" customFormat="false" ht="15" hidden="false" customHeight="true" outlineLevel="0" collapsed="false">
      <c r="G497" s="4" t="str">
        <f aca="false">IF($D497="","",$A497&amp;"|"&amp;$B497&amp;"|"&amp;$C497&amp;"|"&amp;$D497)</f>
        <v/>
      </c>
      <c r="H497" s="4" t="str">
        <f aca="false">IF($D497="","",$G497&amp;"|"&amp;TEXT($E497,"0.000000"))</f>
        <v/>
      </c>
      <c r="I497" s="29" t="str">
        <f aca="false">IF($D497="","",IF(ISNUMBER($E497),FLOOR(($E497-$B497)*24,1),""))</f>
        <v/>
      </c>
      <c r="J497" s="10" t="str">
        <f aca="false">IF($D497="","",IFERROR(IF(VLOOKUP($F497,Dim_Analyst!$A:$C,3,0)="Yes","Yes","No"),"No"))</f>
        <v/>
      </c>
    </row>
    <row r="498" customFormat="false" ht="15" hidden="false" customHeight="true" outlineLevel="0" collapsed="false">
      <c r="G498" s="4" t="str">
        <f aca="false">IF($D498="","",$A498&amp;"|"&amp;$B498&amp;"|"&amp;$C498&amp;"|"&amp;$D498)</f>
        <v/>
      </c>
      <c r="H498" s="4" t="str">
        <f aca="false">IF($D498="","",$G498&amp;"|"&amp;TEXT($E498,"0.000000"))</f>
        <v/>
      </c>
      <c r="I498" s="29" t="str">
        <f aca="false">IF($D498="","",IF(ISNUMBER($E498),FLOOR(($E498-$B498)*24,1),""))</f>
        <v/>
      </c>
      <c r="J498" s="10" t="str">
        <f aca="false">IF($D498="","",IFERROR(IF(VLOOKUP($F498,Dim_Analyst!$A:$C,3,0)="Yes","Yes","No"),"No"))</f>
        <v/>
      </c>
    </row>
    <row r="499" customFormat="false" ht="15" hidden="false" customHeight="true" outlineLevel="0" collapsed="false">
      <c r="G499" s="4" t="str">
        <f aca="false">IF($D499="","",$A499&amp;"|"&amp;$B499&amp;"|"&amp;$C499&amp;"|"&amp;$D499)</f>
        <v/>
      </c>
      <c r="H499" s="4" t="str">
        <f aca="false">IF($D499="","",$G499&amp;"|"&amp;TEXT($E499,"0.000000"))</f>
        <v/>
      </c>
      <c r="I499" s="29" t="str">
        <f aca="false">IF($D499="","",IF(ISNUMBER($E499),FLOOR(($E499-$B499)*24,1),""))</f>
        <v/>
      </c>
      <c r="J499" s="10" t="str">
        <f aca="false">IF($D499="","",IFERROR(IF(VLOOKUP($F499,Dim_Analyst!$A:$C,3,0)="Yes","Yes","No"),"No"))</f>
        <v/>
      </c>
    </row>
    <row r="500" customFormat="false" ht="15" hidden="false" customHeight="true" outlineLevel="0" collapsed="false">
      <c r="G500" s="4" t="str">
        <f aca="false">IF($D500="","",$A500&amp;"|"&amp;$B500&amp;"|"&amp;$C500&amp;"|"&amp;$D500)</f>
        <v/>
      </c>
      <c r="H500" s="4" t="str">
        <f aca="false">IF($D500="","",$G500&amp;"|"&amp;TEXT($E500,"0.000000"))</f>
        <v/>
      </c>
      <c r="I500" s="29" t="str">
        <f aca="false">IF($D500="","",IF(ISNUMBER($E500),FLOOR(($E500-$B500)*24,1),""))</f>
        <v/>
      </c>
      <c r="J500" s="10" t="str">
        <f aca="false">IF($D500="","",IFERROR(IF(VLOOKUP($F500,Dim_Analyst!$A:$C,3,0)="Yes","Yes","No"),"No"))</f>
        <v/>
      </c>
    </row>
    <row r="501" customFormat="false" ht="15" hidden="false" customHeight="true" outlineLevel="0" collapsed="false">
      <c r="G501" s="4" t="str">
        <f aca="false">IF($D501="","",$A501&amp;"|"&amp;$B501&amp;"|"&amp;$C501&amp;"|"&amp;$D501)</f>
        <v/>
      </c>
      <c r="H501" s="4" t="str">
        <f aca="false">IF($D501="","",$G501&amp;"|"&amp;TEXT($E501,"0.000000"))</f>
        <v/>
      </c>
      <c r="I501" s="29" t="str">
        <f aca="false">IF($D501="","",IF(ISNUMBER($E501),FLOOR(($E501-$B501)*24,1),""))</f>
        <v/>
      </c>
      <c r="J501" s="10" t="str">
        <f aca="false">IF($D501="","",IFERROR(IF(VLOOKUP($F501,Dim_Analyst!$A:$C,3,0)="Yes","Yes","No"),"No"))</f>
        <v/>
      </c>
    </row>
    <row r="502" customFormat="false" ht="15" hidden="false" customHeight="true" outlineLevel="0" collapsed="false">
      <c r="G502" s="4" t="str">
        <f aca="false">IF($D502="","",$A502&amp;"|"&amp;$B502&amp;"|"&amp;$C502&amp;"|"&amp;$D502)</f>
        <v/>
      </c>
      <c r="H502" s="4" t="str">
        <f aca="false">IF($D502="","",$G502&amp;"|"&amp;TEXT($E502,"0.000000"))</f>
        <v/>
      </c>
      <c r="I502" s="29" t="str">
        <f aca="false">IF($D502="","",IF(ISNUMBER($E502),FLOOR(($E502-$B502)*24,1),""))</f>
        <v/>
      </c>
      <c r="J502" s="10" t="str">
        <f aca="false">IF($D502="","",IFERROR(IF(VLOOKUP($F502,Dim_Analyst!$A:$C,3,0)="Yes","Yes","No"),"No"))</f>
        <v/>
      </c>
    </row>
    <row r="503" customFormat="false" ht="15" hidden="false" customHeight="true" outlineLevel="0" collapsed="false">
      <c r="G503" s="4" t="str">
        <f aca="false">IF($D503="","",$A503&amp;"|"&amp;$B503&amp;"|"&amp;$C503&amp;"|"&amp;$D503)</f>
        <v/>
      </c>
      <c r="H503" s="4" t="str">
        <f aca="false">IF($D503="","",$G503&amp;"|"&amp;TEXT($E503,"0.000000"))</f>
        <v/>
      </c>
      <c r="I503" s="29" t="str">
        <f aca="false">IF($D503="","",IF(ISNUMBER($E503),FLOOR(($E503-$B503)*24,1),""))</f>
        <v/>
      </c>
      <c r="J503" s="10" t="str">
        <f aca="false">IF($D503="","",IFERROR(IF(VLOOKUP($F503,Dim_Analyst!$A:$C,3,0)="Yes","Yes","No"),"No"))</f>
        <v/>
      </c>
    </row>
    <row r="504" customFormat="false" ht="15" hidden="false" customHeight="true" outlineLevel="0" collapsed="false">
      <c r="G504" s="4" t="str">
        <f aca="false">IF($D504="","",$A504&amp;"|"&amp;$B504&amp;"|"&amp;$C504&amp;"|"&amp;$D504)</f>
        <v/>
      </c>
      <c r="H504" s="4" t="str">
        <f aca="false">IF($D504="","",$G504&amp;"|"&amp;TEXT($E504,"0.000000"))</f>
        <v/>
      </c>
      <c r="I504" s="29" t="str">
        <f aca="false">IF($D504="","",IF(ISNUMBER($E504),FLOOR(($E504-$B504)*24,1),""))</f>
        <v/>
      </c>
      <c r="J504" s="10" t="str">
        <f aca="false">IF($D504="","",IFERROR(IF(VLOOKUP($F504,Dim_Analyst!$A:$C,3,0)="Yes","Yes","No"),"No"))</f>
        <v/>
      </c>
    </row>
    <row r="505" customFormat="false" ht="15" hidden="false" customHeight="true" outlineLevel="0" collapsed="false">
      <c r="G505" s="4" t="str">
        <f aca="false">IF($D505="","",$A505&amp;"|"&amp;$B505&amp;"|"&amp;$C505&amp;"|"&amp;$D505)</f>
        <v/>
      </c>
      <c r="H505" s="4" t="str">
        <f aca="false">IF($D505="","",$G505&amp;"|"&amp;TEXT($E505,"0.000000"))</f>
        <v/>
      </c>
      <c r="I505" s="29" t="str">
        <f aca="false">IF($D505="","",IF(ISNUMBER($E505),FLOOR(($E505-$B505)*24,1),""))</f>
        <v/>
      </c>
      <c r="J505" s="10" t="str">
        <f aca="false">IF($D505="","",IFERROR(IF(VLOOKUP($F505,Dim_Analyst!$A:$C,3,0)="Yes","Yes","No"),"No"))</f>
        <v/>
      </c>
    </row>
    <row r="506" customFormat="false" ht="15" hidden="false" customHeight="true" outlineLevel="0" collapsed="false">
      <c r="G506" s="4" t="str">
        <f aca="false">IF($D506="","",$A506&amp;"|"&amp;$B506&amp;"|"&amp;$C506&amp;"|"&amp;$D506)</f>
        <v/>
      </c>
      <c r="H506" s="4" t="str">
        <f aca="false">IF($D506="","",$G506&amp;"|"&amp;TEXT($E506,"0.000000"))</f>
        <v/>
      </c>
      <c r="I506" s="29" t="str">
        <f aca="false">IF($D506="","",IF(ISNUMBER($E506),FLOOR(($E506-$B506)*24,1),""))</f>
        <v/>
      </c>
      <c r="J506" s="10" t="str">
        <f aca="false">IF($D506="","",IFERROR(IF(VLOOKUP($F506,Dim_Analyst!$A:$C,3,0)="Yes","Yes","No"),"No"))</f>
        <v/>
      </c>
    </row>
    <row r="507" customFormat="false" ht="15" hidden="false" customHeight="true" outlineLevel="0" collapsed="false">
      <c r="G507" s="4" t="str">
        <f aca="false">IF($D507="","",$A507&amp;"|"&amp;$B507&amp;"|"&amp;$C507&amp;"|"&amp;$D507)</f>
        <v/>
      </c>
      <c r="H507" s="4" t="str">
        <f aca="false">IF($D507="","",$G507&amp;"|"&amp;TEXT($E507,"0.000000"))</f>
        <v/>
      </c>
      <c r="I507" s="29" t="str">
        <f aca="false">IF($D507="","",IF(ISNUMBER($E507),FLOOR(($E507-$B507)*24,1),""))</f>
        <v/>
      </c>
      <c r="J507" s="10" t="str">
        <f aca="false">IF($D507="","",IFERROR(IF(VLOOKUP($F507,Dim_Analyst!$A:$C,3,0)="Yes","Yes","No"),"No"))</f>
        <v/>
      </c>
    </row>
    <row r="508" customFormat="false" ht="15" hidden="false" customHeight="true" outlineLevel="0" collapsed="false">
      <c r="G508" s="4" t="str">
        <f aca="false">IF($D508="","",$A508&amp;"|"&amp;$B508&amp;"|"&amp;$C508&amp;"|"&amp;$D508)</f>
        <v/>
      </c>
      <c r="H508" s="4" t="str">
        <f aca="false">IF($D508="","",$G508&amp;"|"&amp;TEXT($E508,"0.000000"))</f>
        <v/>
      </c>
      <c r="I508" s="29" t="str">
        <f aca="false">IF($D508="","",IF(ISNUMBER($E508),FLOOR(($E508-$B508)*24,1),""))</f>
        <v/>
      </c>
      <c r="J508" s="10" t="str">
        <f aca="false">IF($D508="","",IFERROR(IF(VLOOKUP($F508,Dim_Analyst!$A:$C,3,0)="Yes","Yes","No"),"No"))</f>
        <v/>
      </c>
    </row>
    <row r="509" customFormat="false" ht="15" hidden="false" customHeight="true" outlineLevel="0" collapsed="false">
      <c r="G509" s="4" t="str">
        <f aca="false">IF($D509="","",$A509&amp;"|"&amp;$B509&amp;"|"&amp;$C509&amp;"|"&amp;$D509)</f>
        <v/>
      </c>
      <c r="H509" s="4" t="str">
        <f aca="false">IF($D509="","",$G509&amp;"|"&amp;TEXT($E509,"0.000000"))</f>
        <v/>
      </c>
      <c r="I509" s="29" t="str">
        <f aca="false">IF($D509="","",IF(ISNUMBER($E509),FLOOR(($E509-$B509)*24,1),""))</f>
        <v/>
      </c>
      <c r="J509" s="10" t="str">
        <f aca="false">IF($D509="","",IFERROR(IF(VLOOKUP($F509,Dim_Analyst!$A:$C,3,0)="Yes","Yes","No"),"No"))</f>
        <v/>
      </c>
    </row>
    <row r="510" customFormat="false" ht="15" hidden="false" customHeight="true" outlineLevel="0" collapsed="false">
      <c r="G510" s="4" t="str">
        <f aca="false">IF($D510="","",$A510&amp;"|"&amp;$B510&amp;"|"&amp;$C510&amp;"|"&amp;$D510)</f>
        <v/>
      </c>
      <c r="H510" s="4" t="str">
        <f aca="false">IF($D510="","",$G510&amp;"|"&amp;TEXT($E510,"0.000000"))</f>
        <v/>
      </c>
      <c r="I510" s="29" t="str">
        <f aca="false">IF($D510="","",IF(ISNUMBER($E510),FLOOR(($E510-$B510)*24,1),""))</f>
        <v/>
      </c>
      <c r="J510" s="10" t="str">
        <f aca="false">IF($D510="","",IFERROR(IF(VLOOKUP($F510,Dim_Analyst!$A:$C,3,0)="Yes","Yes","No"),"No"))</f>
        <v/>
      </c>
    </row>
    <row r="511" customFormat="false" ht="15" hidden="false" customHeight="true" outlineLevel="0" collapsed="false">
      <c r="G511" s="4" t="str">
        <f aca="false">IF($D511="","",$A511&amp;"|"&amp;$B511&amp;"|"&amp;$C511&amp;"|"&amp;$D511)</f>
        <v/>
      </c>
      <c r="H511" s="4" t="str">
        <f aca="false">IF($D511="","",$G511&amp;"|"&amp;TEXT($E511,"0.000000"))</f>
        <v/>
      </c>
      <c r="I511" s="29" t="str">
        <f aca="false">IF($D511="","",IF(ISNUMBER($E511),FLOOR(($E511-$B511)*24,1),""))</f>
        <v/>
      </c>
      <c r="J511" s="10" t="str">
        <f aca="false">IF($D511="","",IFERROR(IF(VLOOKUP($F511,Dim_Analyst!$A:$C,3,0)="Yes","Yes","No"),"No"))</f>
        <v/>
      </c>
    </row>
    <row r="512" customFormat="false" ht="15" hidden="false" customHeight="true" outlineLevel="0" collapsed="false">
      <c r="G512" s="4" t="str">
        <f aca="false">IF($D512="","",$A512&amp;"|"&amp;$B512&amp;"|"&amp;$C512&amp;"|"&amp;$D512)</f>
        <v/>
      </c>
      <c r="H512" s="4" t="str">
        <f aca="false">IF($D512="","",$G512&amp;"|"&amp;TEXT($E512,"0.000000"))</f>
        <v/>
      </c>
      <c r="I512" s="29" t="str">
        <f aca="false">IF($D512="","",IF(ISNUMBER($E512),FLOOR(($E512-$B512)*24,1),""))</f>
        <v/>
      </c>
      <c r="J512" s="10" t="str">
        <f aca="false">IF($D512="","",IFERROR(IF(VLOOKUP($F512,Dim_Analyst!$A:$C,3,0)="Yes","Yes","No"),"No"))</f>
        <v/>
      </c>
    </row>
    <row r="513" customFormat="false" ht="15" hidden="false" customHeight="true" outlineLevel="0" collapsed="false">
      <c r="G513" s="4" t="str">
        <f aca="false">IF($D513="","",$A513&amp;"|"&amp;$B513&amp;"|"&amp;$C513&amp;"|"&amp;$D513)</f>
        <v/>
      </c>
      <c r="H513" s="4" t="str">
        <f aca="false">IF($D513="","",$G513&amp;"|"&amp;TEXT($E513,"0.000000"))</f>
        <v/>
      </c>
      <c r="I513" s="29" t="str">
        <f aca="false">IF($D513="","",IF(ISNUMBER($E513),FLOOR(($E513-$B513)*24,1),""))</f>
        <v/>
      </c>
      <c r="J513" s="10" t="str">
        <f aca="false">IF($D513="","",IFERROR(IF(VLOOKUP($F513,Dim_Analyst!$A:$C,3,0)="Yes","Yes","No"),"No"))</f>
        <v/>
      </c>
    </row>
    <row r="514" customFormat="false" ht="15" hidden="false" customHeight="true" outlineLevel="0" collapsed="false">
      <c r="G514" s="4" t="str">
        <f aca="false">IF($D514="","",$A514&amp;"|"&amp;$B514&amp;"|"&amp;$C514&amp;"|"&amp;$D514)</f>
        <v/>
      </c>
      <c r="H514" s="4" t="str">
        <f aca="false">IF($D514="","",$G514&amp;"|"&amp;TEXT($E514,"0.000000"))</f>
        <v/>
      </c>
      <c r="I514" s="29" t="str">
        <f aca="false">IF($D514="","",IF(ISNUMBER($E514),FLOOR(($E514-$B514)*24,1),""))</f>
        <v/>
      </c>
      <c r="J514" s="10" t="str">
        <f aca="false">IF($D514="","",IFERROR(IF(VLOOKUP($F514,Dim_Analyst!$A:$C,3,0)="Yes","Yes","No"),"No"))</f>
        <v/>
      </c>
    </row>
    <row r="515" customFormat="false" ht="15" hidden="false" customHeight="true" outlineLevel="0" collapsed="false">
      <c r="G515" s="4" t="str">
        <f aca="false">IF($D515="","",$A515&amp;"|"&amp;$B515&amp;"|"&amp;$C515&amp;"|"&amp;$D515)</f>
        <v/>
      </c>
      <c r="H515" s="4" t="str">
        <f aca="false">IF($D515="","",$G515&amp;"|"&amp;TEXT($E515,"0.000000"))</f>
        <v/>
      </c>
      <c r="I515" s="29" t="str">
        <f aca="false">IF($D515="","",IF(ISNUMBER($E515),FLOOR(($E515-$B515)*24,1),""))</f>
        <v/>
      </c>
      <c r="J515" s="10" t="str">
        <f aca="false">IF($D515="","",IFERROR(IF(VLOOKUP($F515,Dim_Analyst!$A:$C,3,0)="Yes","Yes","No"),"No"))</f>
        <v/>
      </c>
    </row>
    <row r="516" customFormat="false" ht="15" hidden="false" customHeight="true" outlineLevel="0" collapsed="false">
      <c r="G516" s="4" t="str">
        <f aca="false">IF($D516="","",$A516&amp;"|"&amp;$B516&amp;"|"&amp;$C516&amp;"|"&amp;$D516)</f>
        <v/>
      </c>
      <c r="H516" s="4" t="str">
        <f aca="false">IF($D516="","",$G516&amp;"|"&amp;TEXT($E516,"0.000000"))</f>
        <v/>
      </c>
      <c r="I516" s="29" t="str">
        <f aca="false">IF($D516="","",IF(ISNUMBER($E516),FLOOR(($E516-$B516)*24,1),""))</f>
        <v/>
      </c>
      <c r="J516" s="10" t="str">
        <f aca="false">IF($D516="","",IFERROR(IF(VLOOKUP($F516,Dim_Analyst!$A:$C,3,0)="Yes","Yes","No"),"No"))</f>
        <v/>
      </c>
    </row>
    <row r="517" customFormat="false" ht="15" hidden="false" customHeight="true" outlineLevel="0" collapsed="false">
      <c r="G517" s="4" t="str">
        <f aca="false">IF($D517="","",$A517&amp;"|"&amp;$B517&amp;"|"&amp;$C517&amp;"|"&amp;$D517)</f>
        <v/>
      </c>
      <c r="H517" s="4" t="str">
        <f aca="false">IF($D517="","",$G517&amp;"|"&amp;TEXT($E517,"0.000000"))</f>
        <v/>
      </c>
      <c r="I517" s="29" t="str">
        <f aca="false">IF($D517="","",IF(ISNUMBER($E517),FLOOR(($E517-$B517)*24,1),""))</f>
        <v/>
      </c>
      <c r="J517" s="10" t="str">
        <f aca="false">IF($D517="","",IFERROR(IF(VLOOKUP($F517,Dim_Analyst!$A:$C,3,0)="Yes","Yes","No"),"No"))</f>
        <v/>
      </c>
    </row>
    <row r="518" customFormat="false" ht="15" hidden="false" customHeight="true" outlineLevel="0" collapsed="false">
      <c r="G518" s="4" t="str">
        <f aca="false">IF($D518="","",$A518&amp;"|"&amp;$B518&amp;"|"&amp;$C518&amp;"|"&amp;$D518)</f>
        <v/>
      </c>
      <c r="H518" s="4" t="str">
        <f aca="false">IF($D518="","",$G518&amp;"|"&amp;TEXT($E518,"0.000000"))</f>
        <v/>
      </c>
      <c r="I518" s="29" t="str">
        <f aca="false">IF($D518="","",IF(ISNUMBER($E518),FLOOR(($E518-$B518)*24,1),""))</f>
        <v/>
      </c>
      <c r="J518" s="10" t="str">
        <f aca="false">IF($D518="","",IFERROR(IF(VLOOKUP($F518,Dim_Analyst!$A:$C,3,0)="Yes","Yes","No"),"No"))</f>
        <v/>
      </c>
    </row>
    <row r="519" customFormat="false" ht="15" hidden="false" customHeight="true" outlineLevel="0" collapsed="false">
      <c r="G519" s="4" t="str">
        <f aca="false">IF($D519="","",$A519&amp;"|"&amp;$B519&amp;"|"&amp;$C519&amp;"|"&amp;$D519)</f>
        <v/>
      </c>
      <c r="H519" s="4" t="str">
        <f aca="false">IF($D519="","",$G519&amp;"|"&amp;TEXT($E519,"0.000000"))</f>
        <v/>
      </c>
      <c r="I519" s="29" t="str">
        <f aca="false">IF($D519="","",IF(ISNUMBER($E519),FLOOR(($E519-$B519)*24,1),""))</f>
        <v/>
      </c>
      <c r="J519" s="10" t="str">
        <f aca="false">IF($D519="","",IFERROR(IF(VLOOKUP($F519,Dim_Analyst!$A:$C,3,0)="Yes","Yes","No"),"No"))</f>
        <v/>
      </c>
    </row>
    <row r="520" customFormat="false" ht="15" hidden="false" customHeight="true" outlineLevel="0" collapsed="false">
      <c r="G520" s="4" t="str">
        <f aca="false">IF($D520="","",$A520&amp;"|"&amp;$B520&amp;"|"&amp;$C520&amp;"|"&amp;$D520)</f>
        <v/>
      </c>
      <c r="H520" s="4" t="str">
        <f aca="false">IF($D520="","",$G520&amp;"|"&amp;TEXT($E520,"0.000000"))</f>
        <v/>
      </c>
      <c r="I520" s="29" t="str">
        <f aca="false">IF($D520="","",IF(ISNUMBER($E520),FLOOR(($E520-$B520)*24,1),""))</f>
        <v/>
      </c>
      <c r="J520" s="10" t="str">
        <f aca="false">IF($D520="","",IFERROR(IF(VLOOKUP($F520,Dim_Analyst!$A:$C,3,0)="Yes","Yes","No"),"No"))</f>
        <v/>
      </c>
    </row>
    <row r="521" customFormat="false" ht="15" hidden="false" customHeight="true" outlineLevel="0" collapsed="false">
      <c r="G521" s="4" t="str">
        <f aca="false">IF($D521="","",$A521&amp;"|"&amp;$B521&amp;"|"&amp;$C521&amp;"|"&amp;$D521)</f>
        <v/>
      </c>
      <c r="H521" s="4" t="str">
        <f aca="false">IF($D521="","",$G521&amp;"|"&amp;TEXT($E521,"0.000000"))</f>
        <v/>
      </c>
      <c r="I521" s="29" t="str">
        <f aca="false">IF($D521="","",IF(ISNUMBER($E521),FLOOR(($E521-$B521)*24,1),""))</f>
        <v/>
      </c>
      <c r="J521" s="10" t="str">
        <f aca="false">IF($D521="","",IFERROR(IF(VLOOKUP($F521,Dim_Analyst!$A:$C,3,0)="Yes","Yes","No"),"No"))</f>
        <v/>
      </c>
    </row>
    <row r="522" customFormat="false" ht="15" hidden="false" customHeight="true" outlineLevel="0" collapsed="false">
      <c r="G522" s="4" t="str">
        <f aca="false">IF($D522="","",$A522&amp;"|"&amp;$B522&amp;"|"&amp;$C522&amp;"|"&amp;$D522)</f>
        <v/>
      </c>
      <c r="H522" s="4" t="str">
        <f aca="false">IF($D522="","",$G522&amp;"|"&amp;TEXT($E522,"0.000000"))</f>
        <v/>
      </c>
      <c r="I522" s="29" t="str">
        <f aca="false">IF($D522="","",IF(ISNUMBER($E522),FLOOR(($E522-$B522)*24,1),""))</f>
        <v/>
      </c>
      <c r="J522" s="10" t="str">
        <f aca="false">IF($D522="","",IFERROR(IF(VLOOKUP($F522,Dim_Analyst!$A:$C,3,0)="Yes","Yes","No"),"No"))</f>
        <v/>
      </c>
    </row>
    <row r="523" customFormat="false" ht="15" hidden="false" customHeight="true" outlineLevel="0" collapsed="false">
      <c r="G523" s="4" t="str">
        <f aca="false">IF($D523="","",$A523&amp;"|"&amp;$B523&amp;"|"&amp;$C523&amp;"|"&amp;$D523)</f>
        <v/>
      </c>
      <c r="H523" s="4" t="str">
        <f aca="false">IF($D523="","",$G523&amp;"|"&amp;TEXT($E523,"0.000000"))</f>
        <v/>
      </c>
      <c r="I523" s="29" t="str">
        <f aca="false">IF($D523="","",IF(ISNUMBER($E523),FLOOR(($E523-$B523)*24,1),""))</f>
        <v/>
      </c>
      <c r="J523" s="10" t="str">
        <f aca="false">IF($D523="","",IFERROR(IF(VLOOKUP($F523,Dim_Analyst!$A:$C,3,0)="Yes","Yes","No"),"No"))</f>
        <v/>
      </c>
    </row>
    <row r="524" customFormat="false" ht="15" hidden="false" customHeight="true" outlineLevel="0" collapsed="false">
      <c r="G524" s="4" t="str">
        <f aca="false">IF($D524="","",$A524&amp;"|"&amp;$B524&amp;"|"&amp;$C524&amp;"|"&amp;$D524)</f>
        <v/>
      </c>
      <c r="H524" s="4" t="str">
        <f aca="false">IF($D524="","",$G524&amp;"|"&amp;TEXT($E524,"0.000000"))</f>
        <v/>
      </c>
      <c r="I524" s="29" t="str">
        <f aca="false">IF($D524="","",IF(ISNUMBER($E524),FLOOR(($E524-$B524)*24,1),""))</f>
        <v/>
      </c>
      <c r="J524" s="10" t="str">
        <f aca="false">IF($D524="","",IFERROR(IF(VLOOKUP($F524,Dim_Analyst!$A:$C,3,0)="Yes","Yes","No"),"No"))</f>
        <v/>
      </c>
    </row>
    <row r="525" customFormat="false" ht="15" hidden="false" customHeight="true" outlineLevel="0" collapsed="false">
      <c r="G525" s="4" t="str">
        <f aca="false">IF($D525="","",$A525&amp;"|"&amp;$B525&amp;"|"&amp;$C525&amp;"|"&amp;$D525)</f>
        <v/>
      </c>
      <c r="H525" s="4" t="str">
        <f aca="false">IF($D525="","",$G525&amp;"|"&amp;TEXT($E525,"0.000000"))</f>
        <v/>
      </c>
      <c r="I525" s="29" t="str">
        <f aca="false">IF($D525="","",IF(ISNUMBER($E525),FLOOR(($E525-$B525)*24,1),""))</f>
        <v/>
      </c>
      <c r="J525" s="10" t="str">
        <f aca="false">IF($D525="","",IFERROR(IF(VLOOKUP($F525,Dim_Analyst!$A:$C,3,0)="Yes","Yes","No"),"No"))</f>
        <v/>
      </c>
    </row>
    <row r="526" customFormat="false" ht="15" hidden="false" customHeight="true" outlineLevel="0" collapsed="false">
      <c r="G526" s="4" t="str">
        <f aca="false">IF($D526="","",$A526&amp;"|"&amp;$B526&amp;"|"&amp;$C526&amp;"|"&amp;$D526)</f>
        <v/>
      </c>
      <c r="H526" s="4" t="str">
        <f aca="false">IF($D526="","",$G526&amp;"|"&amp;TEXT($E526,"0.000000"))</f>
        <v/>
      </c>
      <c r="I526" s="29" t="str">
        <f aca="false">IF($D526="","",IF(ISNUMBER($E526),FLOOR(($E526-$B526)*24,1),""))</f>
        <v/>
      </c>
      <c r="J526" s="10" t="str">
        <f aca="false">IF($D526="","",IFERROR(IF(VLOOKUP($F526,Dim_Analyst!$A:$C,3,0)="Yes","Yes","No"),"No"))</f>
        <v/>
      </c>
    </row>
    <row r="527" customFormat="false" ht="15" hidden="false" customHeight="true" outlineLevel="0" collapsed="false">
      <c r="G527" s="4" t="str">
        <f aca="false">IF($D527="","",$A527&amp;"|"&amp;$B527&amp;"|"&amp;$C527&amp;"|"&amp;$D527)</f>
        <v/>
      </c>
      <c r="H527" s="4" t="str">
        <f aca="false">IF($D527="","",$G527&amp;"|"&amp;TEXT($E527,"0.000000"))</f>
        <v/>
      </c>
      <c r="I527" s="29" t="str">
        <f aca="false">IF($D527="","",IF(ISNUMBER($E527),FLOOR(($E527-$B527)*24,1),""))</f>
        <v/>
      </c>
      <c r="J527" s="10" t="str">
        <f aca="false">IF($D527="","",IFERROR(IF(VLOOKUP($F527,Dim_Analyst!$A:$C,3,0)="Yes","Yes","No"),"No"))</f>
        <v/>
      </c>
    </row>
    <row r="528" customFormat="false" ht="15" hidden="false" customHeight="true" outlineLevel="0" collapsed="false">
      <c r="G528" s="4" t="str">
        <f aca="false">IF($D528="","",$A528&amp;"|"&amp;$B528&amp;"|"&amp;$C528&amp;"|"&amp;$D528)</f>
        <v/>
      </c>
      <c r="H528" s="4" t="str">
        <f aca="false">IF($D528="","",$G528&amp;"|"&amp;TEXT($E528,"0.000000"))</f>
        <v/>
      </c>
      <c r="I528" s="29" t="str">
        <f aca="false">IF($D528="","",IF(ISNUMBER($E528),FLOOR(($E528-$B528)*24,1),""))</f>
        <v/>
      </c>
      <c r="J528" s="10" t="str">
        <f aca="false">IF($D528="","",IFERROR(IF(VLOOKUP($F528,Dim_Analyst!$A:$C,3,0)="Yes","Yes","No"),"No"))</f>
        <v/>
      </c>
    </row>
    <row r="529" customFormat="false" ht="15" hidden="false" customHeight="true" outlineLevel="0" collapsed="false">
      <c r="G529" s="4" t="str">
        <f aca="false">IF($D529="","",$A529&amp;"|"&amp;$B529&amp;"|"&amp;$C529&amp;"|"&amp;$D529)</f>
        <v/>
      </c>
      <c r="H529" s="4" t="str">
        <f aca="false">IF($D529="","",$G529&amp;"|"&amp;TEXT($E529,"0.000000"))</f>
        <v/>
      </c>
      <c r="I529" s="29" t="str">
        <f aca="false">IF($D529="","",IF(ISNUMBER($E529),FLOOR(($E529-$B529)*24,1),""))</f>
        <v/>
      </c>
      <c r="J529" s="10" t="str">
        <f aca="false">IF($D529="","",IFERROR(IF(VLOOKUP($F529,Dim_Analyst!$A:$C,3,0)="Yes","Yes","No"),"No"))</f>
        <v/>
      </c>
    </row>
    <row r="530" customFormat="false" ht="15" hidden="false" customHeight="true" outlineLevel="0" collapsed="false">
      <c r="G530" s="4" t="str">
        <f aca="false">IF($D530="","",$A530&amp;"|"&amp;$B530&amp;"|"&amp;$C530&amp;"|"&amp;$D530)</f>
        <v/>
      </c>
      <c r="H530" s="4" t="str">
        <f aca="false">IF($D530="","",$G530&amp;"|"&amp;TEXT($E530,"0.000000"))</f>
        <v/>
      </c>
      <c r="I530" s="29" t="str">
        <f aca="false">IF($D530="","",IF(ISNUMBER($E530),FLOOR(($E530-$B530)*24,1),""))</f>
        <v/>
      </c>
      <c r="J530" s="10" t="str">
        <f aca="false">IF($D530="","",IFERROR(IF(VLOOKUP($F530,Dim_Analyst!$A:$C,3,0)="Yes","Yes","No"),"No"))</f>
        <v/>
      </c>
    </row>
    <row r="531" customFormat="false" ht="15" hidden="false" customHeight="true" outlineLevel="0" collapsed="false">
      <c r="G531" s="4" t="str">
        <f aca="false">IF($D531="","",$A531&amp;"|"&amp;$B531&amp;"|"&amp;$C531&amp;"|"&amp;$D531)</f>
        <v/>
      </c>
      <c r="H531" s="4" t="str">
        <f aca="false">IF($D531="","",$G531&amp;"|"&amp;TEXT($E531,"0.000000"))</f>
        <v/>
      </c>
      <c r="I531" s="29" t="str">
        <f aca="false">IF($D531="","",IF(ISNUMBER($E531),FLOOR(($E531-$B531)*24,1),""))</f>
        <v/>
      </c>
      <c r="J531" s="10" t="str">
        <f aca="false">IF($D531="","",IFERROR(IF(VLOOKUP($F531,Dim_Analyst!$A:$C,3,0)="Yes","Yes","No"),"No"))</f>
        <v/>
      </c>
    </row>
    <row r="532" customFormat="false" ht="15" hidden="false" customHeight="true" outlineLevel="0" collapsed="false">
      <c r="G532" s="4" t="str">
        <f aca="false">IF($D532="","",$A532&amp;"|"&amp;$B532&amp;"|"&amp;$C532&amp;"|"&amp;$D532)</f>
        <v/>
      </c>
      <c r="H532" s="4" t="str">
        <f aca="false">IF($D532="","",$G532&amp;"|"&amp;TEXT($E532,"0.000000"))</f>
        <v/>
      </c>
      <c r="I532" s="29" t="str">
        <f aca="false">IF($D532="","",IF(ISNUMBER($E532),FLOOR(($E532-$B532)*24,1),""))</f>
        <v/>
      </c>
      <c r="J532" s="10" t="str">
        <f aca="false">IF($D532="","",IFERROR(IF(VLOOKUP($F532,Dim_Analyst!$A:$C,3,0)="Yes","Yes","No"),"No"))</f>
        <v/>
      </c>
    </row>
    <row r="533" customFormat="false" ht="15" hidden="false" customHeight="true" outlineLevel="0" collapsed="false">
      <c r="G533" s="4" t="str">
        <f aca="false">IF($D533="","",$A533&amp;"|"&amp;$B533&amp;"|"&amp;$C533&amp;"|"&amp;$D533)</f>
        <v/>
      </c>
      <c r="H533" s="4" t="str">
        <f aca="false">IF($D533="","",$G533&amp;"|"&amp;TEXT($E533,"0.000000"))</f>
        <v/>
      </c>
      <c r="I533" s="29" t="str">
        <f aca="false">IF($D533="","",IF(ISNUMBER($E533),FLOOR(($E533-$B533)*24,1),""))</f>
        <v/>
      </c>
      <c r="J533" s="10" t="str">
        <f aca="false">IF($D533="","",IFERROR(IF(VLOOKUP($F533,Dim_Analyst!$A:$C,3,0)="Yes","Yes","No"),"No"))</f>
        <v/>
      </c>
    </row>
    <row r="534" customFormat="false" ht="15" hidden="false" customHeight="true" outlineLevel="0" collapsed="false">
      <c r="G534" s="4" t="str">
        <f aca="false">IF($D534="","",$A534&amp;"|"&amp;$B534&amp;"|"&amp;$C534&amp;"|"&amp;$D534)</f>
        <v/>
      </c>
      <c r="H534" s="4" t="str">
        <f aca="false">IF($D534="","",$G534&amp;"|"&amp;TEXT($E534,"0.000000"))</f>
        <v/>
      </c>
      <c r="I534" s="29" t="str">
        <f aca="false">IF($D534="","",IF(ISNUMBER($E534),FLOOR(($E534-$B534)*24,1),""))</f>
        <v/>
      </c>
      <c r="J534" s="10" t="str">
        <f aca="false">IF($D534="","",IFERROR(IF(VLOOKUP($F534,Dim_Analyst!$A:$C,3,0)="Yes","Yes","No"),"No"))</f>
        <v/>
      </c>
    </row>
    <row r="535" customFormat="false" ht="15" hidden="false" customHeight="true" outlineLevel="0" collapsed="false">
      <c r="G535" s="4" t="str">
        <f aca="false">IF($D535="","",$A535&amp;"|"&amp;$B535&amp;"|"&amp;$C535&amp;"|"&amp;$D535)</f>
        <v/>
      </c>
      <c r="H535" s="4" t="str">
        <f aca="false">IF($D535="","",$G535&amp;"|"&amp;TEXT($E535,"0.000000"))</f>
        <v/>
      </c>
      <c r="I535" s="29" t="str">
        <f aca="false">IF($D535="","",IF(ISNUMBER($E535),FLOOR(($E535-$B535)*24,1),""))</f>
        <v/>
      </c>
      <c r="J535" s="10" t="str">
        <f aca="false">IF($D535="","",IFERROR(IF(VLOOKUP($F535,Dim_Analyst!$A:$C,3,0)="Yes","Yes","No"),"No"))</f>
        <v/>
      </c>
    </row>
    <row r="536" customFormat="false" ht="15" hidden="false" customHeight="true" outlineLevel="0" collapsed="false">
      <c r="G536" s="4" t="str">
        <f aca="false">IF($D536="","",$A536&amp;"|"&amp;$B536&amp;"|"&amp;$C536&amp;"|"&amp;$D536)</f>
        <v/>
      </c>
      <c r="H536" s="4" t="str">
        <f aca="false">IF($D536="","",$G536&amp;"|"&amp;TEXT($E536,"0.000000"))</f>
        <v/>
      </c>
      <c r="I536" s="29" t="str">
        <f aca="false">IF($D536="","",IF(ISNUMBER($E536),FLOOR(($E536-$B536)*24,1),""))</f>
        <v/>
      </c>
      <c r="J536" s="10" t="str">
        <f aca="false">IF($D536="","",IFERROR(IF(VLOOKUP($F536,Dim_Analyst!$A:$C,3,0)="Yes","Yes","No"),"No"))</f>
        <v/>
      </c>
    </row>
    <row r="537" customFormat="false" ht="15" hidden="false" customHeight="true" outlineLevel="0" collapsed="false">
      <c r="G537" s="4" t="str">
        <f aca="false">IF($D537="","",$A537&amp;"|"&amp;$B537&amp;"|"&amp;$C537&amp;"|"&amp;$D537)</f>
        <v/>
      </c>
      <c r="H537" s="4" t="str">
        <f aca="false">IF($D537="","",$G537&amp;"|"&amp;TEXT($E537,"0.000000"))</f>
        <v/>
      </c>
      <c r="I537" s="29" t="str">
        <f aca="false">IF($D537="","",IF(ISNUMBER($E537),FLOOR(($E537-$B537)*24,1),""))</f>
        <v/>
      </c>
      <c r="J537" s="10" t="str">
        <f aca="false">IF($D537="","",IFERROR(IF(VLOOKUP($F537,Dim_Analyst!$A:$C,3,0)="Yes","Yes","No"),"No"))</f>
        <v/>
      </c>
    </row>
    <row r="538" customFormat="false" ht="15" hidden="false" customHeight="true" outlineLevel="0" collapsed="false">
      <c r="G538" s="4" t="str">
        <f aca="false">IF($D538="","",$A538&amp;"|"&amp;$B538&amp;"|"&amp;$C538&amp;"|"&amp;$D538)</f>
        <v/>
      </c>
      <c r="H538" s="4" t="str">
        <f aca="false">IF($D538="","",$G538&amp;"|"&amp;TEXT($E538,"0.000000"))</f>
        <v/>
      </c>
      <c r="I538" s="29" t="str">
        <f aca="false">IF($D538="","",IF(ISNUMBER($E538),FLOOR(($E538-$B538)*24,1),""))</f>
        <v/>
      </c>
      <c r="J538" s="10" t="str">
        <f aca="false">IF($D538="","",IFERROR(IF(VLOOKUP($F538,Dim_Analyst!$A:$C,3,0)="Yes","Yes","No"),"No"))</f>
        <v/>
      </c>
    </row>
    <row r="539" customFormat="false" ht="15" hidden="false" customHeight="true" outlineLevel="0" collapsed="false">
      <c r="G539" s="4" t="str">
        <f aca="false">IF($D539="","",$A539&amp;"|"&amp;$B539&amp;"|"&amp;$C539&amp;"|"&amp;$D539)</f>
        <v/>
      </c>
      <c r="H539" s="4" t="str">
        <f aca="false">IF($D539="","",$G539&amp;"|"&amp;TEXT($E539,"0.000000"))</f>
        <v/>
      </c>
      <c r="I539" s="29" t="str">
        <f aca="false">IF($D539="","",IF(ISNUMBER($E539),FLOOR(($E539-$B539)*24,1),""))</f>
        <v/>
      </c>
      <c r="J539" s="10" t="str">
        <f aca="false">IF($D539="","",IFERROR(IF(VLOOKUP($F539,Dim_Analyst!$A:$C,3,0)="Yes","Yes","No"),"No"))</f>
        <v/>
      </c>
    </row>
    <row r="540" customFormat="false" ht="15" hidden="false" customHeight="true" outlineLevel="0" collapsed="false">
      <c r="G540" s="4" t="str">
        <f aca="false">IF($D540="","",$A540&amp;"|"&amp;$B540&amp;"|"&amp;$C540&amp;"|"&amp;$D540)</f>
        <v/>
      </c>
      <c r="H540" s="4" t="str">
        <f aca="false">IF($D540="","",$G540&amp;"|"&amp;TEXT($E540,"0.000000"))</f>
        <v/>
      </c>
      <c r="I540" s="29" t="str">
        <f aca="false">IF($D540="","",IF(ISNUMBER($E540),FLOOR(($E540-$B540)*24,1),""))</f>
        <v/>
      </c>
      <c r="J540" s="10" t="str">
        <f aca="false">IF($D540="","",IFERROR(IF(VLOOKUP($F540,Dim_Analyst!$A:$C,3,0)="Yes","Yes","No"),"No"))</f>
        <v/>
      </c>
    </row>
    <row r="541" customFormat="false" ht="15" hidden="false" customHeight="true" outlineLevel="0" collapsed="false">
      <c r="G541" s="4" t="str">
        <f aca="false">IF($D541="","",$A541&amp;"|"&amp;$B541&amp;"|"&amp;$C541&amp;"|"&amp;$D541)</f>
        <v/>
      </c>
      <c r="H541" s="4" t="str">
        <f aca="false">IF($D541="","",$G541&amp;"|"&amp;TEXT($E541,"0.000000"))</f>
        <v/>
      </c>
      <c r="I541" s="29" t="str">
        <f aca="false">IF($D541="","",IF(ISNUMBER($E541),FLOOR(($E541-$B541)*24,1),""))</f>
        <v/>
      </c>
      <c r="J541" s="10" t="str">
        <f aca="false">IF($D541="","",IFERROR(IF(VLOOKUP($F541,Dim_Analyst!$A:$C,3,0)="Yes","Yes","No"),"No"))</f>
        <v/>
      </c>
    </row>
    <row r="542" customFormat="false" ht="15" hidden="false" customHeight="true" outlineLevel="0" collapsed="false">
      <c r="G542" s="4" t="str">
        <f aca="false">IF($D542="","",$A542&amp;"|"&amp;$B542&amp;"|"&amp;$C542&amp;"|"&amp;$D542)</f>
        <v/>
      </c>
      <c r="H542" s="4" t="str">
        <f aca="false">IF($D542="","",$G542&amp;"|"&amp;TEXT($E542,"0.000000"))</f>
        <v/>
      </c>
      <c r="I542" s="29" t="str">
        <f aca="false">IF($D542="","",IF(ISNUMBER($E542),FLOOR(($E542-$B542)*24,1),""))</f>
        <v/>
      </c>
      <c r="J542" s="10" t="str">
        <f aca="false">IF($D542="","",IFERROR(IF(VLOOKUP($F542,Dim_Analyst!$A:$C,3,0)="Yes","Yes","No"),"No"))</f>
        <v/>
      </c>
    </row>
    <row r="543" customFormat="false" ht="15" hidden="false" customHeight="true" outlineLevel="0" collapsed="false">
      <c r="G543" s="4" t="str">
        <f aca="false">IF($D543="","",$A543&amp;"|"&amp;$B543&amp;"|"&amp;$C543&amp;"|"&amp;$D543)</f>
        <v/>
      </c>
      <c r="H543" s="4" t="str">
        <f aca="false">IF($D543="","",$G543&amp;"|"&amp;TEXT($E543,"0.000000"))</f>
        <v/>
      </c>
      <c r="I543" s="29" t="str">
        <f aca="false">IF($D543="","",IF(ISNUMBER($E543),FLOOR(($E543-$B543)*24,1),""))</f>
        <v/>
      </c>
      <c r="J543" s="10" t="str">
        <f aca="false">IF($D543="","",IFERROR(IF(VLOOKUP($F543,Dim_Analyst!$A:$C,3,0)="Yes","Yes","No"),"No"))</f>
        <v/>
      </c>
    </row>
    <row r="544" customFormat="false" ht="15" hidden="false" customHeight="true" outlineLevel="0" collapsed="false">
      <c r="G544" s="4" t="str">
        <f aca="false">IF($D544="","",$A544&amp;"|"&amp;$B544&amp;"|"&amp;$C544&amp;"|"&amp;$D544)</f>
        <v/>
      </c>
      <c r="H544" s="4" t="str">
        <f aca="false">IF($D544="","",$G544&amp;"|"&amp;TEXT($E544,"0.000000"))</f>
        <v/>
      </c>
      <c r="I544" s="29" t="str">
        <f aca="false">IF($D544="","",IF(ISNUMBER($E544),FLOOR(($E544-$B544)*24,1),""))</f>
        <v/>
      </c>
      <c r="J544" s="10" t="str">
        <f aca="false">IF($D544="","",IFERROR(IF(VLOOKUP($F544,Dim_Analyst!$A:$C,3,0)="Yes","Yes","No"),"No"))</f>
        <v/>
      </c>
    </row>
    <row r="545" customFormat="false" ht="15" hidden="false" customHeight="true" outlineLevel="0" collapsed="false">
      <c r="G545" s="4" t="str">
        <f aca="false">IF($D545="","",$A545&amp;"|"&amp;$B545&amp;"|"&amp;$C545&amp;"|"&amp;$D545)</f>
        <v/>
      </c>
      <c r="H545" s="4" t="str">
        <f aca="false">IF($D545="","",$G545&amp;"|"&amp;TEXT($E545,"0.000000"))</f>
        <v/>
      </c>
      <c r="I545" s="29" t="str">
        <f aca="false">IF($D545="","",IF(ISNUMBER($E545),FLOOR(($E545-$B545)*24,1),""))</f>
        <v/>
      </c>
      <c r="J545" s="10" t="str">
        <f aca="false">IF($D545="","",IFERROR(IF(VLOOKUP($F545,Dim_Analyst!$A:$C,3,0)="Yes","Yes","No"),"No"))</f>
        <v/>
      </c>
    </row>
    <row r="546" customFormat="false" ht="15" hidden="false" customHeight="true" outlineLevel="0" collapsed="false">
      <c r="G546" s="4" t="str">
        <f aca="false">IF($D546="","",$A546&amp;"|"&amp;$B546&amp;"|"&amp;$C546&amp;"|"&amp;$D546)</f>
        <v/>
      </c>
      <c r="H546" s="4" t="str">
        <f aca="false">IF($D546="","",$G546&amp;"|"&amp;TEXT($E546,"0.000000"))</f>
        <v/>
      </c>
      <c r="I546" s="29" t="str">
        <f aca="false">IF($D546="","",IF(ISNUMBER($E546),FLOOR(($E546-$B546)*24,1),""))</f>
        <v/>
      </c>
      <c r="J546" s="10" t="str">
        <f aca="false">IF($D546="","",IFERROR(IF(VLOOKUP($F546,Dim_Analyst!$A:$C,3,0)="Yes","Yes","No"),"No"))</f>
        <v/>
      </c>
    </row>
    <row r="547" customFormat="false" ht="15" hidden="false" customHeight="true" outlineLevel="0" collapsed="false">
      <c r="G547" s="4" t="str">
        <f aca="false">IF($D547="","",$A547&amp;"|"&amp;$B547&amp;"|"&amp;$C547&amp;"|"&amp;$D547)</f>
        <v/>
      </c>
      <c r="H547" s="4" t="str">
        <f aca="false">IF($D547="","",$G547&amp;"|"&amp;TEXT($E547,"0.000000"))</f>
        <v/>
      </c>
      <c r="I547" s="29" t="str">
        <f aca="false">IF($D547="","",IF(ISNUMBER($E547),FLOOR(($E547-$B547)*24,1),""))</f>
        <v/>
      </c>
      <c r="J547" s="10" t="str">
        <f aca="false">IF($D547="","",IFERROR(IF(VLOOKUP($F547,Dim_Analyst!$A:$C,3,0)="Yes","Yes","No"),"No"))</f>
        <v/>
      </c>
    </row>
    <row r="548" customFormat="false" ht="15" hidden="false" customHeight="true" outlineLevel="0" collapsed="false">
      <c r="G548" s="4" t="str">
        <f aca="false">IF($D548="","",$A548&amp;"|"&amp;$B548&amp;"|"&amp;$C548&amp;"|"&amp;$D548)</f>
        <v/>
      </c>
      <c r="H548" s="4" t="str">
        <f aca="false">IF($D548="","",$G548&amp;"|"&amp;TEXT($E548,"0.000000"))</f>
        <v/>
      </c>
      <c r="I548" s="29" t="str">
        <f aca="false">IF($D548="","",IF(ISNUMBER($E548),FLOOR(($E548-$B548)*24,1),""))</f>
        <v/>
      </c>
      <c r="J548" s="10" t="str">
        <f aca="false">IF($D548="","",IFERROR(IF(VLOOKUP($F548,Dim_Analyst!$A:$C,3,0)="Yes","Yes","No"),"No"))</f>
        <v/>
      </c>
    </row>
    <row r="549" customFormat="false" ht="15" hidden="false" customHeight="true" outlineLevel="0" collapsed="false">
      <c r="G549" s="4" t="str">
        <f aca="false">IF($D549="","",$A549&amp;"|"&amp;$B549&amp;"|"&amp;$C549&amp;"|"&amp;$D549)</f>
        <v/>
      </c>
      <c r="H549" s="4" t="str">
        <f aca="false">IF($D549="","",$G549&amp;"|"&amp;TEXT($E549,"0.000000"))</f>
        <v/>
      </c>
      <c r="I549" s="29" t="str">
        <f aca="false">IF($D549="","",IF(ISNUMBER($E549),FLOOR(($E549-$B549)*24,1),""))</f>
        <v/>
      </c>
      <c r="J549" s="10" t="str">
        <f aca="false">IF($D549="","",IFERROR(IF(VLOOKUP($F549,Dim_Analyst!$A:$C,3,0)="Yes","Yes","No"),"No"))</f>
        <v/>
      </c>
    </row>
    <row r="550" customFormat="false" ht="15" hidden="false" customHeight="true" outlineLevel="0" collapsed="false">
      <c r="G550" s="4" t="str">
        <f aca="false">IF($D550="","",$A550&amp;"|"&amp;$B550&amp;"|"&amp;$C550&amp;"|"&amp;$D550)</f>
        <v/>
      </c>
      <c r="H550" s="4" t="str">
        <f aca="false">IF($D550="","",$G550&amp;"|"&amp;TEXT($E550,"0.000000"))</f>
        <v/>
      </c>
      <c r="I550" s="29" t="str">
        <f aca="false">IF($D550="","",IF(ISNUMBER($E550),FLOOR(($E550-$B550)*24,1),""))</f>
        <v/>
      </c>
      <c r="J550" s="10" t="str">
        <f aca="false">IF($D550="","",IFERROR(IF(VLOOKUP($F550,Dim_Analyst!$A:$C,3,0)="Yes","Yes","No"),"No"))</f>
        <v/>
      </c>
    </row>
    <row r="551" customFormat="false" ht="15" hidden="false" customHeight="true" outlineLevel="0" collapsed="false">
      <c r="G551" s="4" t="str">
        <f aca="false">IF($D551="","",$A551&amp;"|"&amp;$B551&amp;"|"&amp;$C551&amp;"|"&amp;$D551)</f>
        <v/>
      </c>
      <c r="H551" s="4" t="str">
        <f aca="false">IF($D551="","",$G551&amp;"|"&amp;TEXT($E551,"0.000000"))</f>
        <v/>
      </c>
      <c r="I551" s="29" t="str">
        <f aca="false">IF($D551="","",IF(ISNUMBER($E551),FLOOR(($E551-$B551)*24,1),""))</f>
        <v/>
      </c>
      <c r="J551" s="10" t="str">
        <f aca="false">IF($D551="","",IFERROR(IF(VLOOKUP($F551,Dim_Analyst!$A:$C,3,0)="Yes","Yes","No"),"No"))</f>
        <v/>
      </c>
    </row>
    <row r="552" customFormat="false" ht="15" hidden="false" customHeight="true" outlineLevel="0" collapsed="false">
      <c r="G552" s="4" t="str">
        <f aca="false">IF($D552="","",$A552&amp;"|"&amp;$B552&amp;"|"&amp;$C552&amp;"|"&amp;$D552)</f>
        <v/>
      </c>
      <c r="H552" s="4" t="str">
        <f aca="false">IF($D552="","",$G552&amp;"|"&amp;TEXT($E552,"0.000000"))</f>
        <v/>
      </c>
      <c r="I552" s="29" t="str">
        <f aca="false">IF($D552="","",IF(ISNUMBER($E552),FLOOR(($E552-$B552)*24,1),""))</f>
        <v/>
      </c>
      <c r="J552" s="10" t="str">
        <f aca="false">IF($D552="","",IFERROR(IF(VLOOKUP($F552,Dim_Analyst!$A:$C,3,0)="Yes","Yes","No"),"No"))</f>
        <v/>
      </c>
    </row>
    <row r="553" customFormat="false" ht="15" hidden="false" customHeight="true" outlineLevel="0" collapsed="false">
      <c r="G553" s="4" t="str">
        <f aca="false">IF($D553="","",$A553&amp;"|"&amp;$B553&amp;"|"&amp;$C553&amp;"|"&amp;$D553)</f>
        <v/>
      </c>
      <c r="H553" s="4" t="str">
        <f aca="false">IF($D553="","",$G553&amp;"|"&amp;TEXT($E553,"0.000000"))</f>
        <v/>
      </c>
      <c r="I553" s="29" t="str">
        <f aca="false">IF($D553="","",IF(ISNUMBER($E553),FLOOR(($E553-$B553)*24,1),""))</f>
        <v/>
      </c>
      <c r="J553" s="10" t="str">
        <f aca="false">IF($D553="","",IFERROR(IF(VLOOKUP($F553,Dim_Analyst!$A:$C,3,0)="Yes","Yes","No"),"No"))</f>
        <v/>
      </c>
    </row>
    <row r="554" customFormat="false" ht="15" hidden="false" customHeight="true" outlineLevel="0" collapsed="false">
      <c r="G554" s="4" t="str">
        <f aca="false">IF($D554="","",$A554&amp;"|"&amp;$B554&amp;"|"&amp;$C554&amp;"|"&amp;$D554)</f>
        <v/>
      </c>
      <c r="H554" s="4" t="str">
        <f aca="false">IF($D554="","",$G554&amp;"|"&amp;TEXT($E554,"0.000000"))</f>
        <v/>
      </c>
      <c r="I554" s="29" t="str">
        <f aca="false">IF($D554="","",IF(ISNUMBER($E554),FLOOR(($E554-$B554)*24,1),""))</f>
        <v/>
      </c>
      <c r="J554" s="10" t="str">
        <f aca="false">IF($D554="","",IFERROR(IF(VLOOKUP($F554,Dim_Analyst!$A:$C,3,0)="Yes","Yes","No"),"No"))</f>
        <v/>
      </c>
    </row>
    <row r="555" customFormat="false" ht="15" hidden="false" customHeight="true" outlineLevel="0" collapsed="false">
      <c r="G555" s="4" t="str">
        <f aca="false">IF($D555="","",$A555&amp;"|"&amp;$B555&amp;"|"&amp;$C555&amp;"|"&amp;$D555)</f>
        <v/>
      </c>
      <c r="H555" s="4" t="str">
        <f aca="false">IF($D555="","",$G555&amp;"|"&amp;TEXT($E555,"0.000000"))</f>
        <v/>
      </c>
      <c r="I555" s="29" t="str">
        <f aca="false">IF($D555="","",IF(ISNUMBER($E555),FLOOR(($E555-$B555)*24,1),""))</f>
        <v/>
      </c>
      <c r="J555" s="10" t="str">
        <f aca="false">IF($D555="","",IFERROR(IF(VLOOKUP($F555,Dim_Analyst!$A:$C,3,0)="Yes","Yes","No"),"No"))</f>
        <v/>
      </c>
    </row>
    <row r="556" customFormat="false" ht="15" hidden="false" customHeight="true" outlineLevel="0" collapsed="false">
      <c r="G556" s="4" t="str">
        <f aca="false">IF($D556="","",$A556&amp;"|"&amp;$B556&amp;"|"&amp;$C556&amp;"|"&amp;$D556)</f>
        <v/>
      </c>
      <c r="H556" s="4" t="str">
        <f aca="false">IF($D556="","",$G556&amp;"|"&amp;TEXT($E556,"0.000000"))</f>
        <v/>
      </c>
      <c r="I556" s="29" t="str">
        <f aca="false">IF($D556="","",IF(ISNUMBER($E556),FLOOR(($E556-$B556)*24,1),""))</f>
        <v/>
      </c>
      <c r="J556" s="10" t="str">
        <f aca="false">IF($D556="","",IFERROR(IF(VLOOKUP($F556,Dim_Analyst!$A:$C,3,0)="Yes","Yes","No"),"No"))</f>
        <v/>
      </c>
    </row>
    <row r="557" customFormat="false" ht="15" hidden="false" customHeight="true" outlineLevel="0" collapsed="false">
      <c r="G557" s="4" t="str">
        <f aca="false">IF($D557="","",$A557&amp;"|"&amp;$B557&amp;"|"&amp;$C557&amp;"|"&amp;$D557)</f>
        <v/>
      </c>
      <c r="H557" s="4" t="str">
        <f aca="false">IF($D557="","",$G557&amp;"|"&amp;TEXT($E557,"0.000000"))</f>
        <v/>
      </c>
      <c r="I557" s="29" t="str">
        <f aca="false">IF($D557="","",IF(ISNUMBER($E557),FLOOR(($E557-$B557)*24,1),""))</f>
        <v/>
      </c>
      <c r="J557" s="10" t="str">
        <f aca="false">IF($D557="","",IFERROR(IF(VLOOKUP($F557,Dim_Analyst!$A:$C,3,0)="Yes","Yes","No"),"No"))</f>
        <v/>
      </c>
    </row>
    <row r="558" customFormat="false" ht="15" hidden="false" customHeight="true" outlineLevel="0" collapsed="false">
      <c r="G558" s="4" t="str">
        <f aca="false">IF($D558="","",$A558&amp;"|"&amp;$B558&amp;"|"&amp;$C558&amp;"|"&amp;$D558)</f>
        <v/>
      </c>
      <c r="H558" s="4" t="str">
        <f aca="false">IF($D558="","",$G558&amp;"|"&amp;TEXT($E558,"0.000000"))</f>
        <v/>
      </c>
      <c r="I558" s="29" t="str">
        <f aca="false">IF($D558="","",IF(ISNUMBER($E558),FLOOR(($E558-$B558)*24,1),""))</f>
        <v/>
      </c>
      <c r="J558" s="10" t="str">
        <f aca="false">IF($D558="","",IFERROR(IF(VLOOKUP($F558,Dim_Analyst!$A:$C,3,0)="Yes","Yes","No"),"No"))</f>
        <v/>
      </c>
    </row>
    <row r="559" customFormat="false" ht="15" hidden="false" customHeight="true" outlineLevel="0" collapsed="false">
      <c r="G559" s="4" t="str">
        <f aca="false">IF($D559="","",$A559&amp;"|"&amp;$B559&amp;"|"&amp;$C559&amp;"|"&amp;$D559)</f>
        <v/>
      </c>
      <c r="H559" s="4" t="str">
        <f aca="false">IF($D559="","",$G559&amp;"|"&amp;TEXT($E559,"0.000000"))</f>
        <v/>
      </c>
      <c r="I559" s="29" t="str">
        <f aca="false">IF($D559="","",IF(ISNUMBER($E559),FLOOR(($E559-$B559)*24,1),""))</f>
        <v/>
      </c>
      <c r="J559" s="10" t="str">
        <f aca="false">IF($D559="","",IFERROR(IF(VLOOKUP($F559,Dim_Analyst!$A:$C,3,0)="Yes","Yes","No"),"No"))</f>
        <v/>
      </c>
    </row>
    <row r="560" customFormat="false" ht="15" hidden="false" customHeight="true" outlineLevel="0" collapsed="false">
      <c r="G560" s="4" t="str">
        <f aca="false">IF($D560="","",$A560&amp;"|"&amp;$B560&amp;"|"&amp;$C560&amp;"|"&amp;$D560)</f>
        <v/>
      </c>
      <c r="H560" s="4" t="str">
        <f aca="false">IF($D560="","",$G560&amp;"|"&amp;TEXT($E560,"0.000000"))</f>
        <v/>
      </c>
      <c r="I560" s="29" t="str">
        <f aca="false">IF($D560="","",IF(ISNUMBER($E560),FLOOR(($E560-$B560)*24,1),""))</f>
        <v/>
      </c>
      <c r="J560" s="10" t="str">
        <f aca="false">IF($D560="","",IFERROR(IF(VLOOKUP($F560,Dim_Analyst!$A:$C,3,0)="Yes","Yes","No"),"No"))</f>
        <v/>
      </c>
    </row>
    <row r="561" customFormat="false" ht="15" hidden="false" customHeight="true" outlineLevel="0" collapsed="false">
      <c r="G561" s="4" t="str">
        <f aca="false">IF($D561="","",$A561&amp;"|"&amp;$B561&amp;"|"&amp;$C561&amp;"|"&amp;$D561)</f>
        <v/>
      </c>
      <c r="H561" s="4" t="str">
        <f aca="false">IF($D561="","",$G561&amp;"|"&amp;TEXT($E561,"0.000000"))</f>
        <v/>
      </c>
      <c r="I561" s="29" t="str">
        <f aca="false">IF($D561="","",IF(ISNUMBER($E561),FLOOR(($E561-$B561)*24,1),""))</f>
        <v/>
      </c>
      <c r="J561" s="10" t="str">
        <f aca="false">IF($D561="","",IFERROR(IF(VLOOKUP($F561,Dim_Analyst!$A:$C,3,0)="Yes","Yes","No"),"No"))</f>
        <v/>
      </c>
    </row>
    <row r="562" customFormat="false" ht="15" hidden="false" customHeight="true" outlineLevel="0" collapsed="false">
      <c r="G562" s="4" t="str">
        <f aca="false">IF($D562="","",$A562&amp;"|"&amp;$B562&amp;"|"&amp;$C562&amp;"|"&amp;$D562)</f>
        <v/>
      </c>
      <c r="H562" s="4" t="str">
        <f aca="false">IF($D562="","",$G562&amp;"|"&amp;TEXT($E562,"0.000000"))</f>
        <v/>
      </c>
      <c r="I562" s="29" t="str">
        <f aca="false">IF($D562="","",IF(ISNUMBER($E562),FLOOR(($E562-$B562)*24,1),""))</f>
        <v/>
      </c>
      <c r="J562" s="10" t="str">
        <f aca="false">IF($D562="","",IFERROR(IF(VLOOKUP($F562,Dim_Analyst!$A:$C,3,0)="Yes","Yes","No"),"No"))</f>
        <v/>
      </c>
    </row>
    <row r="563" customFormat="false" ht="15" hidden="false" customHeight="true" outlineLevel="0" collapsed="false">
      <c r="G563" s="4" t="str">
        <f aca="false">IF($D563="","",$A563&amp;"|"&amp;$B563&amp;"|"&amp;$C563&amp;"|"&amp;$D563)</f>
        <v/>
      </c>
      <c r="H563" s="4" t="str">
        <f aca="false">IF($D563="","",$G563&amp;"|"&amp;TEXT($E563,"0.000000"))</f>
        <v/>
      </c>
      <c r="I563" s="29" t="str">
        <f aca="false">IF($D563="","",IF(ISNUMBER($E563),FLOOR(($E563-$B563)*24,1),""))</f>
        <v/>
      </c>
      <c r="J563" s="10" t="str">
        <f aca="false">IF($D563="","",IFERROR(IF(VLOOKUP($F563,Dim_Analyst!$A:$C,3,0)="Yes","Yes","No"),"No"))</f>
        <v/>
      </c>
    </row>
    <row r="564" customFormat="false" ht="15" hidden="false" customHeight="true" outlineLevel="0" collapsed="false">
      <c r="G564" s="4" t="str">
        <f aca="false">IF($D564="","",$A564&amp;"|"&amp;$B564&amp;"|"&amp;$C564&amp;"|"&amp;$D564)</f>
        <v/>
      </c>
      <c r="H564" s="4" t="str">
        <f aca="false">IF($D564="","",$G564&amp;"|"&amp;TEXT($E564,"0.000000"))</f>
        <v/>
      </c>
      <c r="I564" s="29" t="str">
        <f aca="false">IF($D564="","",IF(ISNUMBER($E564),FLOOR(($E564-$B564)*24,1),""))</f>
        <v/>
      </c>
      <c r="J564" s="10" t="str">
        <f aca="false">IF($D564="","",IFERROR(IF(VLOOKUP($F564,Dim_Analyst!$A:$C,3,0)="Yes","Yes","No"),"No"))</f>
        <v/>
      </c>
    </row>
    <row r="565" customFormat="false" ht="15" hidden="false" customHeight="true" outlineLevel="0" collapsed="false">
      <c r="G565" s="4" t="str">
        <f aca="false">IF($D565="","",$A565&amp;"|"&amp;$B565&amp;"|"&amp;$C565&amp;"|"&amp;$D565)</f>
        <v/>
      </c>
      <c r="H565" s="4" t="str">
        <f aca="false">IF($D565="","",$G565&amp;"|"&amp;TEXT($E565,"0.000000"))</f>
        <v/>
      </c>
      <c r="I565" s="29" t="str">
        <f aca="false">IF($D565="","",IF(ISNUMBER($E565),FLOOR(($E565-$B565)*24,1),""))</f>
        <v/>
      </c>
      <c r="J565" s="10" t="str">
        <f aca="false">IF($D565="","",IFERROR(IF(VLOOKUP($F565,Dim_Analyst!$A:$C,3,0)="Yes","Yes","No"),"No"))</f>
        <v/>
      </c>
    </row>
    <row r="566" customFormat="false" ht="15" hidden="false" customHeight="true" outlineLevel="0" collapsed="false">
      <c r="G566" s="4" t="str">
        <f aca="false">IF($D566="","",$A566&amp;"|"&amp;$B566&amp;"|"&amp;$C566&amp;"|"&amp;$D566)</f>
        <v/>
      </c>
      <c r="H566" s="4" t="str">
        <f aca="false">IF($D566="","",$G566&amp;"|"&amp;TEXT($E566,"0.000000"))</f>
        <v/>
      </c>
      <c r="I566" s="29" t="str">
        <f aca="false">IF($D566="","",IF(ISNUMBER($E566),FLOOR(($E566-$B566)*24,1),""))</f>
        <v/>
      </c>
      <c r="J566" s="10" t="str">
        <f aca="false">IF($D566="","",IFERROR(IF(VLOOKUP($F566,Dim_Analyst!$A:$C,3,0)="Yes","Yes","No"),"No"))</f>
        <v/>
      </c>
    </row>
    <row r="567" customFormat="false" ht="15" hidden="false" customHeight="true" outlineLevel="0" collapsed="false">
      <c r="G567" s="4" t="str">
        <f aca="false">IF($D567="","",$A567&amp;"|"&amp;$B567&amp;"|"&amp;$C567&amp;"|"&amp;$D567)</f>
        <v/>
      </c>
      <c r="H567" s="4" t="str">
        <f aca="false">IF($D567="","",$G567&amp;"|"&amp;TEXT($E567,"0.000000"))</f>
        <v/>
      </c>
      <c r="I567" s="29" t="str">
        <f aca="false">IF($D567="","",IF(ISNUMBER($E567),FLOOR(($E567-$B567)*24,1),""))</f>
        <v/>
      </c>
      <c r="J567" s="10" t="str">
        <f aca="false">IF($D567="","",IFERROR(IF(VLOOKUP($F567,Dim_Analyst!$A:$C,3,0)="Yes","Yes","No"),"No"))</f>
        <v/>
      </c>
    </row>
    <row r="568" customFormat="false" ht="15" hidden="false" customHeight="true" outlineLevel="0" collapsed="false">
      <c r="G568" s="4" t="str">
        <f aca="false">IF($D568="","",$A568&amp;"|"&amp;$B568&amp;"|"&amp;$C568&amp;"|"&amp;$D568)</f>
        <v/>
      </c>
      <c r="H568" s="4" t="str">
        <f aca="false">IF($D568="","",$G568&amp;"|"&amp;TEXT($E568,"0.000000"))</f>
        <v/>
      </c>
      <c r="I568" s="29" t="str">
        <f aca="false">IF($D568="","",IF(ISNUMBER($E568),FLOOR(($E568-$B568)*24,1),""))</f>
        <v/>
      </c>
      <c r="J568" s="10" t="str">
        <f aca="false">IF($D568="","",IFERROR(IF(VLOOKUP($F568,Dim_Analyst!$A:$C,3,0)="Yes","Yes","No"),"No"))</f>
        <v/>
      </c>
    </row>
    <row r="569" customFormat="false" ht="15" hidden="false" customHeight="true" outlineLevel="0" collapsed="false">
      <c r="G569" s="4" t="str">
        <f aca="false">IF($D569="","",$A569&amp;"|"&amp;$B569&amp;"|"&amp;$C569&amp;"|"&amp;$D569)</f>
        <v/>
      </c>
      <c r="H569" s="4" t="str">
        <f aca="false">IF($D569="","",$G569&amp;"|"&amp;TEXT($E569,"0.000000"))</f>
        <v/>
      </c>
      <c r="I569" s="29" t="str">
        <f aca="false">IF($D569="","",IF(ISNUMBER($E569),FLOOR(($E569-$B569)*24,1),""))</f>
        <v/>
      </c>
      <c r="J569" s="10" t="str">
        <f aca="false">IF($D569="","",IFERROR(IF(VLOOKUP($F569,Dim_Analyst!$A:$C,3,0)="Yes","Yes","No"),"No"))</f>
        <v/>
      </c>
    </row>
    <row r="570" customFormat="false" ht="15" hidden="false" customHeight="true" outlineLevel="0" collapsed="false">
      <c r="G570" s="4" t="str">
        <f aca="false">IF($D570="","",$A570&amp;"|"&amp;$B570&amp;"|"&amp;$C570&amp;"|"&amp;$D570)</f>
        <v/>
      </c>
      <c r="H570" s="4" t="str">
        <f aca="false">IF($D570="","",$G570&amp;"|"&amp;TEXT($E570,"0.000000"))</f>
        <v/>
      </c>
      <c r="I570" s="29" t="str">
        <f aca="false">IF($D570="","",IF(ISNUMBER($E570),FLOOR(($E570-$B570)*24,1),""))</f>
        <v/>
      </c>
      <c r="J570" s="10" t="str">
        <f aca="false">IF($D570="","",IFERROR(IF(VLOOKUP($F570,Dim_Analyst!$A:$C,3,0)="Yes","Yes","No"),"No"))</f>
        <v/>
      </c>
    </row>
    <row r="571" customFormat="false" ht="15" hidden="false" customHeight="true" outlineLevel="0" collapsed="false">
      <c r="G571" s="4" t="str">
        <f aca="false">IF($D571="","",$A571&amp;"|"&amp;$B571&amp;"|"&amp;$C571&amp;"|"&amp;$D571)</f>
        <v/>
      </c>
      <c r="H571" s="4" t="str">
        <f aca="false">IF($D571="","",$G571&amp;"|"&amp;TEXT($E571,"0.000000"))</f>
        <v/>
      </c>
      <c r="I571" s="29" t="str">
        <f aca="false">IF($D571="","",IF(ISNUMBER($E571),FLOOR(($E571-$B571)*24,1),""))</f>
        <v/>
      </c>
      <c r="J571" s="10" t="str">
        <f aca="false">IF($D571="","",IFERROR(IF(VLOOKUP($F571,Dim_Analyst!$A:$C,3,0)="Yes","Yes","No"),"No"))</f>
        <v/>
      </c>
    </row>
    <row r="572" customFormat="false" ht="15" hidden="false" customHeight="true" outlineLevel="0" collapsed="false">
      <c r="G572" s="4" t="str">
        <f aca="false">IF($D572="","",$A572&amp;"|"&amp;$B572&amp;"|"&amp;$C572&amp;"|"&amp;$D572)</f>
        <v/>
      </c>
      <c r="H572" s="4" t="str">
        <f aca="false">IF($D572="","",$G572&amp;"|"&amp;TEXT($E572,"0.000000"))</f>
        <v/>
      </c>
      <c r="I572" s="29" t="str">
        <f aca="false">IF($D572="","",IF(ISNUMBER($E572),FLOOR(($E572-$B572)*24,1),""))</f>
        <v/>
      </c>
      <c r="J572" s="10" t="str">
        <f aca="false">IF($D572="","",IFERROR(IF(VLOOKUP($F572,Dim_Analyst!$A:$C,3,0)="Yes","Yes","No"),"No"))</f>
        <v/>
      </c>
    </row>
    <row r="573" customFormat="false" ht="15" hidden="false" customHeight="true" outlineLevel="0" collapsed="false">
      <c r="G573" s="4" t="str">
        <f aca="false">IF($D573="","",$A573&amp;"|"&amp;$B573&amp;"|"&amp;$C573&amp;"|"&amp;$D573)</f>
        <v/>
      </c>
      <c r="H573" s="4" t="str">
        <f aca="false">IF($D573="","",$G573&amp;"|"&amp;TEXT($E573,"0.000000"))</f>
        <v/>
      </c>
      <c r="I573" s="29" t="str">
        <f aca="false">IF($D573="","",IF(ISNUMBER($E573),FLOOR(($E573-$B573)*24,1),""))</f>
        <v/>
      </c>
      <c r="J573" s="10" t="str">
        <f aca="false">IF($D573="","",IFERROR(IF(VLOOKUP($F573,Dim_Analyst!$A:$C,3,0)="Yes","Yes","No"),"No"))</f>
        <v/>
      </c>
    </row>
    <row r="574" customFormat="false" ht="15" hidden="false" customHeight="true" outlineLevel="0" collapsed="false">
      <c r="G574" s="4" t="str">
        <f aca="false">IF($D574="","",$A574&amp;"|"&amp;$B574&amp;"|"&amp;$C574&amp;"|"&amp;$D574)</f>
        <v/>
      </c>
      <c r="H574" s="4" t="str">
        <f aca="false">IF($D574="","",$G574&amp;"|"&amp;TEXT($E574,"0.000000"))</f>
        <v/>
      </c>
      <c r="I574" s="29" t="str">
        <f aca="false">IF($D574="","",IF(ISNUMBER($E574),FLOOR(($E574-$B574)*24,1),""))</f>
        <v/>
      </c>
      <c r="J574" s="10" t="str">
        <f aca="false">IF($D574="","",IFERROR(IF(VLOOKUP($F574,Dim_Analyst!$A:$C,3,0)="Yes","Yes","No"),"No"))</f>
        <v/>
      </c>
    </row>
    <row r="575" customFormat="false" ht="15" hidden="false" customHeight="true" outlineLevel="0" collapsed="false">
      <c r="G575" s="4" t="str">
        <f aca="false">IF($D575="","",$A575&amp;"|"&amp;$B575&amp;"|"&amp;$C575&amp;"|"&amp;$D575)</f>
        <v/>
      </c>
      <c r="H575" s="4" t="str">
        <f aca="false">IF($D575="","",$G575&amp;"|"&amp;TEXT($E575,"0.000000"))</f>
        <v/>
      </c>
      <c r="I575" s="29" t="str">
        <f aca="false">IF($D575="","",IF(ISNUMBER($E575),FLOOR(($E575-$B575)*24,1),""))</f>
        <v/>
      </c>
      <c r="J575" s="10" t="str">
        <f aca="false">IF($D575="","",IFERROR(IF(VLOOKUP($F575,Dim_Analyst!$A:$C,3,0)="Yes","Yes","No"),"No"))</f>
        <v/>
      </c>
    </row>
    <row r="576" customFormat="false" ht="15" hidden="false" customHeight="true" outlineLevel="0" collapsed="false">
      <c r="G576" s="4" t="str">
        <f aca="false">IF($D576="","",$A576&amp;"|"&amp;$B576&amp;"|"&amp;$C576&amp;"|"&amp;$D576)</f>
        <v/>
      </c>
      <c r="H576" s="4" t="str">
        <f aca="false">IF($D576="","",$G576&amp;"|"&amp;TEXT($E576,"0.000000"))</f>
        <v/>
      </c>
      <c r="I576" s="29" t="str">
        <f aca="false">IF($D576="","",IF(ISNUMBER($E576),FLOOR(($E576-$B576)*24,1),""))</f>
        <v/>
      </c>
      <c r="J576" s="10" t="str">
        <f aca="false">IF($D576="","",IFERROR(IF(VLOOKUP($F576,Dim_Analyst!$A:$C,3,0)="Yes","Yes","No"),"No"))</f>
        <v/>
      </c>
    </row>
    <row r="577" customFormat="false" ht="15" hidden="false" customHeight="true" outlineLevel="0" collapsed="false">
      <c r="G577" s="4" t="str">
        <f aca="false">IF($D577="","",$A577&amp;"|"&amp;$B577&amp;"|"&amp;$C577&amp;"|"&amp;$D577)</f>
        <v/>
      </c>
      <c r="H577" s="4" t="str">
        <f aca="false">IF($D577="","",$G577&amp;"|"&amp;TEXT($E577,"0.000000"))</f>
        <v/>
      </c>
      <c r="I577" s="29" t="str">
        <f aca="false">IF($D577="","",IF(ISNUMBER($E577),FLOOR(($E577-$B577)*24,1),""))</f>
        <v/>
      </c>
      <c r="J577" s="10" t="str">
        <f aca="false">IF($D577="","",IFERROR(IF(VLOOKUP($F577,Dim_Analyst!$A:$C,3,0)="Yes","Yes","No"),"No"))</f>
        <v/>
      </c>
    </row>
    <row r="578" customFormat="false" ht="15" hidden="false" customHeight="true" outlineLevel="0" collapsed="false">
      <c r="G578" s="4" t="str">
        <f aca="false">IF($D578="","",$A578&amp;"|"&amp;$B578&amp;"|"&amp;$C578&amp;"|"&amp;$D578)</f>
        <v/>
      </c>
      <c r="H578" s="4" t="str">
        <f aca="false">IF($D578="","",$G578&amp;"|"&amp;TEXT($E578,"0.000000"))</f>
        <v/>
      </c>
      <c r="I578" s="29" t="str">
        <f aca="false">IF($D578="","",IF(ISNUMBER($E578),FLOOR(($E578-$B578)*24,1),""))</f>
        <v/>
      </c>
      <c r="J578" s="10" t="str">
        <f aca="false">IF($D578="","",IFERROR(IF(VLOOKUP($F578,Dim_Analyst!$A:$C,3,0)="Yes","Yes","No"),"No"))</f>
        <v/>
      </c>
    </row>
    <row r="579" customFormat="false" ht="15" hidden="false" customHeight="true" outlineLevel="0" collapsed="false">
      <c r="G579" s="4" t="str">
        <f aca="false">IF($D579="","",$A579&amp;"|"&amp;$B579&amp;"|"&amp;$C579&amp;"|"&amp;$D579)</f>
        <v/>
      </c>
      <c r="H579" s="4" t="str">
        <f aca="false">IF($D579="","",$G579&amp;"|"&amp;TEXT($E579,"0.000000"))</f>
        <v/>
      </c>
      <c r="I579" s="29" t="str">
        <f aca="false">IF($D579="","",IF(ISNUMBER($E579),FLOOR(($E579-$B579)*24,1),""))</f>
        <v/>
      </c>
      <c r="J579" s="10" t="str">
        <f aca="false">IF($D579="","",IFERROR(IF(VLOOKUP($F579,Dim_Analyst!$A:$C,3,0)="Yes","Yes","No"),"No"))</f>
        <v/>
      </c>
    </row>
    <row r="580" customFormat="false" ht="15" hidden="false" customHeight="true" outlineLevel="0" collapsed="false">
      <c r="G580" s="4" t="str">
        <f aca="false">IF($D580="","",$A580&amp;"|"&amp;$B580&amp;"|"&amp;$C580&amp;"|"&amp;$D580)</f>
        <v/>
      </c>
      <c r="H580" s="4" t="str">
        <f aca="false">IF($D580="","",$G580&amp;"|"&amp;TEXT($E580,"0.000000"))</f>
        <v/>
      </c>
      <c r="I580" s="29" t="str">
        <f aca="false">IF($D580="","",IF(ISNUMBER($E580),FLOOR(($E580-$B580)*24,1),""))</f>
        <v/>
      </c>
      <c r="J580" s="10" t="str">
        <f aca="false">IF($D580="","",IFERROR(IF(VLOOKUP($F580,Dim_Analyst!$A:$C,3,0)="Yes","Yes","No"),"No"))</f>
        <v/>
      </c>
    </row>
    <row r="581" customFormat="false" ht="15" hidden="false" customHeight="true" outlineLevel="0" collapsed="false">
      <c r="G581" s="4" t="str">
        <f aca="false">IF($D581="","",$A581&amp;"|"&amp;$B581&amp;"|"&amp;$C581&amp;"|"&amp;$D581)</f>
        <v/>
      </c>
      <c r="H581" s="4" t="str">
        <f aca="false">IF($D581="","",$G581&amp;"|"&amp;TEXT($E581,"0.000000"))</f>
        <v/>
      </c>
      <c r="I581" s="29" t="str">
        <f aca="false">IF($D581="","",IF(ISNUMBER($E581),FLOOR(($E581-$B581)*24,1),""))</f>
        <v/>
      </c>
      <c r="J581" s="10" t="str">
        <f aca="false">IF($D581="","",IFERROR(IF(VLOOKUP($F581,Dim_Analyst!$A:$C,3,0)="Yes","Yes","No"),"No"))</f>
        <v/>
      </c>
    </row>
    <row r="582" customFormat="false" ht="15" hidden="false" customHeight="true" outlineLevel="0" collapsed="false">
      <c r="G582" s="4" t="str">
        <f aca="false">IF($D582="","",$A582&amp;"|"&amp;$B582&amp;"|"&amp;$C582&amp;"|"&amp;$D582)</f>
        <v/>
      </c>
      <c r="H582" s="4" t="str">
        <f aca="false">IF($D582="","",$G582&amp;"|"&amp;TEXT($E582,"0.000000"))</f>
        <v/>
      </c>
      <c r="I582" s="29" t="str">
        <f aca="false">IF($D582="","",IF(ISNUMBER($E582),FLOOR(($E582-$B582)*24,1),""))</f>
        <v/>
      </c>
      <c r="J582" s="10" t="str">
        <f aca="false">IF($D582="","",IFERROR(IF(VLOOKUP($F582,Dim_Analyst!$A:$C,3,0)="Yes","Yes","No"),"No"))</f>
        <v/>
      </c>
    </row>
    <row r="583" customFormat="false" ht="15" hidden="false" customHeight="true" outlineLevel="0" collapsed="false">
      <c r="G583" s="4" t="str">
        <f aca="false">IF($D583="","",$A583&amp;"|"&amp;$B583&amp;"|"&amp;$C583&amp;"|"&amp;$D583)</f>
        <v/>
      </c>
      <c r="H583" s="4" t="str">
        <f aca="false">IF($D583="","",$G583&amp;"|"&amp;TEXT($E583,"0.000000"))</f>
        <v/>
      </c>
      <c r="I583" s="29" t="str">
        <f aca="false">IF($D583="","",IF(ISNUMBER($E583),FLOOR(($E583-$B583)*24,1),""))</f>
        <v/>
      </c>
      <c r="J583" s="10" t="str">
        <f aca="false">IF($D583="","",IFERROR(IF(VLOOKUP($F583,Dim_Analyst!$A:$C,3,0)="Yes","Yes","No"),"No"))</f>
        <v/>
      </c>
    </row>
    <row r="584" customFormat="false" ht="15" hidden="false" customHeight="true" outlineLevel="0" collapsed="false">
      <c r="G584" s="4" t="str">
        <f aca="false">IF($D584="","",$A584&amp;"|"&amp;$B584&amp;"|"&amp;$C584&amp;"|"&amp;$D584)</f>
        <v/>
      </c>
      <c r="H584" s="4" t="str">
        <f aca="false">IF($D584="","",$G584&amp;"|"&amp;TEXT($E584,"0.000000"))</f>
        <v/>
      </c>
      <c r="I584" s="29" t="str">
        <f aca="false">IF($D584="","",IF(ISNUMBER($E584),FLOOR(($E584-$B584)*24,1),""))</f>
        <v/>
      </c>
      <c r="J584" s="10" t="str">
        <f aca="false">IF($D584="","",IFERROR(IF(VLOOKUP($F584,Dim_Analyst!$A:$C,3,0)="Yes","Yes","No"),"No"))</f>
        <v/>
      </c>
    </row>
    <row r="585" customFormat="false" ht="15" hidden="false" customHeight="true" outlineLevel="0" collapsed="false">
      <c r="G585" s="4" t="str">
        <f aca="false">IF($D585="","",$A585&amp;"|"&amp;$B585&amp;"|"&amp;$C585&amp;"|"&amp;$D585)</f>
        <v/>
      </c>
      <c r="H585" s="4" t="str">
        <f aca="false">IF($D585="","",$G585&amp;"|"&amp;TEXT($E585,"0.000000"))</f>
        <v/>
      </c>
      <c r="I585" s="29" t="str">
        <f aca="false">IF($D585="","",IF(ISNUMBER($E585),FLOOR(($E585-$B585)*24,1),""))</f>
        <v/>
      </c>
      <c r="J585" s="10" t="str">
        <f aca="false">IF($D585="","",IFERROR(IF(VLOOKUP($F585,Dim_Analyst!$A:$C,3,0)="Yes","Yes","No"),"No"))</f>
        <v/>
      </c>
    </row>
    <row r="586" customFormat="false" ht="15" hidden="false" customHeight="true" outlineLevel="0" collapsed="false">
      <c r="G586" s="4" t="str">
        <f aca="false">IF($D586="","",$A586&amp;"|"&amp;$B586&amp;"|"&amp;$C586&amp;"|"&amp;$D586)</f>
        <v/>
      </c>
      <c r="H586" s="4" t="str">
        <f aca="false">IF($D586="","",$G586&amp;"|"&amp;TEXT($E586,"0.000000"))</f>
        <v/>
      </c>
      <c r="I586" s="29" t="str">
        <f aca="false">IF($D586="","",IF(ISNUMBER($E586),FLOOR(($E586-$B586)*24,1),""))</f>
        <v/>
      </c>
      <c r="J586" s="10" t="str">
        <f aca="false">IF($D586="","",IFERROR(IF(VLOOKUP($F586,Dim_Analyst!$A:$C,3,0)="Yes","Yes","No"),"No"))</f>
        <v/>
      </c>
    </row>
    <row r="587" customFormat="false" ht="15" hidden="false" customHeight="true" outlineLevel="0" collapsed="false">
      <c r="G587" s="4" t="str">
        <f aca="false">IF($D587="","",$A587&amp;"|"&amp;$B587&amp;"|"&amp;$C587&amp;"|"&amp;$D587)</f>
        <v/>
      </c>
      <c r="H587" s="4" t="str">
        <f aca="false">IF($D587="","",$G587&amp;"|"&amp;TEXT($E587,"0.000000"))</f>
        <v/>
      </c>
      <c r="I587" s="29" t="str">
        <f aca="false">IF($D587="","",IF(ISNUMBER($E587),FLOOR(($E587-$B587)*24,1),""))</f>
        <v/>
      </c>
      <c r="J587" s="10" t="str">
        <f aca="false">IF($D587="","",IFERROR(IF(VLOOKUP($F587,Dim_Analyst!$A:$C,3,0)="Yes","Yes","No"),"No"))</f>
        <v/>
      </c>
    </row>
    <row r="588" customFormat="false" ht="15" hidden="false" customHeight="true" outlineLevel="0" collapsed="false">
      <c r="G588" s="4" t="str">
        <f aca="false">IF($D588="","",$A588&amp;"|"&amp;$B588&amp;"|"&amp;$C588&amp;"|"&amp;$D588)</f>
        <v/>
      </c>
      <c r="H588" s="4" t="str">
        <f aca="false">IF($D588="","",$G588&amp;"|"&amp;TEXT($E588,"0.000000"))</f>
        <v/>
      </c>
      <c r="I588" s="29" t="str">
        <f aca="false">IF($D588="","",IF(ISNUMBER($E588),FLOOR(($E588-$B588)*24,1),""))</f>
        <v/>
      </c>
      <c r="J588" s="10" t="str">
        <f aca="false">IF($D588="","",IFERROR(IF(VLOOKUP($F588,Dim_Analyst!$A:$C,3,0)="Yes","Yes","No"),"No"))</f>
        <v/>
      </c>
    </row>
    <row r="589" customFormat="false" ht="15" hidden="false" customHeight="true" outlineLevel="0" collapsed="false">
      <c r="G589" s="4" t="str">
        <f aca="false">IF($D589="","",$A589&amp;"|"&amp;$B589&amp;"|"&amp;$C589&amp;"|"&amp;$D589)</f>
        <v/>
      </c>
      <c r="H589" s="4" t="str">
        <f aca="false">IF($D589="","",$G589&amp;"|"&amp;TEXT($E589,"0.000000"))</f>
        <v/>
      </c>
      <c r="I589" s="29" t="str">
        <f aca="false">IF($D589="","",IF(ISNUMBER($E589),FLOOR(($E589-$B589)*24,1),""))</f>
        <v/>
      </c>
      <c r="J589" s="10" t="str">
        <f aca="false">IF($D589="","",IFERROR(IF(VLOOKUP($F589,Dim_Analyst!$A:$C,3,0)="Yes","Yes","No"),"No"))</f>
        <v/>
      </c>
    </row>
    <row r="590" customFormat="false" ht="15" hidden="false" customHeight="true" outlineLevel="0" collapsed="false">
      <c r="G590" s="4" t="str">
        <f aca="false">IF($D590="","",$A590&amp;"|"&amp;$B590&amp;"|"&amp;$C590&amp;"|"&amp;$D590)</f>
        <v/>
      </c>
      <c r="H590" s="4" t="str">
        <f aca="false">IF($D590="","",$G590&amp;"|"&amp;TEXT($E590,"0.000000"))</f>
        <v/>
      </c>
      <c r="I590" s="29" t="str">
        <f aca="false">IF($D590="","",IF(ISNUMBER($E590),FLOOR(($E590-$B590)*24,1),""))</f>
        <v/>
      </c>
      <c r="J590" s="10" t="str">
        <f aca="false">IF($D590="","",IFERROR(IF(VLOOKUP($F590,Dim_Analyst!$A:$C,3,0)="Yes","Yes","No"),"No"))</f>
        <v/>
      </c>
    </row>
    <row r="591" customFormat="false" ht="15" hidden="false" customHeight="true" outlineLevel="0" collapsed="false">
      <c r="G591" s="4" t="str">
        <f aca="false">IF($D591="","",$A591&amp;"|"&amp;$B591&amp;"|"&amp;$C591&amp;"|"&amp;$D591)</f>
        <v/>
      </c>
      <c r="H591" s="4" t="str">
        <f aca="false">IF($D591="","",$G591&amp;"|"&amp;TEXT($E591,"0.000000"))</f>
        <v/>
      </c>
      <c r="I591" s="29" t="str">
        <f aca="false">IF($D591="","",IF(ISNUMBER($E591),FLOOR(($E591-$B591)*24,1),""))</f>
        <v/>
      </c>
      <c r="J591" s="10" t="str">
        <f aca="false">IF($D591="","",IFERROR(IF(VLOOKUP($F591,Dim_Analyst!$A:$C,3,0)="Yes","Yes","No"),"No"))</f>
        <v/>
      </c>
    </row>
    <row r="592" customFormat="false" ht="15" hidden="false" customHeight="true" outlineLevel="0" collapsed="false">
      <c r="G592" s="4" t="str">
        <f aca="false">IF($D592="","",$A592&amp;"|"&amp;$B592&amp;"|"&amp;$C592&amp;"|"&amp;$D592)</f>
        <v/>
      </c>
      <c r="H592" s="4" t="str">
        <f aca="false">IF($D592="","",$G592&amp;"|"&amp;TEXT($E592,"0.000000"))</f>
        <v/>
      </c>
      <c r="I592" s="29" t="str">
        <f aca="false">IF($D592="","",IF(ISNUMBER($E592),FLOOR(($E592-$B592)*24,1),""))</f>
        <v/>
      </c>
      <c r="J592" s="10" t="str">
        <f aca="false">IF($D592="","",IFERROR(IF(VLOOKUP($F592,Dim_Analyst!$A:$C,3,0)="Yes","Yes","No"),"No"))</f>
        <v/>
      </c>
    </row>
    <row r="593" customFormat="false" ht="15" hidden="false" customHeight="true" outlineLevel="0" collapsed="false">
      <c r="G593" s="4" t="str">
        <f aca="false">IF($D593="","",$A593&amp;"|"&amp;$B593&amp;"|"&amp;$C593&amp;"|"&amp;$D593)</f>
        <v/>
      </c>
      <c r="H593" s="4" t="str">
        <f aca="false">IF($D593="","",$G593&amp;"|"&amp;TEXT($E593,"0.000000"))</f>
        <v/>
      </c>
      <c r="I593" s="29" t="str">
        <f aca="false">IF($D593="","",IF(ISNUMBER($E593),FLOOR(($E593-$B593)*24,1),""))</f>
        <v/>
      </c>
      <c r="J593" s="10" t="str">
        <f aca="false">IF($D593="","",IFERROR(IF(VLOOKUP($F593,Dim_Analyst!$A:$C,3,0)="Yes","Yes","No"),"No"))</f>
        <v/>
      </c>
    </row>
    <row r="594" customFormat="false" ht="15" hidden="false" customHeight="true" outlineLevel="0" collapsed="false">
      <c r="G594" s="4" t="str">
        <f aca="false">IF($D594="","",$A594&amp;"|"&amp;$B594&amp;"|"&amp;$C594&amp;"|"&amp;$D594)</f>
        <v/>
      </c>
      <c r="H594" s="4" t="str">
        <f aca="false">IF($D594="","",$G594&amp;"|"&amp;TEXT($E594,"0.000000"))</f>
        <v/>
      </c>
      <c r="I594" s="29" t="str">
        <f aca="false">IF($D594="","",IF(ISNUMBER($E594),FLOOR(($E594-$B594)*24,1),""))</f>
        <v/>
      </c>
      <c r="J594" s="10" t="str">
        <f aca="false">IF($D594="","",IFERROR(IF(VLOOKUP($F594,Dim_Analyst!$A:$C,3,0)="Yes","Yes","No"),"No"))</f>
        <v/>
      </c>
    </row>
    <row r="595" customFormat="false" ht="15" hidden="false" customHeight="true" outlineLevel="0" collapsed="false">
      <c r="G595" s="4" t="str">
        <f aca="false">IF($D595="","",$A595&amp;"|"&amp;$B595&amp;"|"&amp;$C595&amp;"|"&amp;$D595)</f>
        <v/>
      </c>
      <c r="H595" s="4" t="str">
        <f aca="false">IF($D595="","",$G595&amp;"|"&amp;TEXT($E595,"0.000000"))</f>
        <v/>
      </c>
      <c r="I595" s="29" t="str">
        <f aca="false">IF($D595="","",IF(ISNUMBER($E595),FLOOR(($E595-$B595)*24,1),""))</f>
        <v/>
      </c>
      <c r="J595" s="10" t="str">
        <f aca="false">IF($D595="","",IFERROR(IF(VLOOKUP($F595,Dim_Analyst!$A:$C,3,0)="Yes","Yes","No"),"No"))</f>
        <v/>
      </c>
    </row>
    <row r="596" customFormat="false" ht="15" hidden="false" customHeight="true" outlineLevel="0" collapsed="false">
      <c r="G596" s="4" t="str">
        <f aca="false">IF($D596="","",$A596&amp;"|"&amp;$B596&amp;"|"&amp;$C596&amp;"|"&amp;$D596)</f>
        <v/>
      </c>
      <c r="H596" s="4" t="str">
        <f aca="false">IF($D596="","",$G596&amp;"|"&amp;TEXT($E596,"0.000000"))</f>
        <v/>
      </c>
      <c r="I596" s="29" t="str">
        <f aca="false">IF($D596="","",IF(ISNUMBER($E596),FLOOR(($E596-$B596)*24,1),""))</f>
        <v/>
      </c>
      <c r="J596" s="10" t="str">
        <f aca="false">IF($D596="","",IFERROR(IF(VLOOKUP($F596,Dim_Analyst!$A:$C,3,0)="Yes","Yes","No"),"No"))</f>
        <v/>
      </c>
    </row>
    <row r="597" customFormat="false" ht="15" hidden="false" customHeight="true" outlineLevel="0" collapsed="false">
      <c r="G597" s="4" t="str">
        <f aca="false">IF($D597="","",$A597&amp;"|"&amp;$B597&amp;"|"&amp;$C597&amp;"|"&amp;$D597)</f>
        <v/>
      </c>
      <c r="H597" s="4" t="str">
        <f aca="false">IF($D597="","",$G597&amp;"|"&amp;TEXT($E597,"0.000000"))</f>
        <v/>
      </c>
      <c r="I597" s="29" t="str">
        <f aca="false">IF($D597="","",IF(ISNUMBER($E597),FLOOR(($E597-$B597)*24,1),""))</f>
        <v/>
      </c>
      <c r="J597" s="10" t="str">
        <f aca="false">IF($D597="","",IFERROR(IF(VLOOKUP($F597,Dim_Analyst!$A:$C,3,0)="Yes","Yes","No"),"No"))</f>
        <v/>
      </c>
    </row>
    <row r="598" customFormat="false" ht="15" hidden="false" customHeight="true" outlineLevel="0" collapsed="false">
      <c r="G598" s="4" t="str">
        <f aca="false">IF($D598="","",$A598&amp;"|"&amp;$B598&amp;"|"&amp;$C598&amp;"|"&amp;$D598)</f>
        <v/>
      </c>
      <c r="H598" s="4" t="str">
        <f aca="false">IF($D598="","",$G598&amp;"|"&amp;TEXT($E598,"0.000000"))</f>
        <v/>
      </c>
      <c r="I598" s="29" t="str">
        <f aca="false">IF($D598="","",IF(ISNUMBER($E598),FLOOR(($E598-$B598)*24,1),""))</f>
        <v/>
      </c>
      <c r="J598" s="10" t="str">
        <f aca="false">IF($D598="","",IFERROR(IF(VLOOKUP($F598,Dim_Analyst!$A:$C,3,0)="Yes","Yes","No"),"No"))</f>
        <v/>
      </c>
    </row>
    <row r="599" customFormat="false" ht="15" hidden="false" customHeight="true" outlineLevel="0" collapsed="false">
      <c r="G599" s="4" t="str">
        <f aca="false">IF($D599="","",$A599&amp;"|"&amp;$B599&amp;"|"&amp;$C599&amp;"|"&amp;$D599)</f>
        <v/>
      </c>
      <c r="H599" s="4" t="str">
        <f aca="false">IF($D599="","",$G599&amp;"|"&amp;TEXT($E599,"0.000000"))</f>
        <v/>
      </c>
      <c r="I599" s="29" t="str">
        <f aca="false">IF($D599="","",IF(ISNUMBER($E599),FLOOR(($E599-$B599)*24,1),""))</f>
        <v/>
      </c>
      <c r="J599" s="10" t="str">
        <f aca="false">IF($D599="","",IFERROR(IF(VLOOKUP($F599,Dim_Analyst!$A:$C,3,0)="Yes","Yes","No"),"No"))</f>
        <v/>
      </c>
    </row>
    <row r="600" customFormat="false" ht="15" hidden="false" customHeight="true" outlineLevel="0" collapsed="false">
      <c r="G600" s="4" t="str">
        <f aca="false">IF($D600="","",$A600&amp;"|"&amp;$B600&amp;"|"&amp;$C600&amp;"|"&amp;$D600)</f>
        <v/>
      </c>
      <c r="H600" s="4" t="str">
        <f aca="false">IF($D600="","",$G600&amp;"|"&amp;TEXT($E600,"0.000000"))</f>
        <v/>
      </c>
      <c r="I600" s="29" t="str">
        <f aca="false">IF($D600="","",IF(ISNUMBER($E600),FLOOR(($E600-$B600)*24,1),""))</f>
        <v/>
      </c>
      <c r="J600" s="10" t="str">
        <f aca="false">IF($D600="","",IFERROR(IF(VLOOKUP($F600,Dim_Analyst!$A:$C,3,0)="Yes","Yes","No"),"No"))</f>
        <v/>
      </c>
    </row>
    <row r="601" customFormat="false" ht="15" hidden="false" customHeight="true" outlineLevel="0" collapsed="false">
      <c r="G601" s="4" t="str">
        <f aca="false">IF($D601="","",$A601&amp;"|"&amp;$B601&amp;"|"&amp;$C601&amp;"|"&amp;$D601)</f>
        <v/>
      </c>
      <c r="H601" s="4" t="str">
        <f aca="false">IF($D601="","",$G601&amp;"|"&amp;TEXT($E601,"0.000000"))</f>
        <v/>
      </c>
      <c r="I601" s="29" t="str">
        <f aca="false">IF($D601="","",IF(ISNUMBER($E601),FLOOR(($E601-$B601)*24,1),""))</f>
        <v/>
      </c>
      <c r="J601" s="10" t="str">
        <f aca="false">IF($D601="","",IFERROR(IF(VLOOKUP($F601,Dim_Analyst!$A:$C,3,0)="Yes","Yes","No"),"No"))</f>
        <v/>
      </c>
    </row>
    <row r="602" customFormat="false" ht="15" hidden="false" customHeight="true" outlineLevel="0" collapsed="false">
      <c r="G602" s="4" t="str">
        <f aca="false">IF($D602="","",$A602&amp;"|"&amp;$B602&amp;"|"&amp;$C602&amp;"|"&amp;$D602)</f>
        <v/>
      </c>
      <c r="H602" s="4" t="str">
        <f aca="false">IF($D602="","",$G602&amp;"|"&amp;TEXT($E602,"0.000000"))</f>
        <v/>
      </c>
      <c r="I602" s="29" t="str">
        <f aca="false">IF($D602="","",IF(ISNUMBER($E602),FLOOR(($E602-$B602)*24,1),""))</f>
        <v/>
      </c>
      <c r="J602" s="10" t="str">
        <f aca="false">IF($D602="","",IFERROR(IF(VLOOKUP($F602,Dim_Analyst!$A:$C,3,0)="Yes","Yes","No"),"No"))</f>
        <v/>
      </c>
    </row>
    <row r="603" customFormat="false" ht="15" hidden="false" customHeight="true" outlineLevel="0" collapsed="false">
      <c r="G603" s="4" t="str">
        <f aca="false">IF($D603="","",$A603&amp;"|"&amp;$B603&amp;"|"&amp;$C603&amp;"|"&amp;$D603)</f>
        <v/>
      </c>
      <c r="H603" s="4" t="str">
        <f aca="false">IF($D603="","",$G603&amp;"|"&amp;TEXT($E603,"0.000000"))</f>
        <v/>
      </c>
      <c r="I603" s="29" t="str">
        <f aca="false">IF($D603="","",IF(ISNUMBER($E603),FLOOR(($E603-$B603)*24,1),""))</f>
        <v/>
      </c>
      <c r="J603" s="10" t="str">
        <f aca="false">IF($D603="","",IFERROR(IF(VLOOKUP($F603,Dim_Analyst!$A:$C,3,0)="Yes","Yes","No"),"No"))</f>
        <v/>
      </c>
    </row>
    <row r="604" customFormat="false" ht="15" hidden="false" customHeight="true" outlineLevel="0" collapsed="false">
      <c r="G604" s="4" t="str">
        <f aca="false">IF($D604="","",$A604&amp;"|"&amp;$B604&amp;"|"&amp;$C604&amp;"|"&amp;$D604)</f>
        <v/>
      </c>
      <c r="H604" s="4" t="str">
        <f aca="false">IF($D604="","",$G604&amp;"|"&amp;TEXT($E604,"0.000000"))</f>
        <v/>
      </c>
      <c r="I604" s="29" t="str">
        <f aca="false">IF($D604="","",IF(ISNUMBER($E604),FLOOR(($E604-$B604)*24,1),""))</f>
        <v/>
      </c>
      <c r="J604" s="10" t="str">
        <f aca="false">IF($D604="","",IFERROR(IF(VLOOKUP($F604,Dim_Analyst!$A:$C,3,0)="Yes","Yes","No"),"No"))</f>
        <v/>
      </c>
    </row>
    <row r="605" customFormat="false" ht="15" hidden="false" customHeight="true" outlineLevel="0" collapsed="false">
      <c r="G605" s="4" t="str">
        <f aca="false">IF($D605="","",$A605&amp;"|"&amp;$B605&amp;"|"&amp;$C605&amp;"|"&amp;$D605)</f>
        <v/>
      </c>
      <c r="H605" s="4" t="str">
        <f aca="false">IF($D605="","",$G605&amp;"|"&amp;TEXT($E605,"0.000000"))</f>
        <v/>
      </c>
      <c r="I605" s="29" t="str">
        <f aca="false">IF($D605="","",IF(ISNUMBER($E605),FLOOR(($E605-$B605)*24,1),""))</f>
        <v/>
      </c>
      <c r="J605" s="10" t="str">
        <f aca="false">IF($D605="","",IFERROR(IF(VLOOKUP($F605,Dim_Analyst!$A:$C,3,0)="Yes","Yes","No"),"No"))</f>
        <v/>
      </c>
    </row>
    <row r="606" customFormat="false" ht="15" hidden="false" customHeight="true" outlineLevel="0" collapsed="false">
      <c r="G606" s="4" t="str">
        <f aca="false">IF($D606="","",$A606&amp;"|"&amp;$B606&amp;"|"&amp;$C606&amp;"|"&amp;$D606)</f>
        <v/>
      </c>
      <c r="H606" s="4" t="str">
        <f aca="false">IF($D606="","",$G606&amp;"|"&amp;TEXT($E606,"0.000000"))</f>
        <v/>
      </c>
      <c r="I606" s="29" t="str">
        <f aca="false">IF($D606="","",IF(ISNUMBER($E606),FLOOR(($E606-$B606)*24,1),""))</f>
        <v/>
      </c>
      <c r="J606" s="10" t="str">
        <f aca="false">IF($D606="","",IFERROR(IF(VLOOKUP($F606,Dim_Analyst!$A:$C,3,0)="Yes","Yes","No"),"No"))</f>
        <v/>
      </c>
    </row>
    <row r="607" customFormat="false" ht="15" hidden="false" customHeight="true" outlineLevel="0" collapsed="false">
      <c r="G607" s="4" t="str">
        <f aca="false">IF($D607="","",$A607&amp;"|"&amp;$B607&amp;"|"&amp;$C607&amp;"|"&amp;$D607)</f>
        <v/>
      </c>
      <c r="H607" s="4" t="str">
        <f aca="false">IF($D607="","",$G607&amp;"|"&amp;TEXT($E607,"0.000000"))</f>
        <v/>
      </c>
      <c r="I607" s="29" t="str">
        <f aca="false">IF($D607="","",IF(ISNUMBER($E607),FLOOR(($E607-$B607)*24,1),""))</f>
        <v/>
      </c>
      <c r="J607" s="10" t="str">
        <f aca="false">IF($D607="","",IFERROR(IF(VLOOKUP($F607,Dim_Analyst!$A:$C,3,0)="Yes","Yes","No"),"No"))</f>
        <v/>
      </c>
    </row>
    <row r="608" customFormat="false" ht="15" hidden="false" customHeight="true" outlineLevel="0" collapsed="false">
      <c r="G608" s="4" t="str">
        <f aca="false">IF($D608="","",$A608&amp;"|"&amp;$B608&amp;"|"&amp;$C608&amp;"|"&amp;$D608)</f>
        <v/>
      </c>
      <c r="H608" s="4" t="str">
        <f aca="false">IF($D608="","",$G608&amp;"|"&amp;TEXT($E608,"0.000000"))</f>
        <v/>
      </c>
      <c r="I608" s="29" t="str">
        <f aca="false">IF($D608="","",IF(ISNUMBER($E608),FLOOR(($E608-$B608)*24,1),""))</f>
        <v/>
      </c>
      <c r="J608" s="10" t="str">
        <f aca="false">IF($D608="","",IFERROR(IF(VLOOKUP($F608,Dim_Analyst!$A:$C,3,0)="Yes","Yes","No"),"No"))</f>
        <v/>
      </c>
    </row>
    <row r="609" customFormat="false" ht="15" hidden="false" customHeight="true" outlineLevel="0" collapsed="false">
      <c r="G609" s="4" t="str">
        <f aca="false">IF($D609="","",$A609&amp;"|"&amp;$B609&amp;"|"&amp;$C609&amp;"|"&amp;$D609)</f>
        <v/>
      </c>
      <c r="H609" s="4" t="str">
        <f aca="false">IF($D609="","",$G609&amp;"|"&amp;TEXT($E609,"0.000000"))</f>
        <v/>
      </c>
      <c r="I609" s="29" t="str">
        <f aca="false">IF($D609="","",IF(ISNUMBER($E609),FLOOR(($E609-$B609)*24,1),""))</f>
        <v/>
      </c>
      <c r="J609" s="10" t="str">
        <f aca="false">IF($D609="","",IFERROR(IF(VLOOKUP($F609,Dim_Analyst!$A:$C,3,0)="Yes","Yes","No"),"No"))</f>
        <v/>
      </c>
    </row>
    <row r="610" customFormat="false" ht="15" hidden="false" customHeight="true" outlineLevel="0" collapsed="false">
      <c r="G610" s="4" t="str">
        <f aca="false">IF($D610="","",$A610&amp;"|"&amp;$B610&amp;"|"&amp;$C610&amp;"|"&amp;$D610)</f>
        <v/>
      </c>
      <c r="H610" s="4" t="str">
        <f aca="false">IF($D610="","",$G610&amp;"|"&amp;TEXT($E610,"0.000000"))</f>
        <v/>
      </c>
      <c r="I610" s="29" t="str">
        <f aca="false">IF($D610="","",IF(ISNUMBER($E610),FLOOR(($E610-$B610)*24,1),""))</f>
        <v/>
      </c>
      <c r="J610" s="10" t="str">
        <f aca="false">IF($D610="","",IFERROR(IF(VLOOKUP($F610,Dim_Analyst!$A:$C,3,0)="Yes","Yes","No"),"No"))</f>
        <v/>
      </c>
    </row>
    <row r="611" customFormat="false" ht="15" hidden="false" customHeight="true" outlineLevel="0" collapsed="false">
      <c r="G611" s="4" t="str">
        <f aca="false">IF($D611="","",$A611&amp;"|"&amp;$B611&amp;"|"&amp;$C611&amp;"|"&amp;$D611)</f>
        <v/>
      </c>
      <c r="H611" s="4" t="str">
        <f aca="false">IF($D611="","",$G611&amp;"|"&amp;TEXT($E611,"0.000000"))</f>
        <v/>
      </c>
      <c r="I611" s="29" t="str">
        <f aca="false">IF($D611="","",IF(ISNUMBER($E611),FLOOR(($E611-$B611)*24,1),""))</f>
        <v/>
      </c>
      <c r="J611" s="10" t="str">
        <f aca="false">IF($D611="","",IFERROR(IF(VLOOKUP($F611,Dim_Analyst!$A:$C,3,0)="Yes","Yes","No"),"No"))</f>
        <v/>
      </c>
    </row>
    <row r="612" customFormat="false" ht="15" hidden="false" customHeight="true" outlineLevel="0" collapsed="false">
      <c r="G612" s="4" t="str">
        <f aca="false">IF($D612="","",$A612&amp;"|"&amp;$B612&amp;"|"&amp;$C612&amp;"|"&amp;$D612)</f>
        <v/>
      </c>
      <c r="H612" s="4" t="str">
        <f aca="false">IF($D612="","",$G612&amp;"|"&amp;TEXT($E612,"0.000000"))</f>
        <v/>
      </c>
      <c r="I612" s="29" t="str">
        <f aca="false">IF($D612="","",IF(ISNUMBER($E612),FLOOR(($E612-$B612)*24,1),""))</f>
        <v/>
      </c>
      <c r="J612" s="10" t="str">
        <f aca="false">IF($D612="","",IFERROR(IF(VLOOKUP($F612,Dim_Analyst!$A:$C,3,0)="Yes","Yes","No"),"No"))</f>
        <v/>
      </c>
    </row>
    <row r="613" customFormat="false" ht="15" hidden="false" customHeight="true" outlineLevel="0" collapsed="false">
      <c r="G613" s="4" t="str">
        <f aca="false">IF($D613="","",$A613&amp;"|"&amp;$B613&amp;"|"&amp;$C613&amp;"|"&amp;$D613)</f>
        <v/>
      </c>
      <c r="H613" s="4" t="str">
        <f aca="false">IF($D613="","",$G613&amp;"|"&amp;TEXT($E613,"0.000000"))</f>
        <v/>
      </c>
      <c r="I613" s="29" t="str">
        <f aca="false">IF($D613="","",IF(ISNUMBER($E613),FLOOR(($E613-$B613)*24,1),""))</f>
        <v/>
      </c>
      <c r="J613" s="10" t="str">
        <f aca="false">IF($D613="","",IFERROR(IF(VLOOKUP($F613,Dim_Analyst!$A:$C,3,0)="Yes","Yes","No"),"No"))</f>
        <v/>
      </c>
    </row>
    <row r="614" customFormat="false" ht="15" hidden="false" customHeight="true" outlineLevel="0" collapsed="false">
      <c r="G614" s="4" t="str">
        <f aca="false">IF($D614="","",$A614&amp;"|"&amp;$B614&amp;"|"&amp;$C614&amp;"|"&amp;$D614)</f>
        <v/>
      </c>
      <c r="H614" s="4" t="str">
        <f aca="false">IF($D614="","",$G614&amp;"|"&amp;TEXT($E614,"0.000000"))</f>
        <v/>
      </c>
      <c r="I614" s="29" t="str">
        <f aca="false">IF($D614="","",IF(ISNUMBER($E614),FLOOR(($E614-$B614)*24,1),""))</f>
        <v/>
      </c>
      <c r="J614" s="10" t="str">
        <f aca="false">IF($D614="","",IFERROR(IF(VLOOKUP($F614,Dim_Analyst!$A:$C,3,0)="Yes","Yes","No"),"No"))</f>
        <v/>
      </c>
    </row>
    <row r="615" customFormat="false" ht="15" hidden="false" customHeight="true" outlineLevel="0" collapsed="false">
      <c r="G615" s="4" t="str">
        <f aca="false">IF($D615="","",$A615&amp;"|"&amp;$B615&amp;"|"&amp;$C615&amp;"|"&amp;$D615)</f>
        <v/>
      </c>
      <c r="H615" s="4" t="str">
        <f aca="false">IF($D615="","",$G615&amp;"|"&amp;TEXT($E615,"0.000000"))</f>
        <v/>
      </c>
      <c r="I615" s="29" t="str">
        <f aca="false">IF($D615="","",IF(ISNUMBER($E615),FLOOR(($E615-$B615)*24,1),""))</f>
        <v/>
      </c>
      <c r="J615" s="10" t="str">
        <f aca="false">IF($D615="","",IFERROR(IF(VLOOKUP($F615,Dim_Analyst!$A:$C,3,0)="Yes","Yes","No"),"No"))</f>
        <v/>
      </c>
    </row>
    <row r="616" customFormat="false" ht="15" hidden="false" customHeight="true" outlineLevel="0" collapsed="false">
      <c r="G616" s="4" t="str">
        <f aca="false">IF($D616="","",$A616&amp;"|"&amp;$B616&amp;"|"&amp;$C616&amp;"|"&amp;$D616)</f>
        <v/>
      </c>
      <c r="H616" s="4" t="str">
        <f aca="false">IF($D616="","",$G616&amp;"|"&amp;TEXT($E616,"0.000000"))</f>
        <v/>
      </c>
      <c r="I616" s="29" t="str">
        <f aca="false">IF($D616="","",IF(ISNUMBER($E616),FLOOR(($E616-$B616)*24,1),""))</f>
        <v/>
      </c>
      <c r="J616" s="10" t="str">
        <f aca="false">IF($D616="","",IFERROR(IF(VLOOKUP($F616,Dim_Analyst!$A:$C,3,0)="Yes","Yes","No"),"No"))</f>
        <v/>
      </c>
    </row>
    <row r="617" customFormat="false" ht="15" hidden="false" customHeight="true" outlineLevel="0" collapsed="false">
      <c r="G617" s="4" t="str">
        <f aca="false">IF($D617="","",$A617&amp;"|"&amp;$B617&amp;"|"&amp;$C617&amp;"|"&amp;$D617)</f>
        <v/>
      </c>
      <c r="H617" s="4" t="str">
        <f aca="false">IF($D617="","",$G617&amp;"|"&amp;TEXT($E617,"0.000000"))</f>
        <v/>
      </c>
      <c r="I617" s="29" t="str">
        <f aca="false">IF($D617="","",IF(ISNUMBER($E617),FLOOR(($E617-$B617)*24,1),""))</f>
        <v/>
      </c>
      <c r="J617" s="10" t="str">
        <f aca="false">IF($D617="","",IFERROR(IF(VLOOKUP($F617,Dim_Analyst!$A:$C,3,0)="Yes","Yes","No"),"No"))</f>
        <v/>
      </c>
    </row>
    <row r="618" customFormat="false" ht="15" hidden="false" customHeight="true" outlineLevel="0" collapsed="false">
      <c r="G618" s="4" t="str">
        <f aca="false">IF($D618="","",$A618&amp;"|"&amp;$B618&amp;"|"&amp;$C618&amp;"|"&amp;$D618)</f>
        <v/>
      </c>
      <c r="H618" s="4" t="str">
        <f aca="false">IF($D618="","",$G618&amp;"|"&amp;TEXT($E618,"0.000000"))</f>
        <v/>
      </c>
      <c r="I618" s="29" t="str">
        <f aca="false">IF($D618="","",IF(ISNUMBER($E618),FLOOR(($E618-$B618)*24,1),""))</f>
        <v/>
      </c>
      <c r="J618" s="10" t="str">
        <f aca="false">IF($D618="","",IFERROR(IF(VLOOKUP($F618,Dim_Analyst!$A:$C,3,0)="Yes","Yes","No"),"No"))</f>
        <v/>
      </c>
    </row>
    <row r="619" customFormat="false" ht="15" hidden="false" customHeight="true" outlineLevel="0" collapsed="false">
      <c r="G619" s="4" t="str">
        <f aca="false">IF($D619="","",$A619&amp;"|"&amp;$B619&amp;"|"&amp;$C619&amp;"|"&amp;$D619)</f>
        <v/>
      </c>
      <c r="H619" s="4" t="str">
        <f aca="false">IF($D619="","",$G619&amp;"|"&amp;TEXT($E619,"0.000000"))</f>
        <v/>
      </c>
      <c r="I619" s="29" t="str">
        <f aca="false">IF($D619="","",IF(ISNUMBER($E619),FLOOR(($E619-$B619)*24,1),""))</f>
        <v/>
      </c>
      <c r="J619" s="10" t="str">
        <f aca="false">IF($D619="","",IFERROR(IF(VLOOKUP($F619,Dim_Analyst!$A:$C,3,0)="Yes","Yes","No"),"No"))</f>
        <v/>
      </c>
    </row>
    <row r="620" customFormat="false" ht="15" hidden="false" customHeight="true" outlineLevel="0" collapsed="false">
      <c r="G620" s="4" t="str">
        <f aca="false">IF($D620="","",$A620&amp;"|"&amp;$B620&amp;"|"&amp;$C620&amp;"|"&amp;$D620)</f>
        <v/>
      </c>
      <c r="H620" s="4" t="str">
        <f aca="false">IF($D620="","",$G620&amp;"|"&amp;TEXT($E620,"0.000000"))</f>
        <v/>
      </c>
      <c r="I620" s="29" t="str">
        <f aca="false">IF($D620="","",IF(ISNUMBER($E620),FLOOR(($E620-$B620)*24,1),""))</f>
        <v/>
      </c>
      <c r="J620" s="10" t="str">
        <f aca="false">IF($D620="","",IFERROR(IF(VLOOKUP($F620,Dim_Analyst!$A:$C,3,0)="Yes","Yes","No"),"No"))</f>
        <v/>
      </c>
    </row>
    <row r="621" customFormat="false" ht="15" hidden="false" customHeight="true" outlineLevel="0" collapsed="false">
      <c r="G621" s="4" t="str">
        <f aca="false">IF($D621="","",$A621&amp;"|"&amp;$B621&amp;"|"&amp;$C621&amp;"|"&amp;$D621)</f>
        <v/>
      </c>
      <c r="H621" s="4" t="str">
        <f aca="false">IF($D621="","",$G621&amp;"|"&amp;TEXT($E621,"0.000000"))</f>
        <v/>
      </c>
      <c r="I621" s="29" t="str">
        <f aca="false">IF($D621="","",IF(ISNUMBER($E621),FLOOR(($E621-$B621)*24,1),""))</f>
        <v/>
      </c>
      <c r="J621" s="10" t="str">
        <f aca="false">IF($D621="","",IFERROR(IF(VLOOKUP($F621,Dim_Analyst!$A:$C,3,0)="Yes","Yes","No"),"No"))</f>
        <v/>
      </c>
    </row>
    <row r="622" customFormat="false" ht="15" hidden="false" customHeight="true" outlineLevel="0" collapsed="false">
      <c r="G622" s="4" t="str">
        <f aca="false">IF($D622="","",$A622&amp;"|"&amp;$B622&amp;"|"&amp;$C622&amp;"|"&amp;$D622)</f>
        <v/>
      </c>
      <c r="H622" s="4" t="str">
        <f aca="false">IF($D622="","",$G622&amp;"|"&amp;TEXT($E622,"0.000000"))</f>
        <v/>
      </c>
      <c r="I622" s="29" t="str">
        <f aca="false">IF($D622="","",IF(ISNUMBER($E622),FLOOR(($E622-$B622)*24,1),""))</f>
        <v/>
      </c>
      <c r="J622" s="10" t="str">
        <f aca="false">IF($D622="","",IFERROR(IF(VLOOKUP($F622,Dim_Analyst!$A:$C,3,0)="Yes","Yes","No"),"No"))</f>
        <v/>
      </c>
    </row>
    <row r="623" customFormat="false" ht="15" hidden="false" customHeight="true" outlineLevel="0" collapsed="false">
      <c r="G623" s="4" t="str">
        <f aca="false">IF($D623="","",$A623&amp;"|"&amp;$B623&amp;"|"&amp;$C623&amp;"|"&amp;$D623)</f>
        <v/>
      </c>
      <c r="H623" s="4" t="str">
        <f aca="false">IF($D623="","",$G623&amp;"|"&amp;TEXT($E623,"0.000000"))</f>
        <v/>
      </c>
      <c r="I623" s="29" t="str">
        <f aca="false">IF($D623="","",IF(ISNUMBER($E623),FLOOR(($E623-$B623)*24,1),""))</f>
        <v/>
      </c>
      <c r="J623" s="10" t="str">
        <f aca="false">IF($D623="","",IFERROR(IF(VLOOKUP($F623,Dim_Analyst!$A:$C,3,0)="Yes","Yes","No"),"No"))</f>
        <v/>
      </c>
    </row>
    <row r="624" customFormat="false" ht="15" hidden="false" customHeight="true" outlineLevel="0" collapsed="false">
      <c r="G624" s="4" t="str">
        <f aca="false">IF($D624="","",$A624&amp;"|"&amp;$B624&amp;"|"&amp;$C624&amp;"|"&amp;$D624)</f>
        <v/>
      </c>
      <c r="H624" s="4" t="str">
        <f aca="false">IF($D624="","",$G624&amp;"|"&amp;TEXT($E624,"0.000000"))</f>
        <v/>
      </c>
      <c r="I624" s="29" t="str">
        <f aca="false">IF($D624="","",IF(ISNUMBER($E624),FLOOR(($E624-$B624)*24,1),""))</f>
        <v/>
      </c>
      <c r="J624" s="10" t="str">
        <f aca="false">IF($D624="","",IFERROR(IF(VLOOKUP($F624,Dim_Analyst!$A:$C,3,0)="Yes","Yes","No"),"No"))</f>
        <v/>
      </c>
    </row>
    <row r="625" customFormat="false" ht="15" hidden="false" customHeight="true" outlineLevel="0" collapsed="false">
      <c r="G625" s="4" t="str">
        <f aca="false">IF($D625="","",$A625&amp;"|"&amp;$B625&amp;"|"&amp;$C625&amp;"|"&amp;$D625)</f>
        <v/>
      </c>
      <c r="H625" s="4" t="str">
        <f aca="false">IF($D625="","",$G625&amp;"|"&amp;TEXT($E625,"0.000000"))</f>
        <v/>
      </c>
      <c r="I625" s="29" t="str">
        <f aca="false">IF($D625="","",IF(ISNUMBER($E625),FLOOR(($E625-$B625)*24,1),""))</f>
        <v/>
      </c>
      <c r="J625" s="10" t="str">
        <f aca="false">IF($D625="","",IFERROR(IF(VLOOKUP($F625,Dim_Analyst!$A:$C,3,0)="Yes","Yes","No"),"No"))</f>
        <v/>
      </c>
    </row>
    <row r="626" customFormat="false" ht="15" hidden="false" customHeight="true" outlineLevel="0" collapsed="false">
      <c r="G626" s="4" t="str">
        <f aca="false">IF($D626="","",$A626&amp;"|"&amp;$B626&amp;"|"&amp;$C626&amp;"|"&amp;$D626)</f>
        <v/>
      </c>
      <c r="H626" s="4" t="str">
        <f aca="false">IF($D626="","",$G626&amp;"|"&amp;TEXT($E626,"0.000000"))</f>
        <v/>
      </c>
      <c r="I626" s="29" t="str">
        <f aca="false">IF($D626="","",IF(ISNUMBER($E626),FLOOR(($E626-$B626)*24,1),""))</f>
        <v/>
      </c>
      <c r="J626" s="10" t="str">
        <f aca="false">IF($D626="","",IFERROR(IF(VLOOKUP($F626,Dim_Analyst!$A:$C,3,0)="Yes","Yes","No"),"No"))</f>
        <v/>
      </c>
    </row>
    <row r="627" customFormat="false" ht="15" hidden="false" customHeight="true" outlineLevel="0" collapsed="false">
      <c r="G627" s="4" t="str">
        <f aca="false">IF($D627="","",$A627&amp;"|"&amp;$B627&amp;"|"&amp;$C627&amp;"|"&amp;$D627)</f>
        <v/>
      </c>
      <c r="H627" s="4" t="str">
        <f aca="false">IF($D627="","",$G627&amp;"|"&amp;TEXT($E627,"0.000000"))</f>
        <v/>
      </c>
      <c r="I627" s="29" t="str">
        <f aca="false">IF($D627="","",IF(ISNUMBER($E627),FLOOR(($E627-$B627)*24,1),""))</f>
        <v/>
      </c>
      <c r="J627" s="10" t="str">
        <f aca="false">IF($D627="","",IFERROR(IF(VLOOKUP($F627,Dim_Analyst!$A:$C,3,0)="Yes","Yes","No"),"No"))</f>
        <v/>
      </c>
    </row>
    <row r="628" customFormat="false" ht="15" hidden="false" customHeight="true" outlineLevel="0" collapsed="false">
      <c r="G628" s="4" t="str">
        <f aca="false">IF($D628="","",$A628&amp;"|"&amp;$B628&amp;"|"&amp;$C628&amp;"|"&amp;$D628)</f>
        <v/>
      </c>
      <c r="H628" s="4" t="str">
        <f aca="false">IF($D628="","",$G628&amp;"|"&amp;TEXT($E628,"0.000000"))</f>
        <v/>
      </c>
      <c r="I628" s="29" t="str">
        <f aca="false">IF($D628="","",IF(ISNUMBER($E628),FLOOR(($E628-$B628)*24,1),""))</f>
        <v/>
      </c>
      <c r="J628" s="10" t="str">
        <f aca="false">IF($D628="","",IFERROR(IF(VLOOKUP($F628,Dim_Analyst!$A:$C,3,0)="Yes","Yes","No"),"No"))</f>
        <v/>
      </c>
    </row>
    <row r="629" customFormat="false" ht="15" hidden="false" customHeight="true" outlineLevel="0" collapsed="false">
      <c r="G629" s="4" t="str">
        <f aca="false">IF($D629="","",$A629&amp;"|"&amp;$B629&amp;"|"&amp;$C629&amp;"|"&amp;$D629)</f>
        <v/>
      </c>
      <c r="H629" s="4" t="str">
        <f aca="false">IF($D629="","",$G629&amp;"|"&amp;TEXT($E629,"0.000000"))</f>
        <v/>
      </c>
      <c r="I629" s="29" t="str">
        <f aca="false">IF($D629="","",IF(ISNUMBER($E629),FLOOR(($E629-$B629)*24,1),""))</f>
        <v/>
      </c>
      <c r="J629" s="10" t="str">
        <f aca="false">IF($D629="","",IFERROR(IF(VLOOKUP($F629,Dim_Analyst!$A:$C,3,0)="Yes","Yes","No"),"No"))</f>
        <v/>
      </c>
    </row>
    <row r="630" customFormat="false" ht="15" hidden="false" customHeight="true" outlineLevel="0" collapsed="false">
      <c r="G630" s="4" t="str">
        <f aca="false">IF($D630="","",$A630&amp;"|"&amp;$B630&amp;"|"&amp;$C630&amp;"|"&amp;$D630)</f>
        <v/>
      </c>
      <c r="H630" s="4" t="str">
        <f aca="false">IF($D630="","",$G630&amp;"|"&amp;TEXT($E630,"0.000000"))</f>
        <v/>
      </c>
      <c r="I630" s="29" t="str">
        <f aca="false">IF($D630="","",IF(ISNUMBER($E630),FLOOR(($E630-$B630)*24,1),""))</f>
        <v/>
      </c>
      <c r="J630" s="10" t="str">
        <f aca="false">IF($D630="","",IFERROR(IF(VLOOKUP($F630,Dim_Analyst!$A:$C,3,0)="Yes","Yes","No"),"No"))</f>
        <v/>
      </c>
    </row>
    <row r="631" customFormat="false" ht="15" hidden="false" customHeight="true" outlineLevel="0" collapsed="false">
      <c r="G631" s="4" t="str">
        <f aca="false">IF($D631="","",$A631&amp;"|"&amp;$B631&amp;"|"&amp;$C631&amp;"|"&amp;$D631)</f>
        <v/>
      </c>
      <c r="H631" s="4" t="str">
        <f aca="false">IF($D631="","",$G631&amp;"|"&amp;TEXT($E631,"0.000000"))</f>
        <v/>
      </c>
      <c r="I631" s="29" t="str">
        <f aca="false">IF($D631="","",IF(ISNUMBER($E631),FLOOR(($E631-$B631)*24,1),""))</f>
        <v/>
      </c>
      <c r="J631" s="10" t="str">
        <f aca="false">IF($D631="","",IFERROR(IF(VLOOKUP($F631,Dim_Analyst!$A:$C,3,0)="Yes","Yes","No"),"No"))</f>
        <v/>
      </c>
    </row>
    <row r="632" customFormat="false" ht="15" hidden="false" customHeight="true" outlineLevel="0" collapsed="false">
      <c r="G632" s="4" t="str">
        <f aca="false">IF($D632="","",$A632&amp;"|"&amp;$B632&amp;"|"&amp;$C632&amp;"|"&amp;$D632)</f>
        <v/>
      </c>
      <c r="H632" s="4" t="str">
        <f aca="false">IF($D632="","",$G632&amp;"|"&amp;TEXT($E632,"0.000000"))</f>
        <v/>
      </c>
      <c r="I632" s="29" t="str">
        <f aca="false">IF($D632="","",IF(ISNUMBER($E632),FLOOR(($E632-$B632)*24,1),""))</f>
        <v/>
      </c>
      <c r="J632" s="10" t="str">
        <f aca="false">IF($D632="","",IFERROR(IF(VLOOKUP($F632,Dim_Analyst!$A:$C,3,0)="Yes","Yes","No"),"No"))</f>
        <v/>
      </c>
    </row>
    <row r="633" customFormat="false" ht="15" hidden="false" customHeight="true" outlineLevel="0" collapsed="false">
      <c r="G633" s="4" t="str">
        <f aca="false">IF($D633="","",$A633&amp;"|"&amp;$B633&amp;"|"&amp;$C633&amp;"|"&amp;$D633)</f>
        <v/>
      </c>
      <c r="H633" s="4" t="str">
        <f aca="false">IF($D633="","",$G633&amp;"|"&amp;TEXT($E633,"0.000000"))</f>
        <v/>
      </c>
      <c r="I633" s="29" t="str">
        <f aca="false">IF($D633="","",IF(ISNUMBER($E633),FLOOR(($E633-$B633)*24,1),""))</f>
        <v/>
      </c>
      <c r="J633" s="10" t="str">
        <f aca="false">IF($D633="","",IFERROR(IF(VLOOKUP($F633,Dim_Analyst!$A:$C,3,0)="Yes","Yes","No"),"No"))</f>
        <v/>
      </c>
    </row>
    <row r="634" customFormat="false" ht="15" hidden="false" customHeight="true" outlineLevel="0" collapsed="false">
      <c r="G634" s="4" t="str">
        <f aca="false">IF($D634="","",$A634&amp;"|"&amp;$B634&amp;"|"&amp;$C634&amp;"|"&amp;$D634)</f>
        <v/>
      </c>
      <c r="H634" s="4" t="str">
        <f aca="false">IF($D634="","",$G634&amp;"|"&amp;TEXT($E634,"0.000000"))</f>
        <v/>
      </c>
      <c r="I634" s="29" t="str">
        <f aca="false">IF($D634="","",IF(ISNUMBER($E634),FLOOR(($E634-$B634)*24,1),""))</f>
        <v/>
      </c>
      <c r="J634" s="10" t="str">
        <f aca="false">IF($D634="","",IFERROR(IF(VLOOKUP($F634,Dim_Analyst!$A:$C,3,0)="Yes","Yes","No"),"No"))</f>
        <v/>
      </c>
    </row>
    <row r="635" customFormat="false" ht="15" hidden="false" customHeight="true" outlineLevel="0" collapsed="false">
      <c r="G635" s="4" t="str">
        <f aca="false">IF($D635="","",$A635&amp;"|"&amp;$B635&amp;"|"&amp;$C635&amp;"|"&amp;$D635)</f>
        <v/>
      </c>
      <c r="H635" s="4" t="str">
        <f aca="false">IF($D635="","",$G635&amp;"|"&amp;TEXT($E635,"0.000000"))</f>
        <v/>
      </c>
      <c r="I635" s="29" t="str">
        <f aca="false">IF($D635="","",IF(ISNUMBER($E635),FLOOR(($E635-$B635)*24,1),""))</f>
        <v/>
      </c>
      <c r="J635" s="10" t="str">
        <f aca="false">IF($D635="","",IFERROR(IF(VLOOKUP($F635,Dim_Analyst!$A:$C,3,0)="Yes","Yes","No"),"No"))</f>
        <v/>
      </c>
    </row>
    <row r="636" customFormat="false" ht="15" hidden="false" customHeight="true" outlineLevel="0" collapsed="false">
      <c r="G636" s="4" t="str">
        <f aca="false">IF($D636="","",$A636&amp;"|"&amp;$B636&amp;"|"&amp;$C636&amp;"|"&amp;$D636)</f>
        <v/>
      </c>
      <c r="H636" s="4" t="str">
        <f aca="false">IF($D636="","",$G636&amp;"|"&amp;TEXT($E636,"0.000000"))</f>
        <v/>
      </c>
      <c r="I636" s="29" t="str">
        <f aca="false">IF($D636="","",IF(ISNUMBER($E636),FLOOR(($E636-$B636)*24,1),""))</f>
        <v/>
      </c>
      <c r="J636" s="10" t="str">
        <f aca="false">IF($D636="","",IFERROR(IF(VLOOKUP($F636,Dim_Analyst!$A:$C,3,0)="Yes","Yes","No"),"No"))</f>
        <v/>
      </c>
    </row>
    <row r="637" customFormat="false" ht="15" hidden="false" customHeight="true" outlineLevel="0" collapsed="false">
      <c r="G637" s="4" t="str">
        <f aca="false">IF($D637="","",$A637&amp;"|"&amp;$B637&amp;"|"&amp;$C637&amp;"|"&amp;$D637)</f>
        <v/>
      </c>
      <c r="H637" s="4" t="str">
        <f aca="false">IF($D637="","",$G637&amp;"|"&amp;TEXT($E637,"0.000000"))</f>
        <v/>
      </c>
      <c r="I637" s="29" t="str">
        <f aca="false">IF($D637="","",IF(ISNUMBER($E637),FLOOR(($E637-$B637)*24,1),""))</f>
        <v/>
      </c>
      <c r="J637" s="10" t="str">
        <f aca="false">IF($D637="","",IFERROR(IF(VLOOKUP($F637,Dim_Analyst!$A:$C,3,0)="Yes","Yes","No"),"No"))</f>
        <v/>
      </c>
    </row>
    <row r="638" customFormat="false" ht="15" hidden="false" customHeight="true" outlineLevel="0" collapsed="false">
      <c r="G638" s="4" t="str">
        <f aca="false">IF($D638="","",$A638&amp;"|"&amp;$B638&amp;"|"&amp;$C638&amp;"|"&amp;$D638)</f>
        <v/>
      </c>
      <c r="H638" s="4" t="str">
        <f aca="false">IF($D638="","",$G638&amp;"|"&amp;TEXT($E638,"0.000000"))</f>
        <v/>
      </c>
      <c r="I638" s="29" t="str">
        <f aca="false">IF($D638="","",IF(ISNUMBER($E638),FLOOR(($E638-$B638)*24,1),""))</f>
        <v/>
      </c>
      <c r="J638" s="10" t="str">
        <f aca="false">IF($D638="","",IFERROR(IF(VLOOKUP($F638,Dim_Analyst!$A:$C,3,0)="Yes","Yes","No"),"No"))</f>
        <v/>
      </c>
    </row>
    <row r="639" customFormat="false" ht="15" hidden="false" customHeight="true" outlineLevel="0" collapsed="false">
      <c r="G639" s="4" t="str">
        <f aca="false">IF($D639="","",$A639&amp;"|"&amp;$B639&amp;"|"&amp;$C639&amp;"|"&amp;$D639)</f>
        <v/>
      </c>
      <c r="H639" s="4" t="str">
        <f aca="false">IF($D639="","",$G639&amp;"|"&amp;TEXT($E639,"0.000000"))</f>
        <v/>
      </c>
      <c r="I639" s="29" t="str">
        <f aca="false">IF($D639="","",IF(ISNUMBER($E639),FLOOR(($E639-$B639)*24,1),""))</f>
        <v/>
      </c>
      <c r="J639" s="10" t="str">
        <f aca="false">IF($D639="","",IFERROR(IF(VLOOKUP($F639,Dim_Analyst!$A:$C,3,0)="Yes","Yes","No"),"No"))</f>
        <v/>
      </c>
    </row>
    <row r="640" customFormat="false" ht="15" hidden="false" customHeight="true" outlineLevel="0" collapsed="false">
      <c r="G640" s="4" t="str">
        <f aca="false">IF($D640="","",$A640&amp;"|"&amp;$B640&amp;"|"&amp;$C640&amp;"|"&amp;$D640)</f>
        <v/>
      </c>
      <c r="H640" s="4" t="str">
        <f aca="false">IF($D640="","",$G640&amp;"|"&amp;TEXT($E640,"0.000000"))</f>
        <v/>
      </c>
      <c r="I640" s="29" t="str">
        <f aca="false">IF($D640="","",IF(ISNUMBER($E640),FLOOR(($E640-$B640)*24,1),""))</f>
        <v/>
      </c>
      <c r="J640" s="10" t="str">
        <f aca="false">IF($D640="","",IFERROR(IF(VLOOKUP($F640,Dim_Analyst!$A:$C,3,0)="Yes","Yes","No"),"No"))</f>
        <v/>
      </c>
    </row>
    <row r="641" customFormat="false" ht="15" hidden="false" customHeight="true" outlineLevel="0" collapsed="false">
      <c r="G641" s="4" t="str">
        <f aca="false">IF($D641="","",$A641&amp;"|"&amp;$B641&amp;"|"&amp;$C641&amp;"|"&amp;$D641)</f>
        <v/>
      </c>
      <c r="H641" s="4" t="str">
        <f aca="false">IF($D641="","",$G641&amp;"|"&amp;TEXT($E641,"0.000000"))</f>
        <v/>
      </c>
      <c r="I641" s="29" t="str">
        <f aca="false">IF($D641="","",IF(ISNUMBER($E641),FLOOR(($E641-$B641)*24,1),""))</f>
        <v/>
      </c>
      <c r="J641" s="10" t="str">
        <f aca="false">IF($D641="","",IFERROR(IF(VLOOKUP($F641,Dim_Analyst!$A:$C,3,0)="Yes","Yes","No"),"No"))</f>
        <v/>
      </c>
    </row>
    <row r="642" customFormat="false" ht="15" hidden="false" customHeight="true" outlineLevel="0" collapsed="false">
      <c r="G642" s="4" t="str">
        <f aca="false">IF($D642="","",$A642&amp;"|"&amp;$B642&amp;"|"&amp;$C642&amp;"|"&amp;$D642)</f>
        <v/>
      </c>
      <c r="H642" s="4" t="str">
        <f aca="false">IF($D642="","",$G642&amp;"|"&amp;TEXT($E642,"0.000000"))</f>
        <v/>
      </c>
      <c r="I642" s="29" t="str">
        <f aca="false">IF($D642="","",IF(ISNUMBER($E642),FLOOR(($E642-$B642)*24,1),""))</f>
        <v/>
      </c>
      <c r="J642" s="10" t="str">
        <f aca="false">IF($D642="","",IFERROR(IF(VLOOKUP($F642,Dim_Analyst!$A:$C,3,0)="Yes","Yes","No"),"No"))</f>
        <v/>
      </c>
    </row>
    <row r="643" customFormat="false" ht="15" hidden="false" customHeight="true" outlineLevel="0" collapsed="false">
      <c r="G643" s="4" t="str">
        <f aca="false">IF($D643="","",$A643&amp;"|"&amp;$B643&amp;"|"&amp;$C643&amp;"|"&amp;$D643)</f>
        <v/>
      </c>
      <c r="H643" s="4" t="str">
        <f aca="false">IF($D643="","",$G643&amp;"|"&amp;TEXT($E643,"0.000000"))</f>
        <v/>
      </c>
      <c r="I643" s="29" t="str">
        <f aca="false">IF($D643="","",IF(ISNUMBER($E643),FLOOR(($E643-$B643)*24,1),""))</f>
        <v/>
      </c>
      <c r="J643" s="10" t="str">
        <f aca="false">IF($D643="","",IFERROR(IF(VLOOKUP($F643,Dim_Analyst!$A:$C,3,0)="Yes","Yes","No"),"No"))</f>
        <v/>
      </c>
    </row>
    <row r="644" customFormat="false" ht="15" hidden="false" customHeight="true" outlineLevel="0" collapsed="false">
      <c r="G644" s="4" t="str">
        <f aca="false">IF($D644="","",$A644&amp;"|"&amp;$B644&amp;"|"&amp;$C644&amp;"|"&amp;$D644)</f>
        <v/>
      </c>
      <c r="H644" s="4" t="str">
        <f aca="false">IF($D644="","",$G644&amp;"|"&amp;TEXT($E644,"0.000000"))</f>
        <v/>
      </c>
      <c r="I644" s="29" t="str">
        <f aca="false">IF($D644="","",IF(ISNUMBER($E644),FLOOR(($E644-$B644)*24,1),""))</f>
        <v/>
      </c>
      <c r="J644" s="10" t="str">
        <f aca="false">IF($D644="","",IFERROR(IF(VLOOKUP($F644,Dim_Analyst!$A:$C,3,0)="Yes","Yes","No"),"No"))</f>
        <v/>
      </c>
    </row>
    <row r="645" customFormat="false" ht="15" hidden="false" customHeight="true" outlineLevel="0" collapsed="false">
      <c r="G645" s="4" t="str">
        <f aca="false">IF($D645="","",$A645&amp;"|"&amp;$B645&amp;"|"&amp;$C645&amp;"|"&amp;$D645)</f>
        <v/>
      </c>
      <c r="H645" s="4" t="str">
        <f aca="false">IF($D645="","",$G645&amp;"|"&amp;TEXT($E645,"0.000000"))</f>
        <v/>
      </c>
      <c r="I645" s="29" t="str">
        <f aca="false">IF($D645="","",IF(ISNUMBER($E645),FLOOR(($E645-$B645)*24,1),""))</f>
        <v/>
      </c>
      <c r="J645" s="10" t="str">
        <f aca="false">IF($D645="","",IFERROR(IF(VLOOKUP($F645,Dim_Analyst!$A:$C,3,0)="Yes","Yes","No"),"No"))</f>
        <v/>
      </c>
    </row>
    <row r="646" customFormat="false" ht="15" hidden="false" customHeight="true" outlineLevel="0" collapsed="false">
      <c r="G646" s="4" t="str">
        <f aca="false">IF($D646="","",$A646&amp;"|"&amp;$B646&amp;"|"&amp;$C646&amp;"|"&amp;$D646)</f>
        <v/>
      </c>
      <c r="H646" s="4" t="str">
        <f aca="false">IF($D646="","",$G646&amp;"|"&amp;TEXT($E646,"0.000000"))</f>
        <v/>
      </c>
      <c r="I646" s="29" t="str">
        <f aca="false">IF($D646="","",IF(ISNUMBER($E646),FLOOR(($E646-$B646)*24,1),""))</f>
        <v/>
      </c>
      <c r="J646" s="10" t="str">
        <f aca="false">IF($D646="","",IFERROR(IF(VLOOKUP($F646,Dim_Analyst!$A:$C,3,0)="Yes","Yes","No"),"No"))</f>
        <v/>
      </c>
    </row>
    <row r="647" customFormat="false" ht="15" hidden="false" customHeight="true" outlineLevel="0" collapsed="false">
      <c r="G647" s="4" t="str">
        <f aca="false">IF($D647="","",$A647&amp;"|"&amp;$B647&amp;"|"&amp;$C647&amp;"|"&amp;$D647)</f>
        <v/>
      </c>
      <c r="H647" s="4" t="str">
        <f aca="false">IF($D647="","",$G647&amp;"|"&amp;TEXT($E647,"0.000000"))</f>
        <v/>
      </c>
      <c r="I647" s="29" t="str">
        <f aca="false">IF($D647="","",IF(ISNUMBER($E647),FLOOR(($E647-$B647)*24,1),""))</f>
        <v/>
      </c>
      <c r="J647" s="10" t="str">
        <f aca="false">IF($D647="","",IFERROR(IF(VLOOKUP($F647,Dim_Analyst!$A:$C,3,0)="Yes","Yes","No"),"No"))</f>
        <v/>
      </c>
    </row>
    <row r="648" customFormat="false" ht="15" hidden="false" customHeight="true" outlineLevel="0" collapsed="false">
      <c r="G648" s="4" t="str">
        <f aca="false">IF($D648="","",$A648&amp;"|"&amp;$B648&amp;"|"&amp;$C648&amp;"|"&amp;$D648)</f>
        <v/>
      </c>
      <c r="H648" s="4" t="str">
        <f aca="false">IF($D648="","",$G648&amp;"|"&amp;TEXT($E648,"0.000000"))</f>
        <v/>
      </c>
      <c r="I648" s="29" t="str">
        <f aca="false">IF($D648="","",IF(ISNUMBER($E648),FLOOR(($E648-$B648)*24,1),""))</f>
        <v/>
      </c>
      <c r="J648" s="10" t="str">
        <f aca="false">IF($D648="","",IFERROR(IF(VLOOKUP($F648,Dim_Analyst!$A:$C,3,0)="Yes","Yes","No"),"No"))</f>
        <v/>
      </c>
    </row>
    <row r="649" customFormat="false" ht="15" hidden="false" customHeight="true" outlineLevel="0" collapsed="false">
      <c r="G649" s="4" t="str">
        <f aca="false">IF($D649="","",$A649&amp;"|"&amp;$B649&amp;"|"&amp;$C649&amp;"|"&amp;$D649)</f>
        <v/>
      </c>
      <c r="H649" s="4" t="str">
        <f aca="false">IF($D649="","",$G649&amp;"|"&amp;TEXT($E649,"0.000000"))</f>
        <v/>
      </c>
      <c r="I649" s="29" t="str">
        <f aca="false">IF($D649="","",IF(ISNUMBER($E649),FLOOR(($E649-$B649)*24,1),""))</f>
        <v/>
      </c>
      <c r="J649" s="10" t="str">
        <f aca="false">IF($D649="","",IFERROR(IF(VLOOKUP($F649,Dim_Analyst!$A:$C,3,0)="Yes","Yes","No"),"No"))</f>
        <v/>
      </c>
    </row>
    <row r="650" customFormat="false" ht="15" hidden="false" customHeight="true" outlineLevel="0" collapsed="false">
      <c r="G650" s="4" t="str">
        <f aca="false">IF($D650="","",$A650&amp;"|"&amp;$B650&amp;"|"&amp;$C650&amp;"|"&amp;$D650)</f>
        <v/>
      </c>
      <c r="H650" s="4" t="str">
        <f aca="false">IF($D650="","",$G650&amp;"|"&amp;TEXT($E650,"0.000000"))</f>
        <v/>
      </c>
      <c r="I650" s="29" t="str">
        <f aca="false">IF($D650="","",IF(ISNUMBER($E650),FLOOR(($E650-$B650)*24,1),""))</f>
        <v/>
      </c>
      <c r="J650" s="10" t="str">
        <f aca="false">IF($D650="","",IFERROR(IF(VLOOKUP($F650,Dim_Analyst!$A:$C,3,0)="Yes","Yes","No"),"No"))</f>
        <v/>
      </c>
    </row>
    <row r="651" customFormat="false" ht="15" hidden="false" customHeight="true" outlineLevel="0" collapsed="false">
      <c r="G651" s="4" t="str">
        <f aca="false">IF($D651="","",$A651&amp;"|"&amp;$B651&amp;"|"&amp;$C651&amp;"|"&amp;$D651)</f>
        <v/>
      </c>
      <c r="H651" s="4" t="str">
        <f aca="false">IF($D651="","",$G651&amp;"|"&amp;TEXT($E651,"0.000000"))</f>
        <v/>
      </c>
      <c r="I651" s="29" t="str">
        <f aca="false">IF($D651="","",IF(ISNUMBER($E651),FLOOR(($E651-$B651)*24,1),""))</f>
        <v/>
      </c>
      <c r="J651" s="10" t="str">
        <f aca="false">IF($D651="","",IFERROR(IF(VLOOKUP($F651,Dim_Analyst!$A:$C,3,0)="Yes","Yes","No"),"No"))</f>
        <v/>
      </c>
    </row>
    <row r="652" customFormat="false" ht="15" hidden="false" customHeight="true" outlineLevel="0" collapsed="false">
      <c r="G652" s="4" t="str">
        <f aca="false">IF($D652="","",$A652&amp;"|"&amp;$B652&amp;"|"&amp;$C652&amp;"|"&amp;$D652)</f>
        <v/>
      </c>
      <c r="H652" s="4" t="str">
        <f aca="false">IF($D652="","",$G652&amp;"|"&amp;TEXT($E652,"0.000000"))</f>
        <v/>
      </c>
      <c r="I652" s="29" t="str">
        <f aca="false">IF($D652="","",IF(ISNUMBER($E652),FLOOR(($E652-$B652)*24,1),""))</f>
        <v/>
      </c>
      <c r="J652" s="10" t="str">
        <f aca="false">IF($D652="","",IFERROR(IF(VLOOKUP($F652,Dim_Analyst!$A:$C,3,0)="Yes","Yes","No"),"No"))</f>
        <v/>
      </c>
    </row>
    <row r="653" customFormat="false" ht="15" hidden="false" customHeight="true" outlineLevel="0" collapsed="false">
      <c r="G653" s="4" t="str">
        <f aca="false">IF($D653="","",$A653&amp;"|"&amp;$B653&amp;"|"&amp;$C653&amp;"|"&amp;$D653)</f>
        <v/>
      </c>
      <c r="H653" s="4" t="str">
        <f aca="false">IF($D653="","",$G653&amp;"|"&amp;TEXT($E653,"0.000000"))</f>
        <v/>
      </c>
      <c r="I653" s="29" t="str">
        <f aca="false">IF($D653="","",IF(ISNUMBER($E653),FLOOR(($E653-$B653)*24,1),""))</f>
        <v/>
      </c>
      <c r="J653" s="10" t="str">
        <f aca="false">IF($D653="","",IFERROR(IF(VLOOKUP($F653,Dim_Analyst!$A:$C,3,0)="Yes","Yes","No"),"No"))</f>
        <v/>
      </c>
    </row>
    <row r="654" customFormat="false" ht="15" hidden="false" customHeight="true" outlineLevel="0" collapsed="false">
      <c r="G654" s="4" t="str">
        <f aca="false">IF($D654="","",$A654&amp;"|"&amp;$B654&amp;"|"&amp;$C654&amp;"|"&amp;$D654)</f>
        <v/>
      </c>
      <c r="H654" s="4" t="str">
        <f aca="false">IF($D654="","",$G654&amp;"|"&amp;TEXT($E654,"0.000000"))</f>
        <v/>
      </c>
      <c r="I654" s="29" t="str">
        <f aca="false">IF($D654="","",IF(ISNUMBER($E654),FLOOR(($E654-$B654)*24,1),""))</f>
        <v/>
      </c>
      <c r="J654" s="10" t="str">
        <f aca="false">IF($D654="","",IFERROR(IF(VLOOKUP($F654,Dim_Analyst!$A:$C,3,0)="Yes","Yes","No"),"No"))</f>
        <v/>
      </c>
    </row>
    <row r="655" customFormat="false" ht="15" hidden="false" customHeight="true" outlineLevel="0" collapsed="false">
      <c r="G655" s="4" t="str">
        <f aca="false">IF($D655="","",$A655&amp;"|"&amp;$B655&amp;"|"&amp;$C655&amp;"|"&amp;$D655)</f>
        <v/>
      </c>
      <c r="H655" s="4" t="str">
        <f aca="false">IF($D655="","",$G655&amp;"|"&amp;TEXT($E655,"0.000000"))</f>
        <v/>
      </c>
      <c r="I655" s="29" t="str">
        <f aca="false">IF($D655="","",IF(ISNUMBER($E655),FLOOR(($E655-$B655)*24,1),""))</f>
        <v/>
      </c>
      <c r="J655" s="10" t="str">
        <f aca="false">IF($D655="","",IFERROR(IF(VLOOKUP($F655,Dim_Analyst!$A:$C,3,0)="Yes","Yes","No"),"No"))</f>
        <v/>
      </c>
    </row>
    <row r="656" customFormat="false" ht="15" hidden="false" customHeight="true" outlineLevel="0" collapsed="false">
      <c r="G656" s="4" t="str">
        <f aca="false">IF($D656="","",$A656&amp;"|"&amp;$B656&amp;"|"&amp;$C656&amp;"|"&amp;$D656)</f>
        <v/>
      </c>
      <c r="H656" s="4" t="str">
        <f aca="false">IF($D656="","",$G656&amp;"|"&amp;TEXT($E656,"0.000000"))</f>
        <v/>
      </c>
      <c r="I656" s="29" t="str">
        <f aca="false">IF($D656="","",IF(ISNUMBER($E656),FLOOR(($E656-$B656)*24,1),""))</f>
        <v/>
      </c>
      <c r="J656" s="10" t="str">
        <f aca="false">IF($D656="","",IFERROR(IF(VLOOKUP($F656,Dim_Analyst!$A:$C,3,0)="Yes","Yes","No"),"No"))</f>
        <v/>
      </c>
    </row>
    <row r="657" customFormat="false" ht="15" hidden="false" customHeight="true" outlineLevel="0" collapsed="false">
      <c r="G657" s="4" t="str">
        <f aca="false">IF($D657="","",$A657&amp;"|"&amp;$B657&amp;"|"&amp;$C657&amp;"|"&amp;$D657)</f>
        <v/>
      </c>
      <c r="H657" s="4" t="str">
        <f aca="false">IF($D657="","",$G657&amp;"|"&amp;TEXT($E657,"0.000000"))</f>
        <v/>
      </c>
      <c r="I657" s="29" t="str">
        <f aca="false">IF($D657="","",IF(ISNUMBER($E657),FLOOR(($E657-$B657)*24,1),""))</f>
        <v/>
      </c>
      <c r="J657" s="10" t="str">
        <f aca="false">IF($D657="","",IFERROR(IF(VLOOKUP($F657,Dim_Analyst!$A:$C,3,0)="Yes","Yes","No"),"No"))</f>
        <v/>
      </c>
    </row>
    <row r="658" customFormat="false" ht="15" hidden="false" customHeight="true" outlineLevel="0" collapsed="false">
      <c r="G658" s="4" t="str">
        <f aca="false">IF($D658="","",$A658&amp;"|"&amp;$B658&amp;"|"&amp;$C658&amp;"|"&amp;$D658)</f>
        <v/>
      </c>
      <c r="H658" s="4" t="str">
        <f aca="false">IF($D658="","",$G658&amp;"|"&amp;TEXT($E658,"0.000000"))</f>
        <v/>
      </c>
      <c r="I658" s="29" t="str">
        <f aca="false">IF($D658="","",IF(ISNUMBER($E658),FLOOR(($E658-$B658)*24,1),""))</f>
        <v/>
      </c>
      <c r="J658" s="10" t="str">
        <f aca="false">IF($D658="","",IFERROR(IF(VLOOKUP($F658,Dim_Analyst!$A:$C,3,0)="Yes","Yes","No"),"No"))</f>
        <v/>
      </c>
    </row>
    <row r="659" customFormat="false" ht="15" hidden="false" customHeight="true" outlineLevel="0" collapsed="false">
      <c r="G659" s="4" t="str">
        <f aca="false">IF($D659="","",$A659&amp;"|"&amp;$B659&amp;"|"&amp;$C659&amp;"|"&amp;$D659)</f>
        <v/>
      </c>
      <c r="H659" s="4" t="str">
        <f aca="false">IF($D659="","",$G659&amp;"|"&amp;TEXT($E659,"0.000000"))</f>
        <v/>
      </c>
      <c r="I659" s="29" t="str">
        <f aca="false">IF($D659="","",IF(ISNUMBER($E659),FLOOR(($E659-$B659)*24,1),""))</f>
        <v/>
      </c>
      <c r="J659" s="10" t="str">
        <f aca="false">IF($D659="","",IFERROR(IF(VLOOKUP($F659,Dim_Analyst!$A:$C,3,0)="Yes","Yes","No"),"No"))</f>
        <v/>
      </c>
    </row>
    <row r="660" customFormat="false" ht="15" hidden="false" customHeight="true" outlineLevel="0" collapsed="false">
      <c r="G660" s="4" t="str">
        <f aca="false">IF($D660="","",$A660&amp;"|"&amp;$B660&amp;"|"&amp;$C660&amp;"|"&amp;$D660)</f>
        <v/>
      </c>
      <c r="H660" s="4" t="str">
        <f aca="false">IF($D660="","",$G660&amp;"|"&amp;TEXT($E660,"0.000000"))</f>
        <v/>
      </c>
      <c r="I660" s="29" t="str">
        <f aca="false">IF($D660="","",IF(ISNUMBER($E660),FLOOR(($E660-$B660)*24,1),""))</f>
        <v/>
      </c>
      <c r="J660" s="10" t="str">
        <f aca="false">IF($D660="","",IFERROR(IF(VLOOKUP($F660,Dim_Analyst!$A:$C,3,0)="Yes","Yes","No"),"No"))</f>
        <v/>
      </c>
    </row>
    <row r="661" customFormat="false" ht="15" hidden="false" customHeight="true" outlineLevel="0" collapsed="false">
      <c r="G661" s="4" t="str">
        <f aca="false">IF($D661="","",$A661&amp;"|"&amp;$B661&amp;"|"&amp;$C661&amp;"|"&amp;$D661)</f>
        <v/>
      </c>
      <c r="H661" s="4" t="str">
        <f aca="false">IF($D661="","",$G661&amp;"|"&amp;TEXT($E661,"0.000000"))</f>
        <v/>
      </c>
      <c r="I661" s="29" t="str">
        <f aca="false">IF($D661="","",IF(ISNUMBER($E661),FLOOR(($E661-$B661)*24,1),""))</f>
        <v/>
      </c>
      <c r="J661" s="10" t="str">
        <f aca="false">IF($D661="","",IFERROR(IF(VLOOKUP($F661,Dim_Analyst!$A:$C,3,0)="Yes","Yes","No"),"No"))</f>
        <v/>
      </c>
    </row>
    <row r="662" customFormat="false" ht="15" hidden="false" customHeight="true" outlineLevel="0" collapsed="false">
      <c r="G662" s="4" t="str">
        <f aca="false">IF($D662="","",$A662&amp;"|"&amp;$B662&amp;"|"&amp;$C662&amp;"|"&amp;$D662)</f>
        <v/>
      </c>
      <c r="H662" s="4" t="str">
        <f aca="false">IF($D662="","",$G662&amp;"|"&amp;TEXT($E662,"0.000000"))</f>
        <v/>
      </c>
      <c r="I662" s="29" t="str">
        <f aca="false">IF($D662="","",IF(ISNUMBER($E662),FLOOR(($E662-$B662)*24,1),""))</f>
        <v/>
      </c>
      <c r="J662" s="10" t="str">
        <f aca="false">IF($D662="","",IFERROR(IF(VLOOKUP($F662,Dim_Analyst!$A:$C,3,0)="Yes","Yes","No"),"No"))</f>
        <v/>
      </c>
    </row>
    <row r="663" customFormat="false" ht="15" hidden="false" customHeight="true" outlineLevel="0" collapsed="false">
      <c r="G663" s="4" t="str">
        <f aca="false">IF($D663="","",$A663&amp;"|"&amp;$B663&amp;"|"&amp;$C663&amp;"|"&amp;$D663)</f>
        <v/>
      </c>
      <c r="H663" s="4" t="str">
        <f aca="false">IF($D663="","",$G663&amp;"|"&amp;TEXT($E663,"0.000000"))</f>
        <v/>
      </c>
      <c r="I663" s="29" t="str">
        <f aca="false">IF($D663="","",IF(ISNUMBER($E663),FLOOR(($E663-$B663)*24,1),""))</f>
        <v/>
      </c>
      <c r="J663" s="10" t="str">
        <f aca="false">IF($D663="","",IFERROR(IF(VLOOKUP($F663,Dim_Analyst!$A:$C,3,0)="Yes","Yes","No"),"No"))</f>
        <v/>
      </c>
    </row>
    <row r="664" customFormat="false" ht="15" hidden="false" customHeight="true" outlineLevel="0" collapsed="false">
      <c r="G664" s="4" t="str">
        <f aca="false">IF($D664="","",$A664&amp;"|"&amp;$B664&amp;"|"&amp;$C664&amp;"|"&amp;$D664)</f>
        <v/>
      </c>
      <c r="H664" s="4" t="str">
        <f aca="false">IF($D664="","",$G664&amp;"|"&amp;TEXT($E664,"0.000000"))</f>
        <v/>
      </c>
      <c r="I664" s="29" t="str">
        <f aca="false">IF($D664="","",IF(ISNUMBER($E664),FLOOR(($E664-$B664)*24,1),""))</f>
        <v/>
      </c>
      <c r="J664" s="10" t="str">
        <f aca="false">IF($D664="","",IFERROR(IF(VLOOKUP($F664,Dim_Analyst!$A:$C,3,0)="Yes","Yes","No"),"No"))</f>
        <v/>
      </c>
    </row>
    <row r="665" customFormat="false" ht="15" hidden="false" customHeight="true" outlineLevel="0" collapsed="false">
      <c r="G665" s="4" t="str">
        <f aca="false">IF($D665="","",$A665&amp;"|"&amp;$B665&amp;"|"&amp;$C665&amp;"|"&amp;$D665)</f>
        <v/>
      </c>
      <c r="H665" s="4" t="str">
        <f aca="false">IF($D665="","",$G665&amp;"|"&amp;TEXT($E665,"0.000000"))</f>
        <v/>
      </c>
      <c r="I665" s="29" t="str">
        <f aca="false">IF($D665="","",IF(ISNUMBER($E665),FLOOR(($E665-$B665)*24,1),""))</f>
        <v/>
      </c>
      <c r="J665" s="10" t="str">
        <f aca="false">IF($D665="","",IFERROR(IF(VLOOKUP($F665,Dim_Analyst!$A:$C,3,0)="Yes","Yes","No"),"No"))</f>
        <v/>
      </c>
    </row>
    <row r="666" customFormat="false" ht="15" hidden="false" customHeight="true" outlineLevel="0" collapsed="false">
      <c r="G666" s="4" t="str">
        <f aca="false">IF($D666="","",$A666&amp;"|"&amp;$B666&amp;"|"&amp;$C666&amp;"|"&amp;$D666)</f>
        <v/>
      </c>
      <c r="H666" s="4" t="str">
        <f aca="false">IF($D666="","",$G666&amp;"|"&amp;TEXT($E666,"0.000000"))</f>
        <v/>
      </c>
      <c r="I666" s="29" t="str">
        <f aca="false">IF($D666="","",IF(ISNUMBER($E666),FLOOR(($E666-$B666)*24,1),""))</f>
        <v/>
      </c>
      <c r="J666" s="10" t="str">
        <f aca="false">IF($D666="","",IFERROR(IF(VLOOKUP($F666,Dim_Analyst!$A:$C,3,0)="Yes","Yes","No"),"No"))</f>
        <v/>
      </c>
    </row>
    <row r="667" customFormat="false" ht="15" hidden="false" customHeight="true" outlineLevel="0" collapsed="false">
      <c r="G667" s="4" t="str">
        <f aca="false">IF($D667="","",$A667&amp;"|"&amp;$B667&amp;"|"&amp;$C667&amp;"|"&amp;$D667)</f>
        <v/>
      </c>
      <c r="H667" s="4" t="str">
        <f aca="false">IF($D667="","",$G667&amp;"|"&amp;TEXT($E667,"0.000000"))</f>
        <v/>
      </c>
      <c r="I667" s="29" t="str">
        <f aca="false">IF($D667="","",IF(ISNUMBER($E667),FLOOR(($E667-$B667)*24,1),""))</f>
        <v/>
      </c>
      <c r="J667" s="10" t="str">
        <f aca="false">IF($D667="","",IFERROR(IF(VLOOKUP($F667,Dim_Analyst!$A:$C,3,0)="Yes","Yes","No"),"No"))</f>
        <v/>
      </c>
    </row>
    <row r="668" customFormat="false" ht="15" hidden="false" customHeight="true" outlineLevel="0" collapsed="false">
      <c r="G668" s="4" t="str">
        <f aca="false">IF($D668="","",$A668&amp;"|"&amp;$B668&amp;"|"&amp;$C668&amp;"|"&amp;$D668)</f>
        <v/>
      </c>
      <c r="H668" s="4" t="str">
        <f aca="false">IF($D668="","",$G668&amp;"|"&amp;TEXT($E668,"0.000000"))</f>
        <v/>
      </c>
      <c r="I668" s="29" t="str">
        <f aca="false">IF($D668="","",IF(ISNUMBER($E668),FLOOR(($E668-$B668)*24,1),""))</f>
        <v/>
      </c>
      <c r="J668" s="10" t="str">
        <f aca="false">IF($D668="","",IFERROR(IF(VLOOKUP($F668,Dim_Analyst!$A:$C,3,0)="Yes","Yes","No"),"No"))</f>
        <v/>
      </c>
    </row>
    <row r="669" customFormat="false" ht="15" hidden="false" customHeight="true" outlineLevel="0" collapsed="false">
      <c r="G669" s="4" t="str">
        <f aca="false">IF($D669="","",$A669&amp;"|"&amp;$B669&amp;"|"&amp;$C669&amp;"|"&amp;$D669)</f>
        <v/>
      </c>
      <c r="H669" s="4" t="str">
        <f aca="false">IF($D669="","",$G669&amp;"|"&amp;TEXT($E669,"0.000000"))</f>
        <v/>
      </c>
      <c r="I669" s="29" t="str">
        <f aca="false">IF($D669="","",IF(ISNUMBER($E669),FLOOR(($E669-$B669)*24,1),""))</f>
        <v/>
      </c>
      <c r="J669" s="10" t="str">
        <f aca="false">IF($D669="","",IFERROR(IF(VLOOKUP($F669,Dim_Analyst!$A:$C,3,0)="Yes","Yes","No"),"No"))</f>
        <v/>
      </c>
    </row>
    <row r="670" customFormat="false" ht="15" hidden="false" customHeight="true" outlineLevel="0" collapsed="false">
      <c r="G670" s="4" t="str">
        <f aca="false">IF($D670="","",$A670&amp;"|"&amp;$B670&amp;"|"&amp;$C670&amp;"|"&amp;$D670)</f>
        <v/>
      </c>
      <c r="H670" s="4" t="str">
        <f aca="false">IF($D670="","",$G670&amp;"|"&amp;TEXT($E670,"0.000000"))</f>
        <v/>
      </c>
      <c r="I670" s="29" t="str">
        <f aca="false">IF($D670="","",IF(ISNUMBER($E670),FLOOR(($E670-$B670)*24,1),""))</f>
        <v/>
      </c>
      <c r="J670" s="10" t="str">
        <f aca="false">IF($D670="","",IFERROR(IF(VLOOKUP($F670,Dim_Analyst!$A:$C,3,0)="Yes","Yes","No"),"No"))</f>
        <v/>
      </c>
    </row>
    <row r="671" customFormat="false" ht="15" hidden="false" customHeight="true" outlineLevel="0" collapsed="false">
      <c r="G671" s="4" t="str">
        <f aca="false">IF($D671="","",$A671&amp;"|"&amp;$B671&amp;"|"&amp;$C671&amp;"|"&amp;$D671)</f>
        <v/>
      </c>
      <c r="H671" s="4" t="str">
        <f aca="false">IF($D671="","",$G671&amp;"|"&amp;TEXT($E671,"0.000000"))</f>
        <v/>
      </c>
      <c r="I671" s="29" t="str">
        <f aca="false">IF($D671="","",IF(ISNUMBER($E671),FLOOR(($E671-$B671)*24,1),""))</f>
        <v/>
      </c>
      <c r="J671" s="10" t="str">
        <f aca="false">IF($D671="","",IFERROR(IF(VLOOKUP($F671,Dim_Analyst!$A:$C,3,0)="Yes","Yes","No"),"No"))</f>
        <v/>
      </c>
    </row>
    <row r="672" customFormat="false" ht="15" hidden="false" customHeight="true" outlineLevel="0" collapsed="false">
      <c r="G672" s="4" t="str">
        <f aca="false">IF($D672="","",$A672&amp;"|"&amp;$B672&amp;"|"&amp;$C672&amp;"|"&amp;$D672)</f>
        <v/>
      </c>
      <c r="H672" s="4" t="str">
        <f aca="false">IF($D672="","",$G672&amp;"|"&amp;TEXT($E672,"0.000000"))</f>
        <v/>
      </c>
      <c r="I672" s="29" t="str">
        <f aca="false">IF($D672="","",IF(ISNUMBER($E672),FLOOR(($E672-$B672)*24,1),""))</f>
        <v/>
      </c>
      <c r="J672" s="10" t="str">
        <f aca="false">IF($D672="","",IFERROR(IF(VLOOKUP($F672,Dim_Analyst!$A:$C,3,0)="Yes","Yes","No"),"No"))</f>
        <v/>
      </c>
    </row>
    <row r="673" customFormat="false" ht="15" hidden="false" customHeight="true" outlineLevel="0" collapsed="false">
      <c r="G673" s="4" t="str">
        <f aca="false">IF($D673="","",$A673&amp;"|"&amp;$B673&amp;"|"&amp;$C673&amp;"|"&amp;$D673)</f>
        <v/>
      </c>
      <c r="H673" s="4" t="str">
        <f aca="false">IF($D673="","",$G673&amp;"|"&amp;TEXT($E673,"0.000000"))</f>
        <v/>
      </c>
      <c r="I673" s="29" t="str">
        <f aca="false">IF($D673="","",IF(ISNUMBER($E673),FLOOR(($E673-$B673)*24,1),""))</f>
        <v/>
      </c>
      <c r="J673" s="10" t="str">
        <f aca="false">IF($D673="","",IFERROR(IF(VLOOKUP($F673,Dim_Analyst!$A:$C,3,0)="Yes","Yes","No"),"No"))</f>
        <v/>
      </c>
    </row>
    <row r="674" customFormat="false" ht="15" hidden="false" customHeight="true" outlineLevel="0" collapsed="false">
      <c r="G674" s="4" t="str">
        <f aca="false">IF($D674="","",$A674&amp;"|"&amp;$B674&amp;"|"&amp;$C674&amp;"|"&amp;$D674)</f>
        <v/>
      </c>
      <c r="H674" s="4" t="str">
        <f aca="false">IF($D674="","",$G674&amp;"|"&amp;TEXT($E674,"0.000000"))</f>
        <v/>
      </c>
      <c r="I674" s="29" t="str">
        <f aca="false">IF($D674="","",IF(ISNUMBER($E674),FLOOR(($E674-$B674)*24,1),""))</f>
        <v/>
      </c>
      <c r="J674" s="10" t="str">
        <f aca="false">IF($D674="","",IFERROR(IF(VLOOKUP($F674,Dim_Analyst!$A:$C,3,0)="Yes","Yes","No"),"No"))</f>
        <v/>
      </c>
    </row>
    <row r="675" customFormat="false" ht="15" hidden="false" customHeight="true" outlineLevel="0" collapsed="false">
      <c r="G675" s="4" t="str">
        <f aca="false">IF($D675="","",$A675&amp;"|"&amp;$B675&amp;"|"&amp;$C675&amp;"|"&amp;$D675)</f>
        <v/>
      </c>
      <c r="H675" s="4" t="str">
        <f aca="false">IF($D675="","",$G675&amp;"|"&amp;TEXT($E675,"0.000000"))</f>
        <v/>
      </c>
      <c r="I675" s="29" t="str">
        <f aca="false">IF($D675="","",IF(ISNUMBER($E675),FLOOR(($E675-$B675)*24,1),""))</f>
        <v/>
      </c>
      <c r="J675" s="10" t="str">
        <f aca="false">IF($D675="","",IFERROR(IF(VLOOKUP($F675,Dim_Analyst!$A:$C,3,0)="Yes","Yes","No"),"No"))</f>
        <v/>
      </c>
    </row>
    <row r="676" customFormat="false" ht="15" hidden="false" customHeight="true" outlineLevel="0" collapsed="false">
      <c r="G676" s="4" t="str">
        <f aca="false">IF($D676="","",$A676&amp;"|"&amp;$B676&amp;"|"&amp;$C676&amp;"|"&amp;$D676)</f>
        <v/>
      </c>
      <c r="H676" s="4" t="str">
        <f aca="false">IF($D676="","",$G676&amp;"|"&amp;TEXT($E676,"0.000000"))</f>
        <v/>
      </c>
      <c r="I676" s="29" t="str">
        <f aca="false">IF($D676="","",IF(ISNUMBER($E676),FLOOR(($E676-$B676)*24,1),""))</f>
        <v/>
      </c>
      <c r="J676" s="10" t="str">
        <f aca="false">IF($D676="","",IFERROR(IF(VLOOKUP($F676,Dim_Analyst!$A:$C,3,0)="Yes","Yes","No"),"No"))</f>
        <v/>
      </c>
    </row>
    <row r="677" customFormat="false" ht="15" hidden="false" customHeight="true" outlineLevel="0" collapsed="false">
      <c r="G677" s="4" t="str">
        <f aca="false">IF($D677="","",$A677&amp;"|"&amp;$B677&amp;"|"&amp;$C677&amp;"|"&amp;$D677)</f>
        <v/>
      </c>
      <c r="H677" s="4" t="str">
        <f aca="false">IF($D677="","",$G677&amp;"|"&amp;TEXT($E677,"0.000000"))</f>
        <v/>
      </c>
      <c r="I677" s="29" t="str">
        <f aca="false">IF($D677="","",IF(ISNUMBER($E677),FLOOR(($E677-$B677)*24,1),""))</f>
        <v/>
      </c>
      <c r="J677" s="10" t="str">
        <f aca="false">IF($D677="","",IFERROR(IF(VLOOKUP($F677,Dim_Analyst!$A:$C,3,0)="Yes","Yes","No"),"No"))</f>
        <v/>
      </c>
    </row>
    <row r="678" customFormat="false" ht="15" hidden="false" customHeight="true" outlineLevel="0" collapsed="false">
      <c r="G678" s="4" t="str">
        <f aca="false">IF($D678="","",$A678&amp;"|"&amp;$B678&amp;"|"&amp;$C678&amp;"|"&amp;$D678)</f>
        <v/>
      </c>
      <c r="H678" s="4" t="str">
        <f aca="false">IF($D678="","",$G678&amp;"|"&amp;TEXT($E678,"0.000000"))</f>
        <v/>
      </c>
      <c r="I678" s="29" t="str">
        <f aca="false">IF($D678="","",IF(ISNUMBER($E678),FLOOR(($E678-$B678)*24,1),""))</f>
        <v/>
      </c>
      <c r="J678" s="10" t="str">
        <f aca="false">IF($D678="","",IFERROR(IF(VLOOKUP($F678,Dim_Analyst!$A:$C,3,0)="Yes","Yes","No"),"No"))</f>
        <v/>
      </c>
    </row>
    <row r="679" customFormat="false" ht="15" hidden="false" customHeight="true" outlineLevel="0" collapsed="false">
      <c r="G679" s="4" t="str">
        <f aca="false">IF($D679="","",$A679&amp;"|"&amp;$B679&amp;"|"&amp;$C679&amp;"|"&amp;$D679)</f>
        <v/>
      </c>
      <c r="H679" s="4" t="str">
        <f aca="false">IF($D679="","",$G679&amp;"|"&amp;TEXT($E679,"0.000000"))</f>
        <v/>
      </c>
      <c r="I679" s="29" t="str">
        <f aca="false">IF($D679="","",IF(ISNUMBER($E679),FLOOR(($E679-$B679)*24,1),""))</f>
        <v/>
      </c>
      <c r="J679" s="10" t="str">
        <f aca="false">IF($D679="","",IFERROR(IF(VLOOKUP($F679,Dim_Analyst!$A:$C,3,0)="Yes","Yes","No"),"No"))</f>
        <v/>
      </c>
    </row>
    <row r="680" customFormat="false" ht="15" hidden="false" customHeight="true" outlineLevel="0" collapsed="false">
      <c r="G680" s="4" t="str">
        <f aca="false">IF($D680="","",$A680&amp;"|"&amp;$B680&amp;"|"&amp;$C680&amp;"|"&amp;$D680)</f>
        <v/>
      </c>
      <c r="H680" s="4" t="str">
        <f aca="false">IF($D680="","",$G680&amp;"|"&amp;TEXT($E680,"0.000000"))</f>
        <v/>
      </c>
      <c r="I680" s="29" t="str">
        <f aca="false">IF($D680="","",IF(ISNUMBER($E680),FLOOR(($E680-$B680)*24,1),""))</f>
        <v/>
      </c>
      <c r="J680" s="10" t="str">
        <f aca="false">IF($D680="","",IFERROR(IF(VLOOKUP($F680,Dim_Analyst!$A:$C,3,0)="Yes","Yes","No"),"No"))</f>
        <v/>
      </c>
    </row>
    <row r="681" customFormat="false" ht="15" hidden="false" customHeight="true" outlineLevel="0" collapsed="false">
      <c r="G681" s="4" t="str">
        <f aca="false">IF($D681="","",$A681&amp;"|"&amp;$B681&amp;"|"&amp;$C681&amp;"|"&amp;$D681)</f>
        <v/>
      </c>
      <c r="H681" s="4" t="str">
        <f aca="false">IF($D681="","",$G681&amp;"|"&amp;TEXT($E681,"0.000000"))</f>
        <v/>
      </c>
      <c r="I681" s="29" t="str">
        <f aca="false">IF($D681="","",IF(ISNUMBER($E681),FLOOR(($E681-$B681)*24,1),""))</f>
        <v/>
      </c>
      <c r="J681" s="10" t="str">
        <f aca="false">IF($D681="","",IFERROR(IF(VLOOKUP($F681,Dim_Analyst!$A:$C,3,0)="Yes","Yes","No"),"No"))</f>
        <v/>
      </c>
    </row>
    <row r="682" customFormat="false" ht="15" hidden="false" customHeight="true" outlineLevel="0" collapsed="false">
      <c r="G682" s="4" t="str">
        <f aca="false">IF($D682="","",$A682&amp;"|"&amp;$B682&amp;"|"&amp;$C682&amp;"|"&amp;$D682)</f>
        <v/>
      </c>
      <c r="H682" s="4" t="str">
        <f aca="false">IF($D682="","",$G682&amp;"|"&amp;TEXT($E682,"0.000000"))</f>
        <v/>
      </c>
      <c r="I682" s="29" t="str">
        <f aca="false">IF($D682="","",IF(ISNUMBER($E682),FLOOR(($E682-$B682)*24,1),""))</f>
        <v/>
      </c>
      <c r="J682" s="10" t="str">
        <f aca="false">IF($D682="","",IFERROR(IF(VLOOKUP($F682,Dim_Analyst!$A:$C,3,0)="Yes","Yes","No"),"No"))</f>
        <v/>
      </c>
    </row>
    <row r="683" customFormat="false" ht="15" hidden="false" customHeight="true" outlineLevel="0" collapsed="false">
      <c r="G683" s="4" t="str">
        <f aca="false">IF($D683="","",$A683&amp;"|"&amp;$B683&amp;"|"&amp;$C683&amp;"|"&amp;$D683)</f>
        <v/>
      </c>
      <c r="H683" s="4" t="str">
        <f aca="false">IF($D683="","",$G683&amp;"|"&amp;TEXT($E683,"0.000000"))</f>
        <v/>
      </c>
      <c r="I683" s="29" t="str">
        <f aca="false">IF($D683="","",IF(ISNUMBER($E683),FLOOR(($E683-$B683)*24,1),""))</f>
        <v/>
      </c>
      <c r="J683" s="10" t="str">
        <f aca="false">IF($D683="","",IFERROR(IF(VLOOKUP($F683,Dim_Analyst!$A:$C,3,0)="Yes","Yes","No"),"No"))</f>
        <v/>
      </c>
    </row>
    <row r="684" customFormat="false" ht="15" hidden="false" customHeight="true" outlineLevel="0" collapsed="false">
      <c r="G684" s="4" t="str">
        <f aca="false">IF($D684="","",$A684&amp;"|"&amp;$B684&amp;"|"&amp;$C684&amp;"|"&amp;$D684)</f>
        <v/>
      </c>
      <c r="H684" s="4" t="str">
        <f aca="false">IF($D684="","",$G684&amp;"|"&amp;TEXT($E684,"0.000000"))</f>
        <v/>
      </c>
      <c r="I684" s="29" t="str">
        <f aca="false">IF($D684="","",IF(ISNUMBER($E684),FLOOR(($E684-$B684)*24,1),""))</f>
        <v/>
      </c>
      <c r="J684" s="10" t="str">
        <f aca="false">IF($D684="","",IFERROR(IF(VLOOKUP($F684,Dim_Analyst!$A:$C,3,0)="Yes","Yes","No"),"No"))</f>
        <v/>
      </c>
    </row>
    <row r="685" customFormat="false" ht="15" hidden="false" customHeight="true" outlineLevel="0" collapsed="false">
      <c r="G685" s="4" t="str">
        <f aca="false">IF($D685="","",$A685&amp;"|"&amp;$B685&amp;"|"&amp;$C685&amp;"|"&amp;$D685)</f>
        <v/>
      </c>
      <c r="H685" s="4" t="str">
        <f aca="false">IF($D685="","",$G685&amp;"|"&amp;TEXT($E685,"0.000000"))</f>
        <v/>
      </c>
      <c r="I685" s="29" t="str">
        <f aca="false">IF($D685="","",IF(ISNUMBER($E685),FLOOR(($E685-$B685)*24,1),""))</f>
        <v/>
      </c>
      <c r="J685" s="10" t="str">
        <f aca="false">IF($D685="","",IFERROR(IF(VLOOKUP($F685,Dim_Analyst!$A:$C,3,0)="Yes","Yes","No"),"No"))</f>
        <v/>
      </c>
    </row>
    <row r="686" customFormat="false" ht="15" hidden="false" customHeight="true" outlineLevel="0" collapsed="false">
      <c r="G686" s="4" t="str">
        <f aca="false">IF($D686="","",$A686&amp;"|"&amp;$B686&amp;"|"&amp;$C686&amp;"|"&amp;$D686)</f>
        <v/>
      </c>
      <c r="H686" s="4" t="str">
        <f aca="false">IF($D686="","",$G686&amp;"|"&amp;TEXT($E686,"0.000000"))</f>
        <v/>
      </c>
      <c r="I686" s="29" t="str">
        <f aca="false">IF($D686="","",IF(ISNUMBER($E686),FLOOR(($E686-$B686)*24,1),""))</f>
        <v/>
      </c>
      <c r="J686" s="10" t="str">
        <f aca="false">IF($D686="","",IFERROR(IF(VLOOKUP($F686,Dim_Analyst!$A:$C,3,0)="Yes","Yes","No"),"No"))</f>
        <v/>
      </c>
    </row>
    <row r="687" customFormat="false" ht="15" hidden="false" customHeight="true" outlineLevel="0" collapsed="false">
      <c r="G687" s="4" t="str">
        <f aca="false">IF($D687="","",$A687&amp;"|"&amp;$B687&amp;"|"&amp;$C687&amp;"|"&amp;$D687)</f>
        <v/>
      </c>
      <c r="H687" s="4" t="str">
        <f aca="false">IF($D687="","",$G687&amp;"|"&amp;TEXT($E687,"0.000000"))</f>
        <v/>
      </c>
      <c r="I687" s="29" t="str">
        <f aca="false">IF($D687="","",IF(ISNUMBER($E687),FLOOR(($E687-$B687)*24,1),""))</f>
        <v/>
      </c>
      <c r="J687" s="10" t="str">
        <f aca="false">IF($D687="","",IFERROR(IF(VLOOKUP($F687,Dim_Analyst!$A:$C,3,0)="Yes","Yes","No"),"No"))</f>
        <v/>
      </c>
    </row>
    <row r="688" customFormat="false" ht="15" hidden="false" customHeight="true" outlineLevel="0" collapsed="false">
      <c r="G688" s="4" t="str">
        <f aca="false">IF($D688="","",$A688&amp;"|"&amp;$B688&amp;"|"&amp;$C688&amp;"|"&amp;$D688)</f>
        <v/>
      </c>
      <c r="H688" s="4" t="str">
        <f aca="false">IF($D688="","",$G688&amp;"|"&amp;TEXT($E688,"0.000000"))</f>
        <v/>
      </c>
      <c r="I688" s="29" t="str">
        <f aca="false">IF($D688="","",IF(ISNUMBER($E688),FLOOR(($E688-$B688)*24,1),""))</f>
        <v/>
      </c>
      <c r="J688" s="10" t="str">
        <f aca="false">IF($D688="","",IFERROR(IF(VLOOKUP($F688,Dim_Analyst!$A:$C,3,0)="Yes","Yes","No"),"No"))</f>
        <v/>
      </c>
    </row>
    <row r="689" customFormat="false" ht="15" hidden="false" customHeight="true" outlineLevel="0" collapsed="false">
      <c r="G689" s="4" t="str">
        <f aca="false">IF($D689="","",$A689&amp;"|"&amp;$B689&amp;"|"&amp;$C689&amp;"|"&amp;$D689)</f>
        <v/>
      </c>
      <c r="H689" s="4" t="str">
        <f aca="false">IF($D689="","",$G689&amp;"|"&amp;TEXT($E689,"0.000000"))</f>
        <v/>
      </c>
      <c r="I689" s="29" t="str">
        <f aca="false">IF($D689="","",IF(ISNUMBER($E689),FLOOR(($E689-$B689)*24,1),""))</f>
        <v/>
      </c>
      <c r="J689" s="10" t="str">
        <f aca="false">IF($D689="","",IFERROR(IF(VLOOKUP($F689,Dim_Analyst!$A:$C,3,0)="Yes","Yes","No"),"No"))</f>
        <v/>
      </c>
    </row>
    <row r="690" customFormat="false" ht="15" hidden="false" customHeight="true" outlineLevel="0" collapsed="false">
      <c r="G690" s="4" t="str">
        <f aca="false">IF($D690="","",$A690&amp;"|"&amp;$B690&amp;"|"&amp;$C690&amp;"|"&amp;$D690)</f>
        <v/>
      </c>
      <c r="H690" s="4" t="str">
        <f aca="false">IF($D690="","",$G690&amp;"|"&amp;TEXT($E690,"0.000000"))</f>
        <v/>
      </c>
      <c r="I690" s="29" t="str">
        <f aca="false">IF($D690="","",IF(ISNUMBER($E690),FLOOR(($E690-$B690)*24,1),""))</f>
        <v/>
      </c>
      <c r="J690" s="10" t="str">
        <f aca="false">IF($D690="","",IFERROR(IF(VLOOKUP($F690,Dim_Analyst!$A:$C,3,0)="Yes","Yes","No"),"No"))</f>
        <v/>
      </c>
    </row>
    <row r="691" customFormat="false" ht="15" hidden="false" customHeight="true" outlineLevel="0" collapsed="false">
      <c r="G691" s="4" t="str">
        <f aca="false">IF($D691="","",$A691&amp;"|"&amp;$B691&amp;"|"&amp;$C691&amp;"|"&amp;$D691)</f>
        <v/>
      </c>
      <c r="H691" s="4" t="str">
        <f aca="false">IF($D691="","",$G691&amp;"|"&amp;TEXT($E691,"0.000000"))</f>
        <v/>
      </c>
      <c r="I691" s="29" t="str">
        <f aca="false">IF($D691="","",IF(ISNUMBER($E691),FLOOR(($E691-$B691)*24,1),""))</f>
        <v/>
      </c>
      <c r="J691" s="10" t="str">
        <f aca="false">IF($D691="","",IFERROR(IF(VLOOKUP($F691,Dim_Analyst!$A:$C,3,0)="Yes","Yes","No"),"No"))</f>
        <v/>
      </c>
    </row>
    <row r="692" customFormat="false" ht="15" hidden="false" customHeight="true" outlineLevel="0" collapsed="false">
      <c r="G692" s="4" t="str">
        <f aca="false">IF($D692="","",$A692&amp;"|"&amp;$B692&amp;"|"&amp;$C692&amp;"|"&amp;$D692)</f>
        <v/>
      </c>
      <c r="H692" s="4" t="str">
        <f aca="false">IF($D692="","",$G692&amp;"|"&amp;TEXT($E692,"0.000000"))</f>
        <v/>
      </c>
      <c r="I692" s="29" t="str">
        <f aca="false">IF($D692="","",IF(ISNUMBER($E692),FLOOR(($E692-$B692)*24,1),""))</f>
        <v/>
      </c>
      <c r="J692" s="10" t="str">
        <f aca="false">IF($D692="","",IFERROR(IF(VLOOKUP($F692,Dim_Analyst!$A:$C,3,0)="Yes","Yes","No"),"No"))</f>
        <v/>
      </c>
    </row>
    <row r="693" customFormat="false" ht="15" hidden="false" customHeight="true" outlineLevel="0" collapsed="false">
      <c r="G693" s="4" t="str">
        <f aca="false">IF($D693="","",$A693&amp;"|"&amp;$B693&amp;"|"&amp;$C693&amp;"|"&amp;$D693)</f>
        <v/>
      </c>
      <c r="H693" s="4" t="str">
        <f aca="false">IF($D693="","",$G693&amp;"|"&amp;TEXT($E693,"0.000000"))</f>
        <v/>
      </c>
      <c r="I693" s="29" t="str">
        <f aca="false">IF($D693="","",IF(ISNUMBER($E693),FLOOR(($E693-$B693)*24,1),""))</f>
        <v/>
      </c>
      <c r="J693" s="10" t="str">
        <f aca="false">IF($D693="","",IFERROR(IF(VLOOKUP($F693,Dim_Analyst!$A:$C,3,0)="Yes","Yes","No"),"No"))</f>
        <v/>
      </c>
    </row>
    <row r="694" customFormat="false" ht="15" hidden="false" customHeight="true" outlineLevel="0" collapsed="false">
      <c r="G694" s="4" t="str">
        <f aca="false">IF($D694="","",$A694&amp;"|"&amp;$B694&amp;"|"&amp;$C694&amp;"|"&amp;$D694)</f>
        <v/>
      </c>
      <c r="H694" s="4" t="str">
        <f aca="false">IF($D694="","",$G694&amp;"|"&amp;TEXT($E694,"0.000000"))</f>
        <v/>
      </c>
      <c r="I694" s="29" t="str">
        <f aca="false">IF($D694="","",IF(ISNUMBER($E694),FLOOR(($E694-$B694)*24,1),""))</f>
        <v/>
      </c>
      <c r="J694" s="10" t="str">
        <f aca="false">IF($D694="","",IFERROR(IF(VLOOKUP($F694,Dim_Analyst!$A:$C,3,0)="Yes","Yes","No"),"No"))</f>
        <v/>
      </c>
    </row>
    <row r="695" customFormat="false" ht="15" hidden="false" customHeight="true" outlineLevel="0" collapsed="false">
      <c r="G695" s="4" t="str">
        <f aca="false">IF($D695="","",$A695&amp;"|"&amp;$B695&amp;"|"&amp;$C695&amp;"|"&amp;$D695)</f>
        <v/>
      </c>
      <c r="H695" s="4" t="str">
        <f aca="false">IF($D695="","",$G695&amp;"|"&amp;TEXT($E695,"0.000000"))</f>
        <v/>
      </c>
      <c r="I695" s="29" t="str">
        <f aca="false">IF($D695="","",IF(ISNUMBER($E695),FLOOR(($E695-$B695)*24,1),""))</f>
        <v/>
      </c>
      <c r="J695" s="10" t="str">
        <f aca="false">IF($D695="","",IFERROR(IF(VLOOKUP($F695,Dim_Analyst!$A:$C,3,0)="Yes","Yes","No"),"No"))</f>
        <v/>
      </c>
    </row>
    <row r="696" customFormat="false" ht="15" hidden="false" customHeight="true" outlineLevel="0" collapsed="false">
      <c r="G696" s="4" t="str">
        <f aca="false">IF($D696="","",$A696&amp;"|"&amp;$B696&amp;"|"&amp;$C696&amp;"|"&amp;$D696)</f>
        <v/>
      </c>
      <c r="H696" s="4" t="str">
        <f aca="false">IF($D696="","",$G696&amp;"|"&amp;TEXT($E696,"0.000000"))</f>
        <v/>
      </c>
      <c r="I696" s="29" t="str">
        <f aca="false">IF($D696="","",IF(ISNUMBER($E696),FLOOR(($E696-$B696)*24,1),""))</f>
        <v/>
      </c>
      <c r="J696" s="10" t="str">
        <f aca="false">IF($D696="","",IFERROR(IF(VLOOKUP($F696,Dim_Analyst!$A:$C,3,0)="Yes","Yes","No"),"No"))</f>
        <v/>
      </c>
    </row>
    <row r="697" customFormat="false" ht="15" hidden="false" customHeight="true" outlineLevel="0" collapsed="false">
      <c r="G697" s="4" t="str">
        <f aca="false">IF($D697="","",$A697&amp;"|"&amp;$B697&amp;"|"&amp;$C697&amp;"|"&amp;$D697)</f>
        <v/>
      </c>
      <c r="H697" s="4" t="str">
        <f aca="false">IF($D697="","",$G697&amp;"|"&amp;TEXT($E697,"0.000000"))</f>
        <v/>
      </c>
      <c r="I697" s="29" t="str">
        <f aca="false">IF($D697="","",IF(ISNUMBER($E697),FLOOR(($E697-$B697)*24,1),""))</f>
        <v/>
      </c>
      <c r="J697" s="10" t="str">
        <f aca="false">IF($D697="","",IFERROR(IF(VLOOKUP($F697,Dim_Analyst!$A:$C,3,0)="Yes","Yes","No"),"No"))</f>
        <v/>
      </c>
    </row>
    <row r="698" customFormat="false" ht="15" hidden="false" customHeight="true" outlineLevel="0" collapsed="false">
      <c r="G698" s="4" t="str">
        <f aca="false">IF($D698="","",$A698&amp;"|"&amp;$B698&amp;"|"&amp;$C698&amp;"|"&amp;$D698)</f>
        <v/>
      </c>
      <c r="H698" s="4" t="str">
        <f aca="false">IF($D698="","",$G698&amp;"|"&amp;TEXT($E698,"0.000000"))</f>
        <v/>
      </c>
      <c r="I698" s="29" t="str">
        <f aca="false">IF($D698="","",IF(ISNUMBER($E698),FLOOR(($E698-$B698)*24,1),""))</f>
        <v/>
      </c>
      <c r="J698" s="10" t="str">
        <f aca="false">IF($D698="","",IFERROR(IF(VLOOKUP($F698,Dim_Analyst!$A:$C,3,0)="Yes","Yes","No"),"No"))</f>
        <v/>
      </c>
    </row>
    <row r="699" customFormat="false" ht="15" hidden="false" customHeight="true" outlineLevel="0" collapsed="false">
      <c r="G699" s="4" t="str">
        <f aca="false">IF($D699="","",$A699&amp;"|"&amp;$B699&amp;"|"&amp;$C699&amp;"|"&amp;$D699)</f>
        <v/>
      </c>
      <c r="H699" s="4" t="str">
        <f aca="false">IF($D699="","",$G699&amp;"|"&amp;TEXT($E699,"0.000000"))</f>
        <v/>
      </c>
      <c r="I699" s="29" t="str">
        <f aca="false">IF($D699="","",IF(ISNUMBER($E699),FLOOR(($E699-$B699)*24,1),""))</f>
        <v/>
      </c>
      <c r="J699" s="10" t="str">
        <f aca="false">IF($D699="","",IFERROR(IF(VLOOKUP($F699,Dim_Analyst!$A:$C,3,0)="Yes","Yes","No"),"No"))</f>
        <v/>
      </c>
    </row>
    <row r="700" customFormat="false" ht="15" hidden="false" customHeight="true" outlineLevel="0" collapsed="false">
      <c r="G700" s="4" t="str">
        <f aca="false">IF($D700="","",$A700&amp;"|"&amp;$B700&amp;"|"&amp;$C700&amp;"|"&amp;$D700)</f>
        <v/>
      </c>
      <c r="H700" s="4" t="str">
        <f aca="false">IF($D700="","",$G700&amp;"|"&amp;TEXT($E700,"0.000000"))</f>
        <v/>
      </c>
      <c r="I700" s="29" t="str">
        <f aca="false">IF($D700="","",IF(ISNUMBER($E700),FLOOR(($E700-$B700)*24,1),""))</f>
        <v/>
      </c>
      <c r="J700" s="10" t="str">
        <f aca="false">IF($D700="","",IFERROR(IF(VLOOKUP($F700,Dim_Analyst!$A:$C,3,0)="Yes","Yes","No"),"No"))</f>
        <v/>
      </c>
    </row>
    <row r="701" customFormat="false" ht="15" hidden="false" customHeight="true" outlineLevel="0" collapsed="false">
      <c r="G701" s="4" t="str">
        <f aca="false">IF($D701="","",$A701&amp;"|"&amp;$B701&amp;"|"&amp;$C701&amp;"|"&amp;$D701)</f>
        <v/>
      </c>
      <c r="H701" s="4" t="str">
        <f aca="false">IF($D701="","",$G701&amp;"|"&amp;TEXT($E701,"0.000000"))</f>
        <v/>
      </c>
      <c r="I701" s="29" t="str">
        <f aca="false">IF($D701="","",IF(ISNUMBER($E701),FLOOR(($E701-$B701)*24,1),""))</f>
        <v/>
      </c>
      <c r="J701" s="10" t="str">
        <f aca="false">IF($D701="","",IFERROR(IF(VLOOKUP($F701,Dim_Analyst!$A:$C,3,0)="Yes","Yes","No"),"No"))</f>
        <v/>
      </c>
    </row>
    <row r="702" customFormat="false" ht="15" hidden="false" customHeight="true" outlineLevel="0" collapsed="false">
      <c r="G702" s="4" t="str">
        <f aca="false">IF($D702="","",$A702&amp;"|"&amp;$B702&amp;"|"&amp;$C702&amp;"|"&amp;$D702)</f>
        <v/>
      </c>
      <c r="H702" s="4" t="str">
        <f aca="false">IF($D702="","",$G702&amp;"|"&amp;TEXT($E702,"0.000000"))</f>
        <v/>
      </c>
      <c r="I702" s="29" t="str">
        <f aca="false">IF($D702="","",IF(ISNUMBER($E702),FLOOR(($E702-$B702)*24,1),""))</f>
        <v/>
      </c>
      <c r="J702" s="10" t="str">
        <f aca="false">IF($D702="","",IFERROR(IF(VLOOKUP($F702,Dim_Analyst!$A:$C,3,0)="Yes","Yes","No"),"No"))</f>
        <v/>
      </c>
    </row>
    <row r="703" customFormat="false" ht="15" hidden="false" customHeight="true" outlineLevel="0" collapsed="false">
      <c r="G703" s="4" t="str">
        <f aca="false">IF($D703="","",$A703&amp;"|"&amp;$B703&amp;"|"&amp;$C703&amp;"|"&amp;$D703)</f>
        <v/>
      </c>
      <c r="H703" s="4" t="str">
        <f aca="false">IF($D703="","",$G703&amp;"|"&amp;TEXT($E703,"0.000000"))</f>
        <v/>
      </c>
      <c r="I703" s="29" t="str">
        <f aca="false">IF($D703="","",IF(ISNUMBER($E703),FLOOR(($E703-$B703)*24,1),""))</f>
        <v/>
      </c>
      <c r="J703" s="10" t="str">
        <f aca="false">IF($D703="","",IFERROR(IF(VLOOKUP($F703,Dim_Analyst!$A:$C,3,0)="Yes","Yes","No"),"No"))</f>
        <v/>
      </c>
    </row>
    <row r="704" customFormat="false" ht="15" hidden="false" customHeight="true" outlineLevel="0" collapsed="false">
      <c r="G704" s="4" t="str">
        <f aca="false">IF($D704="","",$A704&amp;"|"&amp;$B704&amp;"|"&amp;$C704&amp;"|"&amp;$D704)</f>
        <v/>
      </c>
      <c r="H704" s="4" t="str">
        <f aca="false">IF($D704="","",$G704&amp;"|"&amp;TEXT($E704,"0.000000"))</f>
        <v/>
      </c>
      <c r="I704" s="29" t="str">
        <f aca="false">IF($D704="","",IF(ISNUMBER($E704),FLOOR(($E704-$B704)*24,1),""))</f>
        <v/>
      </c>
      <c r="J704" s="10" t="str">
        <f aca="false">IF($D704="","",IFERROR(IF(VLOOKUP($F704,Dim_Analyst!$A:$C,3,0)="Yes","Yes","No"),"No"))</f>
        <v/>
      </c>
    </row>
    <row r="705" customFormat="false" ht="15" hidden="false" customHeight="true" outlineLevel="0" collapsed="false">
      <c r="G705" s="4" t="str">
        <f aca="false">IF($D705="","",$A705&amp;"|"&amp;$B705&amp;"|"&amp;$C705&amp;"|"&amp;$D705)</f>
        <v/>
      </c>
      <c r="H705" s="4" t="str">
        <f aca="false">IF($D705="","",$G705&amp;"|"&amp;TEXT($E705,"0.000000"))</f>
        <v/>
      </c>
      <c r="I705" s="29" t="str">
        <f aca="false">IF($D705="","",IF(ISNUMBER($E705),FLOOR(($E705-$B705)*24,1),""))</f>
        <v/>
      </c>
      <c r="J705" s="10" t="str">
        <f aca="false">IF($D705="","",IFERROR(IF(VLOOKUP($F705,Dim_Analyst!$A:$C,3,0)="Yes","Yes","No"),"No"))</f>
        <v/>
      </c>
    </row>
    <row r="706" customFormat="false" ht="15" hidden="false" customHeight="true" outlineLevel="0" collapsed="false">
      <c r="G706" s="4" t="str">
        <f aca="false">IF($D706="","",$A706&amp;"|"&amp;$B706&amp;"|"&amp;$C706&amp;"|"&amp;$D706)</f>
        <v/>
      </c>
      <c r="H706" s="4" t="str">
        <f aca="false">IF($D706="","",$G706&amp;"|"&amp;TEXT($E706,"0.000000"))</f>
        <v/>
      </c>
      <c r="I706" s="29" t="str">
        <f aca="false">IF($D706="","",IF(ISNUMBER($E706),FLOOR(($E706-$B706)*24,1),""))</f>
        <v/>
      </c>
      <c r="J706" s="10" t="str">
        <f aca="false">IF($D706="","",IFERROR(IF(VLOOKUP($F706,Dim_Analyst!$A:$C,3,0)="Yes","Yes","No"),"No"))</f>
        <v/>
      </c>
    </row>
    <row r="707" customFormat="false" ht="15" hidden="false" customHeight="true" outlineLevel="0" collapsed="false">
      <c r="G707" s="4" t="str">
        <f aca="false">IF($D707="","",$A707&amp;"|"&amp;$B707&amp;"|"&amp;$C707&amp;"|"&amp;$D707)</f>
        <v/>
      </c>
      <c r="H707" s="4" t="str">
        <f aca="false">IF($D707="","",$G707&amp;"|"&amp;TEXT($E707,"0.000000"))</f>
        <v/>
      </c>
      <c r="I707" s="29" t="str">
        <f aca="false">IF($D707="","",IF(ISNUMBER($E707),FLOOR(($E707-$B707)*24,1),""))</f>
        <v/>
      </c>
      <c r="J707" s="10" t="str">
        <f aca="false">IF($D707="","",IFERROR(IF(VLOOKUP($F707,Dim_Analyst!$A:$C,3,0)="Yes","Yes","No"),"No"))</f>
        <v/>
      </c>
    </row>
    <row r="708" customFormat="false" ht="15" hidden="false" customHeight="true" outlineLevel="0" collapsed="false">
      <c r="G708" s="4" t="str">
        <f aca="false">IF($D708="","",$A708&amp;"|"&amp;$B708&amp;"|"&amp;$C708&amp;"|"&amp;$D708)</f>
        <v/>
      </c>
      <c r="H708" s="4" t="str">
        <f aca="false">IF($D708="","",$G708&amp;"|"&amp;TEXT($E708,"0.000000"))</f>
        <v/>
      </c>
      <c r="I708" s="29" t="str">
        <f aca="false">IF($D708="","",IF(ISNUMBER($E708),FLOOR(($E708-$B708)*24,1),""))</f>
        <v/>
      </c>
      <c r="J708" s="10" t="str">
        <f aca="false">IF($D708="","",IFERROR(IF(VLOOKUP($F708,Dim_Analyst!$A:$C,3,0)="Yes","Yes","No"),"No"))</f>
        <v/>
      </c>
    </row>
    <row r="709" customFormat="false" ht="15" hidden="false" customHeight="true" outlineLevel="0" collapsed="false">
      <c r="G709" s="4" t="str">
        <f aca="false">IF($D709="","",$A709&amp;"|"&amp;$B709&amp;"|"&amp;$C709&amp;"|"&amp;$D709)</f>
        <v/>
      </c>
      <c r="H709" s="4" t="str">
        <f aca="false">IF($D709="","",$G709&amp;"|"&amp;TEXT($E709,"0.000000"))</f>
        <v/>
      </c>
      <c r="I709" s="29" t="str">
        <f aca="false">IF($D709="","",IF(ISNUMBER($E709),FLOOR(($E709-$B709)*24,1),""))</f>
        <v/>
      </c>
      <c r="J709" s="10" t="str">
        <f aca="false">IF($D709="","",IFERROR(IF(VLOOKUP($F709,Dim_Analyst!$A:$C,3,0)="Yes","Yes","No"),"No"))</f>
        <v/>
      </c>
    </row>
    <row r="710" customFormat="false" ht="15" hidden="false" customHeight="true" outlineLevel="0" collapsed="false">
      <c r="G710" s="4" t="str">
        <f aca="false">IF($D710="","",$A710&amp;"|"&amp;$B710&amp;"|"&amp;$C710&amp;"|"&amp;$D710)</f>
        <v/>
      </c>
      <c r="H710" s="4" t="str">
        <f aca="false">IF($D710="","",$G710&amp;"|"&amp;TEXT($E710,"0.000000"))</f>
        <v/>
      </c>
      <c r="I710" s="29" t="str">
        <f aca="false">IF($D710="","",IF(ISNUMBER($E710),FLOOR(($E710-$B710)*24,1),""))</f>
        <v/>
      </c>
      <c r="J710" s="10" t="str">
        <f aca="false">IF($D710="","",IFERROR(IF(VLOOKUP($F710,Dim_Analyst!$A:$C,3,0)="Yes","Yes","No"),"No"))</f>
        <v/>
      </c>
    </row>
    <row r="711" customFormat="false" ht="15" hidden="false" customHeight="true" outlineLevel="0" collapsed="false">
      <c r="G711" s="4" t="str">
        <f aca="false">IF($D711="","",$A711&amp;"|"&amp;$B711&amp;"|"&amp;$C711&amp;"|"&amp;$D711)</f>
        <v/>
      </c>
      <c r="H711" s="4" t="str">
        <f aca="false">IF($D711="","",$G711&amp;"|"&amp;TEXT($E711,"0.000000"))</f>
        <v/>
      </c>
      <c r="I711" s="29" t="str">
        <f aca="false">IF($D711="","",IF(ISNUMBER($E711),FLOOR(($E711-$B711)*24,1),""))</f>
        <v/>
      </c>
      <c r="J711" s="10" t="str">
        <f aca="false">IF($D711="","",IFERROR(IF(VLOOKUP($F711,Dim_Analyst!$A:$C,3,0)="Yes","Yes","No"),"No"))</f>
        <v/>
      </c>
    </row>
    <row r="712" customFormat="false" ht="15" hidden="false" customHeight="true" outlineLevel="0" collapsed="false">
      <c r="G712" s="4" t="str">
        <f aca="false">IF($D712="","",$A712&amp;"|"&amp;$B712&amp;"|"&amp;$C712&amp;"|"&amp;$D712)</f>
        <v/>
      </c>
      <c r="H712" s="4" t="str">
        <f aca="false">IF($D712="","",$G712&amp;"|"&amp;TEXT($E712,"0.000000"))</f>
        <v/>
      </c>
      <c r="I712" s="29" t="str">
        <f aca="false">IF($D712="","",IF(ISNUMBER($E712),FLOOR(($E712-$B712)*24,1),""))</f>
        <v/>
      </c>
      <c r="J712" s="10" t="str">
        <f aca="false">IF($D712="","",IFERROR(IF(VLOOKUP($F712,Dim_Analyst!$A:$C,3,0)="Yes","Yes","No"),"No"))</f>
        <v/>
      </c>
    </row>
    <row r="713" customFormat="false" ht="15" hidden="false" customHeight="true" outlineLevel="0" collapsed="false">
      <c r="G713" s="4" t="str">
        <f aca="false">IF($D713="","",$A713&amp;"|"&amp;$B713&amp;"|"&amp;$C713&amp;"|"&amp;$D713)</f>
        <v/>
      </c>
      <c r="H713" s="4" t="str">
        <f aca="false">IF($D713="","",$G713&amp;"|"&amp;TEXT($E713,"0.000000"))</f>
        <v/>
      </c>
      <c r="I713" s="29" t="str">
        <f aca="false">IF($D713="","",IF(ISNUMBER($E713),FLOOR(($E713-$B713)*24,1),""))</f>
        <v/>
      </c>
      <c r="J713" s="10" t="str">
        <f aca="false">IF($D713="","",IFERROR(IF(VLOOKUP($F713,Dim_Analyst!$A:$C,3,0)="Yes","Yes","No"),"No"))</f>
        <v/>
      </c>
    </row>
    <row r="714" customFormat="false" ht="15" hidden="false" customHeight="true" outlineLevel="0" collapsed="false">
      <c r="G714" s="4" t="str">
        <f aca="false">IF($D714="","",$A714&amp;"|"&amp;$B714&amp;"|"&amp;$C714&amp;"|"&amp;$D714)</f>
        <v/>
      </c>
      <c r="H714" s="4" t="str">
        <f aca="false">IF($D714="","",$G714&amp;"|"&amp;TEXT($E714,"0.000000"))</f>
        <v/>
      </c>
      <c r="I714" s="29" t="str">
        <f aca="false">IF($D714="","",IF(ISNUMBER($E714),FLOOR(($E714-$B714)*24,1),""))</f>
        <v/>
      </c>
      <c r="J714" s="10" t="str">
        <f aca="false">IF($D714="","",IFERROR(IF(VLOOKUP($F714,Dim_Analyst!$A:$C,3,0)="Yes","Yes","No"),"No"))</f>
        <v/>
      </c>
    </row>
    <row r="715" customFormat="false" ht="15" hidden="false" customHeight="true" outlineLevel="0" collapsed="false">
      <c r="G715" s="4" t="str">
        <f aca="false">IF($D715="","",$A715&amp;"|"&amp;$B715&amp;"|"&amp;$C715&amp;"|"&amp;$D715)</f>
        <v/>
      </c>
      <c r="H715" s="4" t="str">
        <f aca="false">IF($D715="","",$G715&amp;"|"&amp;TEXT($E715,"0.000000"))</f>
        <v/>
      </c>
      <c r="I715" s="29" t="str">
        <f aca="false">IF($D715="","",IF(ISNUMBER($E715),FLOOR(($E715-$B715)*24,1),""))</f>
        <v/>
      </c>
      <c r="J715" s="10" t="str">
        <f aca="false">IF($D715="","",IFERROR(IF(VLOOKUP($F715,Dim_Analyst!$A:$C,3,0)="Yes","Yes","No"),"No"))</f>
        <v/>
      </c>
    </row>
    <row r="716" customFormat="false" ht="15" hidden="false" customHeight="true" outlineLevel="0" collapsed="false">
      <c r="G716" s="4" t="str">
        <f aca="false">IF($D716="","",$A716&amp;"|"&amp;$B716&amp;"|"&amp;$C716&amp;"|"&amp;$D716)</f>
        <v/>
      </c>
      <c r="H716" s="4" t="str">
        <f aca="false">IF($D716="","",$G716&amp;"|"&amp;TEXT($E716,"0.000000"))</f>
        <v/>
      </c>
      <c r="I716" s="29" t="str">
        <f aca="false">IF($D716="","",IF(ISNUMBER($E716),FLOOR(($E716-$B716)*24,1),""))</f>
        <v/>
      </c>
      <c r="J716" s="10" t="str">
        <f aca="false">IF($D716="","",IFERROR(IF(VLOOKUP($F716,Dim_Analyst!$A:$C,3,0)="Yes","Yes","No"),"No"))</f>
        <v/>
      </c>
    </row>
    <row r="717" customFormat="false" ht="15" hidden="false" customHeight="true" outlineLevel="0" collapsed="false">
      <c r="G717" s="4" t="str">
        <f aca="false">IF($D717="","",$A717&amp;"|"&amp;$B717&amp;"|"&amp;$C717&amp;"|"&amp;$D717)</f>
        <v/>
      </c>
      <c r="H717" s="4" t="str">
        <f aca="false">IF($D717="","",$G717&amp;"|"&amp;TEXT($E717,"0.000000"))</f>
        <v/>
      </c>
      <c r="I717" s="29" t="str">
        <f aca="false">IF($D717="","",IF(ISNUMBER($E717),FLOOR(($E717-$B717)*24,1),""))</f>
        <v/>
      </c>
      <c r="J717" s="10" t="str">
        <f aca="false">IF($D717="","",IFERROR(IF(VLOOKUP($F717,Dim_Analyst!$A:$C,3,0)="Yes","Yes","No"),"No"))</f>
        <v/>
      </c>
    </row>
    <row r="718" customFormat="false" ht="15" hidden="false" customHeight="true" outlineLevel="0" collapsed="false">
      <c r="G718" s="4" t="str">
        <f aca="false">IF($D718="","",$A718&amp;"|"&amp;$B718&amp;"|"&amp;$C718&amp;"|"&amp;$D718)</f>
        <v/>
      </c>
      <c r="H718" s="4" t="str">
        <f aca="false">IF($D718="","",$G718&amp;"|"&amp;TEXT($E718,"0.000000"))</f>
        <v/>
      </c>
      <c r="I718" s="29" t="str">
        <f aca="false">IF($D718="","",IF(ISNUMBER($E718),FLOOR(($E718-$B718)*24,1),""))</f>
        <v/>
      </c>
      <c r="J718" s="10" t="str">
        <f aca="false">IF($D718="","",IFERROR(IF(VLOOKUP($F718,Dim_Analyst!$A:$C,3,0)="Yes","Yes","No"),"No"))</f>
        <v/>
      </c>
    </row>
    <row r="719" customFormat="false" ht="15" hidden="false" customHeight="true" outlineLevel="0" collapsed="false">
      <c r="G719" s="4" t="str">
        <f aca="false">IF($D719="","",$A719&amp;"|"&amp;$B719&amp;"|"&amp;$C719&amp;"|"&amp;$D719)</f>
        <v/>
      </c>
      <c r="H719" s="4" t="str">
        <f aca="false">IF($D719="","",$G719&amp;"|"&amp;TEXT($E719,"0.000000"))</f>
        <v/>
      </c>
      <c r="I719" s="29" t="str">
        <f aca="false">IF($D719="","",IF(ISNUMBER($E719),FLOOR(($E719-$B719)*24,1),""))</f>
        <v/>
      </c>
      <c r="J719" s="10" t="str">
        <f aca="false">IF($D719="","",IFERROR(IF(VLOOKUP($F719,Dim_Analyst!$A:$C,3,0)="Yes","Yes","No"),"No"))</f>
        <v/>
      </c>
    </row>
    <row r="720" customFormat="false" ht="15" hidden="false" customHeight="true" outlineLevel="0" collapsed="false">
      <c r="G720" s="4" t="str">
        <f aca="false">IF($D720="","",$A720&amp;"|"&amp;$B720&amp;"|"&amp;$C720&amp;"|"&amp;$D720)</f>
        <v/>
      </c>
      <c r="H720" s="4" t="str">
        <f aca="false">IF($D720="","",$G720&amp;"|"&amp;TEXT($E720,"0.000000"))</f>
        <v/>
      </c>
      <c r="I720" s="29" t="str">
        <f aca="false">IF($D720="","",IF(ISNUMBER($E720),FLOOR(($E720-$B720)*24,1),""))</f>
        <v/>
      </c>
      <c r="J720" s="10" t="str">
        <f aca="false">IF($D720="","",IFERROR(IF(VLOOKUP($F720,Dim_Analyst!$A:$C,3,0)="Yes","Yes","No"),"No"))</f>
        <v/>
      </c>
    </row>
    <row r="721" customFormat="false" ht="15" hidden="false" customHeight="true" outlineLevel="0" collapsed="false">
      <c r="G721" s="4" t="str">
        <f aca="false">IF($D721="","",$A721&amp;"|"&amp;$B721&amp;"|"&amp;$C721&amp;"|"&amp;$D721)</f>
        <v/>
      </c>
      <c r="H721" s="4" t="str">
        <f aca="false">IF($D721="","",$G721&amp;"|"&amp;TEXT($E721,"0.000000"))</f>
        <v/>
      </c>
      <c r="I721" s="29" t="str">
        <f aca="false">IF($D721="","",IF(ISNUMBER($E721),FLOOR(($E721-$B721)*24,1),""))</f>
        <v/>
      </c>
      <c r="J721" s="10" t="str">
        <f aca="false">IF($D721="","",IFERROR(IF(VLOOKUP($F721,Dim_Analyst!$A:$C,3,0)="Yes","Yes","No"),"No"))</f>
        <v/>
      </c>
    </row>
    <row r="722" customFormat="false" ht="15" hidden="false" customHeight="true" outlineLevel="0" collapsed="false">
      <c r="G722" s="4" t="str">
        <f aca="false">IF($D722="","",$A722&amp;"|"&amp;$B722&amp;"|"&amp;$C722&amp;"|"&amp;$D722)</f>
        <v/>
      </c>
      <c r="H722" s="4" t="str">
        <f aca="false">IF($D722="","",$G722&amp;"|"&amp;TEXT($E722,"0.000000"))</f>
        <v/>
      </c>
      <c r="I722" s="29" t="str">
        <f aca="false">IF($D722="","",IF(ISNUMBER($E722),FLOOR(($E722-$B722)*24,1),""))</f>
        <v/>
      </c>
      <c r="J722" s="10" t="str">
        <f aca="false">IF($D722="","",IFERROR(IF(VLOOKUP($F722,Dim_Analyst!$A:$C,3,0)="Yes","Yes","No"),"No"))</f>
        <v/>
      </c>
    </row>
    <row r="723" customFormat="false" ht="15" hidden="false" customHeight="true" outlineLevel="0" collapsed="false">
      <c r="G723" s="4" t="str">
        <f aca="false">IF($D723="","",$A723&amp;"|"&amp;$B723&amp;"|"&amp;$C723&amp;"|"&amp;$D723)</f>
        <v/>
      </c>
      <c r="H723" s="4" t="str">
        <f aca="false">IF($D723="","",$G723&amp;"|"&amp;TEXT($E723,"0.000000"))</f>
        <v/>
      </c>
      <c r="I723" s="29" t="str">
        <f aca="false">IF($D723="","",IF(ISNUMBER($E723),FLOOR(($E723-$B723)*24,1),""))</f>
        <v/>
      </c>
      <c r="J723" s="10" t="str">
        <f aca="false">IF($D723="","",IFERROR(IF(VLOOKUP($F723,Dim_Analyst!$A:$C,3,0)="Yes","Yes","No"),"No"))</f>
        <v/>
      </c>
    </row>
    <row r="724" customFormat="false" ht="15" hidden="false" customHeight="true" outlineLevel="0" collapsed="false">
      <c r="G724" s="4" t="str">
        <f aca="false">IF($D724="","",$A724&amp;"|"&amp;$B724&amp;"|"&amp;$C724&amp;"|"&amp;$D724)</f>
        <v/>
      </c>
      <c r="H724" s="4" t="str">
        <f aca="false">IF($D724="","",$G724&amp;"|"&amp;TEXT($E724,"0.000000"))</f>
        <v/>
      </c>
      <c r="I724" s="29" t="str">
        <f aca="false">IF($D724="","",IF(ISNUMBER($E724),FLOOR(($E724-$B724)*24,1),""))</f>
        <v/>
      </c>
      <c r="J724" s="10" t="str">
        <f aca="false">IF($D724="","",IFERROR(IF(VLOOKUP($F724,Dim_Analyst!$A:$C,3,0)="Yes","Yes","No"),"No"))</f>
        <v/>
      </c>
    </row>
    <row r="725" customFormat="false" ht="15" hidden="false" customHeight="true" outlineLevel="0" collapsed="false">
      <c r="G725" s="4" t="str">
        <f aca="false">IF($D725="","",$A725&amp;"|"&amp;$B725&amp;"|"&amp;$C725&amp;"|"&amp;$D725)</f>
        <v/>
      </c>
      <c r="H725" s="4" t="str">
        <f aca="false">IF($D725="","",$G725&amp;"|"&amp;TEXT($E725,"0.000000"))</f>
        <v/>
      </c>
      <c r="I725" s="29" t="str">
        <f aca="false">IF($D725="","",IF(ISNUMBER($E725),FLOOR(($E725-$B725)*24,1),""))</f>
        <v/>
      </c>
      <c r="J725" s="10" t="str">
        <f aca="false">IF($D725="","",IFERROR(IF(VLOOKUP($F725,Dim_Analyst!$A:$C,3,0)="Yes","Yes","No"),"No"))</f>
        <v/>
      </c>
    </row>
    <row r="726" customFormat="false" ht="15" hidden="false" customHeight="true" outlineLevel="0" collapsed="false">
      <c r="G726" s="4" t="str">
        <f aca="false">IF($D726="","",$A726&amp;"|"&amp;$B726&amp;"|"&amp;$C726&amp;"|"&amp;$D726)</f>
        <v/>
      </c>
      <c r="H726" s="4" t="str">
        <f aca="false">IF($D726="","",$G726&amp;"|"&amp;TEXT($E726,"0.000000"))</f>
        <v/>
      </c>
      <c r="I726" s="29" t="str">
        <f aca="false">IF($D726="","",IF(ISNUMBER($E726),FLOOR(($E726-$B726)*24,1),""))</f>
        <v/>
      </c>
      <c r="J726" s="10" t="str">
        <f aca="false">IF($D726="","",IFERROR(IF(VLOOKUP($F726,Dim_Analyst!$A:$C,3,0)="Yes","Yes","No"),"No"))</f>
        <v/>
      </c>
    </row>
    <row r="727" customFormat="false" ht="15" hidden="false" customHeight="true" outlineLevel="0" collapsed="false">
      <c r="G727" s="4" t="str">
        <f aca="false">IF($D727="","",$A727&amp;"|"&amp;$B727&amp;"|"&amp;$C727&amp;"|"&amp;$D727)</f>
        <v/>
      </c>
      <c r="H727" s="4" t="str">
        <f aca="false">IF($D727="","",$G727&amp;"|"&amp;TEXT($E727,"0.000000"))</f>
        <v/>
      </c>
      <c r="I727" s="29" t="str">
        <f aca="false">IF($D727="","",IF(ISNUMBER($E727),FLOOR(($E727-$B727)*24,1),""))</f>
        <v/>
      </c>
      <c r="J727" s="10" t="str">
        <f aca="false">IF($D727="","",IFERROR(IF(VLOOKUP($F727,Dim_Analyst!$A:$C,3,0)="Yes","Yes","No"),"No"))</f>
        <v/>
      </c>
    </row>
    <row r="728" customFormat="false" ht="15" hidden="false" customHeight="true" outlineLevel="0" collapsed="false">
      <c r="G728" s="4" t="str">
        <f aca="false">IF($D728="","",$A728&amp;"|"&amp;$B728&amp;"|"&amp;$C728&amp;"|"&amp;$D728)</f>
        <v/>
      </c>
      <c r="H728" s="4" t="str">
        <f aca="false">IF($D728="","",$G728&amp;"|"&amp;TEXT($E728,"0.000000"))</f>
        <v/>
      </c>
      <c r="I728" s="29" t="str">
        <f aca="false">IF($D728="","",IF(ISNUMBER($E728),FLOOR(($E728-$B728)*24,1),""))</f>
        <v/>
      </c>
      <c r="J728" s="10" t="str">
        <f aca="false">IF($D728="","",IFERROR(IF(VLOOKUP($F728,Dim_Analyst!$A:$C,3,0)="Yes","Yes","No"),"No"))</f>
        <v/>
      </c>
    </row>
    <row r="729" customFormat="false" ht="15" hidden="false" customHeight="true" outlineLevel="0" collapsed="false">
      <c r="G729" s="4" t="str">
        <f aca="false">IF($D729="","",$A729&amp;"|"&amp;$B729&amp;"|"&amp;$C729&amp;"|"&amp;$D729)</f>
        <v/>
      </c>
      <c r="H729" s="4" t="str">
        <f aca="false">IF($D729="","",$G729&amp;"|"&amp;TEXT($E729,"0.000000"))</f>
        <v/>
      </c>
      <c r="I729" s="29" t="str">
        <f aca="false">IF($D729="","",IF(ISNUMBER($E729),FLOOR(($E729-$B729)*24,1),""))</f>
        <v/>
      </c>
      <c r="J729" s="10" t="str">
        <f aca="false">IF($D729="","",IFERROR(IF(VLOOKUP($F729,Dim_Analyst!$A:$C,3,0)="Yes","Yes","No"),"No"))</f>
        <v/>
      </c>
    </row>
    <row r="730" customFormat="false" ht="15" hidden="false" customHeight="true" outlineLevel="0" collapsed="false">
      <c r="G730" s="4" t="str">
        <f aca="false">IF($D730="","",$A730&amp;"|"&amp;$B730&amp;"|"&amp;$C730&amp;"|"&amp;$D730)</f>
        <v/>
      </c>
      <c r="H730" s="4" t="str">
        <f aca="false">IF($D730="","",$G730&amp;"|"&amp;TEXT($E730,"0.000000"))</f>
        <v/>
      </c>
      <c r="I730" s="29" t="str">
        <f aca="false">IF($D730="","",IF(ISNUMBER($E730),FLOOR(($E730-$B730)*24,1),""))</f>
        <v/>
      </c>
      <c r="J730" s="10" t="str">
        <f aca="false">IF($D730="","",IFERROR(IF(VLOOKUP($F730,Dim_Analyst!$A:$C,3,0)="Yes","Yes","No"),"No"))</f>
        <v/>
      </c>
    </row>
    <row r="731" customFormat="false" ht="15" hidden="false" customHeight="true" outlineLevel="0" collapsed="false">
      <c r="G731" s="4" t="str">
        <f aca="false">IF($D731="","",$A731&amp;"|"&amp;$B731&amp;"|"&amp;$C731&amp;"|"&amp;$D731)</f>
        <v/>
      </c>
      <c r="H731" s="4" t="str">
        <f aca="false">IF($D731="","",$G731&amp;"|"&amp;TEXT($E731,"0.000000"))</f>
        <v/>
      </c>
      <c r="I731" s="29" t="str">
        <f aca="false">IF($D731="","",IF(ISNUMBER($E731),FLOOR(($E731-$B731)*24,1),""))</f>
        <v/>
      </c>
      <c r="J731" s="10" t="str">
        <f aca="false">IF($D731="","",IFERROR(IF(VLOOKUP($F731,Dim_Analyst!$A:$C,3,0)="Yes","Yes","No"),"No"))</f>
        <v/>
      </c>
    </row>
    <row r="732" customFormat="false" ht="15" hidden="false" customHeight="true" outlineLevel="0" collapsed="false">
      <c r="G732" s="4" t="str">
        <f aca="false">IF($D732="","",$A732&amp;"|"&amp;$B732&amp;"|"&amp;$C732&amp;"|"&amp;$D732)</f>
        <v/>
      </c>
      <c r="H732" s="4" t="str">
        <f aca="false">IF($D732="","",$G732&amp;"|"&amp;TEXT($E732,"0.000000"))</f>
        <v/>
      </c>
      <c r="I732" s="29" t="str">
        <f aca="false">IF($D732="","",IF(ISNUMBER($E732),FLOOR(($E732-$B732)*24,1),""))</f>
        <v/>
      </c>
      <c r="J732" s="10" t="str">
        <f aca="false">IF($D732="","",IFERROR(IF(VLOOKUP($F732,Dim_Analyst!$A:$C,3,0)="Yes","Yes","No"),"No"))</f>
        <v/>
      </c>
    </row>
    <row r="733" customFormat="false" ht="15" hidden="false" customHeight="true" outlineLevel="0" collapsed="false">
      <c r="G733" s="4" t="str">
        <f aca="false">IF($D733="","",$A733&amp;"|"&amp;$B733&amp;"|"&amp;$C733&amp;"|"&amp;$D733)</f>
        <v/>
      </c>
      <c r="H733" s="4" t="str">
        <f aca="false">IF($D733="","",$G733&amp;"|"&amp;TEXT($E733,"0.000000"))</f>
        <v/>
      </c>
      <c r="I733" s="29" t="str">
        <f aca="false">IF($D733="","",IF(ISNUMBER($E733),FLOOR(($E733-$B733)*24,1),""))</f>
        <v/>
      </c>
      <c r="J733" s="10" t="str">
        <f aca="false">IF($D733="","",IFERROR(IF(VLOOKUP($F733,Dim_Analyst!$A:$C,3,0)="Yes","Yes","No"),"No"))</f>
        <v/>
      </c>
    </row>
    <row r="734" customFormat="false" ht="15" hidden="false" customHeight="true" outlineLevel="0" collapsed="false">
      <c r="G734" s="4" t="str">
        <f aca="false">IF($D734="","",$A734&amp;"|"&amp;$B734&amp;"|"&amp;$C734&amp;"|"&amp;$D734)</f>
        <v/>
      </c>
      <c r="H734" s="4" t="str">
        <f aca="false">IF($D734="","",$G734&amp;"|"&amp;TEXT($E734,"0.000000"))</f>
        <v/>
      </c>
      <c r="I734" s="29" t="str">
        <f aca="false">IF($D734="","",IF(ISNUMBER($E734),FLOOR(($E734-$B734)*24,1),""))</f>
        <v/>
      </c>
      <c r="J734" s="10" t="str">
        <f aca="false">IF($D734="","",IFERROR(IF(VLOOKUP($F734,Dim_Analyst!$A:$C,3,0)="Yes","Yes","No"),"No"))</f>
        <v/>
      </c>
    </row>
    <row r="735" customFormat="false" ht="15" hidden="false" customHeight="true" outlineLevel="0" collapsed="false">
      <c r="G735" s="4" t="str">
        <f aca="false">IF($D735="","",$A735&amp;"|"&amp;$B735&amp;"|"&amp;$C735&amp;"|"&amp;$D735)</f>
        <v/>
      </c>
      <c r="H735" s="4" t="str">
        <f aca="false">IF($D735="","",$G735&amp;"|"&amp;TEXT($E735,"0.000000"))</f>
        <v/>
      </c>
      <c r="I735" s="29" t="str">
        <f aca="false">IF($D735="","",IF(ISNUMBER($E735),FLOOR(($E735-$B735)*24,1),""))</f>
        <v/>
      </c>
      <c r="J735" s="10" t="str">
        <f aca="false">IF($D735="","",IFERROR(IF(VLOOKUP($F735,Dim_Analyst!$A:$C,3,0)="Yes","Yes","No"),"No"))</f>
        <v/>
      </c>
    </row>
    <row r="736" customFormat="false" ht="15" hidden="false" customHeight="true" outlineLevel="0" collapsed="false">
      <c r="G736" s="4" t="str">
        <f aca="false">IF($D736="","",$A736&amp;"|"&amp;$B736&amp;"|"&amp;$C736&amp;"|"&amp;$D736)</f>
        <v/>
      </c>
      <c r="H736" s="4" t="str">
        <f aca="false">IF($D736="","",$G736&amp;"|"&amp;TEXT($E736,"0.000000"))</f>
        <v/>
      </c>
      <c r="I736" s="29" t="str">
        <f aca="false">IF($D736="","",IF(ISNUMBER($E736),FLOOR(($E736-$B736)*24,1),""))</f>
        <v/>
      </c>
      <c r="J736" s="10" t="str">
        <f aca="false">IF($D736="","",IFERROR(IF(VLOOKUP($F736,Dim_Analyst!$A:$C,3,0)="Yes","Yes","No"),"No"))</f>
        <v/>
      </c>
    </row>
    <row r="737" customFormat="false" ht="15" hidden="false" customHeight="true" outlineLevel="0" collapsed="false">
      <c r="G737" s="4" t="str">
        <f aca="false">IF($D737="","",$A737&amp;"|"&amp;$B737&amp;"|"&amp;$C737&amp;"|"&amp;$D737)</f>
        <v/>
      </c>
      <c r="H737" s="4" t="str">
        <f aca="false">IF($D737="","",$G737&amp;"|"&amp;TEXT($E737,"0.000000"))</f>
        <v/>
      </c>
      <c r="I737" s="29" t="str">
        <f aca="false">IF($D737="","",IF(ISNUMBER($E737),FLOOR(($E737-$B737)*24,1),""))</f>
        <v/>
      </c>
      <c r="J737" s="10" t="str">
        <f aca="false">IF($D737="","",IFERROR(IF(VLOOKUP($F737,Dim_Analyst!$A:$C,3,0)="Yes","Yes","No"),"No"))</f>
        <v/>
      </c>
    </row>
    <row r="738" customFormat="false" ht="15" hidden="false" customHeight="true" outlineLevel="0" collapsed="false">
      <c r="G738" s="4" t="str">
        <f aca="false">IF($D738="","",$A738&amp;"|"&amp;$B738&amp;"|"&amp;$C738&amp;"|"&amp;$D738)</f>
        <v/>
      </c>
      <c r="H738" s="4" t="str">
        <f aca="false">IF($D738="","",$G738&amp;"|"&amp;TEXT($E738,"0.000000"))</f>
        <v/>
      </c>
      <c r="I738" s="29" t="str">
        <f aca="false">IF($D738="","",IF(ISNUMBER($E738),FLOOR(($E738-$B738)*24,1),""))</f>
        <v/>
      </c>
      <c r="J738" s="10" t="str">
        <f aca="false">IF($D738="","",IFERROR(IF(VLOOKUP($F738,Dim_Analyst!$A:$C,3,0)="Yes","Yes","No"),"No"))</f>
        <v/>
      </c>
    </row>
    <row r="739" customFormat="false" ht="15" hidden="false" customHeight="true" outlineLevel="0" collapsed="false">
      <c r="G739" s="4" t="str">
        <f aca="false">IF($D739="","",$A739&amp;"|"&amp;$B739&amp;"|"&amp;$C739&amp;"|"&amp;$D739)</f>
        <v/>
      </c>
      <c r="H739" s="4" t="str">
        <f aca="false">IF($D739="","",$G739&amp;"|"&amp;TEXT($E739,"0.000000"))</f>
        <v/>
      </c>
      <c r="I739" s="29" t="str">
        <f aca="false">IF($D739="","",IF(ISNUMBER($E739),FLOOR(($E739-$B739)*24,1),""))</f>
        <v/>
      </c>
      <c r="J739" s="10" t="str">
        <f aca="false">IF($D739="","",IFERROR(IF(VLOOKUP($F739,Dim_Analyst!$A:$C,3,0)="Yes","Yes","No"),"No"))</f>
        <v/>
      </c>
    </row>
    <row r="740" customFormat="false" ht="15" hidden="false" customHeight="true" outlineLevel="0" collapsed="false">
      <c r="G740" s="4" t="str">
        <f aca="false">IF($D740="","",$A740&amp;"|"&amp;$B740&amp;"|"&amp;$C740&amp;"|"&amp;$D740)</f>
        <v/>
      </c>
      <c r="H740" s="4" t="str">
        <f aca="false">IF($D740="","",$G740&amp;"|"&amp;TEXT($E740,"0.000000"))</f>
        <v/>
      </c>
      <c r="I740" s="29" t="str">
        <f aca="false">IF($D740="","",IF(ISNUMBER($E740),FLOOR(($E740-$B740)*24,1),""))</f>
        <v/>
      </c>
      <c r="J740" s="10" t="str">
        <f aca="false">IF($D740="","",IFERROR(IF(VLOOKUP($F740,Dim_Analyst!$A:$C,3,0)="Yes","Yes","No"),"No"))</f>
        <v/>
      </c>
    </row>
    <row r="741" customFormat="false" ht="15" hidden="false" customHeight="true" outlineLevel="0" collapsed="false">
      <c r="G741" s="4" t="str">
        <f aca="false">IF($D741="","",$A741&amp;"|"&amp;$B741&amp;"|"&amp;$C741&amp;"|"&amp;$D741)</f>
        <v/>
      </c>
      <c r="H741" s="4" t="str">
        <f aca="false">IF($D741="","",$G741&amp;"|"&amp;TEXT($E741,"0.000000"))</f>
        <v/>
      </c>
      <c r="I741" s="29" t="str">
        <f aca="false">IF($D741="","",IF(ISNUMBER($E741),FLOOR(($E741-$B741)*24,1),""))</f>
        <v/>
      </c>
      <c r="J741" s="10" t="str">
        <f aca="false">IF($D741="","",IFERROR(IF(VLOOKUP($F741,Dim_Analyst!$A:$C,3,0)="Yes","Yes","No"),"No"))</f>
        <v/>
      </c>
    </row>
    <row r="742" customFormat="false" ht="15" hidden="false" customHeight="true" outlineLevel="0" collapsed="false">
      <c r="G742" s="4" t="str">
        <f aca="false">IF($D742="","",$A742&amp;"|"&amp;$B742&amp;"|"&amp;$C742&amp;"|"&amp;$D742)</f>
        <v/>
      </c>
      <c r="H742" s="4" t="str">
        <f aca="false">IF($D742="","",$G742&amp;"|"&amp;TEXT($E742,"0.000000"))</f>
        <v/>
      </c>
      <c r="I742" s="29" t="str">
        <f aca="false">IF($D742="","",IF(ISNUMBER($E742),FLOOR(($E742-$B742)*24,1),""))</f>
        <v/>
      </c>
      <c r="J742" s="10" t="str">
        <f aca="false">IF($D742="","",IFERROR(IF(VLOOKUP($F742,Dim_Analyst!$A:$C,3,0)="Yes","Yes","No"),"No"))</f>
        <v/>
      </c>
    </row>
    <row r="743" customFormat="false" ht="15" hidden="false" customHeight="true" outlineLevel="0" collapsed="false">
      <c r="G743" s="4" t="str">
        <f aca="false">IF($D743="","",$A743&amp;"|"&amp;$B743&amp;"|"&amp;$C743&amp;"|"&amp;$D743)</f>
        <v/>
      </c>
      <c r="H743" s="4" t="str">
        <f aca="false">IF($D743="","",$G743&amp;"|"&amp;TEXT($E743,"0.000000"))</f>
        <v/>
      </c>
      <c r="I743" s="29" t="str">
        <f aca="false">IF($D743="","",IF(ISNUMBER($E743),FLOOR(($E743-$B743)*24,1),""))</f>
        <v/>
      </c>
      <c r="J743" s="10" t="str">
        <f aca="false">IF($D743="","",IFERROR(IF(VLOOKUP($F743,Dim_Analyst!$A:$C,3,0)="Yes","Yes","No"),"No"))</f>
        <v/>
      </c>
    </row>
    <row r="744" customFormat="false" ht="15" hidden="false" customHeight="true" outlineLevel="0" collapsed="false">
      <c r="G744" s="4" t="str">
        <f aca="false">IF($D744="","",$A744&amp;"|"&amp;$B744&amp;"|"&amp;$C744&amp;"|"&amp;$D744)</f>
        <v/>
      </c>
      <c r="H744" s="4" t="str">
        <f aca="false">IF($D744="","",$G744&amp;"|"&amp;TEXT($E744,"0.000000"))</f>
        <v/>
      </c>
      <c r="I744" s="29" t="str">
        <f aca="false">IF($D744="","",IF(ISNUMBER($E744),FLOOR(($E744-$B744)*24,1),""))</f>
        <v/>
      </c>
      <c r="J744" s="10" t="str">
        <f aca="false">IF($D744="","",IFERROR(IF(VLOOKUP($F744,Dim_Analyst!$A:$C,3,0)="Yes","Yes","No"),"No"))</f>
        <v/>
      </c>
    </row>
    <row r="745" customFormat="false" ht="15" hidden="false" customHeight="true" outlineLevel="0" collapsed="false">
      <c r="G745" s="4" t="str">
        <f aca="false">IF($D745="","",$A745&amp;"|"&amp;$B745&amp;"|"&amp;$C745&amp;"|"&amp;$D745)</f>
        <v/>
      </c>
      <c r="H745" s="4" t="str">
        <f aca="false">IF($D745="","",$G745&amp;"|"&amp;TEXT($E745,"0.000000"))</f>
        <v/>
      </c>
      <c r="I745" s="29" t="str">
        <f aca="false">IF($D745="","",IF(ISNUMBER($E745),FLOOR(($E745-$B745)*24,1),""))</f>
        <v/>
      </c>
      <c r="J745" s="10" t="str">
        <f aca="false">IF($D745="","",IFERROR(IF(VLOOKUP($F745,Dim_Analyst!$A:$C,3,0)="Yes","Yes","No"),"No"))</f>
        <v/>
      </c>
    </row>
    <row r="746" customFormat="false" ht="15" hidden="false" customHeight="true" outlineLevel="0" collapsed="false">
      <c r="G746" s="4" t="str">
        <f aca="false">IF($D746="","",$A746&amp;"|"&amp;$B746&amp;"|"&amp;$C746&amp;"|"&amp;$D746)</f>
        <v/>
      </c>
      <c r="H746" s="4" t="str">
        <f aca="false">IF($D746="","",$G746&amp;"|"&amp;TEXT($E746,"0.000000"))</f>
        <v/>
      </c>
      <c r="I746" s="29" t="str">
        <f aca="false">IF($D746="","",IF(ISNUMBER($E746),FLOOR(($E746-$B746)*24,1),""))</f>
        <v/>
      </c>
      <c r="J746" s="10" t="str">
        <f aca="false">IF($D746="","",IFERROR(IF(VLOOKUP($F746,Dim_Analyst!$A:$C,3,0)="Yes","Yes","No"),"No"))</f>
        <v/>
      </c>
    </row>
    <row r="747" customFormat="false" ht="15" hidden="false" customHeight="true" outlineLevel="0" collapsed="false">
      <c r="G747" s="4" t="str">
        <f aca="false">IF($D747="","",$A747&amp;"|"&amp;$B747&amp;"|"&amp;$C747&amp;"|"&amp;$D747)</f>
        <v/>
      </c>
      <c r="H747" s="4" t="str">
        <f aca="false">IF($D747="","",$G747&amp;"|"&amp;TEXT($E747,"0.000000"))</f>
        <v/>
      </c>
      <c r="I747" s="29" t="str">
        <f aca="false">IF($D747="","",IF(ISNUMBER($E747),FLOOR(($E747-$B747)*24,1),""))</f>
        <v/>
      </c>
      <c r="J747" s="10" t="str">
        <f aca="false">IF($D747="","",IFERROR(IF(VLOOKUP($F747,Dim_Analyst!$A:$C,3,0)="Yes","Yes","No"),"No"))</f>
        <v/>
      </c>
    </row>
    <row r="748" customFormat="false" ht="15" hidden="false" customHeight="true" outlineLevel="0" collapsed="false">
      <c r="G748" s="4" t="str">
        <f aca="false">IF($D748="","",$A748&amp;"|"&amp;$B748&amp;"|"&amp;$C748&amp;"|"&amp;$D748)</f>
        <v/>
      </c>
      <c r="H748" s="4" t="str">
        <f aca="false">IF($D748="","",$G748&amp;"|"&amp;TEXT($E748,"0.000000"))</f>
        <v/>
      </c>
      <c r="I748" s="29" t="str">
        <f aca="false">IF($D748="","",IF(ISNUMBER($E748),FLOOR(($E748-$B748)*24,1),""))</f>
        <v/>
      </c>
      <c r="J748" s="10" t="str">
        <f aca="false">IF($D748="","",IFERROR(IF(VLOOKUP($F748,Dim_Analyst!$A:$C,3,0)="Yes","Yes","No"),"No"))</f>
        <v/>
      </c>
    </row>
    <row r="749" customFormat="false" ht="15" hidden="false" customHeight="true" outlineLevel="0" collapsed="false">
      <c r="G749" s="4" t="str">
        <f aca="false">IF($D749="","",$A749&amp;"|"&amp;$B749&amp;"|"&amp;$C749&amp;"|"&amp;$D749)</f>
        <v/>
      </c>
      <c r="H749" s="4" t="str">
        <f aca="false">IF($D749="","",$G749&amp;"|"&amp;TEXT($E749,"0.000000"))</f>
        <v/>
      </c>
      <c r="I749" s="29" t="str">
        <f aca="false">IF($D749="","",IF(ISNUMBER($E749),FLOOR(($E749-$B749)*24,1),""))</f>
        <v/>
      </c>
      <c r="J749" s="10" t="str">
        <f aca="false">IF($D749="","",IFERROR(IF(VLOOKUP($F749,Dim_Analyst!$A:$C,3,0)="Yes","Yes","No"),"No"))</f>
        <v/>
      </c>
    </row>
    <row r="750" customFormat="false" ht="15" hidden="false" customHeight="true" outlineLevel="0" collapsed="false">
      <c r="G750" s="4" t="str">
        <f aca="false">IF($D750="","",$A750&amp;"|"&amp;$B750&amp;"|"&amp;$C750&amp;"|"&amp;$D750)</f>
        <v/>
      </c>
      <c r="H750" s="4" t="str">
        <f aca="false">IF($D750="","",$G750&amp;"|"&amp;TEXT($E750,"0.000000"))</f>
        <v/>
      </c>
      <c r="I750" s="29" t="str">
        <f aca="false">IF($D750="","",IF(ISNUMBER($E750),FLOOR(($E750-$B750)*24,1),""))</f>
        <v/>
      </c>
      <c r="J750" s="10" t="str">
        <f aca="false">IF($D750="","",IFERROR(IF(VLOOKUP($F750,Dim_Analyst!$A:$C,3,0)="Yes","Yes","No"),"No"))</f>
        <v/>
      </c>
    </row>
    <row r="751" customFormat="false" ht="15" hidden="false" customHeight="true" outlineLevel="0" collapsed="false">
      <c r="G751" s="4" t="str">
        <f aca="false">IF($D751="","",$A751&amp;"|"&amp;$B751&amp;"|"&amp;$C751&amp;"|"&amp;$D751)</f>
        <v/>
      </c>
      <c r="H751" s="4" t="str">
        <f aca="false">IF($D751="","",$G751&amp;"|"&amp;TEXT($E751,"0.000000"))</f>
        <v/>
      </c>
      <c r="I751" s="29" t="str">
        <f aca="false">IF($D751="","",IF(ISNUMBER($E751),FLOOR(($E751-$B751)*24,1),""))</f>
        <v/>
      </c>
      <c r="J751" s="10" t="str">
        <f aca="false">IF($D751="","",IFERROR(IF(VLOOKUP($F751,Dim_Analyst!$A:$C,3,0)="Yes","Yes","No"),"No"))</f>
        <v/>
      </c>
    </row>
    <row r="752" customFormat="false" ht="15" hidden="false" customHeight="true" outlineLevel="0" collapsed="false">
      <c r="G752" s="4" t="str">
        <f aca="false">IF($D752="","",$A752&amp;"|"&amp;$B752&amp;"|"&amp;$C752&amp;"|"&amp;$D752)</f>
        <v/>
      </c>
      <c r="H752" s="4" t="str">
        <f aca="false">IF($D752="","",$G752&amp;"|"&amp;TEXT($E752,"0.000000"))</f>
        <v/>
      </c>
      <c r="I752" s="29" t="str">
        <f aca="false">IF($D752="","",IF(ISNUMBER($E752),FLOOR(($E752-$B752)*24,1),""))</f>
        <v/>
      </c>
      <c r="J752" s="10" t="str">
        <f aca="false">IF($D752="","",IFERROR(IF(VLOOKUP($F752,Dim_Analyst!$A:$C,3,0)="Yes","Yes","No"),"No"))</f>
        <v/>
      </c>
    </row>
    <row r="753" customFormat="false" ht="15" hidden="false" customHeight="true" outlineLevel="0" collapsed="false">
      <c r="G753" s="4" t="str">
        <f aca="false">IF($D753="","",$A753&amp;"|"&amp;$B753&amp;"|"&amp;$C753&amp;"|"&amp;$D753)</f>
        <v/>
      </c>
      <c r="H753" s="4" t="str">
        <f aca="false">IF($D753="","",$G753&amp;"|"&amp;TEXT($E753,"0.000000"))</f>
        <v/>
      </c>
      <c r="I753" s="29" t="str">
        <f aca="false">IF($D753="","",IF(ISNUMBER($E753),FLOOR(($E753-$B753)*24,1),""))</f>
        <v/>
      </c>
      <c r="J753" s="10" t="str">
        <f aca="false">IF($D753="","",IFERROR(IF(VLOOKUP($F753,Dim_Analyst!$A:$C,3,0)="Yes","Yes","No"),"No"))</f>
        <v/>
      </c>
    </row>
    <row r="754" customFormat="false" ht="15" hidden="false" customHeight="true" outlineLevel="0" collapsed="false">
      <c r="G754" s="4" t="str">
        <f aca="false">IF($D754="","",$A754&amp;"|"&amp;$B754&amp;"|"&amp;$C754&amp;"|"&amp;$D754)</f>
        <v/>
      </c>
      <c r="H754" s="4" t="str">
        <f aca="false">IF($D754="","",$G754&amp;"|"&amp;TEXT($E754,"0.000000"))</f>
        <v/>
      </c>
      <c r="I754" s="29" t="str">
        <f aca="false">IF($D754="","",IF(ISNUMBER($E754),FLOOR(($E754-$B754)*24,1),""))</f>
        <v/>
      </c>
      <c r="J754" s="10" t="str">
        <f aca="false">IF($D754="","",IFERROR(IF(VLOOKUP($F754,Dim_Analyst!$A:$C,3,0)="Yes","Yes","No"),"No"))</f>
        <v/>
      </c>
    </row>
    <row r="755" customFormat="false" ht="15" hidden="false" customHeight="true" outlineLevel="0" collapsed="false">
      <c r="G755" s="4" t="str">
        <f aca="false">IF($D755="","",$A755&amp;"|"&amp;$B755&amp;"|"&amp;$C755&amp;"|"&amp;$D755)</f>
        <v/>
      </c>
      <c r="H755" s="4" t="str">
        <f aca="false">IF($D755="","",$G755&amp;"|"&amp;TEXT($E755,"0.000000"))</f>
        <v/>
      </c>
      <c r="I755" s="29" t="str">
        <f aca="false">IF($D755="","",IF(ISNUMBER($E755),FLOOR(($E755-$B755)*24,1),""))</f>
        <v/>
      </c>
      <c r="J755" s="10" t="str">
        <f aca="false">IF($D755="","",IFERROR(IF(VLOOKUP($F755,Dim_Analyst!$A:$C,3,0)="Yes","Yes","No"),"No"))</f>
        <v/>
      </c>
    </row>
    <row r="756" customFormat="false" ht="15" hidden="false" customHeight="true" outlineLevel="0" collapsed="false">
      <c r="G756" s="4" t="str">
        <f aca="false">IF($D756="","",$A756&amp;"|"&amp;$B756&amp;"|"&amp;$C756&amp;"|"&amp;$D756)</f>
        <v/>
      </c>
      <c r="H756" s="4" t="str">
        <f aca="false">IF($D756="","",$G756&amp;"|"&amp;TEXT($E756,"0.000000"))</f>
        <v/>
      </c>
      <c r="I756" s="29" t="str">
        <f aca="false">IF($D756="","",IF(ISNUMBER($E756),FLOOR(($E756-$B756)*24,1),""))</f>
        <v/>
      </c>
      <c r="J756" s="10" t="str">
        <f aca="false">IF($D756="","",IFERROR(IF(VLOOKUP($F756,Dim_Analyst!$A:$C,3,0)="Yes","Yes","No"),"No"))</f>
        <v/>
      </c>
    </row>
    <row r="757" customFormat="false" ht="15" hidden="false" customHeight="true" outlineLevel="0" collapsed="false">
      <c r="G757" s="4" t="str">
        <f aca="false">IF($D757="","",$A757&amp;"|"&amp;$B757&amp;"|"&amp;$C757&amp;"|"&amp;$D757)</f>
        <v/>
      </c>
      <c r="H757" s="4" t="str">
        <f aca="false">IF($D757="","",$G757&amp;"|"&amp;TEXT($E757,"0.000000"))</f>
        <v/>
      </c>
      <c r="I757" s="29" t="str">
        <f aca="false">IF($D757="","",IF(ISNUMBER($E757),FLOOR(($E757-$B757)*24,1),""))</f>
        <v/>
      </c>
      <c r="J757" s="10" t="str">
        <f aca="false">IF($D757="","",IFERROR(IF(VLOOKUP($F757,Dim_Analyst!$A:$C,3,0)="Yes","Yes","No"),"No"))</f>
        <v/>
      </c>
    </row>
    <row r="758" customFormat="false" ht="15" hidden="false" customHeight="true" outlineLevel="0" collapsed="false">
      <c r="G758" s="4" t="str">
        <f aca="false">IF($D758="","",$A758&amp;"|"&amp;$B758&amp;"|"&amp;$C758&amp;"|"&amp;$D758)</f>
        <v/>
      </c>
      <c r="H758" s="4" t="str">
        <f aca="false">IF($D758="","",$G758&amp;"|"&amp;TEXT($E758,"0.000000"))</f>
        <v/>
      </c>
      <c r="I758" s="29" t="str">
        <f aca="false">IF($D758="","",IF(ISNUMBER($E758),FLOOR(($E758-$B758)*24,1),""))</f>
        <v/>
      </c>
      <c r="J758" s="10" t="str">
        <f aca="false">IF($D758="","",IFERROR(IF(VLOOKUP($F758,Dim_Analyst!$A:$C,3,0)="Yes","Yes","No"),"No"))</f>
        <v/>
      </c>
    </row>
    <row r="759" customFormat="false" ht="15" hidden="false" customHeight="true" outlineLevel="0" collapsed="false">
      <c r="G759" s="4" t="str">
        <f aca="false">IF($D759="","",$A759&amp;"|"&amp;$B759&amp;"|"&amp;$C759&amp;"|"&amp;$D759)</f>
        <v/>
      </c>
      <c r="H759" s="4" t="str">
        <f aca="false">IF($D759="","",$G759&amp;"|"&amp;TEXT($E759,"0.000000"))</f>
        <v/>
      </c>
      <c r="I759" s="29" t="str">
        <f aca="false">IF($D759="","",IF(ISNUMBER($E759),FLOOR(($E759-$B759)*24,1),""))</f>
        <v/>
      </c>
      <c r="J759" s="10" t="str">
        <f aca="false">IF($D759="","",IFERROR(IF(VLOOKUP($F759,Dim_Analyst!$A:$C,3,0)="Yes","Yes","No"),"No"))</f>
        <v/>
      </c>
    </row>
    <row r="760" customFormat="false" ht="15" hidden="false" customHeight="true" outlineLevel="0" collapsed="false">
      <c r="G760" s="4" t="str">
        <f aca="false">IF($D760="","",$A760&amp;"|"&amp;$B760&amp;"|"&amp;$C760&amp;"|"&amp;$D760)</f>
        <v/>
      </c>
      <c r="H760" s="4" t="str">
        <f aca="false">IF($D760="","",$G760&amp;"|"&amp;TEXT($E760,"0.000000"))</f>
        <v/>
      </c>
      <c r="I760" s="29" t="str">
        <f aca="false">IF($D760="","",IF(ISNUMBER($E760),FLOOR(($E760-$B760)*24,1),""))</f>
        <v/>
      </c>
      <c r="J760" s="10" t="str">
        <f aca="false">IF($D760="","",IFERROR(IF(VLOOKUP($F760,Dim_Analyst!$A:$C,3,0)="Yes","Yes","No"),"No"))</f>
        <v/>
      </c>
    </row>
    <row r="761" customFormat="false" ht="15" hidden="false" customHeight="true" outlineLevel="0" collapsed="false">
      <c r="G761" s="4" t="str">
        <f aca="false">IF($D761="","",$A761&amp;"|"&amp;$B761&amp;"|"&amp;$C761&amp;"|"&amp;$D761)</f>
        <v/>
      </c>
      <c r="H761" s="4" t="str">
        <f aca="false">IF($D761="","",$G761&amp;"|"&amp;TEXT($E761,"0.000000"))</f>
        <v/>
      </c>
      <c r="I761" s="29" t="str">
        <f aca="false">IF($D761="","",IF(ISNUMBER($E761),FLOOR(($E761-$B761)*24,1),""))</f>
        <v/>
      </c>
      <c r="J761" s="10" t="str">
        <f aca="false">IF($D761="","",IFERROR(IF(VLOOKUP($F761,Dim_Analyst!$A:$C,3,0)="Yes","Yes","No"),"No"))</f>
        <v/>
      </c>
    </row>
    <row r="762" customFormat="false" ht="15" hidden="false" customHeight="true" outlineLevel="0" collapsed="false">
      <c r="G762" s="4" t="str">
        <f aca="false">IF($D762="","",$A762&amp;"|"&amp;$B762&amp;"|"&amp;$C762&amp;"|"&amp;$D762)</f>
        <v/>
      </c>
      <c r="H762" s="4" t="str">
        <f aca="false">IF($D762="","",$G762&amp;"|"&amp;TEXT($E762,"0.000000"))</f>
        <v/>
      </c>
      <c r="I762" s="29" t="str">
        <f aca="false">IF($D762="","",IF(ISNUMBER($E762),FLOOR(($E762-$B762)*24,1),""))</f>
        <v/>
      </c>
      <c r="J762" s="10" t="str">
        <f aca="false">IF($D762="","",IFERROR(IF(VLOOKUP($F762,Dim_Analyst!$A:$C,3,0)="Yes","Yes","No"),"No"))</f>
        <v/>
      </c>
    </row>
    <row r="763" customFormat="false" ht="15" hidden="false" customHeight="true" outlineLevel="0" collapsed="false">
      <c r="G763" s="4" t="str">
        <f aca="false">IF($D763="","",$A763&amp;"|"&amp;$B763&amp;"|"&amp;$C763&amp;"|"&amp;$D763)</f>
        <v/>
      </c>
      <c r="H763" s="4" t="str">
        <f aca="false">IF($D763="","",$G763&amp;"|"&amp;TEXT($E763,"0.000000"))</f>
        <v/>
      </c>
      <c r="I763" s="29" t="str">
        <f aca="false">IF($D763="","",IF(ISNUMBER($E763),FLOOR(($E763-$B763)*24,1),""))</f>
        <v/>
      </c>
      <c r="J763" s="10" t="str">
        <f aca="false">IF($D763="","",IFERROR(IF(VLOOKUP($F763,Dim_Analyst!$A:$C,3,0)="Yes","Yes","No"),"No"))</f>
        <v/>
      </c>
    </row>
    <row r="764" customFormat="false" ht="15" hidden="false" customHeight="true" outlineLevel="0" collapsed="false">
      <c r="G764" s="4" t="str">
        <f aca="false">IF($D764="","",$A764&amp;"|"&amp;$B764&amp;"|"&amp;$C764&amp;"|"&amp;$D764)</f>
        <v/>
      </c>
      <c r="H764" s="4" t="str">
        <f aca="false">IF($D764="","",$G764&amp;"|"&amp;TEXT($E764,"0.000000"))</f>
        <v/>
      </c>
      <c r="I764" s="29" t="str">
        <f aca="false">IF($D764="","",IF(ISNUMBER($E764),FLOOR(($E764-$B764)*24,1),""))</f>
        <v/>
      </c>
      <c r="J764" s="10" t="str">
        <f aca="false">IF($D764="","",IFERROR(IF(VLOOKUP($F764,Dim_Analyst!$A:$C,3,0)="Yes","Yes","No"),"No"))</f>
        <v/>
      </c>
    </row>
    <row r="765" customFormat="false" ht="15" hidden="false" customHeight="true" outlineLevel="0" collapsed="false">
      <c r="G765" s="4" t="str">
        <f aca="false">IF($D765="","",$A765&amp;"|"&amp;$B765&amp;"|"&amp;$C765&amp;"|"&amp;$D765)</f>
        <v/>
      </c>
      <c r="H765" s="4" t="str">
        <f aca="false">IF($D765="","",$G765&amp;"|"&amp;TEXT($E765,"0.000000"))</f>
        <v/>
      </c>
      <c r="I765" s="29" t="str">
        <f aca="false">IF($D765="","",IF(ISNUMBER($E765),FLOOR(($E765-$B765)*24,1),""))</f>
        <v/>
      </c>
      <c r="J765" s="10" t="str">
        <f aca="false">IF($D765="","",IFERROR(IF(VLOOKUP($F765,Dim_Analyst!$A:$C,3,0)="Yes","Yes","No"),"No"))</f>
        <v/>
      </c>
    </row>
    <row r="766" customFormat="false" ht="15" hidden="false" customHeight="true" outlineLevel="0" collapsed="false">
      <c r="G766" s="4" t="str">
        <f aca="false">IF($D766="","",$A766&amp;"|"&amp;$B766&amp;"|"&amp;$C766&amp;"|"&amp;$D766)</f>
        <v/>
      </c>
      <c r="H766" s="4" t="str">
        <f aca="false">IF($D766="","",$G766&amp;"|"&amp;TEXT($E766,"0.000000"))</f>
        <v/>
      </c>
      <c r="I766" s="29" t="str">
        <f aca="false">IF($D766="","",IF(ISNUMBER($E766),FLOOR(($E766-$B766)*24,1),""))</f>
        <v/>
      </c>
      <c r="J766" s="10" t="str">
        <f aca="false">IF($D766="","",IFERROR(IF(VLOOKUP($F766,Dim_Analyst!$A:$C,3,0)="Yes","Yes","No"),"No"))</f>
        <v/>
      </c>
    </row>
    <row r="767" customFormat="false" ht="15" hidden="false" customHeight="true" outlineLevel="0" collapsed="false">
      <c r="G767" s="4" t="str">
        <f aca="false">IF($D767="","",$A767&amp;"|"&amp;$B767&amp;"|"&amp;$C767&amp;"|"&amp;$D767)</f>
        <v/>
      </c>
      <c r="H767" s="4" t="str">
        <f aca="false">IF($D767="","",$G767&amp;"|"&amp;TEXT($E767,"0.000000"))</f>
        <v/>
      </c>
      <c r="I767" s="29" t="str">
        <f aca="false">IF($D767="","",IF(ISNUMBER($E767),FLOOR(($E767-$B767)*24,1),""))</f>
        <v/>
      </c>
      <c r="J767" s="10" t="str">
        <f aca="false">IF($D767="","",IFERROR(IF(VLOOKUP($F767,Dim_Analyst!$A:$C,3,0)="Yes","Yes","No"),"No"))</f>
        <v/>
      </c>
    </row>
    <row r="768" customFormat="false" ht="15" hidden="false" customHeight="true" outlineLevel="0" collapsed="false">
      <c r="G768" s="4" t="str">
        <f aca="false">IF($D768="","",$A768&amp;"|"&amp;$B768&amp;"|"&amp;$C768&amp;"|"&amp;$D768)</f>
        <v/>
      </c>
      <c r="H768" s="4" t="str">
        <f aca="false">IF($D768="","",$G768&amp;"|"&amp;TEXT($E768,"0.000000"))</f>
        <v/>
      </c>
      <c r="I768" s="29" t="str">
        <f aca="false">IF($D768="","",IF(ISNUMBER($E768),FLOOR(($E768-$B768)*24,1),""))</f>
        <v/>
      </c>
      <c r="J768" s="10" t="str">
        <f aca="false">IF($D768="","",IFERROR(IF(VLOOKUP($F768,Dim_Analyst!$A:$C,3,0)="Yes","Yes","No"),"No"))</f>
        <v/>
      </c>
    </row>
    <row r="769" customFormat="false" ht="15" hidden="false" customHeight="true" outlineLevel="0" collapsed="false">
      <c r="G769" s="4" t="str">
        <f aca="false">IF($D769="","",$A769&amp;"|"&amp;$B769&amp;"|"&amp;$C769&amp;"|"&amp;$D769)</f>
        <v/>
      </c>
      <c r="H769" s="4" t="str">
        <f aca="false">IF($D769="","",$G769&amp;"|"&amp;TEXT($E769,"0.000000"))</f>
        <v/>
      </c>
      <c r="I769" s="29" t="str">
        <f aca="false">IF($D769="","",IF(ISNUMBER($E769),FLOOR(($E769-$B769)*24,1),""))</f>
        <v/>
      </c>
      <c r="J769" s="10" t="str">
        <f aca="false">IF($D769="","",IFERROR(IF(VLOOKUP($F769,Dim_Analyst!$A:$C,3,0)="Yes","Yes","No"),"No"))</f>
        <v/>
      </c>
    </row>
    <row r="770" customFormat="false" ht="15" hidden="false" customHeight="true" outlineLevel="0" collapsed="false">
      <c r="G770" s="4" t="str">
        <f aca="false">IF($D770="","",$A770&amp;"|"&amp;$B770&amp;"|"&amp;$C770&amp;"|"&amp;$D770)</f>
        <v/>
      </c>
      <c r="H770" s="4" t="str">
        <f aca="false">IF($D770="","",$G770&amp;"|"&amp;TEXT($E770,"0.000000"))</f>
        <v/>
      </c>
      <c r="I770" s="29" t="str">
        <f aca="false">IF($D770="","",IF(ISNUMBER($E770),FLOOR(($E770-$B770)*24,1),""))</f>
        <v/>
      </c>
      <c r="J770" s="10" t="str">
        <f aca="false">IF($D770="","",IFERROR(IF(VLOOKUP($F770,Dim_Analyst!$A:$C,3,0)="Yes","Yes","No"),"No"))</f>
        <v/>
      </c>
    </row>
    <row r="771" customFormat="false" ht="15" hidden="false" customHeight="true" outlineLevel="0" collapsed="false">
      <c r="G771" s="4" t="str">
        <f aca="false">IF($D771="","",$A771&amp;"|"&amp;$B771&amp;"|"&amp;$C771&amp;"|"&amp;$D771)</f>
        <v/>
      </c>
      <c r="H771" s="4" t="str">
        <f aca="false">IF($D771="","",$G771&amp;"|"&amp;TEXT($E771,"0.000000"))</f>
        <v/>
      </c>
      <c r="I771" s="29" t="str">
        <f aca="false">IF($D771="","",IF(ISNUMBER($E771),FLOOR(($E771-$B771)*24,1),""))</f>
        <v/>
      </c>
      <c r="J771" s="10" t="str">
        <f aca="false">IF($D771="","",IFERROR(IF(VLOOKUP($F771,Dim_Analyst!$A:$C,3,0)="Yes","Yes","No"),"No"))</f>
        <v/>
      </c>
    </row>
    <row r="772" customFormat="false" ht="15" hidden="false" customHeight="true" outlineLevel="0" collapsed="false">
      <c r="G772" s="4" t="str">
        <f aca="false">IF($D772="","",$A772&amp;"|"&amp;$B772&amp;"|"&amp;$C772&amp;"|"&amp;$D772)</f>
        <v/>
      </c>
      <c r="H772" s="4" t="str">
        <f aca="false">IF($D772="","",$G772&amp;"|"&amp;TEXT($E772,"0.000000"))</f>
        <v/>
      </c>
      <c r="I772" s="29" t="str">
        <f aca="false">IF($D772="","",IF(ISNUMBER($E772),FLOOR(($E772-$B772)*24,1),""))</f>
        <v/>
      </c>
      <c r="J772" s="10" t="str">
        <f aca="false">IF($D772="","",IFERROR(IF(VLOOKUP($F772,Dim_Analyst!$A:$C,3,0)="Yes","Yes","No"),"No"))</f>
        <v/>
      </c>
    </row>
    <row r="773" customFormat="false" ht="15" hidden="false" customHeight="true" outlineLevel="0" collapsed="false">
      <c r="G773" s="4" t="str">
        <f aca="false">IF($D773="","",$A773&amp;"|"&amp;$B773&amp;"|"&amp;$C773&amp;"|"&amp;$D773)</f>
        <v/>
      </c>
      <c r="H773" s="4" t="str">
        <f aca="false">IF($D773="","",$G773&amp;"|"&amp;TEXT($E773,"0.000000"))</f>
        <v/>
      </c>
      <c r="I773" s="29" t="str">
        <f aca="false">IF($D773="","",IF(ISNUMBER($E773),FLOOR(($E773-$B773)*24,1),""))</f>
        <v/>
      </c>
      <c r="J773" s="10" t="str">
        <f aca="false">IF($D773="","",IFERROR(IF(VLOOKUP($F773,Dim_Analyst!$A:$C,3,0)="Yes","Yes","No"),"No"))</f>
        <v/>
      </c>
    </row>
    <row r="774" customFormat="false" ht="15" hidden="false" customHeight="true" outlineLevel="0" collapsed="false">
      <c r="G774" s="4" t="str">
        <f aca="false">IF($D774="","",$A774&amp;"|"&amp;$B774&amp;"|"&amp;$C774&amp;"|"&amp;$D774)</f>
        <v/>
      </c>
      <c r="H774" s="4" t="str">
        <f aca="false">IF($D774="","",$G774&amp;"|"&amp;TEXT($E774,"0.000000"))</f>
        <v/>
      </c>
      <c r="I774" s="29" t="str">
        <f aca="false">IF($D774="","",IF(ISNUMBER($E774),FLOOR(($E774-$B774)*24,1),""))</f>
        <v/>
      </c>
      <c r="J774" s="10" t="str">
        <f aca="false">IF($D774="","",IFERROR(IF(VLOOKUP($F774,Dim_Analyst!$A:$C,3,0)="Yes","Yes","No"),"No"))</f>
        <v/>
      </c>
    </row>
    <row r="775" customFormat="false" ht="15" hidden="false" customHeight="true" outlineLevel="0" collapsed="false">
      <c r="G775" s="4" t="str">
        <f aca="false">IF($D775="","",$A775&amp;"|"&amp;$B775&amp;"|"&amp;$C775&amp;"|"&amp;$D775)</f>
        <v/>
      </c>
      <c r="H775" s="4" t="str">
        <f aca="false">IF($D775="","",$G775&amp;"|"&amp;TEXT($E775,"0.000000"))</f>
        <v/>
      </c>
      <c r="I775" s="29" t="str">
        <f aca="false">IF($D775="","",IF(ISNUMBER($E775),FLOOR(($E775-$B775)*24,1),""))</f>
        <v/>
      </c>
      <c r="J775" s="10" t="str">
        <f aca="false">IF($D775="","",IFERROR(IF(VLOOKUP($F775,Dim_Analyst!$A:$C,3,0)="Yes","Yes","No"),"No"))</f>
        <v/>
      </c>
    </row>
    <row r="776" customFormat="false" ht="15" hidden="false" customHeight="true" outlineLevel="0" collapsed="false">
      <c r="G776" s="4" t="str">
        <f aca="false">IF($D776="","",$A776&amp;"|"&amp;$B776&amp;"|"&amp;$C776&amp;"|"&amp;$D776)</f>
        <v/>
      </c>
      <c r="H776" s="4" t="str">
        <f aca="false">IF($D776="","",$G776&amp;"|"&amp;TEXT($E776,"0.000000"))</f>
        <v/>
      </c>
      <c r="I776" s="29" t="str">
        <f aca="false">IF($D776="","",IF(ISNUMBER($E776),FLOOR(($E776-$B776)*24,1),""))</f>
        <v/>
      </c>
      <c r="J776" s="10" t="str">
        <f aca="false">IF($D776="","",IFERROR(IF(VLOOKUP($F776,Dim_Analyst!$A:$C,3,0)="Yes","Yes","No"),"No"))</f>
        <v/>
      </c>
    </row>
    <row r="777" customFormat="false" ht="15" hidden="false" customHeight="true" outlineLevel="0" collapsed="false">
      <c r="G777" s="4" t="str">
        <f aca="false">IF($D777="","",$A777&amp;"|"&amp;$B777&amp;"|"&amp;$C777&amp;"|"&amp;$D777)</f>
        <v/>
      </c>
      <c r="H777" s="4" t="str">
        <f aca="false">IF($D777="","",$G777&amp;"|"&amp;TEXT($E777,"0.000000"))</f>
        <v/>
      </c>
      <c r="I777" s="29" t="str">
        <f aca="false">IF($D777="","",IF(ISNUMBER($E777),FLOOR(($E777-$B777)*24,1),""))</f>
        <v/>
      </c>
      <c r="J777" s="10" t="str">
        <f aca="false">IF($D777="","",IFERROR(IF(VLOOKUP($F777,Dim_Analyst!$A:$C,3,0)="Yes","Yes","No"),"No"))</f>
        <v/>
      </c>
    </row>
    <row r="778" customFormat="false" ht="15" hidden="false" customHeight="true" outlineLevel="0" collapsed="false">
      <c r="G778" s="4" t="str">
        <f aca="false">IF($D778="","",$A778&amp;"|"&amp;$B778&amp;"|"&amp;$C778&amp;"|"&amp;$D778)</f>
        <v/>
      </c>
      <c r="H778" s="4" t="str">
        <f aca="false">IF($D778="","",$G778&amp;"|"&amp;TEXT($E778,"0.000000"))</f>
        <v/>
      </c>
      <c r="I778" s="29" t="str">
        <f aca="false">IF($D778="","",IF(ISNUMBER($E778),FLOOR(($E778-$B778)*24,1),""))</f>
        <v/>
      </c>
      <c r="J778" s="10" t="str">
        <f aca="false">IF($D778="","",IFERROR(IF(VLOOKUP($F778,Dim_Analyst!$A:$C,3,0)="Yes","Yes","No"),"No"))</f>
        <v/>
      </c>
    </row>
    <row r="779" customFormat="false" ht="15" hidden="false" customHeight="true" outlineLevel="0" collapsed="false">
      <c r="G779" s="4" t="str">
        <f aca="false">IF($D779="","",$A779&amp;"|"&amp;$B779&amp;"|"&amp;$C779&amp;"|"&amp;$D779)</f>
        <v/>
      </c>
      <c r="H779" s="4" t="str">
        <f aca="false">IF($D779="","",$G779&amp;"|"&amp;TEXT($E779,"0.000000"))</f>
        <v/>
      </c>
      <c r="I779" s="29" t="str">
        <f aca="false">IF($D779="","",IF(ISNUMBER($E779),FLOOR(($E779-$B779)*24,1),""))</f>
        <v/>
      </c>
      <c r="J779" s="10" t="str">
        <f aca="false">IF($D779="","",IFERROR(IF(VLOOKUP($F779,Dim_Analyst!$A:$C,3,0)="Yes","Yes","No"),"No"))</f>
        <v/>
      </c>
    </row>
    <row r="780" customFormat="false" ht="15" hidden="false" customHeight="true" outlineLevel="0" collapsed="false">
      <c r="G780" s="4" t="str">
        <f aca="false">IF($D780="","",$A780&amp;"|"&amp;$B780&amp;"|"&amp;$C780&amp;"|"&amp;$D780)</f>
        <v/>
      </c>
      <c r="H780" s="4" t="str">
        <f aca="false">IF($D780="","",$G780&amp;"|"&amp;TEXT($E780,"0.000000"))</f>
        <v/>
      </c>
      <c r="I780" s="29" t="str">
        <f aca="false">IF($D780="","",IF(ISNUMBER($E780),FLOOR(($E780-$B780)*24,1),""))</f>
        <v/>
      </c>
      <c r="J780" s="10" t="str">
        <f aca="false">IF($D780="","",IFERROR(IF(VLOOKUP($F780,Dim_Analyst!$A:$C,3,0)="Yes","Yes","No"),"No"))</f>
        <v/>
      </c>
    </row>
    <row r="781" customFormat="false" ht="15" hidden="false" customHeight="true" outlineLevel="0" collapsed="false">
      <c r="G781" s="4" t="str">
        <f aca="false">IF($D781="","",$A781&amp;"|"&amp;$B781&amp;"|"&amp;$C781&amp;"|"&amp;$D781)</f>
        <v/>
      </c>
      <c r="H781" s="4" t="str">
        <f aca="false">IF($D781="","",$G781&amp;"|"&amp;TEXT($E781,"0.000000"))</f>
        <v/>
      </c>
      <c r="I781" s="29" t="str">
        <f aca="false">IF($D781="","",IF(ISNUMBER($E781),FLOOR(($E781-$B781)*24,1),""))</f>
        <v/>
      </c>
      <c r="J781" s="10" t="str">
        <f aca="false">IF($D781="","",IFERROR(IF(VLOOKUP($F781,Dim_Analyst!$A:$C,3,0)="Yes","Yes","No"),"No"))</f>
        <v/>
      </c>
    </row>
    <row r="782" customFormat="false" ht="15" hidden="false" customHeight="true" outlineLevel="0" collapsed="false">
      <c r="G782" s="4" t="str">
        <f aca="false">IF($D782="","",$A782&amp;"|"&amp;$B782&amp;"|"&amp;$C782&amp;"|"&amp;$D782)</f>
        <v/>
      </c>
      <c r="H782" s="4" t="str">
        <f aca="false">IF($D782="","",$G782&amp;"|"&amp;TEXT($E782,"0.000000"))</f>
        <v/>
      </c>
      <c r="I782" s="29" t="str">
        <f aca="false">IF($D782="","",IF(ISNUMBER($E782),FLOOR(($E782-$B782)*24,1),""))</f>
        <v/>
      </c>
      <c r="J782" s="10" t="str">
        <f aca="false">IF($D782="","",IFERROR(IF(VLOOKUP($F782,Dim_Analyst!$A:$C,3,0)="Yes","Yes","No"),"No"))</f>
        <v/>
      </c>
    </row>
    <row r="783" customFormat="false" ht="15" hidden="false" customHeight="true" outlineLevel="0" collapsed="false">
      <c r="G783" s="4" t="str">
        <f aca="false">IF($D783="","",$A783&amp;"|"&amp;$B783&amp;"|"&amp;$C783&amp;"|"&amp;$D783)</f>
        <v/>
      </c>
      <c r="H783" s="4" t="str">
        <f aca="false">IF($D783="","",$G783&amp;"|"&amp;TEXT($E783,"0.000000"))</f>
        <v/>
      </c>
      <c r="I783" s="29" t="str">
        <f aca="false">IF($D783="","",IF(ISNUMBER($E783),FLOOR(($E783-$B783)*24,1),""))</f>
        <v/>
      </c>
      <c r="J783" s="10" t="str">
        <f aca="false">IF($D783="","",IFERROR(IF(VLOOKUP($F783,Dim_Analyst!$A:$C,3,0)="Yes","Yes","No"),"No"))</f>
        <v/>
      </c>
    </row>
    <row r="784" customFormat="false" ht="15" hidden="false" customHeight="true" outlineLevel="0" collapsed="false">
      <c r="G784" s="4" t="str">
        <f aca="false">IF($D784="","",$A784&amp;"|"&amp;$B784&amp;"|"&amp;$C784&amp;"|"&amp;$D784)</f>
        <v/>
      </c>
      <c r="H784" s="4" t="str">
        <f aca="false">IF($D784="","",$G784&amp;"|"&amp;TEXT($E784,"0.000000"))</f>
        <v/>
      </c>
      <c r="I784" s="29" t="str">
        <f aca="false">IF($D784="","",IF(ISNUMBER($E784),FLOOR(($E784-$B784)*24,1),""))</f>
        <v/>
      </c>
      <c r="J784" s="10" t="str">
        <f aca="false">IF($D784="","",IFERROR(IF(VLOOKUP($F784,Dim_Analyst!$A:$C,3,0)="Yes","Yes","No"),"No"))</f>
        <v/>
      </c>
    </row>
    <row r="785" customFormat="false" ht="15" hidden="false" customHeight="true" outlineLevel="0" collapsed="false">
      <c r="G785" s="4" t="str">
        <f aca="false">IF($D785="","",$A785&amp;"|"&amp;$B785&amp;"|"&amp;$C785&amp;"|"&amp;$D785)</f>
        <v/>
      </c>
      <c r="H785" s="4" t="str">
        <f aca="false">IF($D785="","",$G785&amp;"|"&amp;TEXT($E785,"0.000000"))</f>
        <v/>
      </c>
      <c r="I785" s="29" t="str">
        <f aca="false">IF($D785="","",IF(ISNUMBER($E785),FLOOR(($E785-$B785)*24,1),""))</f>
        <v/>
      </c>
      <c r="J785" s="10" t="str">
        <f aca="false">IF($D785="","",IFERROR(IF(VLOOKUP($F785,Dim_Analyst!$A:$C,3,0)="Yes","Yes","No"),"No"))</f>
        <v/>
      </c>
    </row>
    <row r="786" customFormat="false" ht="15" hidden="false" customHeight="true" outlineLevel="0" collapsed="false">
      <c r="G786" s="4" t="str">
        <f aca="false">IF($D786="","",$A786&amp;"|"&amp;$B786&amp;"|"&amp;$C786&amp;"|"&amp;$D786)</f>
        <v/>
      </c>
      <c r="H786" s="4" t="str">
        <f aca="false">IF($D786="","",$G786&amp;"|"&amp;TEXT($E786,"0.000000"))</f>
        <v/>
      </c>
      <c r="I786" s="29" t="str">
        <f aca="false">IF($D786="","",IF(ISNUMBER($E786),FLOOR(($E786-$B786)*24,1),""))</f>
        <v/>
      </c>
      <c r="J786" s="10" t="str">
        <f aca="false">IF($D786="","",IFERROR(IF(VLOOKUP($F786,Dim_Analyst!$A:$C,3,0)="Yes","Yes","No"),"No"))</f>
        <v/>
      </c>
    </row>
    <row r="787" customFormat="false" ht="15" hidden="false" customHeight="true" outlineLevel="0" collapsed="false">
      <c r="G787" s="4" t="str">
        <f aca="false">IF($D787="","",$A787&amp;"|"&amp;$B787&amp;"|"&amp;$C787&amp;"|"&amp;$D787)</f>
        <v/>
      </c>
      <c r="H787" s="4" t="str">
        <f aca="false">IF($D787="","",$G787&amp;"|"&amp;TEXT($E787,"0.000000"))</f>
        <v/>
      </c>
      <c r="I787" s="29" t="str">
        <f aca="false">IF($D787="","",IF(ISNUMBER($E787),FLOOR(($E787-$B787)*24,1),""))</f>
        <v/>
      </c>
      <c r="J787" s="10" t="str">
        <f aca="false">IF($D787="","",IFERROR(IF(VLOOKUP($F787,Dim_Analyst!$A:$C,3,0)="Yes","Yes","No"),"No"))</f>
        <v/>
      </c>
    </row>
    <row r="788" customFormat="false" ht="15" hidden="false" customHeight="true" outlineLevel="0" collapsed="false">
      <c r="G788" s="4" t="str">
        <f aca="false">IF($D788="","",$A788&amp;"|"&amp;$B788&amp;"|"&amp;$C788&amp;"|"&amp;$D788)</f>
        <v/>
      </c>
      <c r="H788" s="4" t="str">
        <f aca="false">IF($D788="","",$G788&amp;"|"&amp;TEXT($E788,"0.000000"))</f>
        <v/>
      </c>
      <c r="I788" s="29" t="str">
        <f aca="false">IF($D788="","",IF(ISNUMBER($E788),FLOOR(($E788-$B788)*24,1),""))</f>
        <v/>
      </c>
      <c r="J788" s="10" t="str">
        <f aca="false">IF($D788="","",IFERROR(IF(VLOOKUP($F788,Dim_Analyst!$A:$C,3,0)="Yes","Yes","No"),"No"))</f>
        <v/>
      </c>
    </row>
    <row r="789" customFormat="false" ht="15" hidden="false" customHeight="true" outlineLevel="0" collapsed="false">
      <c r="G789" s="4" t="str">
        <f aca="false">IF($D789="","",$A789&amp;"|"&amp;$B789&amp;"|"&amp;$C789&amp;"|"&amp;$D789)</f>
        <v/>
      </c>
      <c r="H789" s="4" t="str">
        <f aca="false">IF($D789="","",$G789&amp;"|"&amp;TEXT($E789,"0.000000"))</f>
        <v/>
      </c>
      <c r="I789" s="29" t="str">
        <f aca="false">IF($D789="","",IF(ISNUMBER($E789),FLOOR(($E789-$B789)*24,1),""))</f>
        <v/>
      </c>
      <c r="J789" s="10" t="str">
        <f aca="false">IF($D789="","",IFERROR(IF(VLOOKUP($F789,Dim_Analyst!$A:$C,3,0)="Yes","Yes","No"),"No"))</f>
        <v/>
      </c>
    </row>
    <row r="790" customFormat="false" ht="15" hidden="false" customHeight="true" outlineLevel="0" collapsed="false">
      <c r="G790" s="4" t="str">
        <f aca="false">IF($D790="","",$A790&amp;"|"&amp;$B790&amp;"|"&amp;$C790&amp;"|"&amp;$D790)</f>
        <v/>
      </c>
      <c r="H790" s="4" t="str">
        <f aca="false">IF($D790="","",$G790&amp;"|"&amp;TEXT($E790,"0.000000"))</f>
        <v/>
      </c>
      <c r="I790" s="29" t="str">
        <f aca="false">IF($D790="","",IF(ISNUMBER($E790),FLOOR(($E790-$B790)*24,1),""))</f>
        <v/>
      </c>
      <c r="J790" s="10" t="str">
        <f aca="false">IF($D790="","",IFERROR(IF(VLOOKUP($F790,Dim_Analyst!$A:$C,3,0)="Yes","Yes","No"),"No"))</f>
        <v/>
      </c>
    </row>
    <row r="791" customFormat="false" ht="15" hidden="false" customHeight="true" outlineLevel="0" collapsed="false">
      <c r="G791" s="4" t="str">
        <f aca="false">IF($D791="","",$A791&amp;"|"&amp;$B791&amp;"|"&amp;$C791&amp;"|"&amp;$D791)</f>
        <v/>
      </c>
      <c r="H791" s="4" t="str">
        <f aca="false">IF($D791="","",$G791&amp;"|"&amp;TEXT($E791,"0.000000"))</f>
        <v/>
      </c>
      <c r="I791" s="29" t="str">
        <f aca="false">IF($D791="","",IF(ISNUMBER($E791),FLOOR(($E791-$B791)*24,1),""))</f>
        <v/>
      </c>
      <c r="J791" s="10" t="str">
        <f aca="false">IF($D791="","",IFERROR(IF(VLOOKUP($F791,Dim_Analyst!$A:$C,3,0)="Yes","Yes","No"),"No"))</f>
        <v/>
      </c>
    </row>
    <row r="792" customFormat="false" ht="15" hidden="false" customHeight="true" outlineLevel="0" collapsed="false">
      <c r="G792" s="4" t="str">
        <f aca="false">IF($D792="","",$A792&amp;"|"&amp;$B792&amp;"|"&amp;$C792&amp;"|"&amp;$D792)</f>
        <v/>
      </c>
      <c r="H792" s="4" t="str">
        <f aca="false">IF($D792="","",$G792&amp;"|"&amp;TEXT($E792,"0.000000"))</f>
        <v/>
      </c>
      <c r="I792" s="29" t="str">
        <f aca="false">IF($D792="","",IF(ISNUMBER($E792),FLOOR(($E792-$B792)*24,1),""))</f>
        <v/>
      </c>
      <c r="J792" s="10" t="str">
        <f aca="false">IF($D792="","",IFERROR(IF(VLOOKUP($F792,Dim_Analyst!$A:$C,3,0)="Yes","Yes","No"),"No"))</f>
        <v/>
      </c>
    </row>
    <row r="793" customFormat="false" ht="15" hidden="false" customHeight="true" outlineLevel="0" collapsed="false">
      <c r="G793" s="4" t="str">
        <f aca="false">IF($D793="","",$A793&amp;"|"&amp;$B793&amp;"|"&amp;$C793&amp;"|"&amp;$D793)</f>
        <v/>
      </c>
      <c r="H793" s="4" t="str">
        <f aca="false">IF($D793="","",$G793&amp;"|"&amp;TEXT($E793,"0.000000"))</f>
        <v/>
      </c>
      <c r="I793" s="29" t="str">
        <f aca="false">IF($D793="","",IF(ISNUMBER($E793),FLOOR(($E793-$B793)*24,1),""))</f>
        <v/>
      </c>
      <c r="J793" s="10" t="str">
        <f aca="false">IF($D793="","",IFERROR(IF(VLOOKUP($F793,Dim_Analyst!$A:$C,3,0)="Yes","Yes","No"),"No"))</f>
        <v/>
      </c>
    </row>
    <row r="794" customFormat="false" ht="15" hidden="false" customHeight="true" outlineLevel="0" collapsed="false">
      <c r="G794" s="4" t="str">
        <f aca="false">IF($D794="","",$A794&amp;"|"&amp;$B794&amp;"|"&amp;$C794&amp;"|"&amp;$D794)</f>
        <v/>
      </c>
      <c r="H794" s="4" t="str">
        <f aca="false">IF($D794="","",$G794&amp;"|"&amp;TEXT($E794,"0.000000"))</f>
        <v/>
      </c>
      <c r="I794" s="29" t="str">
        <f aca="false">IF($D794="","",IF(ISNUMBER($E794),FLOOR(($E794-$B794)*24,1),""))</f>
        <v/>
      </c>
      <c r="J794" s="10" t="str">
        <f aca="false">IF($D794="","",IFERROR(IF(VLOOKUP($F794,Dim_Analyst!$A:$C,3,0)="Yes","Yes","No"),"No"))</f>
        <v/>
      </c>
    </row>
    <row r="795" customFormat="false" ht="15" hidden="false" customHeight="true" outlineLevel="0" collapsed="false">
      <c r="G795" s="4" t="str">
        <f aca="false">IF($D795="","",$A795&amp;"|"&amp;$B795&amp;"|"&amp;$C795&amp;"|"&amp;$D795)</f>
        <v/>
      </c>
      <c r="H795" s="4" t="str">
        <f aca="false">IF($D795="","",$G795&amp;"|"&amp;TEXT($E795,"0.000000"))</f>
        <v/>
      </c>
      <c r="I795" s="29" t="str">
        <f aca="false">IF($D795="","",IF(ISNUMBER($E795),FLOOR(($E795-$B795)*24,1),""))</f>
        <v/>
      </c>
      <c r="J795" s="10" t="str">
        <f aca="false">IF($D795="","",IFERROR(IF(VLOOKUP($F795,Dim_Analyst!$A:$C,3,0)="Yes","Yes","No"),"No"))</f>
        <v/>
      </c>
    </row>
    <row r="796" customFormat="false" ht="15" hidden="false" customHeight="true" outlineLevel="0" collapsed="false">
      <c r="G796" s="4" t="str">
        <f aca="false">IF($D796="","",$A796&amp;"|"&amp;$B796&amp;"|"&amp;$C796&amp;"|"&amp;$D796)</f>
        <v/>
      </c>
      <c r="H796" s="4" t="str">
        <f aca="false">IF($D796="","",$G796&amp;"|"&amp;TEXT($E796,"0.000000"))</f>
        <v/>
      </c>
      <c r="I796" s="29" t="str">
        <f aca="false">IF($D796="","",IF(ISNUMBER($E796),FLOOR(($E796-$B796)*24,1),""))</f>
        <v/>
      </c>
      <c r="J796" s="10" t="str">
        <f aca="false">IF($D796="","",IFERROR(IF(VLOOKUP($F796,Dim_Analyst!$A:$C,3,0)="Yes","Yes","No"),"No"))</f>
        <v/>
      </c>
    </row>
    <row r="797" customFormat="false" ht="15" hidden="false" customHeight="true" outlineLevel="0" collapsed="false">
      <c r="G797" s="4" t="str">
        <f aca="false">IF($D797="","",$A797&amp;"|"&amp;$B797&amp;"|"&amp;$C797&amp;"|"&amp;$D797)</f>
        <v/>
      </c>
      <c r="H797" s="4" t="str">
        <f aca="false">IF($D797="","",$G797&amp;"|"&amp;TEXT($E797,"0.000000"))</f>
        <v/>
      </c>
      <c r="I797" s="29" t="str">
        <f aca="false">IF($D797="","",IF(ISNUMBER($E797),FLOOR(($E797-$B797)*24,1),""))</f>
        <v/>
      </c>
      <c r="J797" s="10" t="str">
        <f aca="false">IF($D797="","",IFERROR(IF(VLOOKUP($F797,Dim_Analyst!$A:$C,3,0)="Yes","Yes","No"),"No"))</f>
        <v/>
      </c>
    </row>
    <row r="798" customFormat="false" ht="15" hidden="false" customHeight="true" outlineLevel="0" collapsed="false">
      <c r="G798" s="4" t="str">
        <f aca="false">IF($D798="","",$A798&amp;"|"&amp;$B798&amp;"|"&amp;$C798&amp;"|"&amp;$D798)</f>
        <v/>
      </c>
      <c r="H798" s="4" t="str">
        <f aca="false">IF($D798="","",$G798&amp;"|"&amp;TEXT($E798,"0.000000"))</f>
        <v/>
      </c>
      <c r="I798" s="29" t="str">
        <f aca="false">IF($D798="","",IF(ISNUMBER($E798),FLOOR(($E798-$B798)*24,1),""))</f>
        <v/>
      </c>
      <c r="J798" s="10" t="str">
        <f aca="false">IF($D798="","",IFERROR(IF(VLOOKUP($F798,Dim_Analyst!$A:$C,3,0)="Yes","Yes","No"),"No"))</f>
        <v/>
      </c>
    </row>
    <row r="799" customFormat="false" ht="15" hidden="false" customHeight="true" outlineLevel="0" collapsed="false">
      <c r="G799" s="4" t="str">
        <f aca="false">IF($D799="","",$A799&amp;"|"&amp;$B799&amp;"|"&amp;$C799&amp;"|"&amp;$D799)</f>
        <v/>
      </c>
      <c r="H799" s="4" t="str">
        <f aca="false">IF($D799="","",$G799&amp;"|"&amp;TEXT($E799,"0.000000"))</f>
        <v/>
      </c>
      <c r="I799" s="29" t="str">
        <f aca="false">IF($D799="","",IF(ISNUMBER($E799),FLOOR(($E799-$B799)*24,1),""))</f>
        <v/>
      </c>
      <c r="J799" s="10" t="str">
        <f aca="false">IF($D799="","",IFERROR(IF(VLOOKUP($F799,Dim_Analyst!$A:$C,3,0)="Yes","Yes","No"),"No"))</f>
        <v/>
      </c>
    </row>
    <row r="800" customFormat="false" ht="15" hidden="false" customHeight="true" outlineLevel="0" collapsed="false">
      <c r="G800" s="4" t="str">
        <f aca="false">IF($D800="","",$A800&amp;"|"&amp;$B800&amp;"|"&amp;$C800&amp;"|"&amp;$D800)</f>
        <v/>
      </c>
      <c r="H800" s="4" t="str">
        <f aca="false">IF($D800="","",$G800&amp;"|"&amp;TEXT($E800,"0.000000"))</f>
        <v/>
      </c>
      <c r="I800" s="29" t="str">
        <f aca="false">IF($D800="","",IF(ISNUMBER($E800),FLOOR(($E800-$B800)*24,1),""))</f>
        <v/>
      </c>
      <c r="J800" s="10" t="str">
        <f aca="false">IF($D800="","",IFERROR(IF(VLOOKUP($F800,Dim_Analyst!$A:$C,3,0)="Yes","Yes","No"),"No"))</f>
        <v/>
      </c>
    </row>
    <row r="801" customFormat="false" ht="15" hidden="false" customHeight="true" outlineLevel="0" collapsed="false">
      <c r="G801" s="4" t="str">
        <f aca="false">IF($D801="","",$A801&amp;"|"&amp;$B801&amp;"|"&amp;$C801&amp;"|"&amp;$D801)</f>
        <v/>
      </c>
      <c r="H801" s="4" t="str">
        <f aca="false">IF($D801="","",$G801&amp;"|"&amp;TEXT($E801,"0.000000"))</f>
        <v/>
      </c>
      <c r="I801" s="29" t="str">
        <f aca="false">IF($D801="","",IF(ISNUMBER($E801),FLOOR(($E801-$B801)*24,1),""))</f>
        <v/>
      </c>
      <c r="J801" s="10" t="str">
        <f aca="false">IF($D801="","",IFERROR(IF(VLOOKUP($F801,Dim_Analyst!$A:$C,3,0)="Yes","Yes","No"),"No"))</f>
        <v/>
      </c>
    </row>
    <row r="802" customFormat="false" ht="15" hidden="false" customHeight="true" outlineLevel="0" collapsed="false">
      <c r="G802" s="4" t="str">
        <f aca="false">IF($D802="","",$A802&amp;"|"&amp;$B802&amp;"|"&amp;$C802&amp;"|"&amp;$D802)</f>
        <v/>
      </c>
      <c r="H802" s="4" t="str">
        <f aca="false">IF($D802="","",$G802&amp;"|"&amp;TEXT($E802,"0.000000"))</f>
        <v/>
      </c>
      <c r="I802" s="29" t="str">
        <f aca="false">IF($D802="","",IF(ISNUMBER($E802),FLOOR(($E802-$B802)*24,1),""))</f>
        <v/>
      </c>
      <c r="J802" s="10" t="str">
        <f aca="false">IF($D802="","",IFERROR(IF(VLOOKUP($F802,Dim_Analyst!$A:$C,3,0)="Yes","Yes","No"),"No"))</f>
        <v/>
      </c>
    </row>
    <row r="803" customFormat="false" ht="15" hidden="false" customHeight="true" outlineLevel="0" collapsed="false">
      <c r="G803" s="4" t="str">
        <f aca="false">IF($D803="","",$A803&amp;"|"&amp;$B803&amp;"|"&amp;$C803&amp;"|"&amp;$D803)</f>
        <v/>
      </c>
      <c r="H803" s="4" t="str">
        <f aca="false">IF($D803="","",$G803&amp;"|"&amp;TEXT($E803,"0.000000"))</f>
        <v/>
      </c>
      <c r="I803" s="29" t="str">
        <f aca="false">IF($D803="","",IF(ISNUMBER($E803),FLOOR(($E803-$B803)*24,1),""))</f>
        <v/>
      </c>
      <c r="J803" s="10" t="str">
        <f aca="false">IF($D803="","",IFERROR(IF(VLOOKUP($F803,Dim_Analyst!$A:$C,3,0)="Yes","Yes","No"),"No"))</f>
        <v/>
      </c>
    </row>
    <row r="804" customFormat="false" ht="15" hidden="false" customHeight="true" outlineLevel="0" collapsed="false">
      <c r="G804" s="4" t="str">
        <f aca="false">IF($D804="","",$A804&amp;"|"&amp;$B804&amp;"|"&amp;$C804&amp;"|"&amp;$D804)</f>
        <v/>
      </c>
      <c r="H804" s="4" t="str">
        <f aca="false">IF($D804="","",$G804&amp;"|"&amp;TEXT($E804,"0.000000"))</f>
        <v/>
      </c>
      <c r="I804" s="29" t="str">
        <f aca="false">IF($D804="","",IF(ISNUMBER($E804),FLOOR(($E804-$B804)*24,1),""))</f>
        <v/>
      </c>
      <c r="J804" s="10" t="str">
        <f aca="false">IF($D804="","",IFERROR(IF(VLOOKUP($F804,Dim_Analyst!$A:$C,3,0)="Yes","Yes","No"),"No"))</f>
        <v/>
      </c>
    </row>
    <row r="805" customFormat="false" ht="15" hidden="false" customHeight="true" outlineLevel="0" collapsed="false">
      <c r="G805" s="4" t="str">
        <f aca="false">IF($D805="","",$A805&amp;"|"&amp;$B805&amp;"|"&amp;$C805&amp;"|"&amp;$D805)</f>
        <v/>
      </c>
      <c r="H805" s="4" t="str">
        <f aca="false">IF($D805="","",$G805&amp;"|"&amp;TEXT($E805,"0.000000"))</f>
        <v/>
      </c>
      <c r="I805" s="29" t="str">
        <f aca="false">IF($D805="","",IF(ISNUMBER($E805),FLOOR(($E805-$B805)*24,1),""))</f>
        <v/>
      </c>
      <c r="J805" s="10" t="str">
        <f aca="false">IF($D805="","",IFERROR(IF(VLOOKUP($F805,Dim_Analyst!$A:$C,3,0)="Yes","Yes","No"),"No"))</f>
        <v/>
      </c>
    </row>
    <row r="806" customFormat="false" ht="15" hidden="false" customHeight="true" outlineLevel="0" collapsed="false">
      <c r="G806" s="4" t="str">
        <f aca="false">IF($D806="","",$A806&amp;"|"&amp;$B806&amp;"|"&amp;$C806&amp;"|"&amp;$D806)</f>
        <v/>
      </c>
      <c r="H806" s="4" t="str">
        <f aca="false">IF($D806="","",$G806&amp;"|"&amp;TEXT($E806,"0.000000"))</f>
        <v/>
      </c>
      <c r="I806" s="29" t="str">
        <f aca="false">IF($D806="","",IF(ISNUMBER($E806),FLOOR(($E806-$B806)*24,1),""))</f>
        <v/>
      </c>
      <c r="J806" s="10" t="str">
        <f aca="false">IF($D806="","",IFERROR(IF(VLOOKUP($F806,Dim_Analyst!$A:$C,3,0)="Yes","Yes","No"),"No"))</f>
        <v/>
      </c>
    </row>
    <row r="807" customFormat="false" ht="15" hidden="false" customHeight="true" outlineLevel="0" collapsed="false">
      <c r="G807" s="4" t="str">
        <f aca="false">IF($D807="","",$A807&amp;"|"&amp;$B807&amp;"|"&amp;$C807&amp;"|"&amp;$D807)</f>
        <v/>
      </c>
      <c r="H807" s="4" t="str">
        <f aca="false">IF($D807="","",$G807&amp;"|"&amp;TEXT($E807,"0.000000"))</f>
        <v/>
      </c>
      <c r="I807" s="29" t="str">
        <f aca="false">IF($D807="","",IF(ISNUMBER($E807),FLOOR(($E807-$B807)*24,1),""))</f>
        <v/>
      </c>
      <c r="J807" s="10" t="str">
        <f aca="false">IF($D807="","",IFERROR(IF(VLOOKUP($F807,Dim_Analyst!$A:$C,3,0)="Yes","Yes","No"),"No"))</f>
        <v/>
      </c>
    </row>
    <row r="808" customFormat="false" ht="15" hidden="false" customHeight="true" outlineLevel="0" collapsed="false">
      <c r="G808" s="4" t="str">
        <f aca="false">IF($D808="","",$A808&amp;"|"&amp;$B808&amp;"|"&amp;$C808&amp;"|"&amp;$D808)</f>
        <v/>
      </c>
      <c r="H808" s="4" t="str">
        <f aca="false">IF($D808="","",$G808&amp;"|"&amp;TEXT($E808,"0.000000"))</f>
        <v/>
      </c>
      <c r="I808" s="29" t="str">
        <f aca="false">IF($D808="","",IF(ISNUMBER($E808),FLOOR(($E808-$B808)*24,1),""))</f>
        <v/>
      </c>
      <c r="J808" s="10" t="str">
        <f aca="false">IF($D808="","",IFERROR(IF(VLOOKUP($F808,Dim_Analyst!$A:$C,3,0)="Yes","Yes","No"),"No"))</f>
        <v/>
      </c>
    </row>
    <row r="809" customFormat="false" ht="15" hidden="false" customHeight="true" outlineLevel="0" collapsed="false">
      <c r="G809" s="4" t="str">
        <f aca="false">IF($D809="","",$A809&amp;"|"&amp;$B809&amp;"|"&amp;$C809&amp;"|"&amp;$D809)</f>
        <v/>
      </c>
      <c r="H809" s="4" t="str">
        <f aca="false">IF($D809="","",$G809&amp;"|"&amp;TEXT($E809,"0.000000"))</f>
        <v/>
      </c>
      <c r="I809" s="29" t="str">
        <f aca="false">IF($D809="","",IF(ISNUMBER($E809),FLOOR(($E809-$B809)*24,1),""))</f>
        <v/>
      </c>
      <c r="J809" s="10" t="str">
        <f aca="false">IF($D809="","",IFERROR(IF(VLOOKUP($F809,Dim_Analyst!$A:$C,3,0)="Yes","Yes","No"),"No"))</f>
        <v/>
      </c>
    </row>
    <row r="810" customFormat="false" ht="15" hidden="false" customHeight="true" outlineLevel="0" collapsed="false">
      <c r="G810" s="4" t="str">
        <f aca="false">IF($D810="","",$A810&amp;"|"&amp;$B810&amp;"|"&amp;$C810&amp;"|"&amp;$D810)</f>
        <v/>
      </c>
      <c r="H810" s="4" t="str">
        <f aca="false">IF($D810="","",$G810&amp;"|"&amp;TEXT($E810,"0.000000"))</f>
        <v/>
      </c>
      <c r="I810" s="29" t="str">
        <f aca="false">IF($D810="","",IF(ISNUMBER($E810),FLOOR(($E810-$B810)*24,1),""))</f>
        <v/>
      </c>
      <c r="J810" s="10" t="str">
        <f aca="false">IF($D810="","",IFERROR(IF(VLOOKUP($F810,Dim_Analyst!$A:$C,3,0)="Yes","Yes","No"),"No"))</f>
        <v/>
      </c>
    </row>
    <row r="811" customFormat="false" ht="15" hidden="false" customHeight="true" outlineLevel="0" collapsed="false">
      <c r="G811" s="4" t="str">
        <f aca="false">IF($D811="","",$A811&amp;"|"&amp;$B811&amp;"|"&amp;$C811&amp;"|"&amp;$D811)</f>
        <v/>
      </c>
      <c r="H811" s="4" t="str">
        <f aca="false">IF($D811="","",$G811&amp;"|"&amp;TEXT($E811,"0.000000"))</f>
        <v/>
      </c>
      <c r="I811" s="29" t="str">
        <f aca="false">IF($D811="","",IF(ISNUMBER($E811),FLOOR(($E811-$B811)*24,1),""))</f>
        <v/>
      </c>
      <c r="J811" s="10" t="str">
        <f aca="false">IF($D811="","",IFERROR(IF(VLOOKUP($F811,Dim_Analyst!$A:$C,3,0)="Yes","Yes","No"),"No"))</f>
        <v/>
      </c>
    </row>
    <row r="812" customFormat="false" ht="15" hidden="false" customHeight="true" outlineLevel="0" collapsed="false">
      <c r="G812" s="4" t="str">
        <f aca="false">IF($D812="","",$A812&amp;"|"&amp;$B812&amp;"|"&amp;$C812&amp;"|"&amp;$D812)</f>
        <v/>
      </c>
      <c r="H812" s="4" t="str">
        <f aca="false">IF($D812="","",$G812&amp;"|"&amp;TEXT($E812,"0.000000"))</f>
        <v/>
      </c>
      <c r="I812" s="29" t="str">
        <f aca="false">IF($D812="","",IF(ISNUMBER($E812),FLOOR(($E812-$B812)*24,1),""))</f>
        <v/>
      </c>
      <c r="J812" s="10" t="str">
        <f aca="false">IF($D812="","",IFERROR(IF(VLOOKUP($F812,Dim_Analyst!$A:$C,3,0)="Yes","Yes","No"),"No"))</f>
        <v/>
      </c>
    </row>
    <row r="813" customFormat="false" ht="15" hidden="false" customHeight="true" outlineLevel="0" collapsed="false">
      <c r="G813" s="4" t="str">
        <f aca="false">IF($D813="","",$A813&amp;"|"&amp;$B813&amp;"|"&amp;$C813&amp;"|"&amp;$D813)</f>
        <v/>
      </c>
      <c r="H813" s="4" t="str">
        <f aca="false">IF($D813="","",$G813&amp;"|"&amp;TEXT($E813,"0.000000"))</f>
        <v/>
      </c>
      <c r="I813" s="29" t="str">
        <f aca="false">IF($D813="","",IF(ISNUMBER($E813),FLOOR(($E813-$B813)*24,1),""))</f>
        <v/>
      </c>
      <c r="J813" s="10" t="str">
        <f aca="false">IF($D813="","",IFERROR(IF(VLOOKUP($F813,Dim_Analyst!$A:$C,3,0)="Yes","Yes","No"),"No"))</f>
        <v/>
      </c>
    </row>
    <row r="814" customFormat="false" ht="15" hidden="false" customHeight="true" outlineLevel="0" collapsed="false">
      <c r="G814" s="4" t="str">
        <f aca="false">IF($D814="","",$A814&amp;"|"&amp;$B814&amp;"|"&amp;$C814&amp;"|"&amp;$D814)</f>
        <v/>
      </c>
      <c r="H814" s="4" t="str">
        <f aca="false">IF($D814="","",$G814&amp;"|"&amp;TEXT($E814,"0.000000"))</f>
        <v/>
      </c>
      <c r="I814" s="29" t="str">
        <f aca="false">IF($D814="","",IF(ISNUMBER($E814),FLOOR(($E814-$B814)*24,1),""))</f>
        <v/>
      </c>
      <c r="J814" s="10" t="str">
        <f aca="false">IF($D814="","",IFERROR(IF(VLOOKUP($F814,Dim_Analyst!$A:$C,3,0)="Yes","Yes","No"),"No"))</f>
        <v/>
      </c>
    </row>
    <row r="815" customFormat="false" ht="15" hidden="false" customHeight="true" outlineLevel="0" collapsed="false">
      <c r="G815" s="4" t="str">
        <f aca="false">IF($D815="","",$A815&amp;"|"&amp;$B815&amp;"|"&amp;$C815&amp;"|"&amp;$D815)</f>
        <v/>
      </c>
      <c r="H815" s="4" t="str">
        <f aca="false">IF($D815="","",$G815&amp;"|"&amp;TEXT($E815,"0.000000"))</f>
        <v/>
      </c>
      <c r="I815" s="29" t="str">
        <f aca="false">IF($D815="","",IF(ISNUMBER($E815),FLOOR(($E815-$B815)*24,1),""))</f>
        <v/>
      </c>
      <c r="J815" s="10" t="str">
        <f aca="false">IF($D815="","",IFERROR(IF(VLOOKUP($F815,Dim_Analyst!$A:$C,3,0)="Yes","Yes","No"),"No"))</f>
        <v/>
      </c>
    </row>
    <row r="816" customFormat="false" ht="15" hidden="false" customHeight="true" outlineLevel="0" collapsed="false">
      <c r="G816" s="4" t="str">
        <f aca="false">IF($D816="","",$A816&amp;"|"&amp;$B816&amp;"|"&amp;$C816&amp;"|"&amp;$D816)</f>
        <v/>
      </c>
      <c r="H816" s="4" t="str">
        <f aca="false">IF($D816="","",$G816&amp;"|"&amp;TEXT($E816,"0.000000"))</f>
        <v/>
      </c>
      <c r="I816" s="29" t="str">
        <f aca="false">IF($D816="","",IF(ISNUMBER($E816),FLOOR(($E816-$B816)*24,1),""))</f>
        <v/>
      </c>
      <c r="J816" s="10" t="str">
        <f aca="false">IF($D816="","",IFERROR(IF(VLOOKUP($F816,Dim_Analyst!$A:$C,3,0)="Yes","Yes","No"),"No"))</f>
        <v/>
      </c>
    </row>
    <row r="817" customFormat="false" ht="15" hidden="false" customHeight="true" outlineLevel="0" collapsed="false">
      <c r="G817" s="4" t="str">
        <f aca="false">IF($D817="","",$A817&amp;"|"&amp;$B817&amp;"|"&amp;$C817&amp;"|"&amp;$D817)</f>
        <v/>
      </c>
      <c r="H817" s="4" t="str">
        <f aca="false">IF($D817="","",$G817&amp;"|"&amp;TEXT($E817,"0.000000"))</f>
        <v/>
      </c>
      <c r="I817" s="29" t="str">
        <f aca="false">IF($D817="","",IF(ISNUMBER($E817),FLOOR(($E817-$B817)*24,1),""))</f>
        <v/>
      </c>
      <c r="J817" s="10" t="str">
        <f aca="false">IF($D817="","",IFERROR(IF(VLOOKUP($F817,Dim_Analyst!$A:$C,3,0)="Yes","Yes","No"),"No"))</f>
        <v/>
      </c>
    </row>
    <row r="818" customFormat="false" ht="15" hidden="false" customHeight="true" outlineLevel="0" collapsed="false">
      <c r="G818" s="4" t="str">
        <f aca="false">IF($D818="","",$A818&amp;"|"&amp;$B818&amp;"|"&amp;$C818&amp;"|"&amp;$D818)</f>
        <v/>
      </c>
      <c r="H818" s="4" t="str">
        <f aca="false">IF($D818="","",$G818&amp;"|"&amp;TEXT($E818,"0.000000"))</f>
        <v/>
      </c>
      <c r="I818" s="29" t="str">
        <f aca="false">IF($D818="","",IF(ISNUMBER($E818),FLOOR(($E818-$B818)*24,1),""))</f>
        <v/>
      </c>
      <c r="J818" s="10" t="str">
        <f aca="false">IF($D818="","",IFERROR(IF(VLOOKUP($F818,Dim_Analyst!$A:$C,3,0)="Yes","Yes","No"),"No"))</f>
        <v/>
      </c>
    </row>
    <row r="819" customFormat="false" ht="15" hidden="false" customHeight="true" outlineLevel="0" collapsed="false">
      <c r="G819" s="4" t="str">
        <f aca="false">IF($D819="","",$A819&amp;"|"&amp;$B819&amp;"|"&amp;$C819&amp;"|"&amp;$D819)</f>
        <v/>
      </c>
      <c r="H819" s="4" t="str">
        <f aca="false">IF($D819="","",$G819&amp;"|"&amp;TEXT($E819,"0.000000"))</f>
        <v/>
      </c>
      <c r="I819" s="29" t="str">
        <f aca="false">IF($D819="","",IF(ISNUMBER($E819),FLOOR(($E819-$B819)*24,1),""))</f>
        <v/>
      </c>
      <c r="J819" s="10" t="str">
        <f aca="false">IF($D819="","",IFERROR(IF(VLOOKUP($F819,Dim_Analyst!$A:$C,3,0)="Yes","Yes","No"),"No"))</f>
        <v/>
      </c>
    </row>
    <row r="820" customFormat="false" ht="15" hidden="false" customHeight="true" outlineLevel="0" collapsed="false">
      <c r="G820" s="4" t="str">
        <f aca="false">IF($D820="","",$A820&amp;"|"&amp;$B820&amp;"|"&amp;$C820&amp;"|"&amp;$D820)</f>
        <v/>
      </c>
      <c r="H820" s="4" t="str">
        <f aca="false">IF($D820="","",$G820&amp;"|"&amp;TEXT($E820,"0.000000"))</f>
        <v/>
      </c>
      <c r="I820" s="29" t="str">
        <f aca="false">IF($D820="","",IF(ISNUMBER($E820),FLOOR(($E820-$B820)*24,1),""))</f>
        <v/>
      </c>
      <c r="J820" s="10" t="str">
        <f aca="false">IF($D820="","",IFERROR(IF(VLOOKUP($F820,Dim_Analyst!$A:$C,3,0)="Yes","Yes","No"),"No"))</f>
        <v/>
      </c>
    </row>
    <row r="821" customFormat="false" ht="15" hidden="false" customHeight="true" outlineLevel="0" collapsed="false">
      <c r="G821" s="4" t="str">
        <f aca="false">IF($D821="","",$A821&amp;"|"&amp;$B821&amp;"|"&amp;$C821&amp;"|"&amp;$D821)</f>
        <v/>
      </c>
      <c r="H821" s="4" t="str">
        <f aca="false">IF($D821="","",$G821&amp;"|"&amp;TEXT($E821,"0.000000"))</f>
        <v/>
      </c>
      <c r="I821" s="29" t="str">
        <f aca="false">IF($D821="","",IF(ISNUMBER($E821),FLOOR(($E821-$B821)*24,1),""))</f>
        <v/>
      </c>
      <c r="J821" s="10" t="str">
        <f aca="false">IF($D821="","",IFERROR(IF(VLOOKUP($F821,Dim_Analyst!$A:$C,3,0)="Yes","Yes","No"),"No"))</f>
        <v/>
      </c>
    </row>
    <row r="822" customFormat="false" ht="15" hidden="false" customHeight="true" outlineLevel="0" collapsed="false">
      <c r="G822" s="4" t="str">
        <f aca="false">IF($D822="","",$A822&amp;"|"&amp;$B822&amp;"|"&amp;$C822&amp;"|"&amp;$D822)</f>
        <v/>
      </c>
      <c r="H822" s="4" t="str">
        <f aca="false">IF($D822="","",$G822&amp;"|"&amp;TEXT($E822,"0.000000"))</f>
        <v/>
      </c>
      <c r="I822" s="29" t="str">
        <f aca="false">IF($D822="","",IF(ISNUMBER($E822),FLOOR(($E822-$B822)*24,1),""))</f>
        <v/>
      </c>
      <c r="J822" s="10" t="str">
        <f aca="false">IF($D822="","",IFERROR(IF(VLOOKUP($F822,Dim_Analyst!$A:$C,3,0)="Yes","Yes","No"),"No"))</f>
        <v/>
      </c>
    </row>
    <row r="823" customFormat="false" ht="15" hidden="false" customHeight="true" outlineLevel="0" collapsed="false">
      <c r="G823" s="4" t="str">
        <f aca="false">IF($D823="","",$A823&amp;"|"&amp;$B823&amp;"|"&amp;$C823&amp;"|"&amp;$D823)</f>
        <v/>
      </c>
      <c r="H823" s="4" t="str">
        <f aca="false">IF($D823="","",$G823&amp;"|"&amp;TEXT($E823,"0.000000"))</f>
        <v/>
      </c>
      <c r="I823" s="29" t="str">
        <f aca="false">IF($D823="","",IF(ISNUMBER($E823),FLOOR(($E823-$B823)*24,1),""))</f>
        <v/>
      </c>
      <c r="J823" s="10" t="str">
        <f aca="false">IF($D823="","",IFERROR(IF(VLOOKUP($F823,Dim_Analyst!$A:$C,3,0)="Yes","Yes","No"),"No"))</f>
        <v/>
      </c>
    </row>
    <row r="824" customFormat="false" ht="15" hidden="false" customHeight="true" outlineLevel="0" collapsed="false">
      <c r="G824" s="4" t="str">
        <f aca="false">IF($D824="","",$A824&amp;"|"&amp;$B824&amp;"|"&amp;$C824&amp;"|"&amp;$D824)</f>
        <v/>
      </c>
      <c r="H824" s="4" t="str">
        <f aca="false">IF($D824="","",$G824&amp;"|"&amp;TEXT($E824,"0.000000"))</f>
        <v/>
      </c>
      <c r="I824" s="29" t="str">
        <f aca="false">IF($D824="","",IF(ISNUMBER($E824),FLOOR(($E824-$B824)*24,1),""))</f>
        <v/>
      </c>
      <c r="J824" s="10" t="str">
        <f aca="false">IF($D824="","",IFERROR(IF(VLOOKUP($F824,Dim_Analyst!$A:$C,3,0)="Yes","Yes","No"),"No"))</f>
        <v/>
      </c>
    </row>
    <row r="825" customFormat="false" ht="15" hidden="false" customHeight="true" outlineLevel="0" collapsed="false">
      <c r="G825" s="4" t="str">
        <f aca="false">IF($D825="","",$A825&amp;"|"&amp;$B825&amp;"|"&amp;$C825&amp;"|"&amp;$D825)</f>
        <v/>
      </c>
      <c r="H825" s="4" t="str">
        <f aca="false">IF($D825="","",$G825&amp;"|"&amp;TEXT($E825,"0.000000"))</f>
        <v/>
      </c>
      <c r="I825" s="29" t="str">
        <f aca="false">IF($D825="","",IF(ISNUMBER($E825),FLOOR(($E825-$B825)*24,1),""))</f>
        <v/>
      </c>
      <c r="J825" s="10" t="str">
        <f aca="false">IF($D825="","",IFERROR(IF(VLOOKUP($F825,Dim_Analyst!$A:$C,3,0)="Yes","Yes","No"),"No"))</f>
        <v/>
      </c>
    </row>
    <row r="826" customFormat="false" ht="15" hidden="false" customHeight="true" outlineLevel="0" collapsed="false">
      <c r="G826" s="4" t="str">
        <f aca="false">IF($D826="","",$A826&amp;"|"&amp;$B826&amp;"|"&amp;$C826&amp;"|"&amp;$D826)</f>
        <v/>
      </c>
      <c r="H826" s="4" t="str">
        <f aca="false">IF($D826="","",$G826&amp;"|"&amp;TEXT($E826,"0.000000"))</f>
        <v/>
      </c>
      <c r="I826" s="29" t="str">
        <f aca="false">IF($D826="","",IF(ISNUMBER($E826),FLOOR(($E826-$B826)*24,1),""))</f>
        <v/>
      </c>
      <c r="J826" s="10" t="str">
        <f aca="false">IF($D826="","",IFERROR(IF(VLOOKUP($F826,Dim_Analyst!$A:$C,3,0)="Yes","Yes","No"),"No"))</f>
        <v/>
      </c>
    </row>
    <row r="827" customFormat="false" ht="15" hidden="false" customHeight="true" outlineLevel="0" collapsed="false">
      <c r="G827" s="4" t="str">
        <f aca="false">IF($D827="","",$A827&amp;"|"&amp;$B827&amp;"|"&amp;$C827&amp;"|"&amp;$D827)</f>
        <v/>
      </c>
      <c r="H827" s="4" t="str">
        <f aca="false">IF($D827="","",$G827&amp;"|"&amp;TEXT($E827,"0.000000"))</f>
        <v/>
      </c>
      <c r="I827" s="29" t="str">
        <f aca="false">IF($D827="","",IF(ISNUMBER($E827),FLOOR(($E827-$B827)*24,1),""))</f>
        <v/>
      </c>
      <c r="J827" s="10" t="str">
        <f aca="false">IF($D827="","",IFERROR(IF(VLOOKUP($F827,Dim_Analyst!$A:$C,3,0)="Yes","Yes","No"),"No"))</f>
        <v/>
      </c>
    </row>
    <row r="828" customFormat="false" ht="15" hidden="false" customHeight="true" outlineLevel="0" collapsed="false">
      <c r="G828" s="4" t="str">
        <f aca="false">IF($D828="","",$A828&amp;"|"&amp;$B828&amp;"|"&amp;$C828&amp;"|"&amp;$D828)</f>
        <v/>
      </c>
      <c r="H828" s="4" t="str">
        <f aca="false">IF($D828="","",$G828&amp;"|"&amp;TEXT($E828,"0.000000"))</f>
        <v/>
      </c>
      <c r="I828" s="29" t="str">
        <f aca="false">IF($D828="","",IF(ISNUMBER($E828),FLOOR(($E828-$B828)*24,1),""))</f>
        <v/>
      </c>
      <c r="J828" s="10" t="str">
        <f aca="false">IF($D828="","",IFERROR(IF(VLOOKUP($F828,Dim_Analyst!$A:$C,3,0)="Yes","Yes","No"),"No"))</f>
        <v/>
      </c>
    </row>
    <row r="829" customFormat="false" ht="15" hidden="false" customHeight="true" outlineLevel="0" collapsed="false">
      <c r="G829" s="4" t="str">
        <f aca="false">IF($D829="","",$A829&amp;"|"&amp;$B829&amp;"|"&amp;$C829&amp;"|"&amp;$D829)</f>
        <v/>
      </c>
      <c r="H829" s="4" t="str">
        <f aca="false">IF($D829="","",$G829&amp;"|"&amp;TEXT($E829,"0.000000"))</f>
        <v/>
      </c>
      <c r="I829" s="29" t="str">
        <f aca="false">IF($D829="","",IF(ISNUMBER($E829),FLOOR(($E829-$B829)*24,1),""))</f>
        <v/>
      </c>
      <c r="J829" s="10" t="str">
        <f aca="false">IF($D829="","",IFERROR(IF(VLOOKUP($F829,Dim_Analyst!$A:$C,3,0)="Yes","Yes","No"),"No"))</f>
        <v/>
      </c>
    </row>
    <row r="830" customFormat="false" ht="15" hidden="false" customHeight="true" outlineLevel="0" collapsed="false">
      <c r="G830" s="4" t="str">
        <f aca="false">IF($D830="","",$A830&amp;"|"&amp;$B830&amp;"|"&amp;$C830&amp;"|"&amp;$D830)</f>
        <v/>
      </c>
      <c r="H830" s="4" t="str">
        <f aca="false">IF($D830="","",$G830&amp;"|"&amp;TEXT($E830,"0.000000"))</f>
        <v/>
      </c>
      <c r="I830" s="29" t="str">
        <f aca="false">IF($D830="","",IF(ISNUMBER($E830),FLOOR(($E830-$B830)*24,1),""))</f>
        <v/>
      </c>
      <c r="J830" s="10" t="str">
        <f aca="false">IF($D830="","",IFERROR(IF(VLOOKUP($F830,Dim_Analyst!$A:$C,3,0)="Yes","Yes","No"),"No"))</f>
        <v/>
      </c>
    </row>
    <row r="831" customFormat="false" ht="15" hidden="false" customHeight="true" outlineLevel="0" collapsed="false">
      <c r="G831" s="4" t="str">
        <f aca="false">IF($D831="","",$A831&amp;"|"&amp;$B831&amp;"|"&amp;$C831&amp;"|"&amp;$D831)</f>
        <v/>
      </c>
      <c r="H831" s="4" t="str">
        <f aca="false">IF($D831="","",$G831&amp;"|"&amp;TEXT($E831,"0.000000"))</f>
        <v/>
      </c>
      <c r="I831" s="29" t="str">
        <f aca="false">IF($D831="","",IF(ISNUMBER($E831),FLOOR(($E831-$B831)*24,1),""))</f>
        <v/>
      </c>
      <c r="J831" s="10" t="str">
        <f aca="false">IF($D831="","",IFERROR(IF(VLOOKUP($F831,Dim_Analyst!$A:$C,3,0)="Yes","Yes","No"),"No"))</f>
        <v/>
      </c>
    </row>
    <row r="832" customFormat="false" ht="15" hidden="false" customHeight="true" outlineLevel="0" collapsed="false">
      <c r="G832" s="4" t="str">
        <f aca="false">IF($D832="","",$A832&amp;"|"&amp;$B832&amp;"|"&amp;$C832&amp;"|"&amp;$D832)</f>
        <v/>
      </c>
      <c r="H832" s="4" t="str">
        <f aca="false">IF($D832="","",$G832&amp;"|"&amp;TEXT($E832,"0.000000"))</f>
        <v/>
      </c>
      <c r="I832" s="29" t="str">
        <f aca="false">IF($D832="","",IF(ISNUMBER($E832),FLOOR(($E832-$B832)*24,1),""))</f>
        <v/>
      </c>
      <c r="J832" s="10" t="str">
        <f aca="false">IF($D832="","",IFERROR(IF(VLOOKUP($F832,Dim_Analyst!$A:$C,3,0)="Yes","Yes","No"),"No"))</f>
        <v/>
      </c>
    </row>
    <row r="833" customFormat="false" ht="15" hidden="false" customHeight="true" outlineLevel="0" collapsed="false">
      <c r="G833" s="4" t="str">
        <f aca="false">IF($D833="","",$A833&amp;"|"&amp;$B833&amp;"|"&amp;$C833&amp;"|"&amp;$D833)</f>
        <v/>
      </c>
      <c r="H833" s="4" t="str">
        <f aca="false">IF($D833="","",$G833&amp;"|"&amp;TEXT($E833,"0.000000"))</f>
        <v/>
      </c>
      <c r="I833" s="29" t="str">
        <f aca="false">IF($D833="","",IF(ISNUMBER($E833),FLOOR(($E833-$B833)*24,1),""))</f>
        <v/>
      </c>
      <c r="J833" s="10" t="str">
        <f aca="false">IF($D833="","",IFERROR(IF(VLOOKUP($F833,Dim_Analyst!$A:$C,3,0)="Yes","Yes","No"),"No"))</f>
        <v/>
      </c>
    </row>
    <row r="834" customFormat="false" ht="15" hidden="false" customHeight="true" outlineLevel="0" collapsed="false">
      <c r="G834" s="4" t="str">
        <f aca="false">IF($D834="","",$A834&amp;"|"&amp;$B834&amp;"|"&amp;$C834&amp;"|"&amp;$D834)</f>
        <v/>
      </c>
      <c r="H834" s="4" t="str">
        <f aca="false">IF($D834="","",$G834&amp;"|"&amp;TEXT($E834,"0.000000"))</f>
        <v/>
      </c>
      <c r="I834" s="29" t="str">
        <f aca="false">IF($D834="","",IF(ISNUMBER($E834),FLOOR(($E834-$B834)*24,1),""))</f>
        <v/>
      </c>
      <c r="J834" s="10" t="str">
        <f aca="false">IF($D834="","",IFERROR(IF(VLOOKUP($F834,Dim_Analyst!$A:$C,3,0)="Yes","Yes","No"),"No"))</f>
        <v/>
      </c>
    </row>
    <row r="835" customFormat="false" ht="15" hidden="false" customHeight="true" outlineLevel="0" collapsed="false">
      <c r="G835" s="4" t="str">
        <f aca="false">IF($D835="","",$A835&amp;"|"&amp;$B835&amp;"|"&amp;$C835&amp;"|"&amp;$D835)</f>
        <v/>
      </c>
      <c r="H835" s="4" t="str">
        <f aca="false">IF($D835="","",$G835&amp;"|"&amp;TEXT($E835,"0.000000"))</f>
        <v/>
      </c>
      <c r="I835" s="29" t="str">
        <f aca="false">IF($D835="","",IF(ISNUMBER($E835),FLOOR(($E835-$B835)*24,1),""))</f>
        <v/>
      </c>
      <c r="J835" s="10" t="str">
        <f aca="false">IF($D835="","",IFERROR(IF(VLOOKUP($F835,Dim_Analyst!$A:$C,3,0)="Yes","Yes","No"),"No"))</f>
        <v/>
      </c>
    </row>
    <row r="836" customFormat="false" ht="15" hidden="false" customHeight="true" outlineLevel="0" collapsed="false">
      <c r="G836" s="4" t="str">
        <f aca="false">IF($D836="","",$A836&amp;"|"&amp;$B836&amp;"|"&amp;$C836&amp;"|"&amp;$D836)</f>
        <v/>
      </c>
      <c r="H836" s="4" t="str">
        <f aca="false">IF($D836="","",$G836&amp;"|"&amp;TEXT($E836,"0.000000"))</f>
        <v/>
      </c>
      <c r="I836" s="29" t="str">
        <f aca="false">IF($D836="","",IF(ISNUMBER($E836),FLOOR(($E836-$B836)*24,1),""))</f>
        <v/>
      </c>
      <c r="J836" s="10" t="str">
        <f aca="false">IF($D836="","",IFERROR(IF(VLOOKUP($F836,Dim_Analyst!$A:$C,3,0)="Yes","Yes","No"),"No"))</f>
        <v/>
      </c>
    </row>
    <row r="837" customFormat="false" ht="15" hidden="false" customHeight="true" outlineLevel="0" collapsed="false">
      <c r="G837" s="4" t="str">
        <f aca="false">IF($D837="","",$A837&amp;"|"&amp;$B837&amp;"|"&amp;$C837&amp;"|"&amp;$D837)</f>
        <v/>
      </c>
      <c r="H837" s="4" t="str">
        <f aca="false">IF($D837="","",$G837&amp;"|"&amp;TEXT($E837,"0.000000"))</f>
        <v/>
      </c>
      <c r="I837" s="29" t="str">
        <f aca="false">IF($D837="","",IF(ISNUMBER($E837),FLOOR(($E837-$B837)*24,1),""))</f>
        <v/>
      </c>
      <c r="J837" s="10" t="str">
        <f aca="false">IF($D837="","",IFERROR(IF(VLOOKUP($F837,Dim_Analyst!$A:$C,3,0)="Yes","Yes","No"),"No"))</f>
        <v/>
      </c>
    </row>
    <row r="838" customFormat="false" ht="15" hidden="false" customHeight="true" outlineLevel="0" collapsed="false">
      <c r="G838" s="4" t="str">
        <f aca="false">IF($D838="","",$A838&amp;"|"&amp;$B838&amp;"|"&amp;$C838&amp;"|"&amp;$D838)</f>
        <v/>
      </c>
      <c r="H838" s="4" t="str">
        <f aca="false">IF($D838="","",$G838&amp;"|"&amp;TEXT($E838,"0.000000"))</f>
        <v/>
      </c>
      <c r="I838" s="29" t="str">
        <f aca="false">IF($D838="","",IF(ISNUMBER($E838),FLOOR(($E838-$B838)*24,1),""))</f>
        <v/>
      </c>
      <c r="J838" s="10" t="str">
        <f aca="false">IF($D838="","",IFERROR(IF(VLOOKUP($F838,Dim_Analyst!$A:$C,3,0)="Yes","Yes","No"),"No"))</f>
        <v/>
      </c>
    </row>
    <row r="839" customFormat="false" ht="15" hidden="false" customHeight="true" outlineLevel="0" collapsed="false">
      <c r="G839" s="4" t="str">
        <f aca="false">IF($D839="","",$A839&amp;"|"&amp;$B839&amp;"|"&amp;$C839&amp;"|"&amp;$D839)</f>
        <v/>
      </c>
      <c r="H839" s="4" t="str">
        <f aca="false">IF($D839="","",$G839&amp;"|"&amp;TEXT($E839,"0.000000"))</f>
        <v/>
      </c>
      <c r="I839" s="29" t="str">
        <f aca="false">IF($D839="","",IF(ISNUMBER($E839),FLOOR(($E839-$B839)*24,1),""))</f>
        <v/>
      </c>
      <c r="J839" s="10" t="str">
        <f aca="false">IF($D839="","",IFERROR(IF(VLOOKUP($F839,Dim_Analyst!$A:$C,3,0)="Yes","Yes","No"),"No"))</f>
        <v/>
      </c>
    </row>
    <row r="840" customFormat="false" ht="15" hidden="false" customHeight="true" outlineLevel="0" collapsed="false">
      <c r="G840" s="4" t="str">
        <f aca="false">IF($D840="","",$A840&amp;"|"&amp;$B840&amp;"|"&amp;$C840&amp;"|"&amp;$D840)</f>
        <v/>
      </c>
      <c r="H840" s="4" t="str">
        <f aca="false">IF($D840="","",$G840&amp;"|"&amp;TEXT($E840,"0.000000"))</f>
        <v/>
      </c>
      <c r="I840" s="29" t="str">
        <f aca="false">IF($D840="","",IF(ISNUMBER($E840),FLOOR(($E840-$B840)*24,1),""))</f>
        <v/>
      </c>
      <c r="J840" s="10" t="str">
        <f aca="false">IF($D840="","",IFERROR(IF(VLOOKUP($F840,Dim_Analyst!$A:$C,3,0)="Yes","Yes","No"),"No"))</f>
        <v/>
      </c>
    </row>
    <row r="841" customFormat="false" ht="15" hidden="false" customHeight="true" outlineLevel="0" collapsed="false">
      <c r="G841" s="4" t="str">
        <f aca="false">IF($D841="","",$A841&amp;"|"&amp;$B841&amp;"|"&amp;$C841&amp;"|"&amp;$D841)</f>
        <v/>
      </c>
      <c r="H841" s="4" t="str">
        <f aca="false">IF($D841="","",$G841&amp;"|"&amp;TEXT($E841,"0.000000"))</f>
        <v/>
      </c>
      <c r="I841" s="29" t="str">
        <f aca="false">IF($D841="","",IF(ISNUMBER($E841),FLOOR(($E841-$B841)*24,1),""))</f>
        <v/>
      </c>
      <c r="J841" s="10" t="str">
        <f aca="false">IF($D841="","",IFERROR(IF(VLOOKUP($F841,Dim_Analyst!$A:$C,3,0)="Yes","Yes","No"),"No"))</f>
        <v/>
      </c>
    </row>
    <row r="842" customFormat="false" ht="15" hidden="false" customHeight="true" outlineLevel="0" collapsed="false">
      <c r="G842" s="4" t="str">
        <f aca="false">IF($D842="","",$A842&amp;"|"&amp;$B842&amp;"|"&amp;$C842&amp;"|"&amp;$D842)</f>
        <v/>
      </c>
      <c r="H842" s="4" t="str">
        <f aca="false">IF($D842="","",$G842&amp;"|"&amp;TEXT($E842,"0.000000"))</f>
        <v/>
      </c>
      <c r="I842" s="29" t="str">
        <f aca="false">IF($D842="","",IF(ISNUMBER($E842),FLOOR(($E842-$B842)*24,1),""))</f>
        <v/>
      </c>
      <c r="J842" s="10" t="str">
        <f aca="false">IF($D842="","",IFERROR(IF(VLOOKUP($F842,Dim_Analyst!$A:$C,3,0)="Yes","Yes","No"),"No"))</f>
        <v/>
      </c>
    </row>
    <row r="843" customFormat="false" ht="15" hidden="false" customHeight="true" outlineLevel="0" collapsed="false">
      <c r="G843" s="4" t="str">
        <f aca="false">IF($D843="","",$A843&amp;"|"&amp;$B843&amp;"|"&amp;$C843&amp;"|"&amp;$D843)</f>
        <v/>
      </c>
      <c r="H843" s="4" t="str">
        <f aca="false">IF($D843="","",$G843&amp;"|"&amp;TEXT($E843,"0.000000"))</f>
        <v/>
      </c>
      <c r="I843" s="29" t="str">
        <f aca="false">IF($D843="","",IF(ISNUMBER($E843),FLOOR(($E843-$B843)*24,1),""))</f>
        <v/>
      </c>
      <c r="J843" s="10" t="str">
        <f aca="false">IF($D843="","",IFERROR(IF(VLOOKUP($F843,Dim_Analyst!$A:$C,3,0)="Yes","Yes","No"),"No"))</f>
        <v/>
      </c>
    </row>
    <row r="844" customFormat="false" ht="15" hidden="false" customHeight="true" outlineLevel="0" collapsed="false">
      <c r="G844" s="4" t="str">
        <f aca="false">IF($D844="","",$A844&amp;"|"&amp;$B844&amp;"|"&amp;$C844&amp;"|"&amp;$D844)</f>
        <v/>
      </c>
      <c r="H844" s="4" t="str">
        <f aca="false">IF($D844="","",$G844&amp;"|"&amp;TEXT($E844,"0.000000"))</f>
        <v/>
      </c>
      <c r="I844" s="29" t="str">
        <f aca="false">IF($D844="","",IF(ISNUMBER($E844),FLOOR(($E844-$B844)*24,1),""))</f>
        <v/>
      </c>
      <c r="J844" s="10" t="str">
        <f aca="false">IF($D844="","",IFERROR(IF(VLOOKUP($F844,Dim_Analyst!$A:$C,3,0)="Yes","Yes","No"),"No"))</f>
        <v/>
      </c>
    </row>
    <row r="845" customFormat="false" ht="15" hidden="false" customHeight="true" outlineLevel="0" collapsed="false">
      <c r="G845" s="4" t="str">
        <f aca="false">IF($D845="","",$A845&amp;"|"&amp;$B845&amp;"|"&amp;$C845&amp;"|"&amp;$D845)</f>
        <v/>
      </c>
      <c r="H845" s="4" t="str">
        <f aca="false">IF($D845="","",$G845&amp;"|"&amp;TEXT($E845,"0.000000"))</f>
        <v/>
      </c>
      <c r="I845" s="29" t="str">
        <f aca="false">IF($D845="","",IF(ISNUMBER($E845),FLOOR(($E845-$B845)*24,1),""))</f>
        <v/>
      </c>
      <c r="J845" s="10" t="str">
        <f aca="false">IF($D845="","",IFERROR(IF(VLOOKUP($F845,Dim_Analyst!$A:$C,3,0)="Yes","Yes","No"),"No"))</f>
        <v/>
      </c>
    </row>
    <row r="846" customFormat="false" ht="15" hidden="false" customHeight="true" outlineLevel="0" collapsed="false">
      <c r="G846" s="4" t="str">
        <f aca="false">IF($D846="","",$A846&amp;"|"&amp;$B846&amp;"|"&amp;$C846&amp;"|"&amp;$D846)</f>
        <v/>
      </c>
      <c r="H846" s="4" t="str">
        <f aca="false">IF($D846="","",$G846&amp;"|"&amp;TEXT($E846,"0.000000"))</f>
        <v/>
      </c>
      <c r="I846" s="29" t="str">
        <f aca="false">IF($D846="","",IF(ISNUMBER($E846),FLOOR(($E846-$B846)*24,1),""))</f>
        <v/>
      </c>
      <c r="J846" s="10" t="str">
        <f aca="false">IF($D846="","",IFERROR(IF(VLOOKUP($F846,Dim_Analyst!$A:$C,3,0)="Yes","Yes","No"),"No"))</f>
        <v/>
      </c>
    </row>
    <row r="847" customFormat="false" ht="15" hidden="false" customHeight="true" outlineLevel="0" collapsed="false">
      <c r="G847" s="4" t="str">
        <f aca="false">IF($D847="","",$A847&amp;"|"&amp;$B847&amp;"|"&amp;$C847&amp;"|"&amp;$D847)</f>
        <v/>
      </c>
      <c r="H847" s="4" t="str">
        <f aca="false">IF($D847="","",$G847&amp;"|"&amp;TEXT($E847,"0.000000"))</f>
        <v/>
      </c>
      <c r="I847" s="29" t="str">
        <f aca="false">IF($D847="","",IF(ISNUMBER($E847),FLOOR(($E847-$B847)*24,1),""))</f>
        <v/>
      </c>
      <c r="J847" s="10" t="str">
        <f aca="false">IF($D847="","",IFERROR(IF(VLOOKUP($F847,Dim_Analyst!$A:$C,3,0)="Yes","Yes","No"),"No"))</f>
        <v/>
      </c>
    </row>
    <row r="848" customFormat="false" ht="15" hidden="false" customHeight="true" outlineLevel="0" collapsed="false">
      <c r="G848" s="4" t="str">
        <f aca="false">IF($D848="","",$A848&amp;"|"&amp;$B848&amp;"|"&amp;$C848&amp;"|"&amp;$D848)</f>
        <v/>
      </c>
      <c r="H848" s="4" t="str">
        <f aca="false">IF($D848="","",$G848&amp;"|"&amp;TEXT($E848,"0.000000"))</f>
        <v/>
      </c>
      <c r="I848" s="29" t="str">
        <f aca="false">IF($D848="","",IF(ISNUMBER($E848),FLOOR(($E848-$B848)*24,1),""))</f>
        <v/>
      </c>
      <c r="J848" s="10" t="str">
        <f aca="false">IF($D848="","",IFERROR(IF(VLOOKUP($F848,Dim_Analyst!$A:$C,3,0)="Yes","Yes","No"),"No"))</f>
        <v/>
      </c>
    </row>
    <row r="849" customFormat="false" ht="15" hidden="false" customHeight="true" outlineLevel="0" collapsed="false">
      <c r="G849" s="4" t="str">
        <f aca="false">IF($D849="","",$A849&amp;"|"&amp;$B849&amp;"|"&amp;$C849&amp;"|"&amp;$D849)</f>
        <v/>
      </c>
      <c r="H849" s="4" t="str">
        <f aca="false">IF($D849="","",$G849&amp;"|"&amp;TEXT($E849,"0.000000"))</f>
        <v/>
      </c>
      <c r="I849" s="29" t="str">
        <f aca="false">IF($D849="","",IF(ISNUMBER($E849),FLOOR(($E849-$B849)*24,1),""))</f>
        <v/>
      </c>
      <c r="J849" s="10" t="str">
        <f aca="false">IF($D849="","",IFERROR(IF(VLOOKUP($F849,Dim_Analyst!$A:$C,3,0)="Yes","Yes","No"),"No"))</f>
        <v/>
      </c>
    </row>
    <row r="850" customFormat="false" ht="15" hidden="false" customHeight="true" outlineLevel="0" collapsed="false">
      <c r="G850" s="4" t="str">
        <f aca="false">IF($D850="","",$A850&amp;"|"&amp;$B850&amp;"|"&amp;$C850&amp;"|"&amp;$D850)</f>
        <v/>
      </c>
      <c r="H850" s="4" t="str">
        <f aca="false">IF($D850="","",$G850&amp;"|"&amp;TEXT($E850,"0.000000"))</f>
        <v/>
      </c>
      <c r="I850" s="29" t="str">
        <f aca="false">IF($D850="","",IF(ISNUMBER($E850),FLOOR(($E850-$B850)*24,1),""))</f>
        <v/>
      </c>
      <c r="J850" s="10" t="str">
        <f aca="false">IF($D850="","",IFERROR(IF(VLOOKUP($F850,Dim_Analyst!$A:$C,3,0)="Yes","Yes","No"),"No"))</f>
        <v/>
      </c>
    </row>
    <row r="851" customFormat="false" ht="15" hidden="false" customHeight="true" outlineLevel="0" collapsed="false">
      <c r="G851" s="4" t="str">
        <f aca="false">IF($D851="","",$A851&amp;"|"&amp;$B851&amp;"|"&amp;$C851&amp;"|"&amp;$D851)</f>
        <v/>
      </c>
      <c r="H851" s="4" t="str">
        <f aca="false">IF($D851="","",$G851&amp;"|"&amp;TEXT($E851,"0.000000"))</f>
        <v/>
      </c>
      <c r="I851" s="29" t="str">
        <f aca="false">IF($D851="","",IF(ISNUMBER($E851),FLOOR(($E851-$B851)*24,1),""))</f>
        <v/>
      </c>
      <c r="J851" s="10" t="str">
        <f aca="false">IF($D851="","",IFERROR(IF(VLOOKUP($F851,Dim_Analyst!$A:$C,3,0)="Yes","Yes","No"),"No"))</f>
        <v/>
      </c>
    </row>
    <row r="852" customFormat="false" ht="15" hidden="false" customHeight="true" outlineLevel="0" collapsed="false">
      <c r="G852" s="4" t="str">
        <f aca="false">IF($D852="","",$A852&amp;"|"&amp;$B852&amp;"|"&amp;$C852&amp;"|"&amp;$D852)</f>
        <v/>
      </c>
      <c r="H852" s="4" t="str">
        <f aca="false">IF($D852="","",$G852&amp;"|"&amp;TEXT($E852,"0.000000"))</f>
        <v/>
      </c>
      <c r="I852" s="29" t="str">
        <f aca="false">IF($D852="","",IF(ISNUMBER($E852),FLOOR(($E852-$B852)*24,1),""))</f>
        <v/>
      </c>
      <c r="J852" s="10" t="str">
        <f aca="false">IF($D852="","",IFERROR(IF(VLOOKUP($F852,Dim_Analyst!$A:$C,3,0)="Yes","Yes","No"),"No"))</f>
        <v/>
      </c>
    </row>
    <row r="853" customFormat="false" ht="15" hidden="false" customHeight="true" outlineLevel="0" collapsed="false">
      <c r="G853" s="4" t="str">
        <f aca="false">IF($D853="","",$A853&amp;"|"&amp;$B853&amp;"|"&amp;$C853&amp;"|"&amp;$D853)</f>
        <v/>
      </c>
      <c r="H853" s="4" t="str">
        <f aca="false">IF($D853="","",$G853&amp;"|"&amp;TEXT($E853,"0.000000"))</f>
        <v/>
      </c>
      <c r="I853" s="29" t="str">
        <f aca="false">IF($D853="","",IF(ISNUMBER($E853),FLOOR(($E853-$B853)*24,1),""))</f>
        <v/>
      </c>
      <c r="J853" s="10" t="str">
        <f aca="false">IF($D853="","",IFERROR(IF(VLOOKUP($F853,Dim_Analyst!$A:$C,3,0)="Yes","Yes","No"),"No"))</f>
        <v/>
      </c>
    </row>
    <row r="854" customFormat="false" ht="15" hidden="false" customHeight="true" outlineLevel="0" collapsed="false">
      <c r="G854" s="4" t="str">
        <f aca="false">IF($D854="","",$A854&amp;"|"&amp;$B854&amp;"|"&amp;$C854&amp;"|"&amp;$D854)</f>
        <v/>
      </c>
      <c r="H854" s="4" t="str">
        <f aca="false">IF($D854="","",$G854&amp;"|"&amp;TEXT($E854,"0.000000"))</f>
        <v/>
      </c>
      <c r="I854" s="29" t="str">
        <f aca="false">IF($D854="","",IF(ISNUMBER($E854),FLOOR(($E854-$B854)*24,1),""))</f>
        <v/>
      </c>
      <c r="J854" s="10" t="str">
        <f aca="false">IF($D854="","",IFERROR(IF(VLOOKUP($F854,Dim_Analyst!$A:$C,3,0)="Yes","Yes","No"),"No"))</f>
        <v/>
      </c>
    </row>
    <row r="855" customFormat="false" ht="15" hidden="false" customHeight="true" outlineLevel="0" collapsed="false">
      <c r="G855" s="4" t="str">
        <f aca="false">IF($D855="","",$A855&amp;"|"&amp;$B855&amp;"|"&amp;$C855&amp;"|"&amp;$D855)</f>
        <v/>
      </c>
      <c r="H855" s="4" t="str">
        <f aca="false">IF($D855="","",$G855&amp;"|"&amp;TEXT($E855,"0.000000"))</f>
        <v/>
      </c>
      <c r="I855" s="29" t="str">
        <f aca="false">IF($D855="","",IF(ISNUMBER($E855),FLOOR(($E855-$B855)*24,1),""))</f>
        <v/>
      </c>
      <c r="J855" s="10" t="str">
        <f aca="false">IF($D855="","",IFERROR(IF(VLOOKUP($F855,Dim_Analyst!$A:$C,3,0)="Yes","Yes","No"),"No"))</f>
        <v/>
      </c>
    </row>
    <row r="856" customFormat="false" ht="15" hidden="false" customHeight="true" outlineLevel="0" collapsed="false">
      <c r="G856" s="4" t="str">
        <f aca="false">IF($D856="","",$A856&amp;"|"&amp;$B856&amp;"|"&amp;$C856&amp;"|"&amp;$D856)</f>
        <v/>
      </c>
      <c r="H856" s="4" t="str">
        <f aca="false">IF($D856="","",$G856&amp;"|"&amp;TEXT($E856,"0.000000"))</f>
        <v/>
      </c>
      <c r="I856" s="29" t="str">
        <f aca="false">IF($D856="","",IF(ISNUMBER($E856),FLOOR(($E856-$B856)*24,1),""))</f>
        <v/>
      </c>
      <c r="J856" s="10" t="str">
        <f aca="false">IF($D856="","",IFERROR(IF(VLOOKUP($F856,Dim_Analyst!$A:$C,3,0)="Yes","Yes","No"),"No"))</f>
        <v/>
      </c>
    </row>
    <row r="857" customFormat="false" ht="15" hidden="false" customHeight="true" outlineLevel="0" collapsed="false">
      <c r="G857" s="4" t="str">
        <f aca="false">IF($D857="","",$A857&amp;"|"&amp;$B857&amp;"|"&amp;$C857&amp;"|"&amp;$D857)</f>
        <v/>
      </c>
      <c r="H857" s="4" t="str">
        <f aca="false">IF($D857="","",$G857&amp;"|"&amp;TEXT($E857,"0.000000"))</f>
        <v/>
      </c>
      <c r="I857" s="29" t="str">
        <f aca="false">IF($D857="","",IF(ISNUMBER($E857),FLOOR(($E857-$B857)*24,1),""))</f>
        <v/>
      </c>
      <c r="J857" s="10" t="str">
        <f aca="false">IF($D857="","",IFERROR(IF(VLOOKUP($F857,Dim_Analyst!$A:$C,3,0)="Yes","Yes","No"),"No"))</f>
        <v/>
      </c>
    </row>
    <row r="858" customFormat="false" ht="15" hidden="false" customHeight="true" outlineLevel="0" collapsed="false">
      <c r="G858" s="4" t="str">
        <f aca="false">IF($D858="","",$A858&amp;"|"&amp;$B858&amp;"|"&amp;$C858&amp;"|"&amp;$D858)</f>
        <v/>
      </c>
      <c r="H858" s="4" t="str">
        <f aca="false">IF($D858="","",$G858&amp;"|"&amp;TEXT($E858,"0.000000"))</f>
        <v/>
      </c>
      <c r="I858" s="29" t="str">
        <f aca="false">IF($D858="","",IF(ISNUMBER($E858),FLOOR(($E858-$B858)*24,1),""))</f>
        <v/>
      </c>
      <c r="J858" s="10" t="str">
        <f aca="false">IF($D858="","",IFERROR(IF(VLOOKUP($F858,Dim_Analyst!$A:$C,3,0)="Yes","Yes","No"),"No"))</f>
        <v/>
      </c>
    </row>
    <row r="859" customFormat="false" ht="15" hidden="false" customHeight="true" outlineLevel="0" collapsed="false">
      <c r="G859" s="4" t="str">
        <f aca="false">IF($D859="","",$A859&amp;"|"&amp;$B859&amp;"|"&amp;$C859&amp;"|"&amp;$D859)</f>
        <v/>
      </c>
      <c r="H859" s="4" t="str">
        <f aca="false">IF($D859="","",$G859&amp;"|"&amp;TEXT($E859,"0.000000"))</f>
        <v/>
      </c>
      <c r="I859" s="29" t="str">
        <f aca="false">IF($D859="","",IF(ISNUMBER($E859),FLOOR(($E859-$B859)*24,1),""))</f>
        <v/>
      </c>
      <c r="J859" s="10" t="str">
        <f aca="false">IF($D859="","",IFERROR(IF(VLOOKUP($F859,Dim_Analyst!$A:$C,3,0)="Yes","Yes","No"),"No"))</f>
        <v/>
      </c>
    </row>
    <row r="860" customFormat="false" ht="15" hidden="false" customHeight="true" outlineLevel="0" collapsed="false">
      <c r="G860" s="4" t="str">
        <f aca="false">IF($D860="","",$A860&amp;"|"&amp;$B860&amp;"|"&amp;$C860&amp;"|"&amp;$D860)</f>
        <v/>
      </c>
      <c r="H860" s="4" t="str">
        <f aca="false">IF($D860="","",$G860&amp;"|"&amp;TEXT($E860,"0.000000"))</f>
        <v/>
      </c>
      <c r="I860" s="29" t="str">
        <f aca="false">IF($D860="","",IF(ISNUMBER($E860),FLOOR(($E860-$B860)*24,1),""))</f>
        <v/>
      </c>
      <c r="J860" s="10" t="str">
        <f aca="false">IF($D860="","",IFERROR(IF(VLOOKUP($F860,Dim_Analyst!$A:$C,3,0)="Yes","Yes","No"),"No"))</f>
        <v/>
      </c>
    </row>
    <row r="861" customFormat="false" ht="15" hidden="false" customHeight="true" outlineLevel="0" collapsed="false">
      <c r="G861" s="4" t="str">
        <f aca="false">IF($D861="","",$A861&amp;"|"&amp;$B861&amp;"|"&amp;$C861&amp;"|"&amp;$D861)</f>
        <v/>
      </c>
      <c r="H861" s="4" t="str">
        <f aca="false">IF($D861="","",$G861&amp;"|"&amp;TEXT($E861,"0.000000"))</f>
        <v/>
      </c>
      <c r="I861" s="29" t="str">
        <f aca="false">IF($D861="","",IF(ISNUMBER($E861),FLOOR(($E861-$B861)*24,1),""))</f>
        <v/>
      </c>
      <c r="J861" s="10" t="str">
        <f aca="false">IF($D861="","",IFERROR(IF(VLOOKUP($F861,Dim_Analyst!$A:$C,3,0)="Yes","Yes","No"),"No"))</f>
        <v/>
      </c>
    </row>
    <row r="862" customFormat="false" ht="15" hidden="false" customHeight="true" outlineLevel="0" collapsed="false">
      <c r="G862" s="4" t="str">
        <f aca="false">IF($D862="","",$A862&amp;"|"&amp;$B862&amp;"|"&amp;$C862&amp;"|"&amp;$D862)</f>
        <v/>
      </c>
      <c r="H862" s="4" t="str">
        <f aca="false">IF($D862="","",$G862&amp;"|"&amp;TEXT($E862,"0.000000"))</f>
        <v/>
      </c>
      <c r="I862" s="29" t="str">
        <f aca="false">IF($D862="","",IF(ISNUMBER($E862),FLOOR(($E862-$B862)*24,1),""))</f>
        <v/>
      </c>
      <c r="J862" s="10" t="str">
        <f aca="false">IF($D862="","",IFERROR(IF(VLOOKUP($F862,Dim_Analyst!$A:$C,3,0)="Yes","Yes","No"),"No"))</f>
        <v/>
      </c>
    </row>
    <row r="863" customFormat="false" ht="15" hidden="false" customHeight="true" outlineLevel="0" collapsed="false">
      <c r="G863" s="4" t="str">
        <f aca="false">IF($D863="","",$A863&amp;"|"&amp;$B863&amp;"|"&amp;$C863&amp;"|"&amp;$D863)</f>
        <v/>
      </c>
      <c r="H863" s="4" t="str">
        <f aca="false">IF($D863="","",$G863&amp;"|"&amp;TEXT($E863,"0.000000"))</f>
        <v/>
      </c>
      <c r="I863" s="29" t="str">
        <f aca="false">IF($D863="","",IF(ISNUMBER($E863),FLOOR(($E863-$B863)*24,1),""))</f>
        <v/>
      </c>
      <c r="J863" s="10" t="str">
        <f aca="false">IF($D863="","",IFERROR(IF(VLOOKUP($F863,Dim_Analyst!$A:$C,3,0)="Yes","Yes","No"),"No"))</f>
        <v/>
      </c>
    </row>
    <row r="864" customFormat="false" ht="15" hidden="false" customHeight="true" outlineLevel="0" collapsed="false">
      <c r="G864" s="4" t="str">
        <f aca="false">IF($D864="","",$A864&amp;"|"&amp;$B864&amp;"|"&amp;$C864&amp;"|"&amp;$D864)</f>
        <v/>
      </c>
      <c r="H864" s="4" t="str">
        <f aca="false">IF($D864="","",$G864&amp;"|"&amp;TEXT($E864,"0.000000"))</f>
        <v/>
      </c>
      <c r="I864" s="29" t="str">
        <f aca="false">IF($D864="","",IF(ISNUMBER($E864),FLOOR(($E864-$B864)*24,1),""))</f>
        <v/>
      </c>
      <c r="J864" s="10" t="str">
        <f aca="false">IF($D864="","",IFERROR(IF(VLOOKUP($F864,Dim_Analyst!$A:$C,3,0)="Yes","Yes","No"),"No"))</f>
        <v/>
      </c>
    </row>
    <row r="865" customFormat="false" ht="15" hidden="false" customHeight="true" outlineLevel="0" collapsed="false">
      <c r="G865" s="4" t="str">
        <f aca="false">IF($D865="","",$A865&amp;"|"&amp;$B865&amp;"|"&amp;$C865&amp;"|"&amp;$D865)</f>
        <v/>
      </c>
      <c r="H865" s="4" t="str">
        <f aca="false">IF($D865="","",$G865&amp;"|"&amp;TEXT($E865,"0.000000"))</f>
        <v/>
      </c>
      <c r="I865" s="29" t="str">
        <f aca="false">IF($D865="","",IF(ISNUMBER($E865),FLOOR(($E865-$B865)*24,1),""))</f>
        <v/>
      </c>
      <c r="J865" s="10" t="str">
        <f aca="false">IF($D865="","",IFERROR(IF(VLOOKUP($F865,Dim_Analyst!$A:$C,3,0)="Yes","Yes","No"),"No"))</f>
        <v/>
      </c>
    </row>
    <row r="866" customFormat="false" ht="15" hidden="false" customHeight="true" outlineLevel="0" collapsed="false">
      <c r="G866" s="4" t="str">
        <f aca="false">IF($D866="","",$A866&amp;"|"&amp;$B866&amp;"|"&amp;$C866&amp;"|"&amp;$D866)</f>
        <v/>
      </c>
      <c r="H866" s="4" t="str">
        <f aca="false">IF($D866="","",$G866&amp;"|"&amp;TEXT($E866,"0.000000"))</f>
        <v/>
      </c>
      <c r="I866" s="29" t="str">
        <f aca="false">IF($D866="","",IF(ISNUMBER($E866),FLOOR(($E866-$B866)*24,1),""))</f>
        <v/>
      </c>
      <c r="J866" s="10" t="str">
        <f aca="false">IF($D866="","",IFERROR(IF(VLOOKUP($F866,Dim_Analyst!$A:$C,3,0)="Yes","Yes","No"),"No"))</f>
        <v/>
      </c>
    </row>
    <row r="867" customFormat="false" ht="15" hidden="false" customHeight="true" outlineLevel="0" collapsed="false">
      <c r="G867" s="4" t="str">
        <f aca="false">IF($D867="","",$A867&amp;"|"&amp;$B867&amp;"|"&amp;$C867&amp;"|"&amp;$D867)</f>
        <v/>
      </c>
      <c r="H867" s="4" t="str">
        <f aca="false">IF($D867="","",$G867&amp;"|"&amp;TEXT($E867,"0.000000"))</f>
        <v/>
      </c>
      <c r="I867" s="29" t="str">
        <f aca="false">IF($D867="","",IF(ISNUMBER($E867),FLOOR(($E867-$B867)*24,1),""))</f>
        <v/>
      </c>
      <c r="J867" s="10" t="str">
        <f aca="false">IF($D867="","",IFERROR(IF(VLOOKUP($F867,Dim_Analyst!$A:$C,3,0)="Yes","Yes","No"),"No"))</f>
        <v/>
      </c>
    </row>
    <row r="868" customFormat="false" ht="15" hidden="false" customHeight="true" outlineLevel="0" collapsed="false">
      <c r="G868" s="4" t="str">
        <f aca="false">IF($D868="","",$A868&amp;"|"&amp;$B868&amp;"|"&amp;$C868&amp;"|"&amp;$D868)</f>
        <v/>
      </c>
      <c r="H868" s="4" t="str">
        <f aca="false">IF($D868="","",$G868&amp;"|"&amp;TEXT($E868,"0.000000"))</f>
        <v/>
      </c>
      <c r="I868" s="29" t="str">
        <f aca="false">IF($D868="","",IF(ISNUMBER($E868),FLOOR(($E868-$B868)*24,1),""))</f>
        <v/>
      </c>
      <c r="J868" s="10" t="str">
        <f aca="false">IF($D868="","",IFERROR(IF(VLOOKUP($F868,Dim_Analyst!$A:$C,3,0)="Yes","Yes","No"),"No"))</f>
        <v/>
      </c>
    </row>
    <row r="869" customFormat="false" ht="15" hidden="false" customHeight="true" outlineLevel="0" collapsed="false">
      <c r="G869" s="4" t="str">
        <f aca="false">IF($D869="","",$A869&amp;"|"&amp;$B869&amp;"|"&amp;$C869&amp;"|"&amp;$D869)</f>
        <v/>
      </c>
      <c r="H869" s="4" t="str">
        <f aca="false">IF($D869="","",$G869&amp;"|"&amp;TEXT($E869,"0.000000"))</f>
        <v/>
      </c>
      <c r="I869" s="29" t="str">
        <f aca="false">IF($D869="","",IF(ISNUMBER($E869),FLOOR(($E869-$B869)*24,1),""))</f>
        <v/>
      </c>
      <c r="J869" s="10" t="str">
        <f aca="false">IF($D869="","",IFERROR(IF(VLOOKUP($F869,Dim_Analyst!$A:$C,3,0)="Yes","Yes","No"),"No"))</f>
        <v/>
      </c>
    </row>
    <row r="870" customFormat="false" ht="15" hidden="false" customHeight="true" outlineLevel="0" collapsed="false">
      <c r="G870" s="4" t="str">
        <f aca="false">IF($D870="","",$A870&amp;"|"&amp;$B870&amp;"|"&amp;$C870&amp;"|"&amp;$D870)</f>
        <v/>
      </c>
      <c r="H870" s="4" t="str">
        <f aca="false">IF($D870="","",$G870&amp;"|"&amp;TEXT($E870,"0.000000"))</f>
        <v/>
      </c>
      <c r="I870" s="29" t="str">
        <f aca="false">IF($D870="","",IF(ISNUMBER($E870),FLOOR(($E870-$B870)*24,1),""))</f>
        <v/>
      </c>
      <c r="J870" s="10" t="str">
        <f aca="false">IF($D870="","",IFERROR(IF(VLOOKUP($F870,Dim_Analyst!$A:$C,3,0)="Yes","Yes","No"),"No"))</f>
        <v/>
      </c>
    </row>
    <row r="871" customFormat="false" ht="15" hidden="false" customHeight="true" outlineLevel="0" collapsed="false">
      <c r="G871" s="4" t="str">
        <f aca="false">IF($D871="","",$A871&amp;"|"&amp;$B871&amp;"|"&amp;$C871&amp;"|"&amp;$D871)</f>
        <v/>
      </c>
      <c r="H871" s="4" t="str">
        <f aca="false">IF($D871="","",$G871&amp;"|"&amp;TEXT($E871,"0.000000"))</f>
        <v/>
      </c>
      <c r="I871" s="29" t="str">
        <f aca="false">IF($D871="","",IF(ISNUMBER($E871),FLOOR(($E871-$B871)*24,1),""))</f>
        <v/>
      </c>
      <c r="J871" s="10" t="str">
        <f aca="false">IF($D871="","",IFERROR(IF(VLOOKUP($F871,Dim_Analyst!$A:$C,3,0)="Yes","Yes","No"),"No"))</f>
        <v/>
      </c>
    </row>
    <row r="872" customFormat="false" ht="15" hidden="false" customHeight="true" outlineLevel="0" collapsed="false">
      <c r="G872" s="4" t="str">
        <f aca="false">IF($D872="","",$A872&amp;"|"&amp;$B872&amp;"|"&amp;$C872&amp;"|"&amp;$D872)</f>
        <v/>
      </c>
      <c r="H872" s="4" t="str">
        <f aca="false">IF($D872="","",$G872&amp;"|"&amp;TEXT($E872,"0.000000"))</f>
        <v/>
      </c>
      <c r="I872" s="29" t="str">
        <f aca="false">IF($D872="","",IF(ISNUMBER($E872),FLOOR(($E872-$B872)*24,1),""))</f>
        <v/>
      </c>
      <c r="J872" s="10" t="str">
        <f aca="false">IF($D872="","",IFERROR(IF(VLOOKUP($F872,Dim_Analyst!$A:$C,3,0)="Yes","Yes","No"),"No"))</f>
        <v/>
      </c>
    </row>
    <row r="873" customFormat="false" ht="15" hidden="false" customHeight="true" outlineLevel="0" collapsed="false">
      <c r="G873" s="4" t="str">
        <f aca="false">IF($D873="","",$A873&amp;"|"&amp;$B873&amp;"|"&amp;$C873&amp;"|"&amp;$D873)</f>
        <v/>
      </c>
      <c r="H873" s="4" t="str">
        <f aca="false">IF($D873="","",$G873&amp;"|"&amp;TEXT($E873,"0.000000"))</f>
        <v/>
      </c>
      <c r="I873" s="29" t="str">
        <f aca="false">IF($D873="","",IF(ISNUMBER($E873),FLOOR(($E873-$B873)*24,1),""))</f>
        <v/>
      </c>
      <c r="J873" s="10" t="str">
        <f aca="false">IF($D873="","",IFERROR(IF(VLOOKUP($F873,Dim_Analyst!$A:$C,3,0)="Yes","Yes","No"),"No"))</f>
        <v/>
      </c>
    </row>
    <row r="874" customFormat="false" ht="15" hidden="false" customHeight="true" outlineLevel="0" collapsed="false">
      <c r="G874" s="4" t="str">
        <f aca="false">IF($D874="","",$A874&amp;"|"&amp;$B874&amp;"|"&amp;$C874&amp;"|"&amp;$D874)</f>
        <v/>
      </c>
      <c r="H874" s="4" t="str">
        <f aca="false">IF($D874="","",$G874&amp;"|"&amp;TEXT($E874,"0.000000"))</f>
        <v/>
      </c>
      <c r="I874" s="29" t="str">
        <f aca="false">IF($D874="","",IF(ISNUMBER($E874),FLOOR(($E874-$B874)*24,1),""))</f>
        <v/>
      </c>
      <c r="J874" s="10" t="str">
        <f aca="false">IF($D874="","",IFERROR(IF(VLOOKUP($F874,Dim_Analyst!$A:$C,3,0)="Yes","Yes","No"),"No"))</f>
        <v/>
      </c>
    </row>
    <row r="875" customFormat="false" ht="15" hidden="false" customHeight="true" outlineLevel="0" collapsed="false">
      <c r="G875" s="4" t="str">
        <f aca="false">IF($D875="","",$A875&amp;"|"&amp;$B875&amp;"|"&amp;$C875&amp;"|"&amp;$D875)</f>
        <v/>
      </c>
      <c r="H875" s="4" t="str">
        <f aca="false">IF($D875="","",$G875&amp;"|"&amp;TEXT($E875,"0.000000"))</f>
        <v/>
      </c>
      <c r="I875" s="29" t="str">
        <f aca="false">IF($D875="","",IF(ISNUMBER($E875),FLOOR(($E875-$B875)*24,1),""))</f>
        <v/>
      </c>
      <c r="J875" s="10" t="str">
        <f aca="false">IF($D875="","",IFERROR(IF(VLOOKUP($F875,Dim_Analyst!$A:$C,3,0)="Yes","Yes","No"),"No"))</f>
        <v/>
      </c>
    </row>
    <row r="876" customFormat="false" ht="15" hidden="false" customHeight="true" outlineLevel="0" collapsed="false">
      <c r="G876" s="4" t="str">
        <f aca="false">IF($D876="","",$A876&amp;"|"&amp;$B876&amp;"|"&amp;$C876&amp;"|"&amp;$D876)</f>
        <v/>
      </c>
      <c r="H876" s="4" t="str">
        <f aca="false">IF($D876="","",$G876&amp;"|"&amp;TEXT($E876,"0.000000"))</f>
        <v/>
      </c>
      <c r="I876" s="29" t="str">
        <f aca="false">IF($D876="","",IF(ISNUMBER($E876),FLOOR(($E876-$B876)*24,1),""))</f>
        <v/>
      </c>
      <c r="J876" s="10" t="str">
        <f aca="false">IF($D876="","",IFERROR(IF(VLOOKUP($F876,Dim_Analyst!$A:$C,3,0)="Yes","Yes","No"),"No"))</f>
        <v/>
      </c>
    </row>
    <row r="877" customFormat="false" ht="15" hidden="false" customHeight="true" outlineLevel="0" collapsed="false">
      <c r="G877" s="4" t="str">
        <f aca="false">IF($D877="","",$A877&amp;"|"&amp;$B877&amp;"|"&amp;$C877&amp;"|"&amp;$D877)</f>
        <v/>
      </c>
      <c r="H877" s="4" t="str">
        <f aca="false">IF($D877="","",$G877&amp;"|"&amp;TEXT($E877,"0.000000"))</f>
        <v/>
      </c>
      <c r="I877" s="29" t="str">
        <f aca="false">IF($D877="","",IF(ISNUMBER($E877),FLOOR(($E877-$B877)*24,1),""))</f>
        <v/>
      </c>
      <c r="J877" s="10" t="str">
        <f aca="false">IF($D877="","",IFERROR(IF(VLOOKUP($F877,Dim_Analyst!$A:$C,3,0)="Yes","Yes","No"),"No"))</f>
        <v/>
      </c>
    </row>
    <row r="878" customFormat="false" ht="15" hidden="false" customHeight="true" outlineLevel="0" collapsed="false">
      <c r="G878" s="4" t="str">
        <f aca="false">IF($D878="","",$A878&amp;"|"&amp;$B878&amp;"|"&amp;$C878&amp;"|"&amp;$D878)</f>
        <v/>
      </c>
      <c r="H878" s="4" t="str">
        <f aca="false">IF($D878="","",$G878&amp;"|"&amp;TEXT($E878,"0.000000"))</f>
        <v/>
      </c>
      <c r="I878" s="29" t="str">
        <f aca="false">IF($D878="","",IF(ISNUMBER($E878),FLOOR(($E878-$B878)*24,1),""))</f>
        <v/>
      </c>
      <c r="J878" s="10" t="str">
        <f aca="false">IF($D878="","",IFERROR(IF(VLOOKUP($F878,Dim_Analyst!$A:$C,3,0)="Yes","Yes","No"),"No"))</f>
        <v/>
      </c>
    </row>
    <row r="879" customFormat="false" ht="15" hidden="false" customHeight="true" outlineLevel="0" collapsed="false">
      <c r="G879" s="4" t="str">
        <f aca="false">IF($D879="","",$A879&amp;"|"&amp;$B879&amp;"|"&amp;$C879&amp;"|"&amp;$D879)</f>
        <v/>
      </c>
      <c r="H879" s="4" t="str">
        <f aca="false">IF($D879="","",$G879&amp;"|"&amp;TEXT($E879,"0.000000"))</f>
        <v/>
      </c>
      <c r="I879" s="29" t="str">
        <f aca="false">IF($D879="","",IF(ISNUMBER($E879),FLOOR(($E879-$B879)*24,1),""))</f>
        <v/>
      </c>
      <c r="J879" s="10" t="str">
        <f aca="false">IF($D879="","",IFERROR(IF(VLOOKUP($F879,Dim_Analyst!$A:$C,3,0)="Yes","Yes","No"),"No"))</f>
        <v/>
      </c>
    </row>
    <row r="880" customFormat="false" ht="15" hidden="false" customHeight="true" outlineLevel="0" collapsed="false">
      <c r="G880" s="4" t="str">
        <f aca="false">IF($D880="","",$A880&amp;"|"&amp;$B880&amp;"|"&amp;$C880&amp;"|"&amp;$D880)</f>
        <v/>
      </c>
      <c r="H880" s="4" t="str">
        <f aca="false">IF($D880="","",$G880&amp;"|"&amp;TEXT($E880,"0.000000"))</f>
        <v/>
      </c>
      <c r="I880" s="29" t="str">
        <f aca="false">IF($D880="","",IF(ISNUMBER($E880),FLOOR(($E880-$B880)*24,1),""))</f>
        <v/>
      </c>
      <c r="J880" s="10" t="str">
        <f aca="false">IF($D880="","",IFERROR(IF(VLOOKUP($F880,Dim_Analyst!$A:$C,3,0)="Yes","Yes","No"),"No"))</f>
        <v/>
      </c>
    </row>
    <row r="881" customFormat="false" ht="15" hidden="false" customHeight="true" outlineLevel="0" collapsed="false">
      <c r="G881" s="4" t="str">
        <f aca="false">IF($D881="","",$A881&amp;"|"&amp;$B881&amp;"|"&amp;$C881&amp;"|"&amp;$D881)</f>
        <v/>
      </c>
      <c r="H881" s="4" t="str">
        <f aca="false">IF($D881="","",$G881&amp;"|"&amp;TEXT($E881,"0.000000"))</f>
        <v/>
      </c>
      <c r="I881" s="29" t="str">
        <f aca="false">IF($D881="","",IF(ISNUMBER($E881),FLOOR(($E881-$B881)*24,1),""))</f>
        <v/>
      </c>
      <c r="J881" s="10" t="str">
        <f aca="false">IF($D881="","",IFERROR(IF(VLOOKUP($F881,Dim_Analyst!$A:$C,3,0)="Yes","Yes","No"),"No"))</f>
        <v/>
      </c>
    </row>
    <row r="882" customFormat="false" ht="15" hidden="false" customHeight="true" outlineLevel="0" collapsed="false">
      <c r="G882" s="4" t="str">
        <f aca="false">IF($D882="","",$A882&amp;"|"&amp;$B882&amp;"|"&amp;$C882&amp;"|"&amp;$D882)</f>
        <v/>
      </c>
      <c r="H882" s="4" t="str">
        <f aca="false">IF($D882="","",$G882&amp;"|"&amp;TEXT($E882,"0.000000"))</f>
        <v/>
      </c>
      <c r="I882" s="29" t="str">
        <f aca="false">IF($D882="","",IF(ISNUMBER($E882),FLOOR(($E882-$B882)*24,1),""))</f>
        <v/>
      </c>
      <c r="J882" s="10" t="str">
        <f aca="false">IF($D882="","",IFERROR(IF(VLOOKUP($F882,Dim_Analyst!$A:$C,3,0)="Yes","Yes","No"),"No"))</f>
        <v/>
      </c>
    </row>
    <row r="883" customFormat="false" ht="15" hidden="false" customHeight="true" outlineLevel="0" collapsed="false">
      <c r="G883" s="4" t="str">
        <f aca="false">IF($D883="","",$A883&amp;"|"&amp;$B883&amp;"|"&amp;$C883&amp;"|"&amp;$D883)</f>
        <v/>
      </c>
      <c r="H883" s="4" t="str">
        <f aca="false">IF($D883="","",$G883&amp;"|"&amp;TEXT($E883,"0.000000"))</f>
        <v/>
      </c>
      <c r="I883" s="29" t="str">
        <f aca="false">IF($D883="","",IF(ISNUMBER($E883),FLOOR(($E883-$B883)*24,1),""))</f>
        <v/>
      </c>
      <c r="J883" s="10" t="str">
        <f aca="false">IF($D883="","",IFERROR(IF(VLOOKUP($F883,Dim_Analyst!$A:$C,3,0)="Yes","Yes","No"),"No"))</f>
        <v/>
      </c>
    </row>
    <row r="884" customFormat="false" ht="15" hidden="false" customHeight="true" outlineLevel="0" collapsed="false">
      <c r="G884" s="4" t="str">
        <f aca="false">IF($D884="","",$A884&amp;"|"&amp;$B884&amp;"|"&amp;$C884&amp;"|"&amp;$D884)</f>
        <v/>
      </c>
      <c r="H884" s="4" t="str">
        <f aca="false">IF($D884="","",$G884&amp;"|"&amp;TEXT($E884,"0.000000"))</f>
        <v/>
      </c>
      <c r="I884" s="29" t="str">
        <f aca="false">IF($D884="","",IF(ISNUMBER($E884),FLOOR(($E884-$B884)*24,1),""))</f>
        <v/>
      </c>
      <c r="J884" s="10" t="str">
        <f aca="false">IF($D884="","",IFERROR(IF(VLOOKUP($F884,Dim_Analyst!$A:$C,3,0)="Yes","Yes","No"),"No"))</f>
        <v/>
      </c>
    </row>
    <row r="885" customFormat="false" ht="15" hidden="false" customHeight="true" outlineLevel="0" collapsed="false">
      <c r="G885" s="4" t="str">
        <f aca="false">IF($D885="","",$A885&amp;"|"&amp;$B885&amp;"|"&amp;$C885&amp;"|"&amp;$D885)</f>
        <v/>
      </c>
      <c r="H885" s="4" t="str">
        <f aca="false">IF($D885="","",$G885&amp;"|"&amp;TEXT($E885,"0.000000"))</f>
        <v/>
      </c>
      <c r="I885" s="29" t="str">
        <f aca="false">IF($D885="","",IF(ISNUMBER($E885),FLOOR(($E885-$B885)*24,1),""))</f>
        <v/>
      </c>
      <c r="J885" s="10" t="str">
        <f aca="false">IF($D885="","",IFERROR(IF(VLOOKUP($F885,Dim_Analyst!$A:$C,3,0)="Yes","Yes","No"),"No"))</f>
        <v/>
      </c>
    </row>
    <row r="886" customFormat="false" ht="15" hidden="false" customHeight="true" outlineLevel="0" collapsed="false">
      <c r="G886" s="4" t="str">
        <f aca="false">IF($D886="","",$A886&amp;"|"&amp;$B886&amp;"|"&amp;$C886&amp;"|"&amp;$D886)</f>
        <v/>
      </c>
      <c r="H886" s="4" t="str">
        <f aca="false">IF($D886="","",$G886&amp;"|"&amp;TEXT($E886,"0.000000"))</f>
        <v/>
      </c>
      <c r="I886" s="29" t="str">
        <f aca="false">IF($D886="","",IF(ISNUMBER($E886),FLOOR(($E886-$B886)*24,1),""))</f>
        <v/>
      </c>
      <c r="J886" s="10" t="str">
        <f aca="false">IF($D886="","",IFERROR(IF(VLOOKUP($F886,Dim_Analyst!$A:$C,3,0)="Yes","Yes","No"),"No"))</f>
        <v/>
      </c>
    </row>
    <row r="887" customFormat="false" ht="15" hidden="false" customHeight="true" outlineLevel="0" collapsed="false">
      <c r="G887" s="4" t="str">
        <f aca="false">IF($D887="","",$A887&amp;"|"&amp;$B887&amp;"|"&amp;$C887&amp;"|"&amp;$D887)</f>
        <v/>
      </c>
      <c r="H887" s="4" t="str">
        <f aca="false">IF($D887="","",$G887&amp;"|"&amp;TEXT($E887,"0.000000"))</f>
        <v/>
      </c>
      <c r="I887" s="29" t="str">
        <f aca="false">IF($D887="","",IF(ISNUMBER($E887),FLOOR(($E887-$B887)*24,1),""))</f>
        <v/>
      </c>
      <c r="J887" s="10" t="str">
        <f aca="false">IF($D887="","",IFERROR(IF(VLOOKUP($F887,Dim_Analyst!$A:$C,3,0)="Yes","Yes","No"),"No"))</f>
        <v/>
      </c>
    </row>
    <row r="888" customFormat="false" ht="15" hidden="false" customHeight="true" outlineLevel="0" collapsed="false">
      <c r="G888" s="4" t="str">
        <f aca="false">IF($D888="","",$A888&amp;"|"&amp;$B888&amp;"|"&amp;$C888&amp;"|"&amp;$D888)</f>
        <v/>
      </c>
      <c r="H888" s="4" t="str">
        <f aca="false">IF($D888="","",$G888&amp;"|"&amp;TEXT($E888,"0.000000"))</f>
        <v/>
      </c>
      <c r="I888" s="29" t="str">
        <f aca="false">IF($D888="","",IF(ISNUMBER($E888),FLOOR(($E888-$B888)*24,1),""))</f>
        <v/>
      </c>
      <c r="J888" s="10" t="str">
        <f aca="false">IF($D888="","",IFERROR(IF(VLOOKUP($F888,Dim_Analyst!$A:$C,3,0)="Yes","Yes","No"),"No"))</f>
        <v/>
      </c>
    </row>
    <row r="889" customFormat="false" ht="15" hidden="false" customHeight="true" outlineLevel="0" collapsed="false">
      <c r="G889" s="4" t="str">
        <f aca="false">IF($D889="","",$A889&amp;"|"&amp;$B889&amp;"|"&amp;$C889&amp;"|"&amp;$D889)</f>
        <v/>
      </c>
      <c r="H889" s="4" t="str">
        <f aca="false">IF($D889="","",$G889&amp;"|"&amp;TEXT($E889,"0.000000"))</f>
        <v/>
      </c>
      <c r="I889" s="29" t="str">
        <f aca="false">IF($D889="","",IF(ISNUMBER($E889),FLOOR(($E889-$B889)*24,1),""))</f>
        <v/>
      </c>
      <c r="J889" s="10" t="str">
        <f aca="false">IF($D889="","",IFERROR(IF(VLOOKUP($F889,Dim_Analyst!$A:$C,3,0)="Yes","Yes","No"),"No"))</f>
        <v/>
      </c>
    </row>
    <row r="890" customFormat="false" ht="15" hidden="false" customHeight="true" outlineLevel="0" collapsed="false">
      <c r="G890" s="4" t="str">
        <f aca="false">IF($D890="","",$A890&amp;"|"&amp;$B890&amp;"|"&amp;$C890&amp;"|"&amp;$D890)</f>
        <v/>
      </c>
      <c r="H890" s="4" t="str">
        <f aca="false">IF($D890="","",$G890&amp;"|"&amp;TEXT($E890,"0.000000"))</f>
        <v/>
      </c>
      <c r="I890" s="29" t="str">
        <f aca="false">IF($D890="","",IF(ISNUMBER($E890),FLOOR(($E890-$B890)*24,1),""))</f>
        <v/>
      </c>
      <c r="J890" s="10" t="str">
        <f aca="false">IF($D890="","",IFERROR(IF(VLOOKUP($F890,Dim_Analyst!$A:$C,3,0)="Yes","Yes","No"),"No"))</f>
        <v/>
      </c>
    </row>
    <row r="891" customFormat="false" ht="15" hidden="false" customHeight="true" outlineLevel="0" collapsed="false">
      <c r="G891" s="4" t="str">
        <f aca="false">IF($D891="","",$A891&amp;"|"&amp;$B891&amp;"|"&amp;$C891&amp;"|"&amp;$D891)</f>
        <v/>
      </c>
      <c r="H891" s="4" t="str">
        <f aca="false">IF($D891="","",$G891&amp;"|"&amp;TEXT($E891,"0.000000"))</f>
        <v/>
      </c>
      <c r="I891" s="29" t="str">
        <f aca="false">IF($D891="","",IF(ISNUMBER($E891),FLOOR(($E891-$B891)*24,1),""))</f>
        <v/>
      </c>
      <c r="J891" s="10" t="str">
        <f aca="false">IF($D891="","",IFERROR(IF(VLOOKUP($F891,Dim_Analyst!$A:$C,3,0)="Yes","Yes","No"),"No"))</f>
        <v/>
      </c>
    </row>
    <row r="892" customFormat="false" ht="15" hidden="false" customHeight="true" outlineLevel="0" collapsed="false">
      <c r="G892" s="4" t="str">
        <f aca="false">IF($D892="","",$A892&amp;"|"&amp;$B892&amp;"|"&amp;$C892&amp;"|"&amp;$D892)</f>
        <v/>
      </c>
      <c r="H892" s="4" t="str">
        <f aca="false">IF($D892="","",$G892&amp;"|"&amp;TEXT($E892,"0.000000"))</f>
        <v/>
      </c>
      <c r="I892" s="29" t="str">
        <f aca="false">IF($D892="","",IF(ISNUMBER($E892),FLOOR(($E892-$B892)*24,1),""))</f>
        <v/>
      </c>
      <c r="J892" s="10" t="str">
        <f aca="false">IF($D892="","",IFERROR(IF(VLOOKUP($F892,Dim_Analyst!$A:$C,3,0)="Yes","Yes","No"),"No"))</f>
        <v/>
      </c>
    </row>
    <row r="893" customFormat="false" ht="15" hidden="false" customHeight="true" outlineLevel="0" collapsed="false">
      <c r="G893" s="4" t="str">
        <f aca="false">IF($D893="","",$A893&amp;"|"&amp;$B893&amp;"|"&amp;$C893&amp;"|"&amp;$D893)</f>
        <v/>
      </c>
      <c r="H893" s="4" t="str">
        <f aca="false">IF($D893="","",$G893&amp;"|"&amp;TEXT($E893,"0.000000"))</f>
        <v/>
      </c>
      <c r="I893" s="29" t="str">
        <f aca="false">IF($D893="","",IF(ISNUMBER($E893),FLOOR(($E893-$B893)*24,1),""))</f>
        <v/>
      </c>
      <c r="J893" s="10" t="str">
        <f aca="false">IF($D893="","",IFERROR(IF(VLOOKUP($F893,Dim_Analyst!$A:$C,3,0)="Yes","Yes","No"),"No"))</f>
        <v/>
      </c>
    </row>
    <row r="894" customFormat="false" ht="15" hidden="false" customHeight="true" outlineLevel="0" collapsed="false">
      <c r="G894" s="4" t="str">
        <f aca="false">IF($D894="","",$A894&amp;"|"&amp;$B894&amp;"|"&amp;$C894&amp;"|"&amp;$D894)</f>
        <v/>
      </c>
      <c r="H894" s="4" t="str">
        <f aca="false">IF($D894="","",$G894&amp;"|"&amp;TEXT($E894,"0.000000"))</f>
        <v/>
      </c>
      <c r="I894" s="29" t="str">
        <f aca="false">IF($D894="","",IF(ISNUMBER($E894),FLOOR(($E894-$B894)*24,1),""))</f>
        <v/>
      </c>
      <c r="J894" s="10" t="str">
        <f aca="false">IF($D894="","",IFERROR(IF(VLOOKUP($F894,Dim_Analyst!$A:$C,3,0)="Yes","Yes","No"),"No"))</f>
        <v/>
      </c>
    </row>
    <row r="895" customFormat="false" ht="15" hidden="false" customHeight="true" outlineLevel="0" collapsed="false">
      <c r="G895" s="4" t="str">
        <f aca="false">IF($D895="","",$A895&amp;"|"&amp;$B895&amp;"|"&amp;$C895&amp;"|"&amp;$D895)</f>
        <v/>
      </c>
      <c r="H895" s="4" t="str">
        <f aca="false">IF($D895="","",$G895&amp;"|"&amp;TEXT($E895,"0.000000"))</f>
        <v/>
      </c>
      <c r="I895" s="29" t="str">
        <f aca="false">IF($D895="","",IF(ISNUMBER($E895),FLOOR(($E895-$B895)*24,1),""))</f>
        <v/>
      </c>
      <c r="J895" s="10" t="str">
        <f aca="false">IF($D895="","",IFERROR(IF(VLOOKUP($F895,Dim_Analyst!$A:$C,3,0)="Yes","Yes","No"),"No"))</f>
        <v/>
      </c>
    </row>
    <row r="896" customFormat="false" ht="15" hidden="false" customHeight="true" outlineLevel="0" collapsed="false">
      <c r="G896" s="4" t="str">
        <f aca="false">IF($D896="","",$A896&amp;"|"&amp;$B896&amp;"|"&amp;$C896&amp;"|"&amp;$D896)</f>
        <v/>
      </c>
      <c r="H896" s="4" t="str">
        <f aca="false">IF($D896="","",$G896&amp;"|"&amp;TEXT($E896,"0.000000"))</f>
        <v/>
      </c>
      <c r="I896" s="29" t="str">
        <f aca="false">IF($D896="","",IF(ISNUMBER($E896),FLOOR(($E896-$B896)*24,1),""))</f>
        <v/>
      </c>
      <c r="J896" s="10" t="str">
        <f aca="false">IF($D896="","",IFERROR(IF(VLOOKUP($F896,Dim_Analyst!$A:$C,3,0)="Yes","Yes","No"),"No"))</f>
        <v/>
      </c>
    </row>
    <row r="897" customFormat="false" ht="15" hidden="false" customHeight="true" outlineLevel="0" collapsed="false">
      <c r="G897" s="4" t="str">
        <f aca="false">IF($D897="","",$A897&amp;"|"&amp;$B897&amp;"|"&amp;$C897&amp;"|"&amp;$D897)</f>
        <v/>
      </c>
      <c r="H897" s="4" t="str">
        <f aca="false">IF($D897="","",$G897&amp;"|"&amp;TEXT($E897,"0.000000"))</f>
        <v/>
      </c>
      <c r="I897" s="29" t="str">
        <f aca="false">IF($D897="","",IF(ISNUMBER($E897),FLOOR(($E897-$B897)*24,1),""))</f>
        <v/>
      </c>
      <c r="J897" s="10" t="str">
        <f aca="false">IF($D897="","",IFERROR(IF(VLOOKUP($F897,Dim_Analyst!$A:$C,3,0)="Yes","Yes","No"),"No"))</f>
        <v/>
      </c>
    </row>
    <row r="898" customFormat="false" ht="15" hidden="false" customHeight="true" outlineLevel="0" collapsed="false">
      <c r="G898" s="4" t="str">
        <f aca="false">IF($D898="","",$A898&amp;"|"&amp;$B898&amp;"|"&amp;$C898&amp;"|"&amp;$D898)</f>
        <v/>
      </c>
      <c r="H898" s="4" t="str">
        <f aca="false">IF($D898="","",$G898&amp;"|"&amp;TEXT($E898,"0.000000"))</f>
        <v/>
      </c>
      <c r="I898" s="29" t="str">
        <f aca="false">IF($D898="","",IF(ISNUMBER($E898),FLOOR(($E898-$B898)*24,1),""))</f>
        <v/>
      </c>
      <c r="J898" s="10" t="str">
        <f aca="false">IF($D898="","",IFERROR(IF(VLOOKUP($F898,Dim_Analyst!$A:$C,3,0)="Yes","Yes","No"),"No"))</f>
        <v/>
      </c>
    </row>
    <row r="899" customFormat="false" ht="15" hidden="false" customHeight="true" outlineLevel="0" collapsed="false">
      <c r="G899" s="4" t="str">
        <f aca="false">IF($D899="","",$A899&amp;"|"&amp;$B899&amp;"|"&amp;$C899&amp;"|"&amp;$D899)</f>
        <v/>
      </c>
      <c r="H899" s="4" t="str">
        <f aca="false">IF($D899="","",$G899&amp;"|"&amp;TEXT($E899,"0.000000"))</f>
        <v/>
      </c>
      <c r="I899" s="29" t="str">
        <f aca="false">IF($D899="","",IF(ISNUMBER($E899),FLOOR(($E899-$B899)*24,1),""))</f>
        <v/>
      </c>
      <c r="J899" s="10" t="str">
        <f aca="false">IF($D899="","",IFERROR(IF(VLOOKUP($F899,Dim_Analyst!$A:$C,3,0)="Yes","Yes","No"),"No"))</f>
        <v/>
      </c>
    </row>
    <row r="900" customFormat="false" ht="15" hidden="false" customHeight="true" outlineLevel="0" collapsed="false">
      <c r="G900" s="4" t="str">
        <f aca="false">IF($D900="","",$A900&amp;"|"&amp;$B900&amp;"|"&amp;$C900&amp;"|"&amp;$D900)</f>
        <v/>
      </c>
      <c r="H900" s="4" t="str">
        <f aca="false">IF($D900="","",$G900&amp;"|"&amp;TEXT($E900,"0.000000"))</f>
        <v/>
      </c>
      <c r="I900" s="29" t="str">
        <f aca="false">IF($D900="","",IF(ISNUMBER($E900),FLOOR(($E900-$B900)*24,1),""))</f>
        <v/>
      </c>
      <c r="J900" s="10" t="str">
        <f aca="false">IF($D900="","",IFERROR(IF(VLOOKUP($F900,Dim_Analyst!$A:$C,3,0)="Yes","Yes","No"),"No"))</f>
        <v/>
      </c>
    </row>
    <row r="901" customFormat="false" ht="15" hidden="false" customHeight="true" outlineLevel="0" collapsed="false">
      <c r="G901" s="4" t="str">
        <f aca="false">IF($D901="","",$A901&amp;"|"&amp;$B901&amp;"|"&amp;$C901&amp;"|"&amp;$D901)</f>
        <v/>
      </c>
      <c r="H901" s="4" t="str">
        <f aca="false">IF($D901="","",$G901&amp;"|"&amp;TEXT($E901,"0.000000"))</f>
        <v/>
      </c>
      <c r="I901" s="29" t="str">
        <f aca="false">IF($D901="","",IF(ISNUMBER($E901),FLOOR(($E901-$B901)*24,1),""))</f>
        <v/>
      </c>
      <c r="J901" s="10" t="str">
        <f aca="false">IF($D901="","",IFERROR(IF(VLOOKUP($F901,Dim_Analyst!$A:$C,3,0)="Yes","Yes","No"),"No"))</f>
        <v/>
      </c>
    </row>
    <row r="902" customFormat="false" ht="15" hidden="false" customHeight="true" outlineLevel="0" collapsed="false">
      <c r="G902" s="4" t="str">
        <f aca="false">IF($D902="","",$A902&amp;"|"&amp;$B902&amp;"|"&amp;$C902&amp;"|"&amp;$D902)</f>
        <v/>
      </c>
      <c r="H902" s="4" t="str">
        <f aca="false">IF($D902="","",$G902&amp;"|"&amp;TEXT($E902,"0.000000"))</f>
        <v/>
      </c>
      <c r="I902" s="29" t="str">
        <f aca="false">IF($D902="","",IF(ISNUMBER($E902),FLOOR(($E902-$B902)*24,1),""))</f>
        <v/>
      </c>
      <c r="J902" s="10" t="str">
        <f aca="false">IF($D902="","",IFERROR(IF(VLOOKUP($F902,Dim_Analyst!$A:$C,3,0)="Yes","Yes","No"),"No"))</f>
        <v/>
      </c>
    </row>
    <row r="903" customFormat="false" ht="15" hidden="false" customHeight="true" outlineLevel="0" collapsed="false">
      <c r="G903" s="4" t="str">
        <f aca="false">IF($D903="","",$A903&amp;"|"&amp;$B903&amp;"|"&amp;$C903&amp;"|"&amp;$D903)</f>
        <v/>
      </c>
      <c r="H903" s="4" t="str">
        <f aca="false">IF($D903="","",$G903&amp;"|"&amp;TEXT($E903,"0.000000"))</f>
        <v/>
      </c>
      <c r="I903" s="29" t="str">
        <f aca="false">IF($D903="","",IF(ISNUMBER($E903),FLOOR(($E903-$B903)*24,1),""))</f>
        <v/>
      </c>
      <c r="J903" s="10" t="str">
        <f aca="false">IF($D903="","",IFERROR(IF(VLOOKUP($F903,Dim_Analyst!$A:$C,3,0)="Yes","Yes","No"),"No"))</f>
        <v/>
      </c>
    </row>
    <row r="904" customFormat="false" ht="15" hidden="false" customHeight="true" outlineLevel="0" collapsed="false">
      <c r="G904" s="4" t="str">
        <f aca="false">IF($D904="","",$A904&amp;"|"&amp;$B904&amp;"|"&amp;$C904&amp;"|"&amp;$D904)</f>
        <v/>
      </c>
      <c r="H904" s="4" t="str">
        <f aca="false">IF($D904="","",$G904&amp;"|"&amp;TEXT($E904,"0.000000"))</f>
        <v/>
      </c>
      <c r="I904" s="29" t="str">
        <f aca="false">IF($D904="","",IF(ISNUMBER($E904),FLOOR(($E904-$B904)*24,1),""))</f>
        <v/>
      </c>
      <c r="J904" s="10" t="str">
        <f aca="false">IF($D904="","",IFERROR(IF(VLOOKUP($F904,Dim_Analyst!$A:$C,3,0)="Yes","Yes","No"),"No"))</f>
        <v/>
      </c>
    </row>
    <row r="905" customFormat="false" ht="15" hidden="false" customHeight="true" outlineLevel="0" collapsed="false">
      <c r="G905" s="4" t="str">
        <f aca="false">IF($D905="","",$A905&amp;"|"&amp;$B905&amp;"|"&amp;$C905&amp;"|"&amp;$D905)</f>
        <v/>
      </c>
      <c r="H905" s="4" t="str">
        <f aca="false">IF($D905="","",$G905&amp;"|"&amp;TEXT($E905,"0.000000"))</f>
        <v/>
      </c>
      <c r="I905" s="29" t="str">
        <f aca="false">IF($D905="","",IF(ISNUMBER($E905),FLOOR(($E905-$B905)*24,1),""))</f>
        <v/>
      </c>
      <c r="J905" s="10" t="str">
        <f aca="false">IF($D905="","",IFERROR(IF(VLOOKUP($F905,Dim_Analyst!$A:$C,3,0)="Yes","Yes","No"),"No"))</f>
        <v/>
      </c>
    </row>
    <row r="906" customFormat="false" ht="15" hidden="false" customHeight="true" outlineLevel="0" collapsed="false">
      <c r="G906" s="4" t="str">
        <f aca="false">IF($D906="","",$A906&amp;"|"&amp;$B906&amp;"|"&amp;$C906&amp;"|"&amp;$D906)</f>
        <v/>
      </c>
      <c r="H906" s="4" t="str">
        <f aca="false">IF($D906="","",$G906&amp;"|"&amp;TEXT($E906,"0.000000"))</f>
        <v/>
      </c>
      <c r="I906" s="29" t="str">
        <f aca="false">IF($D906="","",IF(ISNUMBER($E906),FLOOR(($E906-$B906)*24,1),""))</f>
        <v/>
      </c>
      <c r="J906" s="10" t="str">
        <f aca="false">IF($D906="","",IFERROR(IF(VLOOKUP($F906,Dim_Analyst!$A:$C,3,0)="Yes","Yes","No"),"No"))</f>
        <v/>
      </c>
    </row>
    <row r="907" customFormat="false" ht="15" hidden="false" customHeight="true" outlineLevel="0" collapsed="false">
      <c r="G907" s="4" t="str">
        <f aca="false">IF($D907="","",$A907&amp;"|"&amp;$B907&amp;"|"&amp;$C907&amp;"|"&amp;$D907)</f>
        <v/>
      </c>
      <c r="H907" s="4" t="str">
        <f aca="false">IF($D907="","",$G907&amp;"|"&amp;TEXT($E907,"0.000000"))</f>
        <v/>
      </c>
      <c r="I907" s="29" t="str">
        <f aca="false">IF($D907="","",IF(ISNUMBER($E907),FLOOR(($E907-$B907)*24,1),""))</f>
        <v/>
      </c>
      <c r="J907" s="10" t="str">
        <f aca="false">IF($D907="","",IFERROR(IF(VLOOKUP($F907,Dim_Analyst!$A:$C,3,0)="Yes","Yes","No"),"No"))</f>
        <v/>
      </c>
    </row>
    <row r="908" customFormat="false" ht="15" hidden="false" customHeight="true" outlineLevel="0" collapsed="false">
      <c r="G908" s="4" t="str">
        <f aca="false">IF($D908="","",$A908&amp;"|"&amp;$B908&amp;"|"&amp;$C908&amp;"|"&amp;$D908)</f>
        <v/>
      </c>
      <c r="H908" s="4" t="str">
        <f aca="false">IF($D908="","",$G908&amp;"|"&amp;TEXT($E908,"0.000000"))</f>
        <v/>
      </c>
      <c r="I908" s="29" t="str">
        <f aca="false">IF($D908="","",IF(ISNUMBER($E908),FLOOR(($E908-$B908)*24,1),""))</f>
        <v/>
      </c>
      <c r="J908" s="10" t="str">
        <f aca="false">IF($D908="","",IFERROR(IF(VLOOKUP($F908,Dim_Analyst!$A:$C,3,0)="Yes","Yes","No"),"No"))</f>
        <v/>
      </c>
    </row>
    <row r="909" customFormat="false" ht="15" hidden="false" customHeight="true" outlineLevel="0" collapsed="false">
      <c r="G909" s="4" t="str">
        <f aca="false">IF($D909="","",$A909&amp;"|"&amp;$B909&amp;"|"&amp;$C909&amp;"|"&amp;$D909)</f>
        <v/>
      </c>
      <c r="H909" s="4" t="str">
        <f aca="false">IF($D909="","",$G909&amp;"|"&amp;TEXT($E909,"0.000000"))</f>
        <v/>
      </c>
      <c r="I909" s="29" t="str">
        <f aca="false">IF($D909="","",IF(ISNUMBER($E909),FLOOR(($E909-$B909)*24,1),""))</f>
        <v/>
      </c>
      <c r="J909" s="10" t="str">
        <f aca="false">IF($D909="","",IFERROR(IF(VLOOKUP($F909,Dim_Analyst!$A:$C,3,0)="Yes","Yes","No"),"No"))</f>
        <v/>
      </c>
    </row>
    <row r="910" customFormat="false" ht="15" hidden="false" customHeight="true" outlineLevel="0" collapsed="false">
      <c r="G910" s="4" t="str">
        <f aca="false">IF($D910="","",$A910&amp;"|"&amp;$B910&amp;"|"&amp;$C910&amp;"|"&amp;$D910)</f>
        <v/>
      </c>
      <c r="H910" s="4" t="str">
        <f aca="false">IF($D910="","",$G910&amp;"|"&amp;TEXT($E910,"0.000000"))</f>
        <v/>
      </c>
      <c r="I910" s="29" t="str">
        <f aca="false">IF($D910="","",IF(ISNUMBER($E910),FLOOR(($E910-$B910)*24,1),""))</f>
        <v/>
      </c>
      <c r="J910" s="10" t="str">
        <f aca="false">IF($D910="","",IFERROR(IF(VLOOKUP($F910,Dim_Analyst!$A:$C,3,0)="Yes","Yes","No"),"No"))</f>
        <v/>
      </c>
    </row>
    <row r="911" customFormat="false" ht="15" hidden="false" customHeight="true" outlineLevel="0" collapsed="false">
      <c r="G911" s="4" t="str">
        <f aca="false">IF($D911="","",$A911&amp;"|"&amp;$B911&amp;"|"&amp;$C911&amp;"|"&amp;$D911)</f>
        <v/>
      </c>
      <c r="H911" s="4" t="str">
        <f aca="false">IF($D911="","",$G911&amp;"|"&amp;TEXT($E911,"0.000000"))</f>
        <v/>
      </c>
      <c r="I911" s="29" t="str">
        <f aca="false">IF($D911="","",IF(ISNUMBER($E911),FLOOR(($E911-$B911)*24,1),""))</f>
        <v/>
      </c>
      <c r="J911" s="10" t="str">
        <f aca="false">IF($D911="","",IFERROR(IF(VLOOKUP($F911,Dim_Analyst!$A:$C,3,0)="Yes","Yes","No"),"No"))</f>
        <v/>
      </c>
    </row>
    <row r="912" customFormat="false" ht="15" hidden="false" customHeight="true" outlineLevel="0" collapsed="false">
      <c r="G912" s="4" t="str">
        <f aca="false">IF($D912="","",$A912&amp;"|"&amp;$B912&amp;"|"&amp;$C912&amp;"|"&amp;$D912)</f>
        <v/>
      </c>
      <c r="H912" s="4" t="str">
        <f aca="false">IF($D912="","",$G912&amp;"|"&amp;TEXT($E912,"0.000000"))</f>
        <v/>
      </c>
      <c r="I912" s="29" t="str">
        <f aca="false">IF($D912="","",IF(ISNUMBER($E912),FLOOR(($E912-$B912)*24,1),""))</f>
        <v/>
      </c>
      <c r="J912" s="10" t="str">
        <f aca="false">IF($D912="","",IFERROR(IF(VLOOKUP($F912,Dim_Analyst!$A:$C,3,0)="Yes","Yes","No"),"No"))</f>
        <v/>
      </c>
    </row>
    <row r="913" customFormat="false" ht="15" hidden="false" customHeight="true" outlineLevel="0" collapsed="false">
      <c r="G913" s="4" t="str">
        <f aca="false">IF($D913="","",$A913&amp;"|"&amp;$B913&amp;"|"&amp;$C913&amp;"|"&amp;$D913)</f>
        <v/>
      </c>
      <c r="H913" s="4" t="str">
        <f aca="false">IF($D913="","",$G913&amp;"|"&amp;TEXT($E913,"0.000000"))</f>
        <v/>
      </c>
      <c r="I913" s="29" t="str">
        <f aca="false">IF($D913="","",IF(ISNUMBER($E913),FLOOR(($E913-$B913)*24,1),""))</f>
        <v/>
      </c>
      <c r="J913" s="10" t="str">
        <f aca="false">IF($D913="","",IFERROR(IF(VLOOKUP($F913,Dim_Analyst!$A:$C,3,0)="Yes","Yes","No"),"No"))</f>
        <v/>
      </c>
    </row>
    <row r="914" customFormat="false" ht="15" hidden="false" customHeight="true" outlineLevel="0" collapsed="false">
      <c r="G914" s="4" t="str">
        <f aca="false">IF($D914="","",$A914&amp;"|"&amp;$B914&amp;"|"&amp;$C914&amp;"|"&amp;$D914)</f>
        <v/>
      </c>
      <c r="H914" s="4" t="str">
        <f aca="false">IF($D914="","",$G914&amp;"|"&amp;TEXT($E914,"0.000000"))</f>
        <v/>
      </c>
      <c r="I914" s="29" t="str">
        <f aca="false">IF($D914="","",IF(ISNUMBER($E914),FLOOR(($E914-$B914)*24,1),""))</f>
        <v/>
      </c>
      <c r="J914" s="10" t="str">
        <f aca="false">IF($D914="","",IFERROR(IF(VLOOKUP($F914,Dim_Analyst!$A:$C,3,0)="Yes","Yes","No"),"No"))</f>
        <v/>
      </c>
    </row>
    <row r="915" customFormat="false" ht="15" hidden="false" customHeight="true" outlineLevel="0" collapsed="false">
      <c r="G915" s="4" t="str">
        <f aca="false">IF($D915="","",$A915&amp;"|"&amp;$B915&amp;"|"&amp;$C915&amp;"|"&amp;$D915)</f>
        <v/>
      </c>
      <c r="H915" s="4" t="str">
        <f aca="false">IF($D915="","",$G915&amp;"|"&amp;TEXT($E915,"0.000000"))</f>
        <v/>
      </c>
      <c r="I915" s="29" t="str">
        <f aca="false">IF($D915="","",IF(ISNUMBER($E915),FLOOR(($E915-$B915)*24,1),""))</f>
        <v/>
      </c>
      <c r="J915" s="10" t="str">
        <f aca="false">IF($D915="","",IFERROR(IF(VLOOKUP($F915,Dim_Analyst!$A:$C,3,0)="Yes","Yes","No"),"No"))</f>
        <v/>
      </c>
    </row>
    <row r="916" customFormat="false" ht="15" hidden="false" customHeight="true" outlineLevel="0" collapsed="false">
      <c r="G916" s="4" t="str">
        <f aca="false">IF($D916="","",$A916&amp;"|"&amp;$B916&amp;"|"&amp;$C916&amp;"|"&amp;$D916)</f>
        <v/>
      </c>
      <c r="H916" s="4" t="str">
        <f aca="false">IF($D916="","",$G916&amp;"|"&amp;TEXT($E916,"0.000000"))</f>
        <v/>
      </c>
      <c r="I916" s="29" t="str">
        <f aca="false">IF($D916="","",IF(ISNUMBER($E916),FLOOR(($E916-$B916)*24,1),""))</f>
        <v/>
      </c>
      <c r="J916" s="10" t="str">
        <f aca="false">IF($D916="","",IFERROR(IF(VLOOKUP($F916,Dim_Analyst!$A:$C,3,0)="Yes","Yes","No"),"No"))</f>
        <v/>
      </c>
    </row>
    <row r="917" customFormat="false" ht="15" hidden="false" customHeight="true" outlineLevel="0" collapsed="false">
      <c r="G917" s="4" t="str">
        <f aca="false">IF($D917="","",$A917&amp;"|"&amp;$B917&amp;"|"&amp;$C917&amp;"|"&amp;$D917)</f>
        <v/>
      </c>
      <c r="H917" s="4" t="str">
        <f aca="false">IF($D917="","",$G917&amp;"|"&amp;TEXT($E917,"0.000000"))</f>
        <v/>
      </c>
      <c r="I917" s="29" t="str">
        <f aca="false">IF($D917="","",IF(ISNUMBER($E917),FLOOR(($E917-$B917)*24,1),""))</f>
        <v/>
      </c>
      <c r="J917" s="10" t="str">
        <f aca="false">IF($D917="","",IFERROR(IF(VLOOKUP($F917,Dim_Analyst!$A:$C,3,0)="Yes","Yes","No"),"No"))</f>
        <v/>
      </c>
    </row>
    <row r="918" customFormat="false" ht="15" hidden="false" customHeight="true" outlineLevel="0" collapsed="false">
      <c r="G918" s="4" t="str">
        <f aca="false">IF($D918="","",$A918&amp;"|"&amp;$B918&amp;"|"&amp;$C918&amp;"|"&amp;$D918)</f>
        <v/>
      </c>
      <c r="H918" s="4" t="str">
        <f aca="false">IF($D918="","",$G918&amp;"|"&amp;TEXT($E918,"0.000000"))</f>
        <v/>
      </c>
      <c r="I918" s="29" t="str">
        <f aca="false">IF($D918="","",IF(ISNUMBER($E918),FLOOR(($E918-$B918)*24,1),""))</f>
        <v/>
      </c>
      <c r="J918" s="10" t="str">
        <f aca="false">IF($D918="","",IFERROR(IF(VLOOKUP($F918,Dim_Analyst!$A:$C,3,0)="Yes","Yes","No"),"No"))</f>
        <v/>
      </c>
    </row>
    <row r="919" customFormat="false" ht="15" hidden="false" customHeight="true" outlineLevel="0" collapsed="false">
      <c r="G919" s="4" t="str">
        <f aca="false">IF($D919="","",$A919&amp;"|"&amp;$B919&amp;"|"&amp;$C919&amp;"|"&amp;$D919)</f>
        <v/>
      </c>
      <c r="H919" s="4" t="str">
        <f aca="false">IF($D919="","",$G919&amp;"|"&amp;TEXT($E919,"0.000000"))</f>
        <v/>
      </c>
      <c r="I919" s="29" t="str">
        <f aca="false">IF($D919="","",IF(ISNUMBER($E919),FLOOR(($E919-$B919)*24,1),""))</f>
        <v/>
      </c>
      <c r="J919" s="10" t="str">
        <f aca="false">IF($D919="","",IFERROR(IF(VLOOKUP($F919,Dim_Analyst!$A:$C,3,0)="Yes","Yes","No"),"No"))</f>
        <v/>
      </c>
    </row>
    <row r="920" customFormat="false" ht="15" hidden="false" customHeight="true" outlineLevel="0" collapsed="false">
      <c r="G920" s="4" t="str">
        <f aca="false">IF($D920="","",$A920&amp;"|"&amp;$B920&amp;"|"&amp;$C920&amp;"|"&amp;$D920)</f>
        <v/>
      </c>
      <c r="H920" s="4" t="str">
        <f aca="false">IF($D920="","",$G920&amp;"|"&amp;TEXT($E920,"0.000000"))</f>
        <v/>
      </c>
      <c r="I920" s="29" t="str">
        <f aca="false">IF($D920="","",IF(ISNUMBER($E920),FLOOR(($E920-$B920)*24,1),""))</f>
        <v/>
      </c>
      <c r="J920" s="10" t="str">
        <f aca="false">IF($D920="","",IFERROR(IF(VLOOKUP($F920,Dim_Analyst!$A:$C,3,0)="Yes","Yes","No"),"No"))</f>
        <v/>
      </c>
    </row>
    <row r="921" customFormat="false" ht="15" hidden="false" customHeight="true" outlineLevel="0" collapsed="false">
      <c r="G921" s="4" t="str">
        <f aca="false">IF($D921="","",$A921&amp;"|"&amp;$B921&amp;"|"&amp;$C921&amp;"|"&amp;$D921)</f>
        <v/>
      </c>
      <c r="H921" s="4" t="str">
        <f aca="false">IF($D921="","",$G921&amp;"|"&amp;TEXT($E921,"0.000000"))</f>
        <v/>
      </c>
      <c r="I921" s="29" t="str">
        <f aca="false">IF($D921="","",IF(ISNUMBER($E921),FLOOR(($E921-$B921)*24,1),""))</f>
        <v/>
      </c>
      <c r="J921" s="10" t="str">
        <f aca="false">IF($D921="","",IFERROR(IF(VLOOKUP($F921,Dim_Analyst!$A:$C,3,0)="Yes","Yes","No"),"No"))</f>
        <v/>
      </c>
    </row>
    <row r="922" customFormat="false" ht="15" hidden="false" customHeight="true" outlineLevel="0" collapsed="false">
      <c r="G922" s="4" t="str">
        <f aca="false">IF($D922="","",$A922&amp;"|"&amp;$B922&amp;"|"&amp;$C922&amp;"|"&amp;$D922)</f>
        <v/>
      </c>
      <c r="H922" s="4" t="str">
        <f aca="false">IF($D922="","",$G922&amp;"|"&amp;TEXT($E922,"0.000000"))</f>
        <v/>
      </c>
      <c r="I922" s="29" t="str">
        <f aca="false">IF($D922="","",IF(ISNUMBER($E922),FLOOR(($E922-$B922)*24,1),""))</f>
        <v/>
      </c>
      <c r="J922" s="10" t="str">
        <f aca="false">IF($D922="","",IFERROR(IF(VLOOKUP($F922,Dim_Analyst!$A:$C,3,0)="Yes","Yes","No"),"No"))</f>
        <v/>
      </c>
    </row>
    <row r="923" customFormat="false" ht="15" hidden="false" customHeight="true" outlineLevel="0" collapsed="false">
      <c r="G923" s="4" t="str">
        <f aca="false">IF($D923="","",$A923&amp;"|"&amp;$B923&amp;"|"&amp;$C923&amp;"|"&amp;$D923)</f>
        <v/>
      </c>
      <c r="H923" s="4" t="str">
        <f aca="false">IF($D923="","",$G923&amp;"|"&amp;TEXT($E923,"0.000000"))</f>
        <v/>
      </c>
      <c r="I923" s="29" t="str">
        <f aca="false">IF($D923="","",IF(ISNUMBER($E923),FLOOR(($E923-$B923)*24,1),""))</f>
        <v/>
      </c>
      <c r="J923" s="10" t="str">
        <f aca="false">IF($D923="","",IFERROR(IF(VLOOKUP($F923,Dim_Analyst!$A:$C,3,0)="Yes","Yes","No"),"No"))</f>
        <v/>
      </c>
    </row>
    <row r="924" customFormat="false" ht="15" hidden="false" customHeight="true" outlineLevel="0" collapsed="false">
      <c r="G924" s="4" t="str">
        <f aca="false">IF($D924="","",$A924&amp;"|"&amp;$B924&amp;"|"&amp;$C924&amp;"|"&amp;$D924)</f>
        <v/>
      </c>
      <c r="H924" s="4" t="str">
        <f aca="false">IF($D924="","",$G924&amp;"|"&amp;TEXT($E924,"0.000000"))</f>
        <v/>
      </c>
      <c r="I924" s="29" t="str">
        <f aca="false">IF($D924="","",IF(ISNUMBER($E924),FLOOR(($E924-$B924)*24,1),""))</f>
        <v/>
      </c>
      <c r="J924" s="10" t="str">
        <f aca="false">IF($D924="","",IFERROR(IF(VLOOKUP($F924,Dim_Analyst!$A:$C,3,0)="Yes","Yes","No"),"No"))</f>
        <v/>
      </c>
    </row>
    <row r="925" customFormat="false" ht="15" hidden="false" customHeight="true" outlineLevel="0" collapsed="false">
      <c r="G925" s="4" t="str">
        <f aca="false">IF($D925="","",$A925&amp;"|"&amp;$B925&amp;"|"&amp;$C925&amp;"|"&amp;$D925)</f>
        <v/>
      </c>
      <c r="H925" s="4" t="str">
        <f aca="false">IF($D925="","",$G925&amp;"|"&amp;TEXT($E925,"0.000000"))</f>
        <v/>
      </c>
      <c r="I925" s="29" t="str">
        <f aca="false">IF($D925="","",IF(ISNUMBER($E925),FLOOR(($E925-$B925)*24,1),""))</f>
        <v/>
      </c>
      <c r="J925" s="10" t="str">
        <f aca="false">IF($D925="","",IFERROR(IF(VLOOKUP($F925,Dim_Analyst!$A:$C,3,0)="Yes","Yes","No"),"No"))</f>
        <v/>
      </c>
    </row>
    <row r="926" customFormat="false" ht="15" hidden="false" customHeight="true" outlineLevel="0" collapsed="false">
      <c r="G926" s="4" t="str">
        <f aca="false">IF($D926="","",$A926&amp;"|"&amp;$B926&amp;"|"&amp;$C926&amp;"|"&amp;$D926)</f>
        <v/>
      </c>
      <c r="H926" s="4" t="str">
        <f aca="false">IF($D926="","",$G926&amp;"|"&amp;TEXT($E926,"0.000000"))</f>
        <v/>
      </c>
      <c r="I926" s="29" t="str">
        <f aca="false">IF($D926="","",IF(ISNUMBER($E926),FLOOR(($E926-$B926)*24,1),""))</f>
        <v/>
      </c>
      <c r="J926" s="10" t="str">
        <f aca="false">IF($D926="","",IFERROR(IF(VLOOKUP($F926,Dim_Analyst!$A:$C,3,0)="Yes","Yes","No"),"No"))</f>
        <v/>
      </c>
    </row>
    <row r="927" customFormat="false" ht="15" hidden="false" customHeight="true" outlineLevel="0" collapsed="false">
      <c r="G927" s="4" t="str">
        <f aca="false">IF($D927="","",$A927&amp;"|"&amp;$B927&amp;"|"&amp;$C927&amp;"|"&amp;$D927)</f>
        <v/>
      </c>
      <c r="H927" s="4" t="str">
        <f aca="false">IF($D927="","",$G927&amp;"|"&amp;TEXT($E927,"0.000000"))</f>
        <v/>
      </c>
      <c r="I927" s="29" t="str">
        <f aca="false">IF($D927="","",IF(ISNUMBER($E927),FLOOR(($E927-$B927)*24,1),""))</f>
        <v/>
      </c>
      <c r="J927" s="10" t="str">
        <f aca="false">IF($D927="","",IFERROR(IF(VLOOKUP($F927,Dim_Analyst!$A:$C,3,0)="Yes","Yes","No"),"No"))</f>
        <v/>
      </c>
    </row>
    <row r="928" customFormat="false" ht="15" hidden="false" customHeight="true" outlineLevel="0" collapsed="false">
      <c r="G928" s="4" t="str">
        <f aca="false">IF($D928="","",$A928&amp;"|"&amp;$B928&amp;"|"&amp;$C928&amp;"|"&amp;$D928)</f>
        <v/>
      </c>
      <c r="H928" s="4" t="str">
        <f aca="false">IF($D928="","",$G928&amp;"|"&amp;TEXT($E928,"0.000000"))</f>
        <v/>
      </c>
      <c r="I928" s="29" t="str">
        <f aca="false">IF($D928="","",IF(ISNUMBER($E928),FLOOR(($E928-$B928)*24,1),""))</f>
        <v/>
      </c>
      <c r="J928" s="10" t="str">
        <f aca="false">IF($D928="","",IFERROR(IF(VLOOKUP($F928,Dim_Analyst!$A:$C,3,0)="Yes","Yes","No"),"No"))</f>
        <v/>
      </c>
    </row>
    <row r="929" customFormat="false" ht="15" hidden="false" customHeight="true" outlineLevel="0" collapsed="false">
      <c r="G929" s="4" t="str">
        <f aca="false">IF($D929="","",$A929&amp;"|"&amp;$B929&amp;"|"&amp;$C929&amp;"|"&amp;$D929)</f>
        <v/>
      </c>
      <c r="H929" s="4" t="str">
        <f aca="false">IF($D929="","",$G929&amp;"|"&amp;TEXT($E929,"0.000000"))</f>
        <v/>
      </c>
      <c r="I929" s="29" t="str">
        <f aca="false">IF($D929="","",IF(ISNUMBER($E929),FLOOR(($E929-$B929)*24,1),""))</f>
        <v/>
      </c>
      <c r="J929" s="10" t="str">
        <f aca="false">IF($D929="","",IFERROR(IF(VLOOKUP($F929,Dim_Analyst!$A:$C,3,0)="Yes","Yes","No"),"No"))</f>
        <v/>
      </c>
    </row>
    <row r="930" customFormat="false" ht="15" hidden="false" customHeight="true" outlineLevel="0" collapsed="false">
      <c r="G930" s="4" t="str">
        <f aca="false">IF($D930="","",$A930&amp;"|"&amp;$B930&amp;"|"&amp;$C930&amp;"|"&amp;$D930)</f>
        <v/>
      </c>
      <c r="H930" s="4" t="str">
        <f aca="false">IF($D930="","",$G930&amp;"|"&amp;TEXT($E930,"0.000000"))</f>
        <v/>
      </c>
      <c r="I930" s="29" t="str">
        <f aca="false">IF($D930="","",IF(ISNUMBER($E930),FLOOR(($E930-$B930)*24,1),""))</f>
        <v/>
      </c>
      <c r="J930" s="10" t="str">
        <f aca="false">IF($D930="","",IFERROR(IF(VLOOKUP($F930,Dim_Analyst!$A:$C,3,0)="Yes","Yes","No"),"No"))</f>
        <v/>
      </c>
    </row>
    <row r="931" customFormat="false" ht="15" hidden="false" customHeight="true" outlineLevel="0" collapsed="false">
      <c r="G931" s="4" t="str">
        <f aca="false">IF($D931="","",$A931&amp;"|"&amp;$B931&amp;"|"&amp;$C931&amp;"|"&amp;$D931)</f>
        <v/>
      </c>
      <c r="H931" s="4" t="str">
        <f aca="false">IF($D931="","",$G931&amp;"|"&amp;TEXT($E931,"0.000000"))</f>
        <v/>
      </c>
      <c r="I931" s="29" t="str">
        <f aca="false">IF($D931="","",IF(ISNUMBER($E931),FLOOR(($E931-$B931)*24,1),""))</f>
        <v/>
      </c>
      <c r="J931" s="10" t="str">
        <f aca="false">IF($D931="","",IFERROR(IF(VLOOKUP($F931,Dim_Analyst!$A:$C,3,0)="Yes","Yes","No"),"No"))</f>
        <v/>
      </c>
    </row>
    <row r="932" customFormat="false" ht="15" hidden="false" customHeight="true" outlineLevel="0" collapsed="false">
      <c r="G932" s="4" t="str">
        <f aca="false">IF($D932="","",$A932&amp;"|"&amp;$B932&amp;"|"&amp;$C932&amp;"|"&amp;$D932)</f>
        <v/>
      </c>
      <c r="H932" s="4" t="str">
        <f aca="false">IF($D932="","",$G932&amp;"|"&amp;TEXT($E932,"0.000000"))</f>
        <v/>
      </c>
      <c r="I932" s="29" t="str">
        <f aca="false">IF($D932="","",IF(ISNUMBER($E932),FLOOR(($E932-$B932)*24,1),""))</f>
        <v/>
      </c>
      <c r="J932" s="10" t="str">
        <f aca="false">IF($D932="","",IFERROR(IF(VLOOKUP($F932,Dim_Analyst!$A:$C,3,0)="Yes","Yes","No"),"No"))</f>
        <v/>
      </c>
    </row>
    <row r="933" customFormat="false" ht="15" hidden="false" customHeight="true" outlineLevel="0" collapsed="false">
      <c r="G933" s="4" t="str">
        <f aca="false">IF($D933="","",$A933&amp;"|"&amp;$B933&amp;"|"&amp;$C933&amp;"|"&amp;$D933)</f>
        <v/>
      </c>
      <c r="H933" s="4" t="str">
        <f aca="false">IF($D933="","",$G933&amp;"|"&amp;TEXT($E933,"0.000000"))</f>
        <v/>
      </c>
      <c r="I933" s="29" t="str">
        <f aca="false">IF($D933="","",IF(ISNUMBER($E933),FLOOR(($E933-$B933)*24,1),""))</f>
        <v/>
      </c>
      <c r="J933" s="10" t="str">
        <f aca="false">IF($D933="","",IFERROR(IF(VLOOKUP($F933,Dim_Analyst!$A:$C,3,0)="Yes","Yes","No"),"No"))</f>
        <v/>
      </c>
    </row>
    <row r="934" customFormat="false" ht="15" hidden="false" customHeight="true" outlineLevel="0" collapsed="false">
      <c r="G934" s="4" t="str">
        <f aca="false">IF($D934="","",$A934&amp;"|"&amp;$B934&amp;"|"&amp;$C934&amp;"|"&amp;$D934)</f>
        <v/>
      </c>
      <c r="H934" s="4" t="str">
        <f aca="false">IF($D934="","",$G934&amp;"|"&amp;TEXT($E934,"0.000000"))</f>
        <v/>
      </c>
      <c r="I934" s="29" t="str">
        <f aca="false">IF($D934="","",IF(ISNUMBER($E934),FLOOR(($E934-$B934)*24,1),""))</f>
        <v/>
      </c>
      <c r="J934" s="10" t="str">
        <f aca="false">IF($D934="","",IFERROR(IF(VLOOKUP($F934,Dim_Analyst!$A:$C,3,0)="Yes","Yes","No"),"No"))</f>
        <v/>
      </c>
    </row>
    <row r="935" customFormat="false" ht="15" hidden="false" customHeight="true" outlineLevel="0" collapsed="false">
      <c r="G935" s="4" t="str">
        <f aca="false">IF($D935="","",$A935&amp;"|"&amp;$B935&amp;"|"&amp;$C935&amp;"|"&amp;$D935)</f>
        <v/>
      </c>
      <c r="H935" s="4" t="str">
        <f aca="false">IF($D935="","",$G935&amp;"|"&amp;TEXT($E935,"0.000000"))</f>
        <v/>
      </c>
      <c r="I935" s="29" t="str">
        <f aca="false">IF($D935="","",IF(ISNUMBER($E935),FLOOR(($E935-$B935)*24,1),""))</f>
        <v/>
      </c>
      <c r="J935" s="10" t="str">
        <f aca="false">IF($D935="","",IFERROR(IF(VLOOKUP($F935,Dim_Analyst!$A:$C,3,0)="Yes","Yes","No"),"No"))</f>
        <v/>
      </c>
    </row>
    <row r="936" customFormat="false" ht="15" hidden="false" customHeight="true" outlineLevel="0" collapsed="false">
      <c r="G936" s="4" t="str">
        <f aca="false">IF($D936="","",$A936&amp;"|"&amp;$B936&amp;"|"&amp;$C936&amp;"|"&amp;$D936)</f>
        <v/>
      </c>
      <c r="H936" s="4" t="str">
        <f aca="false">IF($D936="","",$G936&amp;"|"&amp;TEXT($E936,"0.000000"))</f>
        <v/>
      </c>
      <c r="I936" s="29" t="str">
        <f aca="false">IF($D936="","",IF(ISNUMBER($E936),FLOOR(($E936-$B936)*24,1),""))</f>
        <v/>
      </c>
      <c r="J936" s="10" t="str">
        <f aca="false">IF($D936="","",IFERROR(IF(VLOOKUP($F936,Dim_Analyst!$A:$C,3,0)="Yes","Yes","No"),"No"))</f>
        <v/>
      </c>
    </row>
    <row r="937" customFormat="false" ht="15" hidden="false" customHeight="true" outlineLevel="0" collapsed="false">
      <c r="G937" s="4" t="str">
        <f aca="false">IF($D937="","",$A937&amp;"|"&amp;$B937&amp;"|"&amp;$C937&amp;"|"&amp;$D937)</f>
        <v/>
      </c>
      <c r="H937" s="4" t="str">
        <f aca="false">IF($D937="","",$G937&amp;"|"&amp;TEXT($E937,"0.000000"))</f>
        <v/>
      </c>
      <c r="I937" s="29" t="str">
        <f aca="false">IF($D937="","",IF(ISNUMBER($E937),FLOOR(($E937-$B937)*24,1),""))</f>
        <v/>
      </c>
      <c r="J937" s="10" t="str">
        <f aca="false">IF($D937="","",IFERROR(IF(VLOOKUP($F937,Dim_Analyst!$A:$C,3,0)="Yes","Yes","No"),"No"))</f>
        <v/>
      </c>
    </row>
    <row r="938" customFormat="false" ht="15" hidden="false" customHeight="true" outlineLevel="0" collapsed="false">
      <c r="G938" s="4" t="str">
        <f aca="false">IF($D938="","",$A938&amp;"|"&amp;$B938&amp;"|"&amp;$C938&amp;"|"&amp;$D938)</f>
        <v/>
      </c>
      <c r="H938" s="4" t="str">
        <f aca="false">IF($D938="","",$G938&amp;"|"&amp;TEXT($E938,"0.000000"))</f>
        <v/>
      </c>
      <c r="I938" s="29" t="str">
        <f aca="false">IF($D938="","",IF(ISNUMBER($E938),FLOOR(($E938-$B938)*24,1),""))</f>
        <v/>
      </c>
      <c r="J938" s="10" t="str">
        <f aca="false">IF($D938="","",IFERROR(IF(VLOOKUP($F938,Dim_Analyst!$A:$C,3,0)="Yes","Yes","No"),"No"))</f>
        <v/>
      </c>
    </row>
    <row r="939" customFormat="false" ht="15" hidden="false" customHeight="true" outlineLevel="0" collapsed="false">
      <c r="G939" s="4" t="str">
        <f aca="false">IF($D939="","",$A939&amp;"|"&amp;$B939&amp;"|"&amp;$C939&amp;"|"&amp;$D939)</f>
        <v/>
      </c>
      <c r="H939" s="4" t="str">
        <f aca="false">IF($D939="","",$G939&amp;"|"&amp;TEXT($E939,"0.000000"))</f>
        <v/>
      </c>
      <c r="I939" s="29" t="str">
        <f aca="false">IF($D939="","",IF(ISNUMBER($E939),FLOOR(($E939-$B939)*24,1),""))</f>
        <v/>
      </c>
      <c r="J939" s="10" t="str">
        <f aca="false">IF($D939="","",IFERROR(IF(VLOOKUP($F939,Dim_Analyst!$A:$C,3,0)="Yes","Yes","No"),"No"))</f>
        <v/>
      </c>
    </row>
    <row r="940" customFormat="false" ht="15" hidden="false" customHeight="true" outlineLevel="0" collapsed="false">
      <c r="G940" s="4" t="str">
        <f aca="false">IF($D940="","",$A940&amp;"|"&amp;$B940&amp;"|"&amp;$C940&amp;"|"&amp;$D940)</f>
        <v/>
      </c>
      <c r="H940" s="4" t="str">
        <f aca="false">IF($D940="","",$G940&amp;"|"&amp;TEXT($E940,"0.000000"))</f>
        <v/>
      </c>
      <c r="I940" s="29" t="str">
        <f aca="false">IF($D940="","",IF(ISNUMBER($E940),FLOOR(($E940-$B940)*24,1),""))</f>
        <v/>
      </c>
      <c r="J940" s="10" t="str">
        <f aca="false">IF($D940="","",IFERROR(IF(VLOOKUP($F940,Dim_Analyst!$A:$C,3,0)="Yes","Yes","No"),"No"))</f>
        <v/>
      </c>
    </row>
    <row r="941" customFormat="false" ht="15" hidden="false" customHeight="true" outlineLevel="0" collapsed="false">
      <c r="G941" s="4" t="str">
        <f aca="false">IF($D941="","",$A941&amp;"|"&amp;$B941&amp;"|"&amp;$C941&amp;"|"&amp;$D941)</f>
        <v/>
      </c>
      <c r="H941" s="4" t="str">
        <f aca="false">IF($D941="","",$G941&amp;"|"&amp;TEXT($E941,"0.000000"))</f>
        <v/>
      </c>
      <c r="I941" s="29" t="str">
        <f aca="false">IF($D941="","",IF(ISNUMBER($E941),FLOOR(($E941-$B941)*24,1),""))</f>
        <v/>
      </c>
      <c r="J941" s="10" t="str">
        <f aca="false">IF($D941="","",IFERROR(IF(VLOOKUP($F941,Dim_Analyst!$A:$C,3,0)="Yes","Yes","No"),"No"))</f>
        <v/>
      </c>
    </row>
    <row r="942" customFormat="false" ht="15" hidden="false" customHeight="true" outlineLevel="0" collapsed="false">
      <c r="G942" s="4" t="str">
        <f aca="false">IF($D942="","",$A942&amp;"|"&amp;$B942&amp;"|"&amp;$C942&amp;"|"&amp;$D942)</f>
        <v/>
      </c>
      <c r="H942" s="4" t="str">
        <f aca="false">IF($D942="","",$G942&amp;"|"&amp;TEXT($E942,"0.000000"))</f>
        <v/>
      </c>
      <c r="I942" s="29" t="str">
        <f aca="false">IF($D942="","",IF(ISNUMBER($E942),FLOOR(($E942-$B942)*24,1),""))</f>
        <v/>
      </c>
      <c r="J942" s="10" t="str">
        <f aca="false">IF($D942="","",IFERROR(IF(VLOOKUP($F942,Dim_Analyst!$A:$C,3,0)="Yes","Yes","No"),"No"))</f>
        <v/>
      </c>
    </row>
    <row r="943" customFormat="false" ht="15" hidden="false" customHeight="true" outlineLevel="0" collapsed="false">
      <c r="G943" s="4" t="str">
        <f aca="false">IF($D943="","",$A943&amp;"|"&amp;$B943&amp;"|"&amp;$C943&amp;"|"&amp;$D943)</f>
        <v/>
      </c>
      <c r="H943" s="4" t="str">
        <f aca="false">IF($D943="","",$G943&amp;"|"&amp;TEXT($E943,"0.000000"))</f>
        <v/>
      </c>
      <c r="I943" s="29" t="str">
        <f aca="false">IF($D943="","",IF(ISNUMBER($E943),FLOOR(($E943-$B943)*24,1),""))</f>
        <v/>
      </c>
      <c r="J943" s="10" t="str">
        <f aca="false">IF($D943="","",IFERROR(IF(VLOOKUP($F943,Dim_Analyst!$A:$C,3,0)="Yes","Yes","No"),"No"))</f>
        <v/>
      </c>
    </row>
    <row r="944" customFormat="false" ht="15" hidden="false" customHeight="true" outlineLevel="0" collapsed="false">
      <c r="G944" s="4" t="str">
        <f aca="false">IF($D944="","",$A944&amp;"|"&amp;$B944&amp;"|"&amp;$C944&amp;"|"&amp;$D944)</f>
        <v/>
      </c>
      <c r="H944" s="4" t="str">
        <f aca="false">IF($D944="","",$G944&amp;"|"&amp;TEXT($E944,"0.000000"))</f>
        <v/>
      </c>
      <c r="I944" s="29" t="str">
        <f aca="false">IF($D944="","",IF(ISNUMBER($E944),FLOOR(($E944-$B944)*24,1),""))</f>
        <v/>
      </c>
      <c r="J944" s="10" t="str">
        <f aca="false">IF($D944="","",IFERROR(IF(VLOOKUP($F944,Dim_Analyst!$A:$C,3,0)="Yes","Yes","No"),"No"))</f>
        <v/>
      </c>
    </row>
    <row r="945" customFormat="false" ht="15" hidden="false" customHeight="true" outlineLevel="0" collapsed="false">
      <c r="G945" s="4" t="str">
        <f aca="false">IF($D945="","",$A945&amp;"|"&amp;$B945&amp;"|"&amp;$C945&amp;"|"&amp;$D945)</f>
        <v/>
      </c>
      <c r="H945" s="4" t="str">
        <f aca="false">IF($D945="","",$G945&amp;"|"&amp;TEXT($E945,"0.000000"))</f>
        <v/>
      </c>
      <c r="I945" s="29" t="str">
        <f aca="false">IF($D945="","",IF(ISNUMBER($E945),FLOOR(($E945-$B945)*24,1),""))</f>
        <v/>
      </c>
      <c r="J945" s="10" t="str">
        <f aca="false">IF($D945="","",IFERROR(IF(VLOOKUP($F945,Dim_Analyst!$A:$C,3,0)="Yes","Yes","No"),"No"))</f>
        <v/>
      </c>
    </row>
    <row r="946" customFormat="false" ht="15" hidden="false" customHeight="true" outlineLevel="0" collapsed="false">
      <c r="G946" s="4" t="str">
        <f aca="false">IF($D946="","",$A946&amp;"|"&amp;$B946&amp;"|"&amp;$C946&amp;"|"&amp;$D946)</f>
        <v/>
      </c>
      <c r="H946" s="4" t="str">
        <f aca="false">IF($D946="","",$G946&amp;"|"&amp;TEXT($E946,"0.000000"))</f>
        <v/>
      </c>
      <c r="I946" s="29" t="str">
        <f aca="false">IF($D946="","",IF(ISNUMBER($E946),FLOOR(($E946-$B946)*24,1),""))</f>
        <v/>
      </c>
      <c r="J946" s="10" t="str">
        <f aca="false">IF($D946="","",IFERROR(IF(VLOOKUP($F946,Dim_Analyst!$A:$C,3,0)="Yes","Yes","No"),"No"))</f>
        <v/>
      </c>
    </row>
    <row r="947" customFormat="false" ht="15" hidden="false" customHeight="true" outlineLevel="0" collapsed="false">
      <c r="G947" s="4" t="str">
        <f aca="false">IF($D947="","",$A947&amp;"|"&amp;$B947&amp;"|"&amp;$C947&amp;"|"&amp;$D947)</f>
        <v/>
      </c>
      <c r="H947" s="4" t="str">
        <f aca="false">IF($D947="","",$G947&amp;"|"&amp;TEXT($E947,"0.000000"))</f>
        <v/>
      </c>
      <c r="I947" s="29" t="str">
        <f aca="false">IF($D947="","",IF(ISNUMBER($E947),FLOOR(($E947-$B947)*24,1),""))</f>
        <v/>
      </c>
      <c r="J947" s="10" t="str">
        <f aca="false">IF($D947="","",IFERROR(IF(VLOOKUP($F947,Dim_Analyst!$A:$C,3,0)="Yes","Yes","No"),"No"))</f>
        <v/>
      </c>
    </row>
    <row r="948" customFormat="false" ht="15" hidden="false" customHeight="true" outlineLevel="0" collapsed="false">
      <c r="G948" s="4" t="str">
        <f aca="false">IF($D948="","",$A948&amp;"|"&amp;$B948&amp;"|"&amp;$C948&amp;"|"&amp;$D948)</f>
        <v/>
      </c>
      <c r="H948" s="4" t="str">
        <f aca="false">IF($D948="","",$G948&amp;"|"&amp;TEXT($E948,"0.000000"))</f>
        <v/>
      </c>
      <c r="I948" s="29" t="str">
        <f aca="false">IF($D948="","",IF(ISNUMBER($E948),FLOOR(($E948-$B948)*24,1),""))</f>
        <v/>
      </c>
      <c r="J948" s="10" t="str">
        <f aca="false">IF($D948="","",IFERROR(IF(VLOOKUP($F948,Dim_Analyst!$A:$C,3,0)="Yes","Yes","No"),"No"))</f>
        <v/>
      </c>
    </row>
    <row r="949" customFormat="false" ht="15" hidden="false" customHeight="true" outlineLevel="0" collapsed="false">
      <c r="G949" s="4" t="str">
        <f aca="false">IF($D949="","",$A949&amp;"|"&amp;$B949&amp;"|"&amp;$C949&amp;"|"&amp;$D949)</f>
        <v/>
      </c>
      <c r="H949" s="4" t="str">
        <f aca="false">IF($D949="","",$G949&amp;"|"&amp;TEXT($E949,"0.000000"))</f>
        <v/>
      </c>
      <c r="I949" s="29" t="str">
        <f aca="false">IF($D949="","",IF(ISNUMBER($E949),FLOOR(($E949-$B949)*24,1),""))</f>
        <v/>
      </c>
      <c r="J949" s="10" t="str">
        <f aca="false">IF($D949="","",IFERROR(IF(VLOOKUP($F949,Dim_Analyst!$A:$C,3,0)="Yes","Yes","No"),"No"))</f>
        <v/>
      </c>
    </row>
    <row r="950" customFormat="false" ht="15" hidden="false" customHeight="true" outlineLevel="0" collapsed="false">
      <c r="G950" s="4" t="str">
        <f aca="false">IF($D950="","",$A950&amp;"|"&amp;$B950&amp;"|"&amp;$C950&amp;"|"&amp;$D950)</f>
        <v/>
      </c>
      <c r="H950" s="4" t="str">
        <f aca="false">IF($D950="","",$G950&amp;"|"&amp;TEXT($E950,"0.000000"))</f>
        <v/>
      </c>
      <c r="I950" s="29" t="str">
        <f aca="false">IF($D950="","",IF(ISNUMBER($E950),FLOOR(($E950-$B950)*24,1),""))</f>
        <v/>
      </c>
      <c r="J950" s="10" t="str">
        <f aca="false">IF($D950="","",IFERROR(IF(VLOOKUP($F950,Dim_Analyst!$A:$C,3,0)="Yes","Yes","No"),"No"))</f>
        <v/>
      </c>
    </row>
    <row r="951" customFormat="false" ht="15" hidden="false" customHeight="true" outlineLevel="0" collapsed="false">
      <c r="G951" s="4" t="str">
        <f aca="false">IF($D951="","",$A951&amp;"|"&amp;$B951&amp;"|"&amp;$C951&amp;"|"&amp;$D951)</f>
        <v/>
      </c>
      <c r="H951" s="4" t="str">
        <f aca="false">IF($D951="","",$G951&amp;"|"&amp;TEXT($E951,"0.000000"))</f>
        <v/>
      </c>
      <c r="I951" s="29" t="str">
        <f aca="false">IF($D951="","",IF(ISNUMBER($E951),FLOOR(($E951-$B951)*24,1),""))</f>
        <v/>
      </c>
      <c r="J951" s="10" t="str">
        <f aca="false">IF($D951="","",IFERROR(IF(VLOOKUP($F951,Dim_Analyst!$A:$C,3,0)="Yes","Yes","No"),"No"))</f>
        <v/>
      </c>
    </row>
    <row r="952" customFormat="false" ht="15" hidden="false" customHeight="true" outlineLevel="0" collapsed="false">
      <c r="G952" s="4" t="str">
        <f aca="false">IF($D952="","",$A952&amp;"|"&amp;$B952&amp;"|"&amp;$C952&amp;"|"&amp;$D952)</f>
        <v/>
      </c>
      <c r="H952" s="4" t="str">
        <f aca="false">IF($D952="","",$G952&amp;"|"&amp;TEXT($E952,"0.000000"))</f>
        <v/>
      </c>
      <c r="I952" s="29" t="str">
        <f aca="false">IF($D952="","",IF(ISNUMBER($E952),FLOOR(($E952-$B952)*24,1),""))</f>
        <v/>
      </c>
      <c r="J952" s="10" t="str">
        <f aca="false">IF($D952="","",IFERROR(IF(VLOOKUP($F952,Dim_Analyst!$A:$C,3,0)="Yes","Yes","No"),"No"))</f>
        <v/>
      </c>
    </row>
    <row r="953" customFormat="false" ht="15" hidden="false" customHeight="true" outlineLevel="0" collapsed="false">
      <c r="G953" s="4" t="str">
        <f aca="false">IF($D953="","",$A953&amp;"|"&amp;$B953&amp;"|"&amp;$C953&amp;"|"&amp;$D953)</f>
        <v/>
      </c>
      <c r="H953" s="4" t="str">
        <f aca="false">IF($D953="","",$G953&amp;"|"&amp;TEXT($E953,"0.000000"))</f>
        <v/>
      </c>
      <c r="I953" s="29" t="str">
        <f aca="false">IF($D953="","",IF(ISNUMBER($E953),FLOOR(($E953-$B953)*24,1),""))</f>
        <v/>
      </c>
      <c r="J953" s="10" t="str">
        <f aca="false">IF($D953="","",IFERROR(IF(VLOOKUP($F953,Dim_Analyst!$A:$C,3,0)="Yes","Yes","No"),"No"))</f>
        <v/>
      </c>
    </row>
    <row r="954" customFormat="false" ht="15" hidden="false" customHeight="true" outlineLevel="0" collapsed="false">
      <c r="G954" s="4" t="str">
        <f aca="false">IF($D954="","",$A954&amp;"|"&amp;$B954&amp;"|"&amp;$C954&amp;"|"&amp;$D954)</f>
        <v/>
      </c>
      <c r="H954" s="4" t="str">
        <f aca="false">IF($D954="","",$G954&amp;"|"&amp;TEXT($E954,"0.000000"))</f>
        <v/>
      </c>
      <c r="I954" s="29" t="str">
        <f aca="false">IF($D954="","",IF(ISNUMBER($E954),FLOOR(($E954-$B954)*24,1),""))</f>
        <v/>
      </c>
      <c r="J954" s="10" t="str">
        <f aca="false">IF($D954="","",IFERROR(IF(VLOOKUP($F954,Dim_Analyst!$A:$C,3,0)="Yes","Yes","No"),"No"))</f>
        <v/>
      </c>
    </row>
    <row r="955" customFormat="false" ht="15" hidden="false" customHeight="true" outlineLevel="0" collapsed="false">
      <c r="G955" s="4" t="str">
        <f aca="false">IF($D955="","",$A955&amp;"|"&amp;$B955&amp;"|"&amp;$C955&amp;"|"&amp;$D955)</f>
        <v/>
      </c>
      <c r="H955" s="4" t="str">
        <f aca="false">IF($D955="","",$G955&amp;"|"&amp;TEXT($E955,"0.000000"))</f>
        <v/>
      </c>
      <c r="I955" s="29" t="str">
        <f aca="false">IF($D955="","",IF(ISNUMBER($E955),FLOOR(($E955-$B955)*24,1),""))</f>
        <v/>
      </c>
      <c r="J955" s="10" t="str">
        <f aca="false">IF($D955="","",IFERROR(IF(VLOOKUP($F955,Dim_Analyst!$A:$C,3,0)="Yes","Yes","No"),"No"))</f>
        <v/>
      </c>
    </row>
    <row r="956" customFormat="false" ht="15" hidden="false" customHeight="true" outlineLevel="0" collapsed="false">
      <c r="G956" s="4" t="str">
        <f aca="false">IF($D956="","",$A956&amp;"|"&amp;$B956&amp;"|"&amp;$C956&amp;"|"&amp;$D956)</f>
        <v/>
      </c>
      <c r="H956" s="4" t="str">
        <f aca="false">IF($D956="","",$G956&amp;"|"&amp;TEXT($E956,"0.000000"))</f>
        <v/>
      </c>
      <c r="I956" s="29" t="str">
        <f aca="false">IF($D956="","",IF(ISNUMBER($E956),FLOOR(($E956-$B956)*24,1),""))</f>
        <v/>
      </c>
      <c r="J956" s="10" t="str">
        <f aca="false">IF($D956="","",IFERROR(IF(VLOOKUP($F956,Dim_Analyst!$A:$C,3,0)="Yes","Yes","No"),"No"))</f>
        <v/>
      </c>
    </row>
    <row r="957" customFormat="false" ht="15" hidden="false" customHeight="true" outlineLevel="0" collapsed="false">
      <c r="G957" s="4" t="str">
        <f aca="false">IF($D957="","",$A957&amp;"|"&amp;$B957&amp;"|"&amp;$C957&amp;"|"&amp;$D957)</f>
        <v/>
      </c>
      <c r="H957" s="4" t="str">
        <f aca="false">IF($D957="","",$G957&amp;"|"&amp;TEXT($E957,"0.000000"))</f>
        <v/>
      </c>
      <c r="I957" s="29" t="str">
        <f aca="false">IF($D957="","",IF(ISNUMBER($E957),FLOOR(($E957-$B957)*24,1),""))</f>
        <v/>
      </c>
      <c r="J957" s="10" t="str">
        <f aca="false">IF($D957="","",IFERROR(IF(VLOOKUP($F957,Dim_Analyst!$A:$C,3,0)="Yes","Yes","No"),"No"))</f>
        <v/>
      </c>
    </row>
    <row r="958" customFormat="false" ht="15" hidden="false" customHeight="true" outlineLevel="0" collapsed="false">
      <c r="G958" s="4" t="str">
        <f aca="false">IF($D958="","",$A958&amp;"|"&amp;$B958&amp;"|"&amp;$C958&amp;"|"&amp;$D958)</f>
        <v/>
      </c>
      <c r="H958" s="4" t="str">
        <f aca="false">IF($D958="","",$G958&amp;"|"&amp;TEXT($E958,"0.000000"))</f>
        <v/>
      </c>
      <c r="I958" s="29" t="str">
        <f aca="false">IF($D958="","",IF(ISNUMBER($E958),FLOOR(($E958-$B958)*24,1),""))</f>
        <v/>
      </c>
      <c r="J958" s="10" t="str">
        <f aca="false">IF($D958="","",IFERROR(IF(VLOOKUP($F958,Dim_Analyst!$A:$C,3,0)="Yes","Yes","No"),"No"))</f>
        <v/>
      </c>
    </row>
    <row r="959" customFormat="false" ht="15" hidden="false" customHeight="true" outlineLevel="0" collapsed="false">
      <c r="G959" s="4" t="str">
        <f aca="false">IF($D959="","",$A959&amp;"|"&amp;$B959&amp;"|"&amp;$C959&amp;"|"&amp;$D959)</f>
        <v/>
      </c>
      <c r="H959" s="4" t="str">
        <f aca="false">IF($D959="","",$G959&amp;"|"&amp;TEXT($E959,"0.000000"))</f>
        <v/>
      </c>
      <c r="I959" s="29" t="str">
        <f aca="false">IF($D959="","",IF(ISNUMBER($E959),FLOOR(($E959-$B959)*24,1),""))</f>
        <v/>
      </c>
      <c r="J959" s="10" t="str">
        <f aca="false">IF($D959="","",IFERROR(IF(VLOOKUP($F959,Dim_Analyst!$A:$C,3,0)="Yes","Yes","No"),"No"))</f>
        <v/>
      </c>
    </row>
    <row r="960" customFormat="false" ht="15" hidden="false" customHeight="true" outlineLevel="0" collapsed="false">
      <c r="G960" s="4" t="str">
        <f aca="false">IF($D960="","",$A960&amp;"|"&amp;$B960&amp;"|"&amp;$C960&amp;"|"&amp;$D960)</f>
        <v/>
      </c>
      <c r="H960" s="4" t="str">
        <f aca="false">IF($D960="","",$G960&amp;"|"&amp;TEXT($E960,"0.000000"))</f>
        <v/>
      </c>
      <c r="I960" s="29" t="str">
        <f aca="false">IF($D960="","",IF(ISNUMBER($E960),FLOOR(($E960-$B960)*24,1),""))</f>
        <v/>
      </c>
      <c r="J960" s="10" t="str">
        <f aca="false">IF($D960="","",IFERROR(IF(VLOOKUP($F960,Dim_Analyst!$A:$C,3,0)="Yes","Yes","No"),"No"))</f>
        <v/>
      </c>
    </row>
    <row r="961" customFormat="false" ht="15" hidden="false" customHeight="true" outlineLevel="0" collapsed="false">
      <c r="G961" s="4" t="str">
        <f aca="false">IF($D961="","",$A961&amp;"|"&amp;$B961&amp;"|"&amp;$C961&amp;"|"&amp;$D961)</f>
        <v/>
      </c>
      <c r="H961" s="4" t="str">
        <f aca="false">IF($D961="","",$G961&amp;"|"&amp;TEXT($E961,"0.000000"))</f>
        <v/>
      </c>
      <c r="I961" s="29" t="str">
        <f aca="false">IF($D961="","",IF(ISNUMBER($E961),FLOOR(($E961-$B961)*24,1),""))</f>
        <v/>
      </c>
      <c r="J961" s="10" t="str">
        <f aca="false">IF($D961="","",IFERROR(IF(VLOOKUP($F961,Dim_Analyst!$A:$C,3,0)="Yes","Yes","No"),"No"))</f>
        <v/>
      </c>
    </row>
    <row r="962" customFormat="false" ht="15" hidden="false" customHeight="true" outlineLevel="0" collapsed="false">
      <c r="G962" s="4" t="str">
        <f aca="false">IF($D962="","",$A962&amp;"|"&amp;$B962&amp;"|"&amp;$C962&amp;"|"&amp;$D962)</f>
        <v/>
      </c>
      <c r="H962" s="4" t="str">
        <f aca="false">IF($D962="","",$G962&amp;"|"&amp;TEXT($E962,"0.000000"))</f>
        <v/>
      </c>
      <c r="I962" s="29" t="str">
        <f aca="false">IF($D962="","",IF(ISNUMBER($E962),FLOOR(($E962-$B962)*24,1),""))</f>
        <v/>
      </c>
      <c r="J962" s="10" t="str">
        <f aca="false">IF($D962="","",IFERROR(IF(VLOOKUP($F962,Dim_Analyst!$A:$C,3,0)="Yes","Yes","No"),"No"))</f>
        <v/>
      </c>
    </row>
    <row r="963" customFormat="false" ht="15" hidden="false" customHeight="true" outlineLevel="0" collapsed="false">
      <c r="G963" s="4" t="str">
        <f aca="false">IF($D963="","",$A963&amp;"|"&amp;$B963&amp;"|"&amp;$C963&amp;"|"&amp;$D963)</f>
        <v/>
      </c>
      <c r="H963" s="4" t="str">
        <f aca="false">IF($D963="","",$G963&amp;"|"&amp;TEXT($E963,"0.000000"))</f>
        <v/>
      </c>
      <c r="I963" s="29" t="str">
        <f aca="false">IF($D963="","",IF(ISNUMBER($E963),FLOOR(($E963-$B963)*24,1),""))</f>
        <v/>
      </c>
      <c r="J963" s="10" t="str">
        <f aca="false">IF($D963="","",IFERROR(IF(VLOOKUP($F963,Dim_Analyst!$A:$C,3,0)="Yes","Yes","No"),"No"))</f>
        <v/>
      </c>
    </row>
    <row r="964" customFormat="false" ht="15" hidden="false" customHeight="true" outlineLevel="0" collapsed="false">
      <c r="G964" s="4" t="str">
        <f aca="false">IF($D964="","",$A964&amp;"|"&amp;$B964&amp;"|"&amp;$C964&amp;"|"&amp;$D964)</f>
        <v/>
      </c>
      <c r="H964" s="4" t="str">
        <f aca="false">IF($D964="","",$G964&amp;"|"&amp;TEXT($E964,"0.000000"))</f>
        <v/>
      </c>
      <c r="I964" s="29" t="str">
        <f aca="false">IF($D964="","",IF(ISNUMBER($E964),FLOOR(($E964-$B964)*24,1),""))</f>
        <v/>
      </c>
      <c r="J964" s="10" t="str">
        <f aca="false">IF($D964="","",IFERROR(IF(VLOOKUP($F964,Dim_Analyst!$A:$C,3,0)="Yes","Yes","No"),"No"))</f>
        <v/>
      </c>
    </row>
    <row r="965" customFormat="false" ht="15" hidden="false" customHeight="true" outlineLevel="0" collapsed="false">
      <c r="G965" s="4" t="str">
        <f aca="false">IF($D965="","",$A965&amp;"|"&amp;$B965&amp;"|"&amp;$C965&amp;"|"&amp;$D965)</f>
        <v/>
      </c>
      <c r="H965" s="4" t="str">
        <f aca="false">IF($D965="","",$G965&amp;"|"&amp;TEXT($E965,"0.000000"))</f>
        <v/>
      </c>
      <c r="I965" s="29" t="str">
        <f aca="false">IF($D965="","",IF(ISNUMBER($E965),FLOOR(($E965-$B965)*24,1),""))</f>
        <v/>
      </c>
      <c r="J965" s="10" t="str">
        <f aca="false">IF($D965="","",IFERROR(IF(VLOOKUP($F965,Dim_Analyst!$A:$C,3,0)="Yes","Yes","No"),"No"))</f>
        <v/>
      </c>
    </row>
    <row r="966" customFormat="false" ht="15" hidden="false" customHeight="true" outlineLevel="0" collapsed="false">
      <c r="G966" s="4" t="str">
        <f aca="false">IF($D966="","",$A966&amp;"|"&amp;$B966&amp;"|"&amp;$C966&amp;"|"&amp;$D966)</f>
        <v/>
      </c>
      <c r="H966" s="4" t="str">
        <f aca="false">IF($D966="","",$G966&amp;"|"&amp;TEXT($E966,"0.000000"))</f>
        <v/>
      </c>
      <c r="I966" s="29" t="str">
        <f aca="false">IF($D966="","",IF(ISNUMBER($E966),FLOOR(($E966-$B966)*24,1),""))</f>
        <v/>
      </c>
      <c r="J966" s="10" t="str">
        <f aca="false">IF($D966="","",IFERROR(IF(VLOOKUP($F966,Dim_Analyst!$A:$C,3,0)="Yes","Yes","No"),"No"))</f>
        <v/>
      </c>
    </row>
    <row r="967" customFormat="false" ht="15" hidden="false" customHeight="true" outlineLevel="0" collapsed="false">
      <c r="G967" s="4" t="str">
        <f aca="false">IF($D967="","",$A967&amp;"|"&amp;$B967&amp;"|"&amp;$C967&amp;"|"&amp;$D967)</f>
        <v/>
      </c>
      <c r="H967" s="4" t="str">
        <f aca="false">IF($D967="","",$G967&amp;"|"&amp;TEXT($E967,"0.000000"))</f>
        <v/>
      </c>
      <c r="I967" s="29" t="str">
        <f aca="false">IF($D967="","",IF(ISNUMBER($E967),FLOOR(($E967-$B967)*24,1),""))</f>
        <v/>
      </c>
      <c r="J967" s="10" t="str">
        <f aca="false">IF($D967="","",IFERROR(IF(VLOOKUP($F967,Dim_Analyst!$A:$C,3,0)="Yes","Yes","No"),"No"))</f>
        <v/>
      </c>
    </row>
    <row r="968" customFormat="false" ht="15" hidden="false" customHeight="true" outlineLevel="0" collapsed="false">
      <c r="G968" s="4" t="str">
        <f aca="false">IF($D968="","",$A968&amp;"|"&amp;$B968&amp;"|"&amp;$C968&amp;"|"&amp;$D968)</f>
        <v/>
      </c>
      <c r="H968" s="4" t="str">
        <f aca="false">IF($D968="","",$G968&amp;"|"&amp;TEXT($E968,"0.000000"))</f>
        <v/>
      </c>
      <c r="I968" s="29" t="str">
        <f aca="false">IF($D968="","",IF(ISNUMBER($E968),FLOOR(($E968-$B968)*24,1),""))</f>
        <v/>
      </c>
      <c r="J968" s="10" t="str">
        <f aca="false">IF($D968="","",IFERROR(IF(VLOOKUP($F968,Dim_Analyst!$A:$C,3,0)="Yes","Yes","No"),"No"))</f>
        <v/>
      </c>
    </row>
    <row r="969" customFormat="false" ht="15" hidden="false" customHeight="true" outlineLevel="0" collapsed="false">
      <c r="G969" s="4" t="str">
        <f aca="false">IF($D969="","",$A969&amp;"|"&amp;$B969&amp;"|"&amp;$C969&amp;"|"&amp;$D969)</f>
        <v/>
      </c>
      <c r="H969" s="4" t="str">
        <f aca="false">IF($D969="","",$G969&amp;"|"&amp;TEXT($E969,"0.000000"))</f>
        <v/>
      </c>
      <c r="I969" s="29" t="str">
        <f aca="false">IF($D969="","",IF(ISNUMBER($E969),FLOOR(($E969-$B969)*24,1),""))</f>
        <v/>
      </c>
      <c r="J969" s="10" t="str">
        <f aca="false">IF($D969="","",IFERROR(IF(VLOOKUP($F969,Dim_Analyst!$A:$C,3,0)="Yes","Yes","No"),"No"))</f>
        <v/>
      </c>
    </row>
    <row r="970" customFormat="false" ht="15" hidden="false" customHeight="true" outlineLevel="0" collapsed="false">
      <c r="G970" s="4" t="str">
        <f aca="false">IF($D970="","",$A970&amp;"|"&amp;$B970&amp;"|"&amp;$C970&amp;"|"&amp;$D970)</f>
        <v/>
      </c>
      <c r="H970" s="4" t="str">
        <f aca="false">IF($D970="","",$G970&amp;"|"&amp;TEXT($E970,"0.000000"))</f>
        <v/>
      </c>
      <c r="I970" s="29" t="str">
        <f aca="false">IF($D970="","",IF(ISNUMBER($E970),FLOOR(($E970-$B970)*24,1),""))</f>
        <v/>
      </c>
      <c r="J970" s="10" t="str">
        <f aca="false">IF($D970="","",IFERROR(IF(VLOOKUP($F970,Dim_Analyst!$A:$C,3,0)="Yes","Yes","No"),"No"))</f>
        <v/>
      </c>
    </row>
    <row r="971" customFormat="false" ht="15" hidden="false" customHeight="true" outlineLevel="0" collapsed="false">
      <c r="G971" s="4" t="str">
        <f aca="false">IF($D971="","",$A971&amp;"|"&amp;$B971&amp;"|"&amp;$C971&amp;"|"&amp;$D971)</f>
        <v/>
      </c>
      <c r="H971" s="4" t="str">
        <f aca="false">IF($D971="","",$G971&amp;"|"&amp;TEXT($E971,"0.000000"))</f>
        <v/>
      </c>
      <c r="I971" s="29" t="str">
        <f aca="false">IF($D971="","",IF(ISNUMBER($E971),FLOOR(($E971-$B971)*24,1),""))</f>
        <v/>
      </c>
      <c r="J971" s="10" t="str">
        <f aca="false">IF($D971="","",IFERROR(IF(VLOOKUP($F971,Dim_Analyst!$A:$C,3,0)="Yes","Yes","No"),"No"))</f>
        <v/>
      </c>
    </row>
    <row r="972" customFormat="false" ht="15" hidden="false" customHeight="true" outlineLevel="0" collapsed="false">
      <c r="G972" s="4" t="str">
        <f aca="false">IF($D972="","",$A972&amp;"|"&amp;$B972&amp;"|"&amp;$C972&amp;"|"&amp;$D972)</f>
        <v/>
      </c>
      <c r="H972" s="4" t="str">
        <f aca="false">IF($D972="","",$G972&amp;"|"&amp;TEXT($E972,"0.000000"))</f>
        <v/>
      </c>
      <c r="I972" s="29" t="str">
        <f aca="false">IF($D972="","",IF(ISNUMBER($E972),FLOOR(($E972-$B972)*24,1),""))</f>
        <v/>
      </c>
      <c r="J972" s="10" t="str">
        <f aca="false">IF($D972="","",IFERROR(IF(VLOOKUP($F972,Dim_Analyst!$A:$C,3,0)="Yes","Yes","No"),"No"))</f>
        <v/>
      </c>
    </row>
    <row r="973" customFormat="false" ht="15" hidden="false" customHeight="true" outlineLevel="0" collapsed="false">
      <c r="G973" s="4" t="str">
        <f aca="false">IF($D973="","",$A973&amp;"|"&amp;$B973&amp;"|"&amp;$C973&amp;"|"&amp;$D973)</f>
        <v/>
      </c>
      <c r="H973" s="4" t="str">
        <f aca="false">IF($D973="","",$G973&amp;"|"&amp;TEXT($E973,"0.000000"))</f>
        <v/>
      </c>
      <c r="I973" s="29" t="str">
        <f aca="false">IF($D973="","",IF(ISNUMBER($E973),FLOOR(($E973-$B973)*24,1),""))</f>
        <v/>
      </c>
      <c r="J973" s="10" t="str">
        <f aca="false">IF($D973="","",IFERROR(IF(VLOOKUP($F973,Dim_Analyst!$A:$C,3,0)="Yes","Yes","No"),"No"))</f>
        <v/>
      </c>
    </row>
    <row r="974" customFormat="false" ht="15" hidden="false" customHeight="true" outlineLevel="0" collapsed="false">
      <c r="G974" s="4" t="str">
        <f aca="false">IF($D974="","",$A974&amp;"|"&amp;$B974&amp;"|"&amp;$C974&amp;"|"&amp;$D974)</f>
        <v/>
      </c>
      <c r="H974" s="4" t="str">
        <f aca="false">IF($D974="","",$G974&amp;"|"&amp;TEXT($E974,"0.000000"))</f>
        <v/>
      </c>
      <c r="I974" s="29" t="str">
        <f aca="false">IF($D974="","",IF(ISNUMBER($E974),FLOOR(($E974-$B974)*24,1),""))</f>
        <v/>
      </c>
      <c r="J974" s="10" t="str">
        <f aca="false">IF($D974="","",IFERROR(IF(VLOOKUP($F974,Dim_Analyst!$A:$C,3,0)="Yes","Yes","No"),"No"))</f>
        <v/>
      </c>
    </row>
    <row r="975" customFormat="false" ht="15" hidden="false" customHeight="true" outlineLevel="0" collapsed="false">
      <c r="G975" s="4" t="str">
        <f aca="false">IF($D975="","",$A975&amp;"|"&amp;$B975&amp;"|"&amp;$C975&amp;"|"&amp;$D975)</f>
        <v/>
      </c>
      <c r="H975" s="4" t="str">
        <f aca="false">IF($D975="","",$G975&amp;"|"&amp;TEXT($E975,"0.000000"))</f>
        <v/>
      </c>
      <c r="I975" s="29" t="str">
        <f aca="false">IF($D975="","",IF(ISNUMBER($E975),FLOOR(($E975-$B975)*24,1),""))</f>
        <v/>
      </c>
      <c r="J975" s="10" t="str">
        <f aca="false">IF($D975="","",IFERROR(IF(VLOOKUP($F975,Dim_Analyst!$A:$C,3,0)="Yes","Yes","No"),"No"))</f>
        <v/>
      </c>
    </row>
    <row r="976" customFormat="false" ht="15" hidden="false" customHeight="true" outlineLevel="0" collapsed="false">
      <c r="G976" s="4" t="str">
        <f aca="false">IF($D976="","",$A976&amp;"|"&amp;$B976&amp;"|"&amp;$C976&amp;"|"&amp;$D976)</f>
        <v/>
      </c>
      <c r="H976" s="4" t="str">
        <f aca="false">IF($D976="","",$G976&amp;"|"&amp;TEXT($E976,"0.000000"))</f>
        <v/>
      </c>
      <c r="I976" s="29" t="str">
        <f aca="false">IF($D976="","",IF(ISNUMBER($E976),FLOOR(($E976-$B976)*24,1),""))</f>
        <v/>
      </c>
      <c r="J976" s="10" t="str">
        <f aca="false">IF($D976="","",IFERROR(IF(VLOOKUP($F976,Dim_Analyst!$A:$C,3,0)="Yes","Yes","No"),"No"))</f>
        <v/>
      </c>
    </row>
    <row r="977" customFormat="false" ht="15" hidden="false" customHeight="true" outlineLevel="0" collapsed="false">
      <c r="G977" s="4" t="str">
        <f aca="false">IF($D977="","",$A977&amp;"|"&amp;$B977&amp;"|"&amp;$C977&amp;"|"&amp;$D977)</f>
        <v/>
      </c>
      <c r="H977" s="4" t="str">
        <f aca="false">IF($D977="","",$G977&amp;"|"&amp;TEXT($E977,"0.000000"))</f>
        <v/>
      </c>
      <c r="I977" s="29" t="str">
        <f aca="false">IF($D977="","",IF(ISNUMBER($E977),FLOOR(($E977-$B977)*24,1),""))</f>
        <v/>
      </c>
      <c r="J977" s="10" t="str">
        <f aca="false">IF($D977="","",IFERROR(IF(VLOOKUP($F977,Dim_Analyst!$A:$C,3,0)="Yes","Yes","No"),"No"))</f>
        <v/>
      </c>
    </row>
    <row r="978" customFormat="false" ht="15" hidden="false" customHeight="true" outlineLevel="0" collapsed="false">
      <c r="G978" s="4" t="str">
        <f aca="false">IF($D978="","",$A978&amp;"|"&amp;$B978&amp;"|"&amp;$C978&amp;"|"&amp;$D978)</f>
        <v/>
      </c>
      <c r="H978" s="4" t="str">
        <f aca="false">IF($D978="","",$G978&amp;"|"&amp;TEXT($E978,"0.000000"))</f>
        <v/>
      </c>
      <c r="I978" s="29" t="str">
        <f aca="false">IF($D978="","",IF(ISNUMBER($E978),FLOOR(($E978-$B978)*24,1),""))</f>
        <v/>
      </c>
      <c r="J978" s="10" t="str">
        <f aca="false">IF($D978="","",IFERROR(IF(VLOOKUP($F978,Dim_Analyst!$A:$C,3,0)="Yes","Yes","No"),"No"))</f>
        <v/>
      </c>
    </row>
    <row r="979" customFormat="false" ht="15" hidden="false" customHeight="true" outlineLevel="0" collapsed="false">
      <c r="G979" s="4" t="str">
        <f aca="false">IF($D979="","",$A979&amp;"|"&amp;$B979&amp;"|"&amp;$C979&amp;"|"&amp;$D979)</f>
        <v/>
      </c>
      <c r="H979" s="4" t="str">
        <f aca="false">IF($D979="","",$G979&amp;"|"&amp;TEXT($E979,"0.000000"))</f>
        <v/>
      </c>
      <c r="I979" s="29" t="str">
        <f aca="false">IF($D979="","",IF(ISNUMBER($E979),FLOOR(($E979-$B979)*24,1),""))</f>
        <v/>
      </c>
      <c r="J979" s="10" t="str">
        <f aca="false">IF($D979="","",IFERROR(IF(VLOOKUP($F979,Dim_Analyst!$A:$C,3,0)="Yes","Yes","No"),"No"))</f>
        <v/>
      </c>
    </row>
    <row r="980" customFormat="false" ht="15" hidden="false" customHeight="true" outlineLevel="0" collapsed="false">
      <c r="G980" s="4" t="str">
        <f aca="false">IF($D980="","",$A980&amp;"|"&amp;$B980&amp;"|"&amp;$C980&amp;"|"&amp;$D980)</f>
        <v/>
      </c>
      <c r="H980" s="4" t="str">
        <f aca="false">IF($D980="","",$G980&amp;"|"&amp;TEXT($E980,"0.000000"))</f>
        <v/>
      </c>
      <c r="I980" s="29" t="str">
        <f aca="false">IF($D980="","",IF(ISNUMBER($E980),FLOOR(($E980-$B980)*24,1),""))</f>
        <v/>
      </c>
      <c r="J980" s="10" t="str">
        <f aca="false">IF($D980="","",IFERROR(IF(VLOOKUP($F980,Dim_Analyst!$A:$C,3,0)="Yes","Yes","No"),"No"))</f>
        <v/>
      </c>
    </row>
    <row r="981" customFormat="false" ht="15" hidden="false" customHeight="true" outlineLevel="0" collapsed="false">
      <c r="G981" s="4" t="str">
        <f aca="false">IF($D981="","",$A981&amp;"|"&amp;$B981&amp;"|"&amp;$C981&amp;"|"&amp;$D981)</f>
        <v/>
      </c>
      <c r="H981" s="4" t="str">
        <f aca="false">IF($D981="","",$G981&amp;"|"&amp;TEXT($E981,"0.000000"))</f>
        <v/>
      </c>
      <c r="I981" s="29" t="str">
        <f aca="false">IF($D981="","",IF(ISNUMBER($E981),FLOOR(($E981-$B981)*24,1),""))</f>
        <v/>
      </c>
      <c r="J981" s="10" t="str">
        <f aca="false">IF($D981="","",IFERROR(IF(VLOOKUP($F981,Dim_Analyst!$A:$C,3,0)="Yes","Yes","No"),"No"))</f>
        <v/>
      </c>
    </row>
    <row r="982" customFormat="false" ht="15" hidden="false" customHeight="true" outlineLevel="0" collapsed="false">
      <c r="G982" s="4" t="str">
        <f aca="false">IF($D982="","",$A982&amp;"|"&amp;$B982&amp;"|"&amp;$C982&amp;"|"&amp;$D982)</f>
        <v/>
      </c>
      <c r="H982" s="4" t="str">
        <f aca="false">IF($D982="","",$G982&amp;"|"&amp;TEXT($E982,"0.000000"))</f>
        <v/>
      </c>
      <c r="I982" s="29" t="str">
        <f aca="false">IF($D982="","",IF(ISNUMBER($E982),FLOOR(($E982-$B982)*24,1),""))</f>
        <v/>
      </c>
      <c r="J982" s="10" t="str">
        <f aca="false">IF($D982="","",IFERROR(IF(VLOOKUP($F982,Dim_Analyst!$A:$C,3,0)="Yes","Yes","No"),"No"))</f>
        <v/>
      </c>
    </row>
    <row r="983" customFormat="false" ht="15" hidden="false" customHeight="true" outlineLevel="0" collapsed="false">
      <c r="G983" s="4" t="str">
        <f aca="false">IF($D983="","",$A983&amp;"|"&amp;$B983&amp;"|"&amp;$C983&amp;"|"&amp;$D983)</f>
        <v/>
      </c>
      <c r="H983" s="4" t="str">
        <f aca="false">IF($D983="","",$G983&amp;"|"&amp;TEXT($E983,"0.000000"))</f>
        <v/>
      </c>
      <c r="I983" s="29" t="str">
        <f aca="false">IF($D983="","",IF(ISNUMBER($E983),FLOOR(($E983-$B983)*24,1),""))</f>
        <v/>
      </c>
      <c r="J983" s="10" t="str">
        <f aca="false">IF($D983="","",IFERROR(IF(VLOOKUP($F983,Dim_Analyst!$A:$C,3,0)="Yes","Yes","No"),"No"))</f>
        <v/>
      </c>
    </row>
    <row r="984" customFormat="false" ht="15" hidden="false" customHeight="true" outlineLevel="0" collapsed="false">
      <c r="G984" s="4" t="str">
        <f aca="false">IF($D984="","",$A984&amp;"|"&amp;$B984&amp;"|"&amp;$C984&amp;"|"&amp;$D984)</f>
        <v/>
      </c>
      <c r="H984" s="4" t="str">
        <f aca="false">IF($D984="","",$G984&amp;"|"&amp;TEXT($E984,"0.000000"))</f>
        <v/>
      </c>
      <c r="I984" s="29" t="str">
        <f aca="false">IF($D984="","",IF(ISNUMBER($E984),FLOOR(($E984-$B984)*24,1),""))</f>
        <v/>
      </c>
      <c r="J984" s="10" t="str">
        <f aca="false">IF($D984="","",IFERROR(IF(VLOOKUP($F984,Dim_Analyst!$A:$C,3,0)="Yes","Yes","No"),"No"))</f>
        <v/>
      </c>
    </row>
    <row r="985" customFormat="false" ht="15" hidden="false" customHeight="true" outlineLevel="0" collapsed="false">
      <c r="G985" s="4" t="str">
        <f aca="false">IF($D985="","",$A985&amp;"|"&amp;$B985&amp;"|"&amp;$C985&amp;"|"&amp;$D985)</f>
        <v/>
      </c>
      <c r="H985" s="4" t="str">
        <f aca="false">IF($D985="","",$G985&amp;"|"&amp;TEXT($E985,"0.000000"))</f>
        <v/>
      </c>
      <c r="I985" s="29" t="str">
        <f aca="false">IF($D985="","",IF(ISNUMBER($E985),FLOOR(($E985-$B985)*24,1),""))</f>
        <v/>
      </c>
      <c r="J985" s="10" t="str">
        <f aca="false">IF($D985="","",IFERROR(IF(VLOOKUP($F985,Dim_Analyst!$A:$C,3,0)="Yes","Yes","No"),"No"))</f>
        <v/>
      </c>
    </row>
    <row r="986" customFormat="false" ht="15" hidden="false" customHeight="true" outlineLevel="0" collapsed="false">
      <c r="G986" s="4" t="str">
        <f aca="false">IF($D986="","",$A986&amp;"|"&amp;$B986&amp;"|"&amp;$C986&amp;"|"&amp;$D986)</f>
        <v/>
      </c>
      <c r="H986" s="4" t="str">
        <f aca="false">IF($D986="","",$G986&amp;"|"&amp;TEXT($E986,"0.000000"))</f>
        <v/>
      </c>
      <c r="I986" s="29" t="str">
        <f aca="false">IF($D986="","",IF(ISNUMBER($E986),FLOOR(($E986-$B986)*24,1),""))</f>
        <v/>
      </c>
      <c r="J986" s="10" t="str">
        <f aca="false">IF($D986="","",IFERROR(IF(VLOOKUP($F986,Dim_Analyst!$A:$C,3,0)="Yes","Yes","No"),"No"))</f>
        <v/>
      </c>
    </row>
    <row r="987" customFormat="false" ht="15" hidden="false" customHeight="true" outlineLevel="0" collapsed="false">
      <c r="G987" s="4" t="str">
        <f aca="false">IF($D987="","",$A987&amp;"|"&amp;$B987&amp;"|"&amp;$C987&amp;"|"&amp;$D987)</f>
        <v/>
      </c>
      <c r="H987" s="4" t="str">
        <f aca="false">IF($D987="","",$G987&amp;"|"&amp;TEXT($E987,"0.000000"))</f>
        <v/>
      </c>
      <c r="I987" s="29" t="str">
        <f aca="false">IF($D987="","",IF(ISNUMBER($E987),FLOOR(($E987-$B987)*24,1),""))</f>
        <v/>
      </c>
      <c r="J987" s="10" t="str">
        <f aca="false">IF($D987="","",IFERROR(IF(VLOOKUP($F987,Dim_Analyst!$A:$C,3,0)="Yes","Yes","No"),"No"))</f>
        <v/>
      </c>
    </row>
    <row r="988" customFormat="false" ht="15" hidden="false" customHeight="true" outlineLevel="0" collapsed="false">
      <c r="G988" s="4" t="str">
        <f aca="false">IF($D988="","",$A988&amp;"|"&amp;$B988&amp;"|"&amp;$C988&amp;"|"&amp;$D988)</f>
        <v/>
      </c>
      <c r="H988" s="4" t="str">
        <f aca="false">IF($D988="","",$G988&amp;"|"&amp;TEXT($E988,"0.000000"))</f>
        <v/>
      </c>
      <c r="I988" s="29" t="str">
        <f aca="false">IF($D988="","",IF(ISNUMBER($E988),FLOOR(($E988-$B988)*24,1),""))</f>
        <v/>
      </c>
      <c r="J988" s="10" t="str">
        <f aca="false">IF($D988="","",IFERROR(IF(VLOOKUP($F988,Dim_Analyst!$A:$C,3,0)="Yes","Yes","No"),"No"))</f>
        <v/>
      </c>
    </row>
    <row r="989" customFormat="false" ht="15" hidden="false" customHeight="true" outlineLevel="0" collapsed="false">
      <c r="G989" s="4" t="str">
        <f aca="false">IF($D989="","",$A989&amp;"|"&amp;$B989&amp;"|"&amp;$C989&amp;"|"&amp;$D989)</f>
        <v/>
      </c>
      <c r="H989" s="4" t="str">
        <f aca="false">IF($D989="","",$G989&amp;"|"&amp;TEXT($E989,"0.000000"))</f>
        <v/>
      </c>
      <c r="I989" s="29" t="str">
        <f aca="false">IF($D989="","",IF(ISNUMBER($E989),FLOOR(($E989-$B989)*24,1),""))</f>
        <v/>
      </c>
      <c r="J989" s="10" t="str">
        <f aca="false">IF($D989="","",IFERROR(IF(VLOOKUP($F989,Dim_Analyst!$A:$C,3,0)="Yes","Yes","No"),"No"))</f>
        <v/>
      </c>
    </row>
    <row r="990" customFormat="false" ht="15" hidden="false" customHeight="true" outlineLevel="0" collapsed="false">
      <c r="G990" s="4" t="str">
        <f aca="false">IF($D990="","",$A990&amp;"|"&amp;$B990&amp;"|"&amp;$C990&amp;"|"&amp;$D990)</f>
        <v/>
      </c>
      <c r="H990" s="4" t="str">
        <f aca="false">IF($D990="","",$G990&amp;"|"&amp;TEXT($E990,"0.000000"))</f>
        <v/>
      </c>
      <c r="I990" s="29" t="str">
        <f aca="false">IF($D990="","",IF(ISNUMBER($E990),FLOOR(($E990-$B990)*24,1),""))</f>
        <v/>
      </c>
      <c r="J990" s="10" t="str">
        <f aca="false">IF($D990="","",IFERROR(IF(VLOOKUP($F990,Dim_Analyst!$A:$C,3,0)="Yes","Yes","No"),"No"))</f>
        <v/>
      </c>
    </row>
    <row r="991" customFormat="false" ht="15" hidden="false" customHeight="true" outlineLevel="0" collapsed="false">
      <c r="G991" s="4" t="str">
        <f aca="false">IF($D991="","",$A991&amp;"|"&amp;$B991&amp;"|"&amp;$C991&amp;"|"&amp;$D991)</f>
        <v/>
      </c>
      <c r="H991" s="4" t="str">
        <f aca="false">IF($D991="","",$G991&amp;"|"&amp;TEXT($E991,"0.000000"))</f>
        <v/>
      </c>
      <c r="I991" s="29" t="str">
        <f aca="false">IF($D991="","",IF(ISNUMBER($E991),FLOOR(($E991-$B991)*24,1),""))</f>
        <v/>
      </c>
      <c r="J991" s="10" t="str">
        <f aca="false">IF($D991="","",IFERROR(IF(VLOOKUP($F991,Dim_Analyst!$A:$C,3,0)="Yes","Yes","No"),"No"))</f>
        <v/>
      </c>
    </row>
    <row r="992" customFormat="false" ht="15" hidden="false" customHeight="true" outlineLevel="0" collapsed="false">
      <c r="G992" s="4" t="str">
        <f aca="false">IF($D992="","",$A992&amp;"|"&amp;$B992&amp;"|"&amp;$C992&amp;"|"&amp;$D992)</f>
        <v/>
      </c>
      <c r="H992" s="4" t="str">
        <f aca="false">IF($D992="","",$G992&amp;"|"&amp;TEXT($E992,"0.000000"))</f>
        <v/>
      </c>
      <c r="I992" s="29" t="str">
        <f aca="false">IF($D992="","",IF(ISNUMBER($E992),FLOOR(($E992-$B992)*24,1),""))</f>
        <v/>
      </c>
      <c r="J992" s="10" t="str">
        <f aca="false">IF($D992="","",IFERROR(IF(VLOOKUP($F992,Dim_Analyst!$A:$C,3,0)="Yes","Yes","No"),"No"))</f>
        <v/>
      </c>
    </row>
    <row r="993" customFormat="false" ht="15" hidden="false" customHeight="true" outlineLevel="0" collapsed="false">
      <c r="G993" s="4" t="str">
        <f aca="false">IF($D993="","",$A993&amp;"|"&amp;$B993&amp;"|"&amp;$C993&amp;"|"&amp;$D993)</f>
        <v/>
      </c>
      <c r="H993" s="4" t="str">
        <f aca="false">IF($D993="","",$G993&amp;"|"&amp;TEXT($E993,"0.000000"))</f>
        <v/>
      </c>
      <c r="I993" s="29" t="str">
        <f aca="false">IF($D993="","",IF(ISNUMBER($E993),FLOOR(($E993-$B993)*24,1),""))</f>
        <v/>
      </c>
      <c r="J993" s="10" t="str">
        <f aca="false">IF($D993="","",IFERROR(IF(VLOOKUP($F993,Dim_Analyst!$A:$C,3,0)="Yes","Yes","No"),"No"))</f>
        <v/>
      </c>
    </row>
    <row r="994" customFormat="false" ht="15" hidden="false" customHeight="true" outlineLevel="0" collapsed="false">
      <c r="G994" s="4" t="str">
        <f aca="false">IF($D994="","",$A994&amp;"|"&amp;$B994&amp;"|"&amp;$C994&amp;"|"&amp;$D994)</f>
        <v/>
      </c>
      <c r="H994" s="4" t="str">
        <f aca="false">IF($D994="","",$G994&amp;"|"&amp;TEXT($E994,"0.000000"))</f>
        <v/>
      </c>
      <c r="I994" s="29" t="str">
        <f aca="false">IF($D994="","",IF(ISNUMBER($E994),FLOOR(($E994-$B994)*24,1),""))</f>
        <v/>
      </c>
      <c r="J994" s="10" t="str">
        <f aca="false">IF($D994="","",IFERROR(IF(VLOOKUP($F994,Dim_Analyst!$A:$C,3,0)="Yes","Yes","No"),"No"))</f>
        <v/>
      </c>
    </row>
    <row r="995" customFormat="false" ht="15" hidden="false" customHeight="true" outlineLevel="0" collapsed="false">
      <c r="G995" s="4" t="str">
        <f aca="false">IF($D995="","",$A995&amp;"|"&amp;$B995&amp;"|"&amp;$C995&amp;"|"&amp;$D995)</f>
        <v/>
      </c>
      <c r="H995" s="4" t="str">
        <f aca="false">IF($D995="","",$G995&amp;"|"&amp;TEXT($E995,"0.000000"))</f>
        <v/>
      </c>
      <c r="I995" s="29" t="str">
        <f aca="false">IF($D995="","",IF(ISNUMBER($E995),FLOOR(($E995-$B995)*24,1),""))</f>
        <v/>
      </c>
      <c r="J995" s="10" t="str">
        <f aca="false">IF($D995="","",IFERROR(IF(VLOOKUP($F995,Dim_Analyst!$A:$C,3,0)="Yes","Yes","No"),"No"))</f>
        <v/>
      </c>
    </row>
    <row r="996" customFormat="false" ht="15" hidden="false" customHeight="true" outlineLevel="0" collapsed="false">
      <c r="G996" s="4" t="str">
        <f aca="false">IF($D996="","",$A996&amp;"|"&amp;$B996&amp;"|"&amp;$C996&amp;"|"&amp;$D996)</f>
        <v/>
      </c>
      <c r="H996" s="4" t="str">
        <f aca="false">IF($D996="","",$G996&amp;"|"&amp;TEXT($E996,"0.000000"))</f>
        <v/>
      </c>
      <c r="I996" s="29" t="str">
        <f aca="false">IF($D996="","",IF(ISNUMBER($E996),FLOOR(($E996-$B996)*24,1),""))</f>
        <v/>
      </c>
      <c r="J996" s="10" t="str">
        <f aca="false">IF($D996="","",IFERROR(IF(VLOOKUP($F996,Dim_Analyst!$A:$C,3,0)="Yes","Yes","No"),"No"))</f>
        <v/>
      </c>
    </row>
    <row r="997" customFormat="false" ht="15" hidden="false" customHeight="true" outlineLevel="0" collapsed="false">
      <c r="G997" s="4" t="str">
        <f aca="false">IF($D997="","",$A997&amp;"|"&amp;$B997&amp;"|"&amp;$C997&amp;"|"&amp;$D997)</f>
        <v/>
      </c>
      <c r="H997" s="4" t="str">
        <f aca="false">IF($D997="","",$G997&amp;"|"&amp;TEXT($E997,"0.000000"))</f>
        <v/>
      </c>
      <c r="I997" s="29" t="str">
        <f aca="false">IF($D997="","",IF(ISNUMBER($E997),FLOOR(($E997-$B997)*24,1),""))</f>
        <v/>
      </c>
      <c r="J997" s="10" t="str">
        <f aca="false">IF($D997="","",IFERROR(IF(VLOOKUP($F997,Dim_Analyst!$A:$C,3,0)="Yes","Yes","No"),"No"))</f>
        <v/>
      </c>
    </row>
    <row r="998" customFormat="false" ht="15" hidden="false" customHeight="true" outlineLevel="0" collapsed="false">
      <c r="G998" s="4" t="str">
        <f aca="false">IF($D998="","",$A998&amp;"|"&amp;$B998&amp;"|"&amp;$C998&amp;"|"&amp;$D998)</f>
        <v/>
      </c>
      <c r="H998" s="4" t="str">
        <f aca="false">IF($D998="","",$G998&amp;"|"&amp;TEXT($E998,"0.000000"))</f>
        <v/>
      </c>
      <c r="I998" s="29" t="str">
        <f aca="false">IF($D998="","",IF(ISNUMBER($E998),FLOOR(($E998-$B998)*24,1),""))</f>
        <v/>
      </c>
      <c r="J998" s="10" t="str">
        <f aca="false">IF($D998="","",IFERROR(IF(VLOOKUP($F998,Dim_Analyst!$A:$C,3,0)="Yes","Yes","No"),"No"))</f>
        <v/>
      </c>
    </row>
    <row r="999" customFormat="false" ht="15" hidden="false" customHeight="true" outlineLevel="0" collapsed="false">
      <c r="G999" s="4" t="str">
        <f aca="false">IF($D999="","",$A999&amp;"|"&amp;$B999&amp;"|"&amp;$C999&amp;"|"&amp;$D999)</f>
        <v/>
      </c>
      <c r="H999" s="4" t="str">
        <f aca="false">IF($D999="","",$G999&amp;"|"&amp;TEXT($E999,"0.000000"))</f>
        <v/>
      </c>
      <c r="I999" s="29" t="str">
        <f aca="false">IF($D999="","",IF(ISNUMBER($E999),FLOOR(($E999-$B999)*24,1),""))</f>
        <v/>
      </c>
      <c r="J999" s="10" t="str">
        <f aca="false">IF($D999="","",IFERROR(IF(VLOOKUP($F999,Dim_Analyst!$A:$C,3,0)="Yes","Yes","No"),"No"))</f>
        <v/>
      </c>
    </row>
    <row r="1000" customFormat="false" ht="15" hidden="false" customHeight="true" outlineLevel="0" collapsed="false">
      <c r="G1000" s="4" t="str">
        <f aca="false">IF($D1000="","",$A1000&amp;"|"&amp;$B1000&amp;"|"&amp;$C1000&amp;"|"&amp;$D1000)</f>
        <v/>
      </c>
      <c r="H1000" s="4" t="str">
        <f aca="false">IF($D1000="","",$G1000&amp;"|"&amp;TEXT($E1000,"0.000000"))</f>
        <v/>
      </c>
      <c r="I1000" s="29" t="str">
        <f aca="false">IF($D1000="","",IF(ISNUMBER($E1000),FLOOR(($E1000-$B1000)*24,1),""))</f>
        <v/>
      </c>
      <c r="J1000" s="10" t="str">
        <f aca="false">IF($D1000="","",IFERROR(IF(VLOOKUP($F1000,Dim_Analyst!$A:$C,3,0)="Yes","Yes","No"),"No"))</f>
        <v/>
      </c>
    </row>
    <row r="1001" customFormat="false" ht="15" hidden="false" customHeight="true" outlineLevel="0" collapsed="false">
      <c r="G1001" s="4" t="str">
        <f aca="false">IF($D1001="","",$A1001&amp;"|"&amp;$B1001&amp;"|"&amp;$C1001&amp;"|"&amp;$D1001)</f>
        <v/>
      </c>
      <c r="H1001" s="4" t="str">
        <f aca="false">IF($D1001="","",$G1001&amp;"|"&amp;TEXT($E1001,"0.000000"))</f>
        <v/>
      </c>
      <c r="I1001" s="29" t="str">
        <f aca="false">IF($D1001="","",IF(ISNUMBER($E1001),FLOOR(($E1001-$B1001)*24,1),""))</f>
        <v/>
      </c>
      <c r="J1001" s="10" t="str">
        <f aca="false">IF($D1001="","",IFERROR(IF(VLOOKUP($F1001,Dim_Analyst!$A:$C,3,0)="Yes","Yes","No"),"No"))</f>
        <v/>
      </c>
    </row>
    <row r="1002" customFormat="false" ht="15" hidden="false" customHeight="true" outlineLevel="0" collapsed="false">
      <c r="G1002" s="4" t="str">
        <f aca="false">IF($D1002="","",$A1002&amp;"|"&amp;$B1002&amp;"|"&amp;$C1002&amp;"|"&amp;$D1002)</f>
        <v/>
      </c>
      <c r="H1002" s="4" t="str">
        <f aca="false">IF($D1002="","",$G1002&amp;"|"&amp;TEXT($E1002,"0.000000"))</f>
        <v/>
      </c>
      <c r="I1002" s="29" t="str">
        <f aca="false">IF($D1002="","",IF(ISNUMBER($E1002),FLOOR(($E1002-$B1002)*24,1),""))</f>
        <v/>
      </c>
      <c r="J1002" s="10" t="str">
        <f aca="false">IF($D1002="","",IFERROR(IF(VLOOKUP($F1002,Dim_Analyst!$A:$C,3,0)="Yes","Yes","No"),"No"))</f>
        <v/>
      </c>
    </row>
    <row r="1003" customFormat="false" ht="15" hidden="false" customHeight="true" outlineLevel="0" collapsed="false">
      <c r="G1003" s="4" t="str">
        <f aca="false">IF($D1003="","",$A1003&amp;"|"&amp;$B1003&amp;"|"&amp;$C1003&amp;"|"&amp;$D1003)</f>
        <v/>
      </c>
      <c r="H1003" s="4" t="str">
        <f aca="false">IF($D1003="","",$G1003&amp;"|"&amp;TEXT($E1003,"0.000000"))</f>
        <v/>
      </c>
      <c r="I1003" s="29" t="str">
        <f aca="false">IF($D1003="","",IF(ISNUMBER($E1003),FLOOR(($E1003-$B1003)*24,1),""))</f>
        <v/>
      </c>
      <c r="J1003" s="10" t="str">
        <f aca="false">IF($D1003="","",IFERROR(IF(VLOOKUP($F1003,Dim_Analyst!$A:$C,3,0)="Yes","Yes","No"),"No"))</f>
        <v/>
      </c>
    </row>
    <row r="1004" customFormat="false" ht="15" hidden="false" customHeight="true" outlineLevel="0" collapsed="false">
      <c r="G1004" s="4" t="str">
        <f aca="false">IF($D1004="","",$A1004&amp;"|"&amp;$B1004&amp;"|"&amp;$C1004&amp;"|"&amp;$D1004)</f>
        <v/>
      </c>
      <c r="H1004" s="4" t="str">
        <f aca="false">IF($D1004="","",$G1004&amp;"|"&amp;TEXT($E1004,"0.000000"))</f>
        <v/>
      </c>
      <c r="I1004" s="29" t="str">
        <f aca="false">IF($D1004="","",IF(ISNUMBER($E1004),FLOOR(($E1004-$B1004)*24,1),""))</f>
        <v/>
      </c>
      <c r="J1004" s="10" t="str">
        <f aca="false">IF($D1004="","",IFERROR(IF(VLOOKUP($F1004,Dim_Analyst!$A:$C,3,0)="Yes","Yes","No"),"No"))</f>
        <v/>
      </c>
    </row>
    <row r="1005" customFormat="false" ht="15" hidden="false" customHeight="true" outlineLevel="0" collapsed="false">
      <c r="G1005" s="4" t="str">
        <f aca="false">IF($D1005="","",$A1005&amp;"|"&amp;$B1005&amp;"|"&amp;$C1005&amp;"|"&amp;$D1005)</f>
        <v/>
      </c>
      <c r="H1005" s="4" t="str">
        <f aca="false">IF($D1005="","",$G1005&amp;"|"&amp;TEXT($E1005,"0.000000"))</f>
        <v/>
      </c>
      <c r="I1005" s="29" t="str">
        <f aca="false">IF($D1005="","",IF(ISNUMBER($E1005),FLOOR(($E1005-$B1005)*24,1),""))</f>
        <v/>
      </c>
      <c r="J1005" s="10" t="str">
        <f aca="false">IF($D1005="","",IFERROR(IF(VLOOKUP($F1005,Dim_Analyst!$A:$C,3,0)="Yes","Yes","No"),"No"))</f>
        <v/>
      </c>
    </row>
    <row r="1006" customFormat="false" ht="15" hidden="false" customHeight="true" outlineLevel="0" collapsed="false">
      <c r="G1006" s="4" t="str">
        <f aca="false">IF($D1006="","",$A1006&amp;"|"&amp;$B1006&amp;"|"&amp;$C1006&amp;"|"&amp;$D1006)</f>
        <v/>
      </c>
      <c r="H1006" s="4" t="str">
        <f aca="false">IF($D1006="","",$G1006&amp;"|"&amp;TEXT($E1006,"0.000000"))</f>
        <v/>
      </c>
      <c r="I1006" s="29" t="str">
        <f aca="false">IF($D1006="","",IF(ISNUMBER($E1006),FLOOR(($E1006-$B1006)*24,1),""))</f>
        <v/>
      </c>
      <c r="J1006" s="10" t="str">
        <f aca="false">IF($D1006="","",IFERROR(IF(VLOOKUP($F1006,Dim_Analyst!$A:$C,3,0)="Yes","Yes","No"),"No"))</f>
        <v/>
      </c>
    </row>
    <row r="1007" customFormat="false" ht="15" hidden="false" customHeight="true" outlineLevel="0" collapsed="false">
      <c r="G1007" s="4" t="str">
        <f aca="false">IF($D1007="","",$A1007&amp;"|"&amp;$B1007&amp;"|"&amp;$C1007&amp;"|"&amp;$D1007)</f>
        <v/>
      </c>
      <c r="H1007" s="4" t="str">
        <f aca="false">IF($D1007="","",$G1007&amp;"|"&amp;TEXT($E1007,"0.000000"))</f>
        <v/>
      </c>
      <c r="I1007" s="29" t="str">
        <f aca="false">IF($D1007="","",IF(ISNUMBER($E1007),FLOOR(($E1007-$B1007)*24,1),""))</f>
        <v/>
      </c>
      <c r="J1007" s="10" t="str">
        <f aca="false">IF($D1007="","",IFERROR(IF(VLOOKUP($F1007,Dim_Analyst!$A:$C,3,0)="Yes","Yes","No"),"No"))</f>
        <v/>
      </c>
    </row>
    <row r="1008" customFormat="false" ht="15" hidden="false" customHeight="true" outlineLevel="0" collapsed="false">
      <c r="G1008" s="4" t="str">
        <f aca="false">IF($D1008="","",$A1008&amp;"|"&amp;$B1008&amp;"|"&amp;$C1008&amp;"|"&amp;$D1008)</f>
        <v/>
      </c>
      <c r="H1008" s="4" t="str">
        <f aca="false">IF($D1008="","",$G1008&amp;"|"&amp;TEXT($E1008,"0.000000"))</f>
        <v/>
      </c>
      <c r="I1008" s="29" t="str">
        <f aca="false">IF($D1008="","",IF(ISNUMBER($E1008),FLOOR(($E1008-$B1008)*24,1),""))</f>
        <v/>
      </c>
      <c r="J1008" s="10" t="str">
        <f aca="false">IF($D1008="","",IFERROR(IF(VLOOKUP($F1008,Dim_Analyst!$A:$C,3,0)="Yes","Yes","No"),"No"))</f>
        <v/>
      </c>
    </row>
    <row r="1009" customFormat="false" ht="15" hidden="false" customHeight="true" outlineLevel="0" collapsed="false">
      <c r="G1009" s="4" t="str">
        <f aca="false">IF($D1009="","",$A1009&amp;"|"&amp;$B1009&amp;"|"&amp;$C1009&amp;"|"&amp;$D1009)</f>
        <v/>
      </c>
      <c r="H1009" s="4" t="str">
        <f aca="false">IF($D1009="","",$G1009&amp;"|"&amp;TEXT($E1009,"0.000000"))</f>
        <v/>
      </c>
      <c r="I1009" s="29" t="str">
        <f aca="false">IF($D1009="","",IF(ISNUMBER($E1009),FLOOR(($E1009-$B1009)*24,1),""))</f>
        <v/>
      </c>
      <c r="J1009" s="10" t="str">
        <f aca="false">IF($D1009="","",IFERROR(IF(VLOOKUP($F1009,Dim_Analyst!$A:$C,3,0)="Yes","Yes","No"),"No"))</f>
        <v/>
      </c>
    </row>
    <row r="1010" customFormat="false" ht="15" hidden="false" customHeight="true" outlineLevel="0" collapsed="false">
      <c r="G1010" s="4" t="str">
        <f aca="false">IF($D1010="","",$A1010&amp;"|"&amp;$B1010&amp;"|"&amp;$C1010&amp;"|"&amp;$D1010)</f>
        <v/>
      </c>
      <c r="H1010" s="4" t="str">
        <f aca="false">IF($D1010="","",$G1010&amp;"|"&amp;TEXT($E1010,"0.000000"))</f>
        <v/>
      </c>
      <c r="I1010" s="29" t="str">
        <f aca="false">IF($D1010="","",IF(ISNUMBER($E1010),FLOOR(($E1010-$B1010)*24,1),""))</f>
        <v/>
      </c>
      <c r="J1010" s="10" t="str">
        <f aca="false">IF($D1010="","",IFERROR(IF(VLOOKUP($F1010,Dim_Analyst!$A:$C,3,0)="Yes","Yes","No"),"No"))</f>
        <v/>
      </c>
    </row>
    <row r="1011" customFormat="false" ht="15" hidden="false" customHeight="true" outlineLevel="0" collapsed="false">
      <c r="G1011" s="4" t="str">
        <f aca="false">IF($D1011="","",$A1011&amp;"|"&amp;$B1011&amp;"|"&amp;$C1011&amp;"|"&amp;$D1011)</f>
        <v/>
      </c>
      <c r="H1011" s="4" t="str">
        <f aca="false">IF($D1011="","",$G1011&amp;"|"&amp;TEXT($E1011,"0.000000"))</f>
        <v/>
      </c>
      <c r="I1011" s="29" t="str">
        <f aca="false">IF($D1011="","",IF(ISNUMBER($E1011),FLOOR(($E1011-$B1011)*24,1),""))</f>
        <v/>
      </c>
      <c r="J1011" s="10" t="str">
        <f aca="false">IF($D1011="","",IFERROR(IF(VLOOKUP($F1011,Dim_Analyst!$A:$C,3,0)="Yes","Yes","No"),"No"))</f>
        <v/>
      </c>
    </row>
    <row r="1012" customFormat="false" ht="15" hidden="false" customHeight="true" outlineLevel="0" collapsed="false">
      <c r="G1012" s="4" t="str">
        <f aca="false">IF($D1012="","",$A1012&amp;"|"&amp;$B1012&amp;"|"&amp;$C1012&amp;"|"&amp;$D1012)</f>
        <v/>
      </c>
      <c r="H1012" s="4" t="str">
        <f aca="false">IF($D1012="","",$G1012&amp;"|"&amp;TEXT($E1012,"0.000000"))</f>
        <v/>
      </c>
      <c r="I1012" s="29" t="str">
        <f aca="false">IF($D1012="","",IF(ISNUMBER($E1012),FLOOR(($E1012-$B1012)*24,1),""))</f>
        <v/>
      </c>
      <c r="J1012" s="10" t="str">
        <f aca="false">IF($D1012="","",IFERROR(IF(VLOOKUP($F1012,Dim_Analyst!$A:$C,3,0)="Yes","Yes","No"),"No"))</f>
        <v/>
      </c>
    </row>
    <row r="1013" customFormat="false" ht="15" hidden="false" customHeight="true" outlineLevel="0" collapsed="false">
      <c r="G1013" s="4" t="str">
        <f aca="false">IF($D1013="","",$A1013&amp;"|"&amp;$B1013&amp;"|"&amp;$C1013&amp;"|"&amp;$D1013)</f>
        <v/>
      </c>
      <c r="H1013" s="4" t="str">
        <f aca="false">IF($D1013="","",$G1013&amp;"|"&amp;TEXT($E1013,"0.000000"))</f>
        <v/>
      </c>
      <c r="I1013" s="29" t="str">
        <f aca="false">IF($D1013="","",IF(ISNUMBER($E1013),FLOOR(($E1013-$B1013)*24,1),""))</f>
        <v/>
      </c>
      <c r="J1013" s="10" t="str">
        <f aca="false">IF($D1013="","",IFERROR(IF(VLOOKUP($F1013,Dim_Analyst!$A:$C,3,0)="Yes","Yes","No"),"No"))</f>
        <v/>
      </c>
    </row>
    <row r="1014" customFormat="false" ht="15" hidden="false" customHeight="true" outlineLevel="0" collapsed="false">
      <c r="G1014" s="4" t="str">
        <f aca="false">IF($D1014="","",$A1014&amp;"|"&amp;$B1014&amp;"|"&amp;$C1014&amp;"|"&amp;$D1014)</f>
        <v/>
      </c>
      <c r="H1014" s="4" t="str">
        <f aca="false">IF($D1014="","",$G1014&amp;"|"&amp;TEXT($E1014,"0.000000"))</f>
        <v/>
      </c>
      <c r="I1014" s="29" t="str">
        <f aca="false">IF($D1014="","",IF(ISNUMBER($E1014),FLOOR(($E1014-$B1014)*24,1),""))</f>
        <v/>
      </c>
      <c r="J1014" s="10" t="str">
        <f aca="false">IF($D1014="","",IFERROR(IF(VLOOKUP($F1014,Dim_Analyst!$A:$C,3,0)="Yes","Yes","No"),"No"))</f>
        <v/>
      </c>
    </row>
    <row r="1015" customFormat="false" ht="15" hidden="false" customHeight="true" outlineLevel="0" collapsed="false">
      <c r="G1015" s="4" t="str">
        <f aca="false">IF($D1015="","",$A1015&amp;"|"&amp;$B1015&amp;"|"&amp;$C1015&amp;"|"&amp;$D1015)</f>
        <v/>
      </c>
      <c r="H1015" s="4" t="str">
        <f aca="false">IF($D1015="","",$G1015&amp;"|"&amp;TEXT($E1015,"0.000000"))</f>
        <v/>
      </c>
      <c r="I1015" s="29" t="str">
        <f aca="false">IF($D1015="","",IF(ISNUMBER($E1015),FLOOR(($E1015-$B1015)*24,1),""))</f>
        <v/>
      </c>
      <c r="J1015" s="10" t="str">
        <f aca="false">IF($D1015="","",IFERROR(IF(VLOOKUP($F1015,Dim_Analyst!$A:$C,3,0)="Yes","Yes","No"),"No"))</f>
        <v/>
      </c>
    </row>
    <row r="1016" customFormat="false" ht="15" hidden="false" customHeight="true" outlineLevel="0" collapsed="false">
      <c r="G1016" s="4" t="str">
        <f aca="false">IF($D1016="","",$A1016&amp;"|"&amp;$B1016&amp;"|"&amp;$C1016&amp;"|"&amp;$D1016)</f>
        <v/>
      </c>
      <c r="H1016" s="4" t="str">
        <f aca="false">IF($D1016="","",$G1016&amp;"|"&amp;TEXT($E1016,"0.000000"))</f>
        <v/>
      </c>
      <c r="I1016" s="29" t="str">
        <f aca="false">IF($D1016="","",IF(ISNUMBER($E1016),FLOOR(($E1016-$B1016)*24,1),""))</f>
        <v/>
      </c>
      <c r="J1016" s="10" t="str">
        <f aca="false">IF($D1016="","",IFERROR(IF(VLOOKUP($F1016,Dim_Analyst!$A:$C,3,0)="Yes","Yes","No"),"No"))</f>
        <v/>
      </c>
    </row>
    <row r="1017" customFormat="false" ht="15" hidden="false" customHeight="true" outlineLevel="0" collapsed="false">
      <c r="G1017" s="4" t="str">
        <f aca="false">IF($D1017="","",$A1017&amp;"|"&amp;$B1017&amp;"|"&amp;$C1017&amp;"|"&amp;$D1017)</f>
        <v/>
      </c>
      <c r="H1017" s="4" t="str">
        <f aca="false">IF($D1017="","",$G1017&amp;"|"&amp;TEXT($E1017,"0.000000"))</f>
        <v/>
      </c>
      <c r="I1017" s="29" t="str">
        <f aca="false">IF($D1017="","",IF(ISNUMBER($E1017),FLOOR(($E1017-$B1017)*24,1),""))</f>
        <v/>
      </c>
      <c r="J1017" s="10" t="str">
        <f aca="false">IF($D1017="","",IFERROR(IF(VLOOKUP($F1017,Dim_Analyst!$A:$C,3,0)="Yes","Yes","No"),"No"))</f>
        <v/>
      </c>
    </row>
    <row r="1018" customFormat="false" ht="15" hidden="false" customHeight="true" outlineLevel="0" collapsed="false">
      <c r="G1018" s="4" t="str">
        <f aca="false">IF($D1018="","",$A1018&amp;"|"&amp;$B1018&amp;"|"&amp;$C1018&amp;"|"&amp;$D1018)</f>
        <v/>
      </c>
      <c r="H1018" s="4" t="str">
        <f aca="false">IF($D1018="","",$G1018&amp;"|"&amp;TEXT($E1018,"0.000000"))</f>
        <v/>
      </c>
      <c r="I1018" s="29" t="str">
        <f aca="false">IF($D1018="","",IF(ISNUMBER($E1018),FLOOR(($E1018-$B1018)*24,1),""))</f>
        <v/>
      </c>
      <c r="J1018" s="10" t="str">
        <f aca="false">IF($D1018="","",IFERROR(IF(VLOOKUP($F1018,Dim_Analyst!$A:$C,3,0)="Yes","Yes","No"),"No"))</f>
        <v/>
      </c>
    </row>
    <row r="1019" customFormat="false" ht="15" hidden="false" customHeight="true" outlineLevel="0" collapsed="false">
      <c r="G1019" s="4" t="str">
        <f aca="false">IF($D1019="","",$A1019&amp;"|"&amp;$B1019&amp;"|"&amp;$C1019&amp;"|"&amp;$D1019)</f>
        <v/>
      </c>
      <c r="H1019" s="4" t="str">
        <f aca="false">IF($D1019="","",$G1019&amp;"|"&amp;TEXT($E1019,"0.000000"))</f>
        <v/>
      </c>
      <c r="I1019" s="29" t="str">
        <f aca="false">IF($D1019="","",IF(ISNUMBER($E1019),FLOOR(($E1019-$B1019)*24,1),""))</f>
        <v/>
      </c>
      <c r="J1019" s="10" t="str">
        <f aca="false">IF($D1019="","",IFERROR(IF(VLOOKUP($F1019,Dim_Analyst!$A:$C,3,0)="Yes","Yes","No"),"No"))</f>
        <v/>
      </c>
    </row>
    <row r="1020" customFormat="false" ht="15" hidden="false" customHeight="true" outlineLevel="0" collapsed="false">
      <c r="G1020" s="4" t="str">
        <f aca="false">IF($D1020="","",$A1020&amp;"|"&amp;$B1020&amp;"|"&amp;$C1020&amp;"|"&amp;$D1020)</f>
        <v/>
      </c>
      <c r="H1020" s="4" t="str">
        <f aca="false">IF($D1020="","",$G1020&amp;"|"&amp;TEXT($E1020,"0.000000"))</f>
        <v/>
      </c>
      <c r="I1020" s="29" t="str">
        <f aca="false">IF($D1020="","",IF(ISNUMBER($E1020),FLOOR(($E1020-$B1020)*24,1),""))</f>
        <v/>
      </c>
      <c r="J1020" s="10" t="str">
        <f aca="false">IF($D1020="","",IFERROR(IF(VLOOKUP($F1020,Dim_Analyst!$A:$C,3,0)="Yes","Yes","No"),"No"))</f>
        <v/>
      </c>
    </row>
    <row r="1021" customFormat="false" ht="15" hidden="false" customHeight="true" outlineLevel="0" collapsed="false">
      <c r="G1021" s="4" t="str">
        <f aca="false">IF($D1021="","",$A1021&amp;"|"&amp;$B1021&amp;"|"&amp;$C1021&amp;"|"&amp;$D1021)</f>
        <v/>
      </c>
      <c r="H1021" s="4" t="str">
        <f aca="false">IF($D1021="","",$G1021&amp;"|"&amp;TEXT($E1021,"0.000000"))</f>
        <v/>
      </c>
      <c r="I1021" s="29" t="str">
        <f aca="false">IF($D1021="","",IF(ISNUMBER($E1021),FLOOR(($E1021-$B1021)*24,1),""))</f>
        <v/>
      </c>
      <c r="J1021" s="10" t="str">
        <f aca="false">IF($D1021="","",IFERROR(IF(VLOOKUP($F1021,Dim_Analyst!$A:$C,3,0)="Yes","Yes","No"),"No"))</f>
        <v/>
      </c>
    </row>
    <row r="1022" customFormat="false" ht="15" hidden="false" customHeight="true" outlineLevel="0" collapsed="false">
      <c r="G1022" s="4" t="str">
        <f aca="false">IF($D1022="","",$A1022&amp;"|"&amp;$B1022&amp;"|"&amp;$C1022&amp;"|"&amp;$D1022)</f>
        <v/>
      </c>
      <c r="H1022" s="4" t="str">
        <f aca="false">IF($D1022="","",$G1022&amp;"|"&amp;TEXT($E1022,"0.000000"))</f>
        <v/>
      </c>
      <c r="I1022" s="29" t="str">
        <f aca="false">IF($D1022="","",IF(ISNUMBER($E1022),FLOOR(($E1022-$B1022)*24,1),""))</f>
        <v/>
      </c>
      <c r="J1022" s="10" t="str">
        <f aca="false">IF($D1022="","",IFERROR(IF(VLOOKUP($F1022,Dim_Analyst!$A:$C,3,0)="Yes","Yes","No"),"No"))</f>
        <v/>
      </c>
    </row>
    <row r="1023" customFormat="false" ht="15" hidden="false" customHeight="true" outlineLevel="0" collapsed="false">
      <c r="G1023" s="4" t="str">
        <f aca="false">IF($D1023="","",$A1023&amp;"|"&amp;$B1023&amp;"|"&amp;$C1023&amp;"|"&amp;$D1023)</f>
        <v/>
      </c>
      <c r="H1023" s="4" t="str">
        <f aca="false">IF($D1023="","",$G1023&amp;"|"&amp;TEXT($E1023,"0.000000"))</f>
        <v/>
      </c>
      <c r="I1023" s="29" t="str">
        <f aca="false">IF($D1023="","",IF(ISNUMBER($E1023),FLOOR(($E1023-$B1023)*24,1),""))</f>
        <v/>
      </c>
      <c r="J1023" s="10" t="str">
        <f aca="false">IF($D1023="","",IFERROR(IF(VLOOKUP($F1023,Dim_Analyst!$A:$C,3,0)="Yes","Yes","No"),"No"))</f>
        <v/>
      </c>
    </row>
    <row r="1024" customFormat="false" ht="15" hidden="false" customHeight="true" outlineLevel="0" collapsed="false">
      <c r="G1024" s="4" t="str">
        <f aca="false">IF($D1024="","",$A1024&amp;"|"&amp;$B1024&amp;"|"&amp;$C1024&amp;"|"&amp;$D1024)</f>
        <v/>
      </c>
      <c r="H1024" s="4" t="str">
        <f aca="false">IF($D1024="","",$G1024&amp;"|"&amp;TEXT($E1024,"0.000000"))</f>
        <v/>
      </c>
      <c r="I1024" s="29" t="str">
        <f aca="false">IF($D1024="","",IF(ISNUMBER($E1024),FLOOR(($E1024-$B1024)*24,1),""))</f>
        <v/>
      </c>
      <c r="J1024" s="10" t="str">
        <f aca="false">IF($D1024="","",IFERROR(IF(VLOOKUP($F1024,Dim_Analyst!$A:$C,3,0)="Yes","Yes","No"),"No"))</f>
        <v/>
      </c>
    </row>
    <row r="1025" customFormat="false" ht="15" hidden="false" customHeight="true" outlineLevel="0" collapsed="false">
      <c r="G1025" s="4" t="str">
        <f aca="false">IF($D1025="","",$A1025&amp;"|"&amp;$B1025&amp;"|"&amp;$C1025&amp;"|"&amp;$D1025)</f>
        <v/>
      </c>
      <c r="H1025" s="4" t="str">
        <f aca="false">IF($D1025="","",$G1025&amp;"|"&amp;TEXT($E1025,"0.000000"))</f>
        <v/>
      </c>
      <c r="I1025" s="29" t="str">
        <f aca="false">IF($D1025="","",IF(ISNUMBER($E1025),FLOOR(($E1025-$B1025)*24,1),""))</f>
        <v/>
      </c>
      <c r="J1025" s="10" t="str">
        <f aca="false">IF($D1025="","",IFERROR(IF(VLOOKUP($F1025,Dim_Analyst!$A:$C,3,0)="Yes","Yes","No"),"No"))</f>
        <v/>
      </c>
    </row>
    <row r="1026" customFormat="false" ht="15" hidden="false" customHeight="true" outlineLevel="0" collapsed="false">
      <c r="G1026" s="4" t="str">
        <f aca="false">IF($D1026="","",$A1026&amp;"|"&amp;$B1026&amp;"|"&amp;$C1026&amp;"|"&amp;$D1026)</f>
        <v/>
      </c>
      <c r="H1026" s="4" t="str">
        <f aca="false">IF($D1026="","",$G1026&amp;"|"&amp;TEXT($E1026,"0.000000"))</f>
        <v/>
      </c>
      <c r="I1026" s="29" t="str">
        <f aca="false">IF($D1026="","",IF(ISNUMBER($E1026),FLOOR(($E1026-$B1026)*24,1),""))</f>
        <v/>
      </c>
      <c r="J1026" s="10" t="str">
        <f aca="false">IF($D1026="","",IFERROR(IF(VLOOKUP($F1026,Dim_Analyst!$A:$C,3,0)="Yes","Yes","No"),"No"))</f>
        <v/>
      </c>
    </row>
    <row r="1027" customFormat="false" ht="15" hidden="false" customHeight="true" outlineLevel="0" collapsed="false">
      <c r="G1027" s="4" t="str">
        <f aca="false">IF($D1027="","",$A1027&amp;"|"&amp;$B1027&amp;"|"&amp;$C1027&amp;"|"&amp;$D1027)</f>
        <v/>
      </c>
      <c r="H1027" s="4" t="str">
        <f aca="false">IF($D1027="","",$G1027&amp;"|"&amp;TEXT($E1027,"0.000000"))</f>
        <v/>
      </c>
      <c r="I1027" s="29" t="str">
        <f aca="false">IF($D1027="","",IF(ISNUMBER($E1027),FLOOR(($E1027-$B1027)*24,1),""))</f>
        <v/>
      </c>
      <c r="J1027" s="10" t="str">
        <f aca="false">IF($D1027="","",IFERROR(IF(VLOOKUP($F1027,Dim_Analyst!$A:$C,3,0)="Yes","Yes","No"),"No"))</f>
        <v/>
      </c>
    </row>
    <row r="1028" customFormat="false" ht="15" hidden="false" customHeight="true" outlineLevel="0" collapsed="false">
      <c r="G1028" s="4" t="str">
        <f aca="false">IF($D1028="","",$A1028&amp;"|"&amp;$B1028&amp;"|"&amp;$C1028&amp;"|"&amp;$D1028)</f>
        <v/>
      </c>
      <c r="H1028" s="4" t="str">
        <f aca="false">IF($D1028="","",$G1028&amp;"|"&amp;TEXT($E1028,"0.000000"))</f>
        <v/>
      </c>
      <c r="I1028" s="29" t="str">
        <f aca="false">IF($D1028="","",IF(ISNUMBER($E1028),FLOOR(($E1028-$B1028)*24,1),""))</f>
        <v/>
      </c>
      <c r="J1028" s="10" t="str">
        <f aca="false">IF($D1028="","",IFERROR(IF(VLOOKUP($F1028,Dim_Analyst!$A:$C,3,0)="Yes","Yes","No"),"No"))</f>
        <v/>
      </c>
    </row>
    <row r="1029" customFormat="false" ht="15" hidden="false" customHeight="true" outlineLevel="0" collapsed="false">
      <c r="G1029" s="4" t="str">
        <f aca="false">IF($D1029="","",$A1029&amp;"|"&amp;$B1029&amp;"|"&amp;$C1029&amp;"|"&amp;$D1029)</f>
        <v/>
      </c>
      <c r="H1029" s="4" t="str">
        <f aca="false">IF($D1029="","",$G1029&amp;"|"&amp;TEXT($E1029,"0.000000"))</f>
        <v/>
      </c>
      <c r="I1029" s="29" t="str">
        <f aca="false">IF($D1029="","",IF(ISNUMBER($E1029),FLOOR(($E1029-$B1029)*24,1),""))</f>
        <v/>
      </c>
      <c r="J1029" s="10" t="str">
        <f aca="false">IF($D1029="","",IFERROR(IF(VLOOKUP($F1029,Dim_Analyst!$A:$C,3,0)="Yes","Yes","No"),"No"))</f>
        <v/>
      </c>
    </row>
    <row r="1030" customFormat="false" ht="15" hidden="false" customHeight="true" outlineLevel="0" collapsed="false">
      <c r="G1030" s="4" t="str">
        <f aca="false">IF($D1030="","",$A1030&amp;"|"&amp;$B1030&amp;"|"&amp;$C1030&amp;"|"&amp;$D1030)</f>
        <v/>
      </c>
      <c r="H1030" s="4" t="str">
        <f aca="false">IF($D1030="","",$G1030&amp;"|"&amp;TEXT($E1030,"0.000000"))</f>
        <v/>
      </c>
      <c r="I1030" s="29" t="str">
        <f aca="false">IF($D1030="","",IF(ISNUMBER($E1030),FLOOR(($E1030-$B1030)*24,1),""))</f>
        <v/>
      </c>
      <c r="J1030" s="10" t="str">
        <f aca="false">IF($D1030="","",IFERROR(IF(VLOOKUP($F1030,Dim_Analyst!$A:$C,3,0)="Yes","Yes","No"),"No"))</f>
        <v/>
      </c>
    </row>
    <row r="1031" customFormat="false" ht="15" hidden="false" customHeight="true" outlineLevel="0" collapsed="false">
      <c r="G1031" s="4" t="str">
        <f aca="false">IF($D1031="","",$A1031&amp;"|"&amp;$B1031&amp;"|"&amp;$C1031&amp;"|"&amp;$D1031)</f>
        <v/>
      </c>
      <c r="H1031" s="4" t="str">
        <f aca="false">IF($D1031="","",$G1031&amp;"|"&amp;TEXT($E1031,"0.000000"))</f>
        <v/>
      </c>
      <c r="I1031" s="29" t="str">
        <f aca="false">IF($D1031="","",IF(ISNUMBER($E1031),FLOOR(($E1031-$B1031)*24,1),""))</f>
        <v/>
      </c>
      <c r="J1031" s="10" t="str">
        <f aca="false">IF($D1031="","",IFERROR(IF(VLOOKUP($F1031,Dim_Analyst!$A:$C,3,0)="Yes","Yes","No"),"No"))</f>
        <v/>
      </c>
    </row>
    <row r="1032" customFormat="false" ht="15" hidden="false" customHeight="true" outlineLevel="0" collapsed="false">
      <c r="G1032" s="4" t="str">
        <f aca="false">IF($D1032="","",$A1032&amp;"|"&amp;$B1032&amp;"|"&amp;$C1032&amp;"|"&amp;$D1032)</f>
        <v/>
      </c>
      <c r="H1032" s="4" t="str">
        <f aca="false">IF($D1032="","",$G1032&amp;"|"&amp;TEXT($E1032,"0.000000"))</f>
        <v/>
      </c>
      <c r="I1032" s="29" t="str">
        <f aca="false">IF($D1032="","",IF(ISNUMBER($E1032),FLOOR(($E1032-$B1032)*24,1),""))</f>
        <v/>
      </c>
      <c r="J1032" s="10" t="str">
        <f aca="false">IF($D1032="","",IFERROR(IF(VLOOKUP($F1032,Dim_Analyst!$A:$C,3,0)="Yes","Yes","No"),"No"))</f>
        <v/>
      </c>
    </row>
    <row r="1033" customFormat="false" ht="15" hidden="false" customHeight="true" outlineLevel="0" collapsed="false">
      <c r="G1033" s="4" t="str">
        <f aca="false">IF($D1033="","",$A1033&amp;"|"&amp;$B1033&amp;"|"&amp;$C1033&amp;"|"&amp;$D1033)</f>
        <v/>
      </c>
      <c r="H1033" s="4" t="str">
        <f aca="false">IF($D1033="","",$G1033&amp;"|"&amp;TEXT($E1033,"0.000000"))</f>
        <v/>
      </c>
      <c r="I1033" s="29" t="str">
        <f aca="false">IF($D1033="","",IF(ISNUMBER($E1033),FLOOR(($E1033-$B1033)*24,1),""))</f>
        <v/>
      </c>
      <c r="J1033" s="10" t="str">
        <f aca="false">IF($D1033="","",IFERROR(IF(VLOOKUP($F1033,Dim_Analyst!$A:$C,3,0)="Yes","Yes","No"),"No"))</f>
        <v/>
      </c>
    </row>
    <row r="1034" customFormat="false" ht="15" hidden="false" customHeight="true" outlineLevel="0" collapsed="false">
      <c r="G1034" s="4" t="str">
        <f aca="false">IF($D1034="","",$A1034&amp;"|"&amp;$B1034&amp;"|"&amp;$C1034&amp;"|"&amp;$D1034)</f>
        <v/>
      </c>
      <c r="H1034" s="4" t="str">
        <f aca="false">IF($D1034="","",$G1034&amp;"|"&amp;TEXT($E1034,"0.000000"))</f>
        <v/>
      </c>
      <c r="I1034" s="29" t="str">
        <f aca="false">IF($D1034="","",IF(ISNUMBER($E1034),FLOOR(($E1034-$B1034)*24,1),""))</f>
        <v/>
      </c>
      <c r="J1034" s="10" t="str">
        <f aca="false">IF($D1034="","",IFERROR(IF(VLOOKUP($F1034,Dim_Analyst!$A:$C,3,0)="Yes","Yes","No"),"No"))</f>
        <v/>
      </c>
    </row>
    <row r="1035" customFormat="false" ht="15" hidden="false" customHeight="true" outlineLevel="0" collapsed="false">
      <c r="G1035" s="4" t="str">
        <f aca="false">IF($D1035="","",$A1035&amp;"|"&amp;$B1035&amp;"|"&amp;$C1035&amp;"|"&amp;$D1035)</f>
        <v/>
      </c>
      <c r="H1035" s="4" t="str">
        <f aca="false">IF($D1035="","",$G1035&amp;"|"&amp;TEXT($E1035,"0.000000"))</f>
        <v/>
      </c>
      <c r="I1035" s="29" t="str">
        <f aca="false">IF($D1035="","",IF(ISNUMBER($E1035),FLOOR(($E1035-$B1035)*24,1),""))</f>
        <v/>
      </c>
      <c r="J1035" s="10" t="str">
        <f aca="false">IF($D1035="","",IFERROR(IF(VLOOKUP($F1035,Dim_Analyst!$A:$C,3,0)="Yes","Yes","No"),"No"))</f>
        <v/>
      </c>
    </row>
    <row r="1036" customFormat="false" ht="15" hidden="false" customHeight="true" outlineLevel="0" collapsed="false">
      <c r="G1036" s="4" t="str">
        <f aca="false">IF($D1036="","",$A1036&amp;"|"&amp;$B1036&amp;"|"&amp;$C1036&amp;"|"&amp;$D1036)</f>
        <v/>
      </c>
      <c r="H1036" s="4" t="str">
        <f aca="false">IF($D1036="","",$G1036&amp;"|"&amp;TEXT($E1036,"0.000000"))</f>
        <v/>
      </c>
      <c r="I1036" s="29" t="str">
        <f aca="false">IF($D1036="","",IF(ISNUMBER($E1036),FLOOR(($E1036-$B1036)*24,1),""))</f>
        <v/>
      </c>
      <c r="J1036" s="10" t="str">
        <f aca="false">IF($D1036="","",IFERROR(IF(VLOOKUP($F1036,Dim_Analyst!$A:$C,3,0)="Yes","Yes","No"),"No"))</f>
        <v/>
      </c>
    </row>
    <row r="1037" customFormat="false" ht="15" hidden="false" customHeight="true" outlineLevel="0" collapsed="false">
      <c r="G1037" s="4" t="str">
        <f aca="false">IF($D1037="","",$A1037&amp;"|"&amp;$B1037&amp;"|"&amp;$C1037&amp;"|"&amp;$D1037)</f>
        <v/>
      </c>
      <c r="H1037" s="4" t="str">
        <f aca="false">IF($D1037="","",$G1037&amp;"|"&amp;TEXT($E1037,"0.000000"))</f>
        <v/>
      </c>
      <c r="I1037" s="29" t="str">
        <f aca="false">IF($D1037="","",IF(ISNUMBER($E1037),FLOOR(($E1037-$B1037)*24,1),""))</f>
        <v/>
      </c>
      <c r="J1037" s="10" t="str">
        <f aca="false">IF($D1037="","",IFERROR(IF(VLOOKUP($F1037,Dim_Analyst!$A:$C,3,0)="Yes","Yes","No"),"No"))</f>
        <v/>
      </c>
    </row>
    <row r="1038" customFormat="false" ht="15" hidden="false" customHeight="true" outlineLevel="0" collapsed="false">
      <c r="G1038" s="4" t="str">
        <f aca="false">IF($D1038="","",$A1038&amp;"|"&amp;$B1038&amp;"|"&amp;$C1038&amp;"|"&amp;$D1038)</f>
        <v/>
      </c>
      <c r="H1038" s="4" t="str">
        <f aca="false">IF($D1038="","",$G1038&amp;"|"&amp;TEXT($E1038,"0.000000"))</f>
        <v/>
      </c>
      <c r="I1038" s="29" t="str">
        <f aca="false">IF($D1038="","",IF(ISNUMBER($E1038),FLOOR(($E1038-$B1038)*24,1),""))</f>
        <v/>
      </c>
      <c r="J1038" s="10" t="str">
        <f aca="false">IF($D1038="","",IFERROR(IF(VLOOKUP($F1038,Dim_Analyst!$A:$C,3,0)="Yes","Yes","No"),"No"))</f>
        <v/>
      </c>
    </row>
    <row r="1039" customFormat="false" ht="15" hidden="false" customHeight="true" outlineLevel="0" collapsed="false">
      <c r="G1039" s="4" t="str">
        <f aca="false">IF($D1039="","",$A1039&amp;"|"&amp;$B1039&amp;"|"&amp;$C1039&amp;"|"&amp;$D1039)</f>
        <v/>
      </c>
      <c r="H1039" s="4" t="str">
        <f aca="false">IF($D1039="","",$G1039&amp;"|"&amp;TEXT($E1039,"0.000000"))</f>
        <v/>
      </c>
      <c r="I1039" s="29" t="str">
        <f aca="false">IF($D1039="","",IF(ISNUMBER($E1039),FLOOR(($E1039-$B1039)*24,1),""))</f>
        <v/>
      </c>
      <c r="J1039" s="10" t="str">
        <f aca="false">IF($D1039="","",IFERROR(IF(VLOOKUP($F1039,Dim_Analyst!$A:$C,3,0)="Yes","Yes","No"),"No"))</f>
        <v/>
      </c>
    </row>
    <row r="1040" customFormat="false" ht="15" hidden="false" customHeight="true" outlineLevel="0" collapsed="false">
      <c r="G1040" s="4" t="str">
        <f aca="false">IF($D1040="","",$A1040&amp;"|"&amp;$B1040&amp;"|"&amp;$C1040&amp;"|"&amp;$D1040)</f>
        <v/>
      </c>
      <c r="H1040" s="4" t="str">
        <f aca="false">IF($D1040="","",$G1040&amp;"|"&amp;TEXT($E1040,"0.000000"))</f>
        <v/>
      </c>
      <c r="I1040" s="29" t="str">
        <f aca="false">IF($D1040="","",IF(ISNUMBER($E1040),FLOOR(($E1040-$B1040)*24,1),""))</f>
        <v/>
      </c>
      <c r="J1040" s="10" t="str">
        <f aca="false">IF($D1040="","",IFERROR(IF(VLOOKUP($F1040,Dim_Analyst!$A:$C,3,0)="Yes","Yes","No"),"No"))</f>
        <v/>
      </c>
    </row>
    <row r="1041" customFormat="false" ht="15" hidden="false" customHeight="true" outlineLevel="0" collapsed="false">
      <c r="G1041" s="4" t="str">
        <f aca="false">IF($D1041="","",$A1041&amp;"|"&amp;$B1041&amp;"|"&amp;$C1041&amp;"|"&amp;$D1041)</f>
        <v/>
      </c>
      <c r="H1041" s="4" t="str">
        <f aca="false">IF($D1041="","",$G1041&amp;"|"&amp;TEXT($E1041,"0.000000"))</f>
        <v/>
      </c>
      <c r="I1041" s="29" t="str">
        <f aca="false">IF($D1041="","",IF(ISNUMBER($E1041),FLOOR(($E1041-$B1041)*24,1),""))</f>
        <v/>
      </c>
      <c r="J1041" s="10" t="str">
        <f aca="false">IF($D1041="","",IFERROR(IF(VLOOKUP($F1041,Dim_Analyst!$A:$C,3,0)="Yes","Yes","No"),"No"))</f>
        <v/>
      </c>
    </row>
    <row r="1042" customFormat="false" ht="15" hidden="false" customHeight="true" outlineLevel="0" collapsed="false">
      <c r="G1042" s="4" t="str">
        <f aca="false">IF($D1042="","",$A1042&amp;"|"&amp;$B1042&amp;"|"&amp;$C1042&amp;"|"&amp;$D1042)</f>
        <v/>
      </c>
      <c r="H1042" s="4" t="str">
        <f aca="false">IF($D1042="","",$G1042&amp;"|"&amp;TEXT($E1042,"0.000000"))</f>
        <v/>
      </c>
      <c r="I1042" s="29" t="str">
        <f aca="false">IF($D1042="","",IF(ISNUMBER($E1042),FLOOR(($E1042-$B1042)*24,1),""))</f>
        <v/>
      </c>
      <c r="J1042" s="10" t="str">
        <f aca="false">IF($D1042="","",IFERROR(IF(VLOOKUP($F1042,Dim_Analyst!$A:$C,3,0)="Yes","Yes","No"),"No"))</f>
        <v/>
      </c>
    </row>
    <row r="1043" customFormat="false" ht="15" hidden="false" customHeight="true" outlineLevel="0" collapsed="false">
      <c r="G1043" s="4" t="str">
        <f aca="false">IF($D1043="","",$A1043&amp;"|"&amp;$B1043&amp;"|"&amp;$C1043&amp;"|"&amp;$D1043)</f>
        <v/>
      </c>
      <c r="H1043" s="4" t="str">
        <f aca="false">IF($D1043="","",$G1043&amp;"|"&amp;TEXT($E1043,"0.000000"))</f>
        <v/>
      </c>
      <c r="I1043" s="29" t="str">
        <f aca="false">IF($D1043="","",IF(ISNUMBER($E1043),FLOOR(($E1043-$B1043)*24,1),""))</f>
        <v/>
      </c>
      <c r="J1043" s="10" t="str">
        <f aca="false">IF($D1043="","",IFERROR(IF(VLOOKUP($F1043,Dim_Analyst!$A:$C,3,0)="Yes","Yes","No"),"No"))</f>
        <v/>
      </c>
    </row>
    <row r="1044" customFormat="false" ht="15" hidden="false" customHeight="true" outlineLevel="0" collapsed="false">
      <c r="G1044" s="4" t="str">
        <f aca="false">IF($D1044="","",$A1044&amp;"|"&amp;$B1044&amp;"|"&amp;$C1044&amp;"|"&amp;$D1044)</f>
        <v/>
      </c>
      <c r="H1044" s="4" t="str">
        <f aca="false">IF($D1044="","",$G1044&amp;"|"&amp;TEXT($E1044,"0.000000"))</f>
        <v/>
      </c>
      <c r="I1044" s="29" t="str">
        <f aca="false">IF($D1044="","",IF(ISNUMBER($E1044),FLOOR(($E1044-$B1044)*24,1),""))</f>
        <v/>
      </c>
      <c r="J1044" s="10" t="str">
        <f aca="false">IF($D1044="","",IFERROR(IF(VLOOKUP($F1044,Dim_Analyst!$A:$C,3,0)="Yes","Yes","No"),"No"))</f>
        <v/>
      </c>
    </row>
    <row r="1045" customFormat="false" ht="15" hidden="false" customHeight="true" outlineLevel="0" collapsed="false">
      <c r="G1045" s="4" t="str">
        <f aca="false">IF($D1045="","",$A1045&amp;"|"&amp;$B1045&amp;"|"&amp;$C1045&amp;"|"&amp;$D1045)</f>
        <v/>
      </c>
      <c r="H1045" s="4" t="str">
        <f aca="false">IF($D1045="","",$G1045&amp;"|"&amp;TEXT($E1045,"0.000000"))</f>
        <v/>
      </c>
      <c r="I1045" s="29" t="str">
        <f aca="false">IF($D1045="","",IF(ISNUMBER($E1045),FLOOR(($E1045-$B1045)*24,1),""))</f>
        <v/>
      </c>
      <c r="J1045" s="10" t="str">
        <f aca="false">IF($D1045="","",IFERROR(IF(VLOOKUP($F1045,Dim_Analyst!$A:$C,3,0)="Yes","Yes","No"),"No"))</f>
        <v/>
      </c>
    </row>
    <row r="1046" customFormat="false" ht="15" hidden="false" customHeight="true" outlineLevel="0" collapsed="false">
      <c r="G1046" s="4" t="str">
        <f aca="false">IF($D1046="","",$A1046&amp;"|"&amp;$B1046&amp;"|"&amp;$C1046&amp;"|"&amp;$D1046)</f>
        <v/>
      </c>
      <c r="H1046" s="4" t="str">
        <f aca="false">IF($D1046="","",$G1046&amp;"|"&amp;TEXT($E1046,"0.000000"))</f>
        <v/>
      </c>
      <c r="I1046" s="29" t="str">
        <f aca="false">IF($D1046="","",IF(ISNUMBER($E1046),FLOOR(($E1046-$B1046)*24,1),""))</f>
        <v/>
      </c>
      <c r="J1046" s="10" t="str">
        <f aca="false">IF($D1046="","",IFERROR(IF(VLOOKUP($F1046,Dim_Analyst!$A:$C,3,0)="Yes","Yes","No"),"No"))</f>
        <v/>
      </c>
    </row>
    <row r="1047" customFormat="false" ht="15" hidden="false" customHeight="true" outlineLevel="0" collapsed="false">
      <c r="G1047" s="4" t="str">
        <f aca="false">IF($D1047="","",$A1047&amp;"|"&amp;$B1047&amp;"|"&amp;$C1047&amp;"|"&amp;$D1047)</f>
        <v/>
      </c>
      <c r="H1047" s="4" t="str">
        <f aca="false">IF($D1047="","",$G1047&amp;"|"&amp;TEXT($E1047,"0.000000"))</f>
        <v/>
      </c>
      <c r="I1047" s="29" t="str">
        <f aca="false">IF($D1047="","",IF(ISNUMBER($E1047),FLOOR(($E1047-$B1047)*24,1),""))</f>
        <v/>
      </c>
      <c r="J1047" s="10" t="str">
        <f aca="false">IF($D1047="","",IFERROR(IF(VLOOKUP($F1047,Dim_Analyst!$A:$C,3,0)="Yes","Yes","No"),"No"))</f>
        <v/>
      </c>
    </row>
    <row r="1048" customFormat="false" ht="15" hidden="false" customHeight="true" outlineLevel="0" collapsed="false">
      <c r="G1048" s="4" t="str">
        <f aca="false">IF($D1048="","",$A1048&amp;"|"&amp;$B1048&amp;"|"&amp;$C1048&amp;"|"&amp;$D1048)</f>
        <v/>
      </c>
      <c r="H1048" s="4" t="str">
        <f aca="false">IF($D1048="","",$G1048&amp;"|"&amp;TEXT($E1048,"0.000000"))</f>
        <v/>
      </c>
      <c r="I1048" s="29" t="str">
        <f aca="false">IF($D1048="","",IF(ISNUMBER($E1048),FLOOR(($E1048-$B1048)*24,1),""))</f>
        <v/>
      </c>
      <c r="J1048" s="10" t="str">
        <f aca="false">IF($D1048="","",IFERROR(IF(VLOOKUP($F1048,Dim_Analyst!$A:$C,3,0)="Yes","Yes","No"),"No"))</f>
        <v/>
      </c>
    </row>
    <row r="1049" customFormat="false" ht="15" hidden="false" customHeight="true" outlineLevel="0" collapsed="false">
      <c r="G1049" s="4" t="str">
        <f aca="false">IF($D1049="","",$A1049&amp;"|"&amp;$B1049&amp;"|"&amp;$C1049&amp;"|"&amp;$D1049)</f>
        <v/>
      </c>
      <c r="H1049" s="4" t="str">
        <f aca="false">IF($D1049="","",$G1049&amp;"|"&amp;TEXT($E1049,"0.000000"))</f>
        <v/>
      </c>
      <c r="I1049" s="29" t="str">
        <f aca="false">IF($D1049="","",IF(ISNUMBER($E1049),FLOOR(($E1049-$B1049)*24,1),""))</f>
        <v/>
      </c>
      <c r="J1049" s="10" t="str">
        <f aca="false">IF($D1049="","",IFERROR(IF(VLOOKUP($F1049,Dim_Analyst!$A:$C,3,0)="Yes","Yes","No"),"No"))</f>
        <v/>
      </c>
    </row>
    <row r="1050" customFormat="false" ht="15" hidden="false" customHeight="true" outlineLevel="0" collapsed="false">
      <c r="G1050" s="4" t="str">
        <f aca="false">IF($D1050="","",$A1050&amp;"|"&amp;$B1050&amp;"|"&amp;$C1050&amp;"|"&amp;$D1050)</f>
        <v/>
      </c>
      <c r="H1050" s="4" t="str">
        <f aca="false">IF($D1050="","",$G1050&amp;"|"&amp;TEXT($E1050,"0.000000"))</f>
        <v/>
      </c>
      <c r="I1050" s="29" t="str">
        <f aca="false">IF($D1050="","",IF(ISNUMBER($E1050),FLOOR(($E1050-$B1050)*24,1),""))</f>
        <v/>
      </c>
      <c r="J1050" s="10" t="str">
        <f aca="false">IF($D1050="","",IFERROR(IF(VLOOKUP($F1050,Dim_Analyst!$A:$C,3,0)="Yes","Yes","No"),"No"))</f>
        <v/>
      </c>
    </row>
    <row r="1051" customFormat="false" ht="15" hidden="false" customHeight="true" outlineLevel="0" collapsed="false">
      <c r="G1051" s="4" t="str">
        <f aca="false">IF($D1051="","",$A1051&amp;"|"&amp;$B1051&amp;"|"&amp;$C1051&amp;"|"&amp;$D1051)</f>
        <v/>
      </c>
      <c r="H1051" s="4" t="str">
        <f aca="false">IF($D1051="","",$G1051&amp;"|"&amp;TEXT($E1051,"0.000000"))</f>
        <v/>
      </c>
      <c r="I1051" s="29" t="str">
        <f aca="false">IF($D1051="","",IF(ISNUMBER($E1051),FLOOR(($E1051-$B1051)*24,1),""))</f>
        <v/>
      </c>
      <c r="J1051" s="10" t="str">
        <f aca="false">IF($D1051="","",IFERROR(IF(VLOOKUP($F1051,Dim_Analyst!$A:$C,3,0)="Yes","Yes","No"),"No"))</f>
        <v/>
      </c>
    </row>
    <row r="1052" customFormat="false" ht="15" hidden="false" customHeight="true" outlineLevel="0" collapsed="false">
      <c r="G1052" s="4" t="str">
        <f aca="false">IF($D1052="","",$A1052&amp;"|"&amp;$B1052&amp;"|"&amp;$C1052&amp;"|"&amp;$D1052)</f>
        <v/>
      </c>
      <c r="H1052" s="4" t="str">
        <f aca="false">IF($D1052="","",$G1052&amp;"|"&amp;TEXT($E1052,"0.000000"))</f>
        <v/>
      </c>
      <c r="I1052" s="29" t="str">
        <f aca="false">IF($D1052="","",IF(ISNUMBER($E1052),FLOOR(($E1052-$B1052)*24,1),""))</f>
        <v/>
      </c>
      <c r="J1052" s="10" t="str">
        <f aca="false">IF($D1052="","",IFERROR(IF(VLOOKUP($F1052,Dim_Analyst!$A:$C,3,0)="Yes","Yes","No"),"No"))</f>
        <v/>
      </c>
    </row>
    <row r="1053" customFormat="false" ht="15" hidden="false" customHeight="true" outlineLevel="0" collapsed="false">
      <c r="G1053" s="4" t="str">
        <f aca="false">IF($D1053="","",$A1053&amp;"|"&amp;$B1053&amp;"|"&amp;$C1053&amp;"|"&amp;$D1053)</f>
        <v/>
      </c>
      <c r="H1053" s="4" t="str">
        <f aca="false">IF($D1053="","",$G1053&amp;"|"&amp;TEXT($E1053,"0.000000"))</f>
        <v/>
      </c>
      <c r="I1053" s="29" t="str">
        <f aca="false">IF($D1053="","",IF(ISNUMBER($E1053),FLOOR(($E1053-$B1053)*24,1),""))</f>
        <v/>
      </c>
      <c r="J1053" s="10" t="str">
        <f aca="false">IF($D1053="","",IFERROR(IF(VLOOKUP($F1053,Dim_Analyst!$A:$C,3,0)="Yes","Yes","No"),"No"))</f>
        <v/>
      </c>
    </row>
    <row r="1054" customFormat="false" ht="15" hidden="false" customHeight="true" outlineLevel="0" collapsed="false">
      <c r="G1054" s="4" t="str">
        <f aca="false">IF($D1054="","",$A1054&amp;"|"&amp;$B1054&amp;"|"&amp;$C1054&amp;"|"&amp;$D1054)</f>
        <v/>
      </c>
      <c r="H1054" s="4" t="str">
        <f aca="false">IF($D1054="","",$G1054&amp;"|"&amp;TEXT($E1054,"0.000000"))</f>
        <v/>
      </c>
      <c r="I1054" s="29" t="str">
        <f aca="false">IF($D1054="","",IF(ISNUMBER($E1054),FLOOR(($E1054-$B1054)*24,1),""))</f>
        <v/>
      </c>
      <c r="J1054" s="10" t="str">
        <f aca="false">IF($D1054="","",IFERROR(IF(VLOOKUP($F1054,Dim_Analyst!$A:$C,3,0)="Yes","Yes","No"),"No"))</f>
        <v/>
      </c>
    </row>
    <row r="1055" customFormat="false" ht="15" hidden="false" customHeight="true" outlineLevel="0" collapsed="false">
      <c r="G1055" s="4" t="str">
        <f aca="false">IF($D1055="","",$A1055&amp;"|"&amp;$B1055&amp;"|"&amp;$C1055&amp;"|"&amp;$D1055)</f>
        <v/>
      </c>
      <c r="H1055" s="4" t="str">
        <f aca="false">IF($D1055="","",$G1055&amp;"|"&amp;TEXT($E1055,"0.000000"))</f>
        <v/>
      </c>
      <c r="I1055" s="29" t="str">
        <f aca="false">IF($D1055="","",IF(ISNUMBER($E1055),FLOOR(($E1055-$B1055)*24,1),""))</f>
        <v/>
      </c>
      <c r="J1055" s="10" t="str">
        <f aca="false">IF($D1055="","",IFERROR(IF(VLOOKUP($F1055,Dim_Analyst!$A:$C,3,0)="Yes","Yes","No"),"No"))</f>
        <v/>
      </c>
    </row>
    <row r="1056" customFormat="false" ht="15" hidden="false" customHeight="true" outlineLevel="0" collapsed="false">
      <c r="G1056" s="4" t="str">
        <f aca="false">IF($D1056="","",$A1056&amp;"|"&amp;$B1056&amp;"|"&amp;$C1056&amp;"|"&amp;$D1056)</f>
        <v/>
      </c>
      <c r="H1056" s="4" t="str">
        <f aca="false">IF($D1056="","",$G1056&amp;"|"&amp;TEXT($E1056,"0.000000"))</f>
        <v/>
      </c>
      <c r="I1056" s="29" t="str">
        <f aca="false">IF($D1056="","",IF(ISNUMBER($E1056),FLOOR(($E1056-$B1056)*24,1),""))</f>
        <v/>
      </c>
      <c r="J1056" s="10" t="str">
        <f aca="false">IF($D1056="","",IFERROR(IF(VLOOKUP($F1056,Dim_Analyst!$A:$C,3,0)="Yes","Yes","No"),"No"))</f>
        <v/>
      </c>
    </row>
    <row r="1057" customFormat="false" ht="15" hidden="false" customHeight="true" outlineLevel="0" collapsed="false">
      <c r="G1057" s="4" t="str">
        <f aca="false">IF($D1057="","",$A1057&amp;"|"&amp;$B1057&amp;"|"&amp;$C1057&amp;"|"&amp;$D1057)</f>
        <v/>
      </c>
      <c r="H1057" s="4" t="str">
        <f aca="false">IF($D1057="","",$G1057&amp;"|"&amp;TEXT($E1057,"0.000000"))</f>
        <v/>
      </c>
      <c r="I1057" s="29" t="str">
        <f aca="false">IF($D1057="","",IF(ISNUMBER($E1057),FLOOR(($E1057-$B1057)*24,1),""))</f>
        <v/>
      </c>
      <c r="J1057" s="10" t="str">
        <f aca="false">IF($D1057="","",IFERROR(IF(VLOOKUP($F1057,Dim_Analyst!$A:$C,3,0)="Yes","Yes","No"),"No"))</f>
        <v/>
      </c>
    </row>
    <row r="1058" customFormat="false" ht="15" hidden="false" customHeight="true" outlineLevel="0" collapsed="false">
      <c r="G1058" s="4" t="str">
        <f aca="false">IF($D1058="","",$A1058&amp;"|"&amp;$B1058&amp;"|"&amp;$C1058&amp;"|"&amp;$D1058)</f>
        <v/>
      </c>
      <c r="H1058" s="4" t="str">
        <f aca="false">IF($D1058="","",$G1058&amp;"|"&amp;TEXT($E1058,"0.000000"))</f>
        <v/>
      </c>
      <c r="I1058" s="29" t="str">
        <f aca="false">IF($D1058="","",IF(ISNUMBER($E1058),FLOOR(($E1058-$B1058)*24,1),""))</f>
        <v/>
      </c>
      <c r="J1058" s="10" t="str">
        <f aca="false">IF($D1058="","",IFERROR(IF(VLOOKUP($F1058,Dim_Analyst!$A:$C,3,0)="Yes","Yes","No"),"No"))</f>
        <v/>
      </c>
    </row>
    <row r="1059" customFormat="false" ht="15" hidden="false" customHeight="true" outlineLevel="0" collapsed="false">
      <c r="G1059" s="4" t="str">
        <f aca="false">IF($D1059="","",$A1059&amp;"|"&amp;$B1059&amp;"|"&amp;$C1059&amp;"|"&amp;$D1059)</f>
        <v/>
      </c>
      <c r="H1059" s="4" t="str">
        <f aca="false">IF($D1059="","",$G1059&amp;"|"&amp;TEXT($E1059,"0.000000"))</f>
        <v/>
      </c>
      <c r="I1059" s="29" t="str">
        <f aca="false">IF($D1059="","",IF(ISNUMBER($E1059),FLOOR(($E1059-$B1059)*24,1),""))</f>
        <v/>
      </c>
      <c r="J1059" s="10" t="str">
        <f aca="false">IF($D1059="","",IFERROR(IF(VLOOKUP($F1059,Dim_Analyst!$A:$C,3,0)="Yes","Yes","No"),"No"))</f>
        <v/>
      </c>
    </row>
    <row r="1060" customFormat="false" ht="15" hidden="false" customHeight="true" outlineLevel="0" collapsed="false">
      <c r="G1060" s="4" t="str">
        <f aca="false">IF($D1060="","",$A1060&amp;"|"&amp;$B1060&amp;"|"&amp;$C1060&amp;"|"&amp;$D1060)</f>
        <v/>
      </c>
      <c r="H1060" s="4" t="str">
        <f aca="false">IF($D1060="","",$G1060&amp;"|"&amp;TEXT($E1060,"0.000000"))</f>
        <v/>
      </c>
      <c r="I1060" s="29" t="str">
        <f aca="false">IF($D1060="","",IF(ISNUMBER($E1060),FLOOR(($E1060-$B1060)*24,1),""))</f>
        <v/>
      </c>
      <c r="J1060" s="10" t="str">
        <f aca="false">IF($D1060="","",IFERROR(IF(VLOOKUP($F1060,Dim_Analyst!$A:$C,3,0)="Yes","Yes","No"),"No"))</f>
        <v/>
      </c>
    </row>
    <row r="1061" customFormat="false" ht="15" hidden="false" customHeight="true" outlineLevel="0" collapsed="false">
      <c r="G1061" s="4" t="str">
        <f aca="false">IF($D1061="","",$A1061&amp;"|"&amp;$B1061&amp;"|"&amp;$C1061&amp;"|"&amp;$D1061)</f>
        <v/>
      </c>
      <c r="H1061" s="4" t="str">
        <f aca="false">IF($D1061="","",$G1061&amp;"|"&amp;TEXT($E1061,"0.000000"))</f>
        <v/>
      </c>
      <c r="I1061" s="29" t="str">
        <f aca="false">IF($D1061="","",IF(ISNUMBER($E1061),FLOOR(($E1061-$B1061)*24,1),""))</f>
        <v/>
      </c>
      <c r="J1061" s="10" t="str">
        <f aca="false">IF($D1061="","",IFERROR(IF(VLOOKUP($F1061,Dim_Analyst!$A:$C,3,0)="Yes","Yes","No"),"No"))</f>
        <v/>
      </c>
    </row>
    <row r="1062" customFormat="false" ht="15" hidden="false" customHeight="true" outlineLevel="0" collapsed="false">
      <c r="G1062" s="4" t="str">
        <f aca="false">IF($D1062="","",$A1062&amp;"|"&amp;$B1062&amp;"|"&amp;$C1062&amp;"|"&amp;$D1062)</f>
        <v/>
      </c>
      <c r="H1062" s="4" t="str">
        <f aca="false">IF($D1062="","",$G1062&amp;"|"&amp;TEXT($E1062,"0.000000"))</f>
        <v/>
      </c>
      <c r="I1062" s="29" t="str">
        <f aca="false">IF($D1062="","",IF(ISNUMBER($E1062),FLOOR(($E1062-$B1062)*24,1),""))</f>
        <v/>
      </c>
      <c r="J1062" s="10" t="str">
        <f aca="false">IF($D1062="","",IFERROR(IF(VLOOKUP($F1062,Dim_Analyst!$A:$C,3,0)="Yes","Yes","No"),"No"))</f>
        <v/>
      </c>
    </row>
    <row r="1063" customFormat="false" ht="15" hidden="false" customHeight="true" outlineLevel="0" collapsed="false">
      <c r="G1063" s="4" t="str">
        <f aca="false">IF($D1063="","",$A1063&amp;"|"&amp;$B1063&amp;"|"&amp;$C1063&amp;"|"&amp;$D1063)</f>
        <v/>
      </c>
      <c r="H1063" s="4" t="str">
        <f aca="false">IF($D1063="","",$G1063&amp;"|"&amp;TEXT($E1063,"0.000000"))</f>
        <v/>
      </c>
      <c r="I1063" s="29" t="str">
        <f aca="false">IF($D1063="","",IF(ISNUMBER($E1063),FLOOR(($E1063-$B1063)*24,1),""))</f>
        <v/>
      </c>
      <c r="J1063" s="10" t="str">
        <f aca="false">IF($D1063="","",IFERROR(IF(VLOOKUP($F1063,Dim_Analyst!$A:$C,3,0)="Yes","Yes","No"),"No"))</f>
        <v/>
      </c>
    </row>
    <row r="1064" customFormat="false" ht="15" hidden="false" customHeight="true" outlineLevel="0" collapsed="false">
      <c r="G1064" s="4" t="str">
        <f aca="false">IF($D1064="","",$A1064&amp;"|"&amp;$B1064&amp;"|"&amp;$C1064&amp;"|"&amp;$D1064)</f>
        <v/>
      </c>
      <c r="H1064" s="4" t="str">
        <f aca="false">IF($D1064="","",$G1064&amp;"|"&amp;TEXT($E1064,"0.000000"))</f>
        <v/>
      </c>
      <c r="I1064" s="29" t="str">
        <f aca="false">IF($D1064="","",IF(ISNUMBER($E1064),FLOOR(($E1064-$B1064)*24,1),""))</f>
        <v/>
      </c>
      <c r="J1064" s="10" t="str">
        <f aca="false">IF($D1064="","",IFERROR(IF(VLOOKUP($F1064,Dim_Analyst!$A:$C,3,0)="Yes","Yes","No"),"No"))</f>
        <v/>
      </c>
    </row>
    <row r="1065" customFormat="false" ht="15" hidden="false" customHeight="true" outlineLevel="0" collapsed="false">
      <c r="G1065" s="4" t="str">
        <f aca="false">IF($D1065="","",$A1065&amp;"|"&amp;$B1065&amp;"|"&amp;$C1065&amp;"|"&amp;$D1065)</f>
        <v/>
      </c>
      <c r="H1065" s="4" t="str">
        <f aca="false">IF($D1065="","",$G1065&amp;"|"&amp;TEXT($E1065,"0.000000"))</f>
        <v/>
      </c>
      <c r="I1065" s="29" t="str">
        <f aca="false">IF($D1065="","",IF(ISNUMBER($E1065),FLOOR(($E1065-$B1065)*24,1),""))</f>
        <v/>
      </c>
      <c r="J1065" s="10" t="str">
        <f aca="false">IF($D1065="","",IFERROR(IF(VLOOKUP($F1065,Dim_Analyst!$A:$C,3,0)="Yes","Yes","No"),"No"))</f>
        <v/>
      </c>
    </row>
    <row r="1066" customFormat="false" ht="15" hidden="false" customHeight="true" outlineLevel="0" collapsed="false">
      <c r="G1066" s="4" t="str">
        <f aca="false">IF($D1066="","",$A1066&amp;"|"&amp;$B1066&amp;"|"&amp;$C1066&amp;"|"&amp;$D1066)</f>
        <v/>
      </c>
      <c r="H1066" s="4" t="str">
        <f aca="false">IF($D1066="","",$G1066&amp;"|"&amp;TEXT($E1066,"0.000000"))</f>
        <v/>
      </c>
      <c r="I1066" s="29" t="str">
        <f aca="false">IF($D1066="","",IF(ISNUMBER($E1066),FLOOR(($E1066-$B1066)*24,1),""))</f>
        <v/>
      </c>
      <c r="J1066" s="10" t="str">
        <f aca="false">IF($D1066="","",IFERROR(IF(VLOOKUP($F1066,Dim_Analyst!$A:$C,3,0)="Yes","Yes","No"),"No"))</f>
        <v/>
      </c>
    </row>
    <row r="1067" customFormat="false" ht="15" hidden="false" customHeight="true" outlineLevel="0" collapsed="false">
      <c r="G1067" s="4" t="str">
        <f aca="false">IF($D1067="","",$A1067&amp;"|"&amp;$B1067&amp;"|"&amp;$C1067&amp;"|"&amp;$D1067)</f>
        <v/>
      </c>
      <c r="H1067" s="4" t="str">
        <f aca="false">IF($D1067="","",$G1067&amp;"|"&amp;TEXT($E1067,"0.000000"))</f>
        <v/>
      </c>
      <c r="I1067" s="29" t="str">
        <f aca="false">IF($D1067="","",IF(ISNUMBER($E1067),FLOOR(($E1067-$B1067)*24,1),""))</f>
        <v/>
      </c>
      <c r="J1067" s="10" t="str">
        <f aca="false">IF($D1067="","",IFERROR(IF(VLOOKUP($F1067,Dim_Analyst!$A:$C,3,0)="Yes","Yes","No"),"No"))</f>
        <v/>
      </c>
    </row>
    <row r="1068" customFormat="false" ht="15" hidden="false" customHeight="true" outlineLevel="0" collapsed="false">
      <c r="G1068" s="4" t="str">
        <f aca="false">IF($D1068="","",$A1068&amp;"|"&amp;$B1068&amp;"|"&amp;$C1068&amp;"|"&amp;$D1068)</f>
        <v/>
      </c>
      <c r="H1068" s="4" t="str">
        <f aca="false">IF($D1068="","",$G1068&amp;"|"&amp;TEXT($E1068,"0.000000"))</f>
        <v/>
      </c>
      <c r="I1068" s="29" t="str">
        <f aca="false">IF($D1068="","",IF(ISNUMBER($E1068),FLOOR(($E1068-$B1068)*24,1),""))</f>
        <v/>
      </c>
      <c r="J1068" s="10" t="str">
        <f aca="false">IF($D1068="","",IFERROR(IF(VLOOKUP($F1068,Dim_Analyst!$A:$C,3,0)="Yes","Yes","No"),"No"))</f>
        <v/>
      </c>
    </row>
    <row r="1069" customFormat="false" ht="15" hidden="false" customHeight="true" outlineLevel="0" collapsed="false">
      <c r="G1069" s="4" t="str">
        <f aca="false">IF($D1069="","",$A1069&amp;"|"&amp;$B1069&amp;"|"&amp;$C1069&amp;"|"&amp;$D1069)</f>
        <v/>
      </c>
      <c r="H1069" s="4" t="str">
        <f aca="false">IF($D1069="","",$G1069&amp;"|"&amp;TEXT($E1069,"0.000000"))</f>
        <v/>
      </c>
      <c r="I1069" s="29" t="str">
        <f aca="false">IF($D1069="","",IF(ISNUMBER($E1069),FLOOR(($E1069-$B1069)*24,1),""))</f>
        <v/>
      </c>
      <c r="J1069" s="10" t="str">
        <f aca="false">IF($D1069="","",IFERROR(IF(VLOOKUP($F1069,Dim_Analyst!$A:$C,3,0)="Yes","Yes","No"),"No"))</f>
        <v/>
      </c>
    </row>
    <row r="1070" customFormat="false" ht="15" hidden="false" customHeight="true" outlineLevel="0" collapsed="false">
      <c r="G1070" s="4" t="str">
        <f aca="false">IF($D1070="","",$A1070&amp;"|"&amp;$B1070&amp;"|"&amp;$C1070&amp;"|"&amp;$D1070)</f>
        <v/>
      </c>
      <c r="H1070" s="4" t="str">
        <f aca="false">IF($D1070="","",$G1070&amp;"|"&amp;TEXT($E1070,"0.000000"))</f>
        <v/>
      </c>
      <c r="I1070" s="29" t="str">
        <f aca="false">IF($D1070="","",IF(ISNUMBER($E1070),FLOOR(($E1070-$B1070)*24,1),""))</f>
        <v/>
      </c>
      <c r="J1070" s="10" t="str">
        <f aca="false">IF($D1070="","",IFERROR(IF(VLOOKUP($F1070,Dim_Analyst!$A:$C,3,0)="Yes","Yes","No"),"No"))</f>
        <v/>
      </c>
    </row>
    <row r="1071" customFormat="false" ht="15" hidden="false" customHeight="true" outlineLevel="0" collapsed="false">
      <c r="G1071" s="4" t="str">
        <f aca="false">IF($D1071="","",$A1071&amp;"|"&amp;$B1071&amp;"|"&amp;$C1071&amp;"|"&amp;$D1071)</f>
        <v/>
      </c>
      <c r="H1071" s="4" t="str">
        <f aca="false">IF($D1071="","",$G1071&amp;"|"&amp;TEXT($E1071,"0.000000"))</f>
        <v/>
      </c>
      <c r="I1071" s="29" t="str">
        <f aca="false">IF($D1071="","",IF(ISNUMBER($E1071),FLOOR(($E1071-$B1071)*24,1),""))</f>
        <v/>
      </c>
      <c r="J1071" s="10" t="str">
        <f aca="false">IF($D1071="","",IFERROR(IF(VLOOKUP($F1071,Dim_Analyst!$A:$C,3,0)="Yes","Yes","No"),"No"))</f>
        <v/>
      </c>
    </row>
    <row r="1072" customFormat="false" ht="15" hidden="false" customHeight="true" outlineLevel="0" collapsed="false">
      <c r="G1072" s="4" t="str">
        <f aca="false">IF($D1072="","",$A1072&amp;"|"&amp;$B1072&amp;"|"&amp;$C1072&amp;"|"&amp;$D1072)</f>
        <v/>
      </c>
      <c r="H1072" s="4" t="str">
        <f aca="false">IF($D1072="","",$G1072&amp;"|"&amp;TEXT($E1072,"0.000000"))</f>
        <v/>
      </c>
      <c r="I1072" s="29" t="str">
        <f aca="false">IF($D1072="","",IF(ISNUMBER($E1072),FLOOR(($E1072-$B1072)*24,1),""))</f>
        <v/>
      </c>
      <c r="J1072" s="10" t="str">
        <f aca="false">IF($D1072="","",IFERROR(IF(VLOOKUP($F1072,Dim_Analyst!$A:$C,3,0)="Yes","Yes","No"),"No"))</f>
        <v/>
      </c>
    </row>
    <row r="1073" customFormat="false" ht="15" hidden="false" customHeight="true" outlineLevel="0" collapsed="false">
      <c r="G1073" s="4" t="str">
        <f aca="false">IF($D1073="","",$A1073&amp;"|"&amp;$B1073&amp;"|"&amp;$C1073&amp;"|"&amp;$D1073)</f>
        <v/>
      </c>
      <c r="H1073" s="4" t="str">
        <f aca="false">IF($D1073="","",$G1073&amp;"|"&amp;TEXT($E1073,"0.000000"))</f>
        <v/>
      </c>
      <c r="I1073" s="29" t="str">
        <f aca="false">IF($D1073="","",IF(ISNUMBER($E1073),FLOOR(($E1073-$B1073)*24,1),""))</f>
        <v/>
      </c>
      <c r="J1073" s="10" t="str">
        <f aca="false">IF($D1073="","",IFERROR(IF(VLOOKUP($F1073,Dim_Analyst!$A:$C,3,0)="Yes","Yes","No"),"No"))</f>
        <v/>
      </c>
    </row>
    <row r="1074" customFormat="false" ht="15" hidden="false" customHeight="true" outlineLevel="0" collapsed="false">
      <c r="G1074" s="4" t="str">
        <f aca="false">IF($D1074="","",$A1074&amp;"|"&amp;$B1074&amp;"|"&amp;$C1074&amp;"|"&amp;$D1074)</f>
        <v/>
      </c>
      <c r="H1074" s="4" t="str">
        <f aca="false">IF($D1074="","",$G1074&amp;"|"&amp;TEXT($E1074,"0.000000"))</f>
        <v/>
      </c>
      <c r="I1074" s="29" t="str">
        <f aca="false">IF($D1074="","",IF(ISNUMBER($E1074),FLOOR(($E1074-$B1074)*24,1),""))</f>
        <v/>
      </c>
      <c r="J1074" s="10" t="str">
        <f aca="false">IF($D1074="","",IFERROR(IF(VLOOKUP($F1074,Dim_Analyst!$A:$C,3,0)="Yes","Yes","No"),"No"))</f>
        <v/>
      </c>
    </row>
    <row r="1075" customFormat="false" ht="15" hidden="false" customHeight="true" outlineLevel="0" collapsed="false">
      <c r="G1075" s="4" t="str">
        <f aca="false">IF($D1075="","",$A1075&amp;"|"&amp;$B1075&amp;"|"&amp;$C1075&amp;"|"&amp;$D1075)</f>
        <v/>
      </c>
      <c r="H1075" s="4" t="str">
        <f aca="false">IF($D1075="","",$G1075&amp;"|"&amp;TEXT($E1075,"0.000000"))</f>
        <v/>
      </c>
      <c r="I1075" s="29" t="str">
        <f aca="false">IF($D1075="","",IF(ISNUMBER($E1075),FLOOR(($E1075-$B1075)*24,1),""))</f>
        <v/>
      </c>
      <c r="J1075" s="10" t="str">
        <f aca="false">IF($D1075="","",IFERROR(IF(VLOOKUP($F1075,Dim_Analyst!$A:$C,3,0)="Yes","Yes","No"),"No"))</f>
        <v/>
      </c>
    </row>
    <row r="1076" customFormat="false" ht="15" hidden="false" customHeight="true" outlineLevel="0" collapsed="false">
      <c r="G1076" s="4" t="str">
        <f aca="false">IF($D1076="","",$A1076&amp;"|"&amp;$B1076&amp;"|"&amp;$C1076&amp;"|"&amp;$D1076)</f>
        <v/>
      </c>
      <c r="H1076" s="4" t="str">
        <f aca="false">IF($D1076="","",$G1076&amp;"|"&amp;TEXT($E1076,"0.000000"))</f>
        <v/>
      </c>
      <c r="I1076" s="29" t="str">
        <f aca="false">IF($D1076="","",IF(ISNUMBER($E1076),FLOOR(($E1076-$B1076)*24,1),""))</f>
        <v/>
      </c>
      <c r="J1076" s="10" t="str">
        <f aca="false">IF($D1076="","",IFERROR(IF(VLOOKUP($F1076,Dim_Analyst!$A:$C,3,0)="Yes","Yes","No"),"No"))</f>
        <v/>
      </c>
    </row>
    <row r="1077" customFormat="false" ht="15" hidden="false" customHeight="true" outlineLevel="0" collapsed="false">
      <c r="G1077" s="4" t="str">
        <f aca="false">IF($D1077="","",$A1077&amp;"|"&amp;$B1077&amp;"|"&amp;$C1077&amp;"|"&amp;$D1077)</f>
        <v/>
      </c>
      <c r="H1077" s="4" t="str">
        <f aca="false">IF($D1077="","",$G1077&amp;"|"&amp;TEXT($E1077,"0.000000"))</f>
        <v/>
      </c>
      <c r="I1077" s="29" t="str">
        <f aca="false">IF($D1077="","",IF(ISNUMBER($E1077),FLOOR(($E1077-$B1077)*24,1),""))</f>
        <v/>
      </c>
      <c r="J1077" s="10" t="str">
        <f aca="false">IF($D1077="","",IFERROR(IF(VLOOKUP($F1077,Dim_Analyst!$A:$C,3,0)="Yes","Yes","No"),"No"))</f>
        <v/>
      </c>
    </row>
    <row r="1078" customFormat="false" ht="15" hidden="false" customHeight="true" outlineLevel="0" collapsed="false">
      <c r="G1078" s="4" t="str">
        <f aca="false">IF($D1078="","",$A1078&amp;"|"&amp;$B1078&amp;"|"&amp;$C1078&amp;"|"&amp;$D1078)</f>
        <v/>
      </c>
      <c r="H1078" s="4" t="str">
        <f aca="false">IF($D1078="","",$G1078&amp;"|"&amp;TEXT($E1078,"0.000000"))</f>
        <v/>
      </c>
      <c r="I1078" s="29" t="str">
        <f aca="false">IF($D1078="","",IF(ISNUMBER($E1078),FLOOR(($E1078-$B1078)*24,1),""))</f>
        <v/>
      </c>
      <c r="J1078" s="10" t="str">
        <f aca="false">IF($D1078="","",IFERROR(IF(VLOOKUP($F1078,Dim_Analyst!$A:$C,3,0)="Yes","Yes","No"),"No"))</f>
        <v/>
      </c>
    </row>
    <row r="1079" customFormat="false" ht="15" hidden="false" customHeight="true" outlineLevel="0" collapsed="false">
      <c r="G1079" s="4" t="str">
        <f aca="false">IF($D1079="","",$A1079&amp;"|"&amp;$B1079&amp;"|"&amp;$C1079&amp;"|"&amp;$D1079)</f>
        <v/>
      </c>
      <c r="H1079" s="4" t="str">
        <f aca="false">IF($D1079="","",$G1079&amp;"|"&amp;TEXT($E1079,"0.000000"))</f>
        <v/>
      </c>
      <c r="I1079" s="29" t="str">
        <f aca="false">IF($D1079="","",IF(ISNUMBER($E1079),FLOOR(($E1079-$B1079)*24,1),""))</f>
        <v/>
      </c>
      <c r="J1079" s="10" t="str">
        <f aca="false">IF($D1079="","",IFERROR(IF(VLOOKUP($F1079,Dim_Analyst!$A:$C,3,0)="Yes","Yes","No"),"No"))</f>
        <v/>
      </c>
    </row>
    <row r="1080" customFormat="false" ht="15" hidden="false" customHeight="true" outlineLevel="0" collapsed="false">
      <c r="G1080" s="4" t="str">
        <f aca="false">IF($D1080="","",$A1080&amp;"|"&amp;$B1080&amp;"|"&amp;$C1080&amp;"|"&amp;$D1080)</f>
        <v/>
      </c>
      <c r="H1080" s="4" t="str">
        <f aca="false">IF($D1080="","",$G1080&amp;"|"&amp;TEXT($E1080,"0.000000"))</f>
        <v/>
      </c>
      <c r="I1080" s="29" t="str">
        <f aca="false">IF($D1080="","",IF(ISNUMBER($E1080),FLOOR(($E1080-$B1080)*24,1),""))</f>
        <v/>
      </c>
      <c r="J1080" s="10" t="str">
        <f aca="false">IF($D1080="","",IFERROR(IF(VLOOKUP($F1080,Dim_Analyst!$A:$C,3,0)="Yes","Yes","No"),"No"))</f>
        <v/>
      </c>
    </row>
    <row r="1081" customFormat="false" ht="15" hidden="false" customHeight="true" outlineLevel="0" collapsed="false">
      <c r="G1081" s="4" t="str">
        <f aca="false">IF($D1081="","",$A1081&amp;"|"&amp;$B1081&amp;"|"&amp;$C1081&amp;"|"&amp;$D1081)</f>
        <v/>
      </c>
      <c r="H1081" s="4" t="str">
        <f aca="false">IF($D1081="","",$G1081&amp;"|"&amp;TEXT($E1081,"0.000000"))</f>
        <v/>
      </c>
      <c r="I1081" s="29" t="str">
        <f aca="false">IF($D1081="","",IF(ISNUMBER($E1081),FLOOR(($E1081-$B1081)*24,1),""))</f>
        <v/>
      </c>
      <c r="J1081" s="10" t="str">
        <f aca="false">IF($D1081="","",IFERROR(IF(VLOOKUP($F1081,Dim_Analyst!$A:$C,3,0)="Yes","Yes","No"),"No"))</f>
        <v/>
      </c>
    </row>
    <row r="1082" customFormat="false" ht="15" hidden="false" customHeight="true" outlineLevel="0" collapsed="false">
      <c r="G1082" s="4" t="str">
        <f aca="false">IF($D1082="","",$A1082&amp;"|"&amp;$B1082&amp;"|"&amp;$C1082&amp;"|"&amp;$D1082)</f>
        <v/>
      </c>
      <c r="H1082" s="4" t="str">
        <f aca="false">IF($D1082="","",$G1082&amp;"|"&amp;TEXT($E1082,"0.000000"))</f>
        <v/>
      </c>
      <c r="I1082" s="29" t="str">
        <f aca="false">IF($D1082="","",IF(ISNUMBER($E1082),FLOOR(($E1082-$B1082)*24,1),""))</f>
        <v/>
      </c>
      <c r="J1082" s="10" t="str">
        <f aca="false">IF($D1082="","",IFERROR(IF(VLOOKUP($F1082,Dim_Analyst!$A:$C,3,0)="Yes","Yes","No"),"No"))</f>
        <v/>
      </c>
    </row>
    <row r="1083" customFormat="false" ht="15" hidden="false" customHeight="true" outlineLevel="0" collapsed="false">
      <c r="G1083" s="4" t="str">
        <f aca="false">IF($D1083="","",$A1083&amp;"|"&amp;$B1083&amp;"|"&amp;$C1083&amp;"|"&amp;$D1083)</f>
        <v/>
      </c>
      <c r="H1083" s="4" t="str">
        <f aca="false">IF($D1083="","",$G1083&amp;"|"&amp;TEXT($E1083,"0.000000"))</f>
        <v/>
      </c>
      <c r="I1083" s="29" t="str">
        <f aca="false">IF($D1083="","",IF(ISNUMBER($E1083),FLOOR(($E1083-$B1083)*24,1),""))</f>
        <v/>
      </c>
      <c r="J1083" s="10" t="str">
        <f aca="false">IF($D1083="","",IFERROR(IF(VLOOKUP($F1083,Dim_Analyst!$A:$C,3,0)="Yes","Yes","No"),"No"))</f>
        <v/>
      </c>
    </row>
    <row r="1084" customFormat="false" ht="15" hidden="false" customHeight="true" outlineLevel="0" collapsed="false">
      <c r="G1084" s="4" t="str">
        <f aca="false">IF($D1084="","",$A1084&amp;"|"&amp;$B1084&amp;"|"&amp;$C1084&amp;"|"&amp;$D1084)</f>
        <v/>
      </c>
      <c r="H1084" s="4" t="str">
        <f aca="false">IF($D1084="","",$G1084&amp;"|"&amp;TEXT($E1084,"0.000000"))</f>
        <v/>
      </c>
      <c r="I1084" s="29" t="str">
        <f aca="false">IF($D1084="","",IF(ISNUMBER($E1084),FLOOR(($E1084-$B1084)*24,1),""))</f>
        <v/>
      </c>
      <c r="J1084" s="10" t="str">
        <f aca="false">IF($D1084="","",IFERROR(IF(VLOOKUP($F1084,Dim_Analyst!$A:$C,3,0)="Yes","Yes","No"),"No"))</f>
        <v/>
      </c>
    </row>
    <row r="1085" customFormat="false" ht="15" hidden="false" customHeight="true" outlineLevel="0" collapsed="false">
      <c r="G1085" s="4" t="str">
        <f aca="false">IF($D1085="","",$A1085&amp;"|"&amp;$B1085&amp;"|"&amp;$C1085&amp;"|"&amp;$D1085)</f>
        <v/>
      </c>
      <c r="H1085" s="4" t="str">
        <f aca="false">IF($D1085="","",$G1085&amp;"|"&amp;TEXT($E1085,"0.000000"))</f>
        <v/>
      </c>
      <c r="I1085" s="29" t="str">
        <f aca="false">IF($D1085="","",IF(ISNUMBER($E1085),FLOOR(($E1085-$B1085)*24,1),""))</f>
        <v/>
      </c>
      <c r="J1085" s="10" t="str">
        <f aca="false">IF($D1085="","",IFERROR(IF(VLOOKUP($F1085,Dim_Analyst!$A:$C,3,0)="Yes","Yes","No"),"No"))</f>
        <v/>
      </c>
    </row>
    <row r="1086" customFormat="false" ht="15" hidden="false" customHeight="true" outlineLevel="0" collapsed="false">
      <c r="G1086" s="4" t="str">
        <f aca="false">IF($D1086="","",$A1086&amp;"|"&amp;$B1086&amp;"|"&amp;$C1086&amp;"|"&amp;$D1086)</f>
        <v/>
      </c>
      <c r="H1086" s="4" t="str">
        <f aca="false">IF($D1086="","",$G1086&amp;"|"&amp;TEXT($E1086,"0.000000"))</f>
        <v/>
      </c>
      <c r="I1086" s="29" t="str">
        <f aca="false">IF($D1086="","",IF(ISNUMBER($E1086),FLOOR(($E1086-$B1086)*24,1),""))</f>
        <v/>
      </c>
      <c r="J1086" s="10" t="str">
        <f aca="false">IF($D1086="","",IFERROR(IF(VLOOKUP($F1086,Dim_Analyst!$A:$C,3,0)="Yes","Yes","No"),"No"))</f>
        <v/>
      </c>
    </row>
    <row r="1087" customFormat="false" ht="15" hidden="false" customHeight="true" outlineLevel="0" collapsed="false">
      <c r="G1087" s="4" t="str">
        <f aca="false">IF($D1087="","",$A1087&amp;"|"&amp;$B1087&amp;"|"&amp;$C1087&amp;"|"&amp;$D1087)</f>
        <v/>
      </c>
      <c r="H1087" s="4" t="str">
        <f aca="false">IF($D1087="","",$G1087&amp;"|"&amp;TEXT($E1087,"0.000000"))</f>
        <v/>
      </c>
      <c r="I1087" s="29" t="str">
        <f aca="false">IF($D1087="","",IF(ISNUMBER($E1087),FLOOR(($E1087-$B1087)*24,1),""))</f>
        <v/>
      </c>
      <c r="J1087" s="10" t="str">
        <f aca="false">IF($D1087="","",IFERROR(IF(VLOOKUP($F1087,Dim_Analyst!$A:$C,3,0)="Yes","Yes","No"),"No"))</f>
        <v/>
      </c>
    </row>
    <row r="1088" customFormat="false" ht="15" hidden="false" customHeight="true" outlineLevel="0" collapsed="false">
      <c r="G1088" s="4" t="str">
        <f aca="false">IF($D1088="","",$A1088&amp;"|"&amp;$B1088&amp;"|"&amp;$C1088&amp;"|"&amp;$D1088)</f>
        <v/>
      </c>
      <c r="H1088" s="4" t="str">
        <f aca="false">IF($D1088="","",$G1088&amp;"|"&amp;TEXT($E1088,"0.000000"))</f>
        <v/>
      </c>
      <c r="I1088" s="29" t="str">
        <f aca="false">IF($D1088="","",IF(ISNUMBER($E1088),FLOOR(($E1088-$B1088)*24,1),""))</f>
        <v/>
      </c>
      <c r="J1088" s="10" t="str">
        <f aca="false">IF($D1088="","",IFERROR(IF(VLOOKUP($F1088,Dim_Analyst!$A:$C,3,0)="Yes","Yes","No"),"No"))</f>
        <v/>
      </c>
    </row>
    <row r="1089" customFormat="false" ht="15" hidden="false" customHeight="true" outlineLevel="0" collapsed="false">
      <c r="G1089" s="4" t="str">
        <f aca="false">IF($D1089="","",$A1089&amp;"|"&amp;$B1089&amp;"|"&amp;$C1089&amp;"|"&amp;$D1089)</f>
        <v/>
      </c>
      <c r="H1089" s="4" t="str">
        <f aca="false">IF($D1089="","",$G1089&amp;"|"&amp;TEXT($E1089,"0.000000"))</f>
        <v/>
      </c>
      <c r="I1089" s="29" t="str">
        <f aca="false">IF($D1089="","",IF(ISNUMBER($E1089),FLOOR(($E1089-$B1089)*24,1),""))</f>
        <v/>
      </c>
      <c r="J1089" s="10" t="str">
        <f aca="false">IF($D1089="","",IFERROR(IF(VLOOKUP($F1089,Dim_Analyst!$A:$C,3,0)="Yes","Yes","No"),"No"))</f>
        <v/>
      </c>
    </row>
    <row r="1090" customFormat="false" ht="15" hidden="false" customHeight="true" outlineLevel="0" collapsed="false">
      <c r="G1090" s="4" t="str">
        <f aca="false">IF($D1090="","",$A1090&amp;"|"&amp;$B1090&amp;"|"&amp;$C1090&amp;"|"&amp;$D1090)</f>
        <v/>
      </c>
      <c r="H1090" s="4" t="str">
        <f aca="false">IF($D1090="","",$G1090&amp;"|"&amp;TEXT($E1090,"0.000000"))</f>
        <v/>
      </c>
      <c r="I1090" s="29" t="str">
        <f aca="false">IF($D1090="","",IF(ISNUMBER($E1090),FLOOR(($E1090-$B1090)*24,1),""))</f>
        <v/>
      </c>
      <c r="J1090" s="10" t="str">
        <f aca="false">IF($D1090="","",IFERROR(IF(VLOOKUP($F1090,Dim_Analyst!$A:$C,3,0)="Yes","Yes","No"),"No"))</f>
        <v/>
      </c>
    </row>
    <row r="1091" customFormat="false" ht="15" hidden="false" customHeight="true" outlineLevel="0" collapsed="false">
      <c r="G1091" s="4" t="str">
        <f aca="false">IF($D1091="","",$A1091&amp;"|"&amp;$B1091&amp;"|"&amp;$C1091&amp;"|"&amp;$D1091)</f>
        <v/>
      </c>
      <c r="H1091" s="4" t="str">
        <f aca="false">IF($D1091="","",$G1091&amp;"|"&amp;TEXT($E1091,"0.000000"))</f>
        <v/>
      </c>
      <c r="I1091" s="29" t="str">
        <f aca="false">IF($D1091="","",IF(ISNUMBER($E1091),FLOOR(($E1091-$B1091)*24,1),""))</f>
        <v/>
      </c>
      <c r="J1091" s="10" t="str">
        <f aca="false">IF($D1091="","",IFERROR(IF(VLOOKUP($F1091,Dim_Analyst!$A:$C,3,0)="Yes","Yes","No"),"No"))</f>
        <v/>
      </c>
    </row>
    <row r="1092" customFormat="false" ht="15" hidden="false" customHeight="true" outlineLevel="0" collapsed="false">
      <c r="G1092" s="4" t="str">
        <f aca="false">IF($D1092="","",$A1092&amp;"|"&amp;$B1092&amp;"|"&amp;$C1092&amp;"|"&amp;$D1092)</f>
        <v/>
      </c>
      <c r="H1092" s="4" t="str">
        <f aca="false">IF($D1092="","",$G1092&amp;"|"&amp;TEXT($E1092,"0.000000"))</f>
        <v/>
      </c>
      <c r="I1092" s="29" t="str">
        <f aca="false">IF($D1092="","",IF(ISNUMBER($E1092),FLOOR(($E1092-$B1092)*24,1),""))</f>
        <v/>
      </c>
      <c r="J1092" s="10" t="str">
        <f aca="false">IF($D1092="","",IFERROR(IF(VLOOKUP($F1092,Dim_Analyst!$A:$C,3,0)="Yes","Yes","No"),"No"))</f>
        <v/>
      </c>
    </row>
    <row r="1093" customFormat="false" ht="15" hidden="false" customHeight="true" outlineLevel="0" collapsed="false">
      <c r="G1093" s="4" t="str">
        <f aca="false">IF($D1093="","",$A1093&amp;"|"&amp;$B1093&amp;"|"&amp;$C1093&amp;"|"&amp;$D1093)</f>
        <v/>
      </c>
      <c r="H1093" s="4" t="str">
        <f aca="false">IF($D1093="","",$G1093&amp;"|"&amp;TEXT($E1093,"0.000000"))</f>
        <v/>
      </c>
      <c r="I1093" s="29" t="str">
        <f aca="false">IF($D1093="","",IF(ISNUMBER($E1093),FLOOR(($E1093-$B1093)*24,1),""))</f>
        <v/>
      </c>
      <c r="J1093" s="10" t="str">
        <f aca="false">IF($D1093="","",IFERROR(IF(VLOOKUP($F1093,Dim_Analyst!$A:$C,3,0)="Yes","Yes","No"),"No"))</f>
        <v/>
      </c>
    </row>
    <row r="1094" customFormat="false" ht="15" hidden="false" customHeight="true" outlineLevel="0" collapsed="false">
      <c r="G1094" s="4" t="str">
        <f aca="false">IF($D1094="","",$A1094&amp;"|"&amp;$B1094&amp;"|"&amp;$C1094&amp;"|"&amp;$D1094)</f>
        <v/>
      </c>
      <c r="H1094" s="4" t="str">
        <f aca="false">IF($D1094="","",$G1094&amp;"|"&amp;TEXT($E1094,"0.000000"))</f>
        <v/>
      </c>
      <c r="I1094" s="29" t="str">
        <f aca="false">IF($D1094="","",IF(ISNUMBER($E1094),FLOOR(($E1094-$B1094)*24,1),""))</f>
        <v/>
      </c>
      <c r="J1094" s="10" t="str">
        <f aca="false">IF($D1094="","",IFERROR(IF(VLOOKUP($F1094,Dim_Analyst!$A:$C,3,0)="Yes","Yes","No"),"No"))</f>
        <v/>
      </c>
    </row>
    <row r="1095" customFormat="false" ht="15" hidden="false" customHeight="true" outlineLevel="0" collapsed="false">
      <c r="G1095" s="4" t="str">
        <f aca="false">IF($D1095="","",$A1095&amp;"|"&amp;$B1095&amp;"|"&amp;$C1095&amp;"|"&amp;$D1095)</f>
        <v/>
      </c>
      <c r="H1095" s="4" t="str">
        <f aca="false">IF($D1095="","",$G1095&amp;"|"&amp;TEXT($E1095,"0.000000"))</f>
        <v/>
      </c>
      <c r="I1095" s="29" t="str">
        <f aca="false">IF($D1095="","",IF(ISNUMBER($E1095),FLOOR(($E1095-$B1095)*24,1),""))</f>
        <v/>
      </c>
      <c r="J1095" s="10" t="str">
        <f aca="false">IF($D1095="","",IFERROR(IF(VLOOKUP($F1095,Dim_Analyst!$A:$C,3,0)="Yes","Yes","No"),"No"))</f>
        <v/>
      </c>
    </row>
    <row r="1096" customFormat="false" ht="15" hidden="false" customHeight="true" outlineLevel="0" collapsed="false">
      <c r="G1096" s="4" t="str">
        <f aca="false">IF($D1096="","",$A1096&amp;"|"&amp;$B1096&amp;"|"&amp;$C1096&amp;"|"&amp;$D1096)</f>
        <v/>
      </c>
      <c r="H1096" s="4" t="str">
        <f aca="false">IF($D1096="","",$G1096&amp;"|"&amp;TEXT($E1096,"0.000000"))</f>
        <v/>
      </c>
      <c r="I1096" s="29" t="str">
        <f aca="false">IF($D1096="","",IF(ISNUMBER($E1096),FLOOR(($E1096-$B1096)*24,1),""))</f>
        <v/>
      </c>
      <c r="J1096" s="10" t="str">
        <f aca="false">IF($D1096="","",IFERROR(IF(VLOOKUP($F1096,Dim_Analyst!$A:$C,3,0)="Yes","Yes","No"),"No"))</f>
        <v/>
      </c>
    </row>
    <row r="1097" customFormat="false" ht="15" hidden="false" customHeight="true" outlineLevel="0" collapsed="false">
      <c r="G1097" s="4" t="str">
        <f aca="false">IF($D1097="","",$A1097&amp;"|"&amp;$B1097&amp;"|"&amp;$C1097&amp;"|"&amp;$D1097)</f>
        <v/>
      </c>
      <c r="H1097" s="4" t="str">
        <f aca="false">IF($D1097="","",$G1097&amp;"|"&amp;TEXT($E1097,"0.000000"))</f>
        <v/>
      </c>
      <c r="I1097" s="29" t="str">
        <f aca="false">IF($D1097="","",IF(ISNUMBER($E1097),FLOOR(($E1097-$B1097)*24,1),""))</f>
        <v/>
      </c>
      <c r="J1097" s="10" t="str">
        <f aca="false">IF($D1097="","",IFERROR(IF(VLOOKUP($F1097,Dim_Analyst!$A:$C,3,0)="Yes","Yes","No"),"No"))</f>
        <v/>
      </c>
    </row>
    <row r="1098" customFormat="false" ht="15" hidden="false" customHeight="true" outlineLevel="0" collapsed="false">
      <c r="G1098" s="4" t="str">
        <f aca="false">IF($D1098="","",$A1098&amp;"|"&amp;$B1098&amp;"|"&amp;$C1098&amp;"|"&amp;$D1098)</f>
        <v/>
      </c>
      <c r="H1098" s="4" t="str">
        <f aca="false">IF($D1098="","",$G1098&amp;"|"&amp;TEXT($E1098,"0.000000"))</f>
        <v/>
      </c>
      <c r="I1098" s="29" t="str">
        <f aca="false">IF($D1098="","",IF(ISNUMBER($E1098),FLOOR(($E1098-$B1098)*24,1),""))</f>
        <v/>
      </c>
      <c r="J1098" s="10" t="str">
        <f aca="false">IF($D1098="","",IFERROR(IF(VLOOKUP($F1098,Dim_Analyst!$A:$C,3,0)="Yes","Yes","No"),"No"))</f>
        <v/>
      </c>
    </row>
    <row r="1099" customFormat="false" ht="15" hidden="false" customHeight="true" outlineLevel="0" collapsed="false">
      <c r="G1099" s="4" t="str">
        <f aca="false">IF($D1099="","",$A1099&amp;"|"&amp;$B1099&amp;"|"&amp;$C1099&amp;"|"&amp;$D1099)</f>
        <v/>
      </c>
      <c r="H1099" s="4" t="str">
        <f aca="false">IF($D1099="","",$G1099&amp;"|"&amp;TEXT($E1099,"0.000000"))</f>
        <v/>
      </c>
      <c r="I1099" s="29" t="str">
        <f aca="false">IF($D1099="","",IF(ISNUMBER($E1099),FLOOR(($E1099-$B1099)*24,1),""))</f>
        <v/>
      </c>
      <c r="J1099" s="10" t="str">
        <f aca="false">IF($D1099="","",IFERROR(IF(VLOOKUP($F1099,Dim_Analyst!$A:$C,3,0)="Yes","Yes","No"),"No"))</f>
        <v/>
      </c>
    </row>
    <row r="1100" customFormat="false" ht="15" hidden="false" customHeight="true" outlineLevel="0" collapsed="false">
      <c r="G1100" s="4" t="str">
        <f aca="false">IF($D1100="","",$A1100&amp;"|"&amp;$B1100&amp;"|"&amp;$C1100&amp;"|"&amp;$D1100)</f>
        <v/>
      </c>
      <c r="H1100" s="4" t="str">
        <f aca="false">IF($D1100="","",$G1100&amp;"|"&amp;TEXT($E1100,"0.000000"))</f>
        <v/>
      </c>
      <c r="I1100" s="29" t="str">
        <f aca="false">IF($D1100="","",IF(ISNUMBER($E1100),FLOOR(($E1100-$B1100)*24,1),""))</f>
        <v/>
      </c>
      <c r="J1100" s="10" t="str">
        <f aca="false">IF($D1100="","",IFERROR(IF(VLOOKUP($F1100,Dim_Analyst!$A:$C,3,0)="Yes","Yes","No"),"No"))</f>
        <v/>
      </c>
    </row>
    <row r="1101" customFormat="false" ht="15" hidden="false" customHeight="true" outlineLevel="0" collapsed="false">
      <c r="G1101" s="4" t="str">
        <f aca="false">IF($D1101="","",$A1101&amp;"|"&amp;$B1101&amp;"|"&amp;$C1101&amp;"|"&amp;$D1101)</f>
        <v/>
      </c>
      <c r="H1101" s="4" t="str">
        <f aca="false">IF($D1101="","",$G1101&amp;"|"&amp;TEXT($E1101,"0.000000"))</f>
        <v/>
      </c>
      <c r="I1101" s="29" t="str">
        <f aca="false">IF($D1101="","",IF(ISNUMBER($E1101),FLOOR(($E1101-$B1101)*24,1),""))</f>
        <v/>
      </c>
      <c r="J1101" s="10" t="str">
        <f aca="false">IF($D1101="","",IFERROR(IF(VLOOKUP($F1101,Dim_Analyst!$A:$C,3,0)="Yes","Yes","No"),"No"))</f>
        <v/>
      </c>
    </row>
    <row r="1102" customFormat="false" ht="15" hidden="false" customHeight="true" outlineLevel="0" collapsed="false">
      <c r="G1102" s="4" t="str">
        <f aca="false">IF($D1102="","",$A1102&amp;"|"&amp;$B1102&amp;"|"&amp;$C1102&amp;"|"&amp;$D1102)</f>
        <v/>
      </c>
      <c r="H1102" s="4" t="str">
        <f aca="false">IF($D1102="","",$G1102&amp;"|"&amp;TEXT($E1102,"0.000000"))</f>
        <v/>
      </c>
      <c r="I1102" s="29" t="str">
        <f aca="false">IF($D1102="","",IF(ISNUMBER($E1102),FLOOR(($E1102-$B1102)*24,1),""))</f>
        <v/>
      </c>
      <c r="J1102" s="10" t="str">
        <f aca="false">IF($D1102="","",IFERROR(IF(VLOOKUP($F1102,Dim_Analyst!$A:$C,3,0)="Yes","Yes","No"),"No"))</f>
        <v/>
      </c>
    </row>
    <row r="1103" customFormat="false" ht="15" hidden="false" customHeight="true" outlineLevel="0" collapsed="false">
      <c r="G1103" s="4" t="str">
        <f aca="false">IF($D1103="","",$A1103&amp;"|"&amp;$B1103&amp;"|"&amp;$C1103&amp;"|"&amp;$D1103)</f>
        <v/>
      </c>
      <c r="H1103" s="4" t="str">
        <f aca="false">IF($D1103="","",$G1103&amp;"|"&amp;TEXT($E1103,"0.000000"))</f>
        <v/>
      </c>
      <c r="I1103" s="29" t="str">
        <f aca="false">IF($D1103="","",IF(ISNUMBER($E1103),FLOOR(($E1103-$B1103)*24,1),""))</f>
        <v/>
      </c>
      <c r="J1103" s="10" t="str">
        <f aca="false">IF($D1103="","",IFERROR(IF(VLOOKUP($F1103,Dim_Analyst!$A:$C,3,0)="Yes","Yes","No"),"No"))</f>
        <v/>
      </c>
    </row>
    <row r="1104" customFormat="false" ht="15" hidden="false" customHeight="true" outlineLevel="0" collapsed="false">
      <c r="G1104" s="4" t="str">
        <f aca="false">IF($D1104="","",$A1104&amp;"|"&amp;$B1104&amp;"|"&amp;$C1104&amp;"|"&amp;$D1104)</f>
        <v/>
      </c>
      <c r="H1104" s="4" t="str">
        <f aca="false">IF($D1104="","",$G1104&amp;"|"&amp;TEXT($E1104,"0.000000"))</f>
        <v/>
      </c>
      <c r="I1104" s="29" t="str">
        <f aca="false">IF($D1104="","",IF(ISNUMBER($E1104),FLOOR(($E1104-$B1104)*24,1),""))</f>
        <v/>
      </c>
      <c r="J1104" s="10" t="str">
        <f aca="false">IF($D1104="","",IFERROR(IF(VLOOKUP($F1104,Dim_Analyst!$A:$C,3,0)="Yes","Yes","No"),"No"))</f>
        <v/>
      </c>
    </row>
    <row r="1105" customFormat="false" ht="15" hidden="false" customHeight="true" outlineLevel="0" collapsed="false">
      <c r="G1105" s="4" t="str">
        <f aca="false">IF($D1105="","",$A1105&amp;"|"&amp;$B1105&amp;"|"&amp;$C1105&amp;"|"&amp;$D1105)</f>
        <v/>
      </c>
      <c r="H1105" s="4" t="str">
        <f aca="false">IF($D1105="","",$G1105&amp;"|"&amp;TEXT($E1105,"0.000000"))</f>
        <v/>
      </c>
      <c r="I1105" s="29" t="str">
        <f aca="false">IF($D1105="","",IF(ISNUMBER($E1105),FLOOR(($E1105-$B1105)*24,1),""))</f>
        <v/>
      </c>
      <c r="J1105" s="10" t="str">
        <f aca="false">IF($D1105="","",IFERROR(IF(VLOOKUP($F1105,Dim_Analyst!$A:$C,3,0)="Yes","Yes","No"),"No"))</f>
        <v/>
      </c>
    </row>
    <row r="1106" customFormat="false" ht="15" hidden="false" customHeight="true" outlineLevel="0" collapsed="false">
      <c r="G1106" s="4" t="str">
        <f aca="false">IF($D1106="","",$A1106&amp;"|"&amp;$B1106&amp;"|"&amp;$C1106&amp;"|"&amp;$D1106)</f>
        <v/>
      </c>
      <c r="H1106" s="4" t="str">
        <f aca="false">IF($D1106="","",$G1106&amp;"|"&amp;TEXT($E1106,"0.000000"))</f>
        <v/>
      </c>
      <c r="I1106" s="29" t="str">
        <f aca="false">IF($D1106="","",IF(ISNUMBER($E1106),FLOOR(($E1106-$B1106)*24,1),""))</f>
        <v/>
      </c>
      <c r="J1106" s="10" t="str">
        <f aca="false">IF($D1106="","",IFERROR(IF(VLOOKUP($F1106,Dim_Analyst!$A:$C,3,0)="Yes","Yes","No"),"No"))</f>
        <v/>
      </c>
    </row>
    <row r="1107" customFormat="false" ht="15" hidden="false" customHeight="true" outlineLevel="0" collapsed="false">
      <c r="G1107" s="4" t="str">
        <f aca="false">IF($D1107="","",$A1107&amp;"|"&amp;$B1107&amp;"|"&amp;$C1107&amp;"|"&amp;$D1107)</f>
        <v/>
      </c>
      <c r="H1107" s="4" t="str">
        <f aca="false">IF($D1107="","",$G1107&amp;"|"&amp;TEXT($E1107,"0.000000"))</f>
        <v/>
      </c>
      <c r="I1107" s="29" t="str">
        <f aca="false">IF($D1107="","",IF(ISNUMBER($E1107),FLOOR(($E1107-$B1107)*24,1),""))</f>
        <v/>
      </c>
      <c r="J1107" s="10" t="str">
        <f aca="false">IF($D1107="","",IFERROR(IF(VLOOKUP($F1107,Dim_Analyst!$A:$C,3,0)="Yes","Yes","No"),"No"))</f>
        <v/>
      </c>
    </row>
    <row r="1108" customFormat="false" ht="15" hidden="false" customHeight="true" outlineLevel="0" collapsed="false">
      <c r="G1108" s="4" t="str">
        <f aca="false">IF($D1108="","",$A1108&amp;"|"&amp;$B1108&amp;"|"&amp;$C1108&amp;"|"&amp;$D1108)</f>
        <v/>
      </c>
      <c r="H1108" s="4" t="str">
        <f aca="false">IF($D1108="","",$G1108&amp;"|"&amp;TEXT($E1108,"0.000000"))</f>
        <v/>
      </c>
      <c r="I1108" s="29" t="str">
        <f aca="false">IF($D1108="","",IF(ISNUMBER($E1108),FLOOR(($E1108-$B1108)*24,1),""))</f>
        <v/>
      </c>
      <c r="J1108" s="10" t="str">
        <f aca="false">IF($D1108="","",IFERROR(IF(VLOOKUP($F1108,Dim_Analyst!$A:$C,3,0)="Yes","Yes","No"),"No"))</f>
        <v/>
      </c>
    </row>
    <row r="1109" customFormat="false" ht="15" hidden="false" customHeight="true" outlineLevel="0" collapsed="false">
      <c r="G1109" s="4" t="str">
        <f aca="false">IF($D1109="","",$A1109&amp;"|"&amp;$B1109&amp;"|"&amp;$C1109&amp;"|"&amp;$D1109)</f>
        <v/>
      </c>
      <c r="H1109" s="4" t="str">
        <f aca="false">IF($D1109="","",$G1109&amp;"|"&amp;TEXT($E1109,"0.000000"))</f>
        <v/>
      </c>
      <c r="I1109" s="29" t="str">
        <f aca="false">IF($D1109="","",IF(ISNUMBER($E1109),FLOOR(($E1109-$B1109)*24,1),""))</f>
        <v/>
      </c>
      <c r="J1109" s="10" t="str">
        <f aca="false">IF($D1109="","",IFERROR(IF(VLOOKUP($F1109,Dim_Analyst!$A:$C,3,0)="Yes","Yes","No"),"No"))</f>
        <v/>
      </c>
    </row>
    <row r="1110" customFormat="false" ht="15" hidden="false" customHeight="true" outlineLevel="0" collapsed="false">
      <c r="G1110" s="4" t="str">
        <f aca="false">IF($D1110="","",$A1110&amp;"|"&amp;$B1110&amp;"|"&amp;$C1110&amp;"|"&amp;$D1110)</f>
        <v/>
      </c>
      <c r="H1110" s="4" t="str">
        <f aca="false">IF($D1110="","",$G1110&amp;"|"&amp;TEXT($E1110,"0.000000"))</f>
        <v/>
      </c>
      <c r="I1110" s="29" t="str">
        <f aca="false">IF($D1110="","",IF(ISNUMBER($E1110),FLOOR(($E1110-$B1110)*24,1),""))</f>
        <v/>
      </c>
      <c r="J1110" s="10" t="str">
        <f aca="false">IF($D1110="","",IFERROR(IF(VLOOKUP($F1110,Dim_Analyst!$A:$C,3,0)="Yes","Yes","No"),"No"))</f>
        <v/>
      </c>
    </row>
    <row r="1111" customFormat="false" ht="15" hidden="false" customHeight="true" outlineLevel="0" collapsed="false">
      <c r="G1111" s="4" t="str">
        <f aca="false">IF($D1111="","",$A1111&amp;"|"&amp;$B1111&amp;"|"&amp;$C1111&amp;"|"&amp;$D1111)</f>
        <v/>
      </c>
      <c r="H1111" s="4" t="str">
        <f aca="false">IF($D1111="","",$G1111&amp;"|"&amp;TEXT($E1111,"0.000000"))</f>
        <v/>
      </c>
      <c r="I1111" s="29" t="str">
        <f aca="false">IF($D1111="","",IF(ISNUMBER($E1111),FLOOR(($E1111-$B1111)*24,1),""))</f>
        <v/>
      </c>
      <c r="J1111" s="10" t="str">
        <f aca="false">IF($D1111="","",IFERROR(IF(VLOOKUP($F1111,Dim_Analyst!$A:$C,3,0)="Yes","Yes","No"),"No"))</f>
        <v/>
      </c>
    </row>
    <row r="1112" customFormat="false" ht="15" hidden="false" customHeight="true" outlineLevel="0" collapsed="false">
      <c r="G1112" s="4" t="str">
        <f aca="false">IF($D1112="","",$A1112&amp;"|"&amp;$B1112&amp;"|"&amp;$C1112&amp;"|"&amp;$D1112)</f>
        <v/>
      </c>
      <c r="H1112" s="4" t="str">
        <f aca="false">IF($D1112="","",$G1112&amp;"|"&amp;TEXT($E1112,"0.000000"))</f>
        <v/>
      </c>
      <c r="I1112" s="29" t="str">
        <f aca="false">IF($D1112="","",IF(ISNUMBER($E1112),FLOOR(($E1112-$B1112)*24,1),""))</f>
        <v/>
      </c>
      <c r="J1112" s="10" t="str">
        <f aca="false">IF($D1112="","",IFERROR(IF(VLOOKUP($F1112,Dim_Analyst!$A:$C,3,0)="Yes","Yes","No"),"No"))</f>
        <v/>
      </c>
    </row>
    <row r="1113" customFormat="false" ht="15" hidden="false" customHeight="true" outlineLevel="0" collapsed="false">
      <c r="G1113" s="4" t="str">
        <f aca="false">IF($D1113="","",$A1113&amp;"|"&amp;$B1113&amp;"|"&amp;$C1113&amp;"|"&amp;$D1113)</f>
        <v/>
      </c>
      <c r="H1113" s="4" t="str">
        <f aca="false">IF($D1113="","",$G1113&amp;"|"&amp;TEXT($E1113,"0.000000"))</f>
        <v/>
      </c>
      <c r="I1113" s="29" t="str">
        <f aca="false">IF($D1113="","",IF(ISNUMBER($E1113),FLOOR(($E1113-$B1113)*24,1),""))</f>
        <v/>
      </c>
      <c r="J1113" s="10" t="str">
        <f aca="false">IF($D1113="","",IFERROR(IF(VLOOKUP($F1113,Dim_Analyst!$A:$C,3,0)="Yes","Yes","No"),"No"))</f>
        <v/>
      </c>
    </row>
    <row r="1114" customFormat="false" ht="15" hidden="false" customHeight="true" outlineLevel="0" collapsed="false">
      <c r="G1114" s="4" t="str">
        <f aca="false">IF($D1114="","",$A1114&amp;"|"&amp;$B1114&amp;"|"&amp;$C1114&amp;"|"&amp;$D1114)</f>
        <v/>
      </c>
      <c r="H1114" s="4" t="str">
        <f aca="false">IF($D1114="","",$G1114&amp;"|"&amp;TEXT($E1114,"0.000000"))</f>
        <v/>
      </c>
      <c r="I1114" s="29" t="str">
        <f aca="false">IF($D1114="","",IF(ISNUMBER($E1114),FLOOR(($E1114-$B1114)*24,1),""))</f>
        <v/>
      </c>
      <c r="J1114" s="10" t="str">
        <f aca="false">IF($D1114="","",IFERROR(IF(VLOOKUP($F1114,Dim_Analyst!$A:$C,3,0)="Yes","Yes","No"),"No"))</f>
        <v/>
      </c>
    </row>
    <row r="1115" customFormat="false" ht="15" hidden="false" customHeight="true" outlineLevel="0" collapsed="false">
      <c r="G1115" s="4" t="str">
        <f aca="false">IF($D1115="","",$A1115&amp;"|"&amp;$B1115&amp;"|"&amp;$C1115&amp;"|"&amp;$D1115)</f>
        <v/>
      </c>
      <c r="H1115" s="4" t="str">
        <f aca="false">IF($D1115="","",$G1115&amp;"|"&amp;TEXT($E1115,"0.000000"))</f>
        <v/>
      </c>
      <c r="I1115" s="29" t="str">
        <f aca="false">IF($D1115="","",IF(ISNUMBER($E1115),FLOOR(($E1115-$B1115)*24,1),""))</f>
        <v/>
      </c>
      <c r="J1115" s="10" t="str">
        <f aca="false">IF($D1115="","",IFERROR(IF(VLOOKUP($F1115,Dim_Analyst!$A:$C,3,0)="Yes","Yes","No"),"No"))</f>
        <v/>
      </c>
    </row>
    <row r="1116" customFormat="false" ht="15" hidden="false" customHeight="true" outlineLevel="0" collapsed="false">
      <c r="G1116" s="4" t="str">
        <f aca="false">IF($D1116="","",$A1116&amp;"|"&amp;$B1116&amp;"|"&amp;$C1116&amp;"|"&amp;$D1116)</f>
        <v/>
      </c>
      <c r="H1116" s="4" t="str">
        <f aca="false">IF($D1116="","",$G1116&amp;"|"&amp;TEXT($E1116,"0.000000"))</f>
        <v/>
      </c>
      <c r="I1116" s="29" t="str">
        <f aca="false">IF($D1116="","",IF(ISNUMBER($E1116),FLOOR(($E1116-$B1116)*24,1),""))</f>
        <v/>
      </c>
      <c r="J1116" s="10" t="str">
        <f aca="false">IF($D1116="","",IFERROR(IF(VLOOKUP($F1116,Dim_Analyst!$A:$C,3,0)="Yes","Yes","No"),"No"))</f>
        <v/>
      </c>
    </row>
    <row r="1117" customFormat="false" ht="15" hidden="false" customHeight="true" outlineLevel="0" collapsed="false">
      <c r="G1117" s="4" t="str">
        <f aca="false">IF($D1117="","",$A1117&amp;"|"&amp;$B1117&amp;"|"&amp;$C1117&amp;"|"&amp;$D1117)</f>
        <v/>
      </c>
      <c r="H1117" s="4" t="str">
        <f aca="false">IF($D1117="","",$G1117&amp;"|"&amp;TEXT($E1117,"0.000000"))</f>
        <v/>
      </c>
      <c r="I1117" s="29" t="str">
        <f aca="false">IF($D1117="","",IF(ISNUMBER($E1117),FLOOR(($E1117-$B1117)*24,1),""))</f>
        <v/>
      </c>
      <c r="J1117" s="10" t="str">
        <f aca="false">IF($D1117="","",IFERROR(IF(VLOOKUP($F1117,Dim_Analyst!$A:$C,3,0)="Yes","Yes","No"),"No"))</f>
        <v/>
      </c>
    </row>
    <row r="1118" customFormat="false" ht="15" hidden="false" customHeight="true" outlineLevel="0" collapsed="false">
      <c r="G1118" s="4" t="str">
        <f aca="false">IF($D1118="","",$A1118&amp;"|"&amp;$B1118&amp;"|"&amp;$C1118&amp;"|"&amp;$D1118)</f>
        <v/>
      </c>
      <c r="H1118" s="4" t="str">
        <f aca="false">IF($D1118="","",$G1118&amp;"|"&amp;TEXT($E1118,"0.000000"))</f>
        <v/>
      </c>
      <c r="I1118" s="29" t="str">
        <f aca="false">IF($D1118="","",IF(ISNUMBER($E1118),FLOOR(($E1118-$B1118)*24,1),""))</f>
        <v/>
      </c>
      <c r="J1118" s="10" t="str">
        <f aca="false">IF($D1118="","",IFERROR(IF(VLOOKUP($F1118,Dim_Analyst!$A:$C,3,0)="Yes","Yes","No"),"No"))</f>
        <v/>
      </c>
    </row>
    <row r="1119" customFormat="false" ht="15" hidden="false" customHeight="true" outlineLevel="0" collapsed="false">
      <c r="G1119" s="4" t="str">
        <f aca="false">IF($D1119="","",$A1119&amp;"|"&amp;$B1119&amp;"|"&amp;$C1119&amp;"|"&amp;$D1119)</f>
        <v/>
      </c>
      <c r="H1119" s="4" t="str">
        <f aca="false">IF($D1119="","",$G1119&amp;"|"&amp;TEXT($E1119,"0.000000"))</f>
        <v/>
      </c>
      <c r="I1119" s="29" t="str">
        <f aca="false">IF($D1119="","",IF(ISNUMBER($E1119),FLOOR(($E1119-$B1119)*24,1),""))</f>
        <v/>
      </c>
      <c r="J1119" s="10" t="str">
        <f aca="false">IF($D1119="","",IFERROR(IF(VLOOKUP($F1119,Dim_Analyst!$A:$C,3,0)="Yes","Yes","No"),"No"))</f>
        <v/>
      </c>
    </row>
    <row r="1120" customFormat="false" ht="15" hidden="false" customHeight="true" outlineLevel="0" collapsed="false">
      <c r="G1120" s="4" t="str">
        <f aca="false">IF($D1120="","",$A1120&amp;"|"&amp;$B1120&amp;"|"&amp;$C1120&amp;"|"&amp;$D1120)</f>
        <v/>
      </c>
      <c r="H1120" s="4" t="str">
        <f aca="false">IF($D1120="","",$G1120&amp;"|"&amp;TEXT($E1120,"0.000000"))</f>
        <v/>
      </c>
      <c r="I1120" s="29" t="str">
        <f aca="false">IF($D1120="","",IF(ISNUMBER($E1120),FLOOR(($E1120-$B1120)*24,1),""))</f>
        <v/>
      </c>
      <c r="J1120" s="10" t="str">
        <f aca="false">IF($D1120="","",IFERROR(IF(VLOOKUP($F1120,Dim_Analyst!$A:$C,3,0)="Yes","Yes","No"),"No"))</f>
        <v/>
      </c>
    </row>
    <row r="1121" customFormat="false" ht="15" hidden="false" customHeight="true" outlineLevel="0" collapsed="false">
      <c r="G1121" s="4" t="str">
        <f aca="false">IF($D1121="","",$A1121&amp;"|"&amp;$B1121&amp;"|"&amp;$C1121&amp;"|"&amp;$D1121)</f>
        <v/>
      </c>
      <c r="H1121" s="4" t="str">
        <f aca="false">IF($D1121="","",$G1121&amp;"|"&amp;TEXT($E1121,"0.000000"))</f>
        <v/>
      </c>
      <c r="I1121" s="29" t="str">
        <f aca="false">IF($D1121="","",IF(ISNUMBER($E1121),FLOOR(($E1121-$B1121)*24,1),""))</f>
        <v/>
      </c>
      <c r="J1121" s="10" t="str">
        <f aca="false">IF($D1121="","",IFERROR(IF(VLOOKUP($F1121,Dim_Analyst!$A:$C,3,0)="Yes","Yes","No"),"No"))</f>
        <v/>
      </c>
    </row>
    <row r="1122" customFormat="false" ht="15" hidden="false" customHeight="true" outlineLevel="0" collapsed="false">
      <c r="G1122" s="4" t="str">
        <f aca="false">IF($D1122="","",$A1122&amp;"|"&amp;$B1122&amp;"|"&amp;$C1122&amp;"|"&amp;$D1122)</f>
        <v/>
      </c>
      <c r="H1122" s="4" t="str">
        <f aca="false">IF($D1122="","",$G1122&amp;"|"&amp;TEXT($E1122,"0.000000"))</f>
        <v/>
      </c>
      <c r="I1122" s="29" t="str">
        <f aca="false">IF($D1122="","",IF(ISNUMBER($E1122),FLOOR(($E1122-$B1122)*24,1),""))</f>
        <v/>
      </c>
      <c r="J1122" s="10" t="str">
        <f aca="false">IF($D1122="","",IFERROR(IF(VLOOKUP($F1122,Dim_Analyst!$A:$C,3,0)="Yes","Yes","No"),"No"))</f>
        <v/>
      </c>
    </row>
    <row r="1123" customFormat="false" ht="15" hidden="false" customHeight="true" outlineLevel="0" collapsed="false">
      <c r="G1123" s="4" t="str">
        <f aca="false">IF($D1123="","",$A1123&amp;"|"&amp;$B1123&amp;"|"&amp;$C1123&amp;"|"&amp;$D1123)</f>
        <v/>
      </c>
      <c r="H1123" s="4" t="str">
        <f aca="false">IF($D1123="","",$G1123&amp;"|"&amp;TEXT($E1123,"0.000000"))</f>
        <v/>
      </c>
      <c r="I1123" s="29" t="str">
        <f aca="false">IF($D1123="","",IF(ISNUMBER($E1123),FLOOR(($E1123-$B1123)*24,1),""))</f>
        <v/>
      </c>
      <c r="J1123" s="10" t="str">
        <f aca="false">IF($D1123="","",IFERROR(IF(VLOOKUP($F1123,Dim_Analyst!$A:$C,3,0)="Yes","Yes","No"),"No"))</f>
        <v/>
      </c>
    </row>
    <row r="1124" customFormat="false" ht="15" hidden="false" customHeight="true" outlineLevel="0" collapsed="false">
      <c r="G1124" s="4" t="str">
        <f aca="false">IF($D1124="","",$A1124&amp;"|"&amp;$B1124&amp;"|"&amp;$C1124&amp;"|"&amp;$D1124)</f>
        <v/>
      </c>
      <c r="H1124" s="4" t="str">
        <f aca="false">IF($D1124="","",$G1124&amp;"|"&amp;TEXT($E1124,"0.000000"))</f>
        <v/>
      </c>
      <c r="I1124" s="29" t="str">
        <f aca="false">IF($D1124="","",IF(ISNUMBER($E1124),FLOOR(($E1124-$B1124)*24,1),""))</f>
        <v/>
      </c>
      <c r="J1124" s="10" t="str">
        <f aca="false">IF($D1124="","",IFERROR(IF(VLOOKUP($F1124,Dim_Analyst!$A:$C,3,0)="Yes","Yes","No"),"No"))</f>
        <v/>
      </c>
    </row>
    <row r="1125" customFormat="false" ht="15" hidden="false" customHeight="true" outlineLevel="0" collapsed="false">
      <c r="G1125" s="4" t="str">
        <f aca="false">IF($D1125="","",$A1125&amp;"|"&amp;$B1125&amp;"|"&amp;$C1125&amp;"|"&amp;$D1125)</f>
        <v/>
      </c>
      <c r="H1125" s="4" t="str">
        <f aca="false">IF($D1125="","",$G1125&amp;"|"&amp;TEXT($E1125,"0.000000"))</f>
        <v/>
      </c>
      <c r="I1125" s="29" t="str">
        <f aca="false">IF($D1125="","",IF(ISNUMBER($E1125),FLOOR(($E1125-$B1125)*24,1),""))</f>
        <v/>
      </c>
      <c r="J1125" s="10" t="str">
        <f aca="false">IF($D1125="","",IFERROR(IF(VLOOKUP($F1125,Dim_Analyst!$A:$C,3,0)="Yes","Yes","No"),"No"))</f>
        <v/>
      </c>
    </row>
    <row r="1126" customFormat="false" ht="15" hidden="false" customHeight="true" outlineLevel="0" collapsed="false">
      <c r="G1126" s="4" t="str">
        <f aca="false">IF($D1126="","",$A1126&amp;"|"&amp;$B1126&amp;"|"&amp;$C1126&amp;"|"&amp;$D1126)</f>
        <v/>
      </c>
      <c r="H1126" s="4" t="str">
        <f aca="false">IF($D1126="","",$G1126&amp;"|"&amp;TEXT($E1126,"0.000000"))</f>
        <v/>
      </c>
      <c r="I1126" s="29" t="str">
        <f aca="false">IF($D1126="","",IF(ISNUMBER($E1126),FLOOR(($E1126-$B1126)*24,1),""))</f>
        <v/>
      </c>
      <c r="J1126" s="10" t="str">
        <f aca="false">IF($D1126="","",IFERROR(IF(VLOOKUP($F1126,Dim_Analyst!$A:$C,3,0)="Yes","Yes","No"),"No"))</f>
        <v/>
      </c>
    </row>
    <row r="1127" customFormat="false" ht="15" hidden="false" customHeight="true" outlineLevel="0" collapsed="false">
      <c r="G1127" s="4" t="str">
        <f aca="false">IF($D1127="","",$A1127&amp;"|"&amp;$B1127&amp;"|"&amp;$C1127&amp;"|"&amp;$D1127)</f>
        <v/>
      </c>
      <c r="H1127" s="4" t="str">
        <f aca="false">IF($D1127="","",$G1127&amp;"|"&amp;TEXT($E1127,"0.000000"))</f>
        <v/>
      </c>
      <c r="I1127" s="29" t="str">
        <f aca="false">IF($D1127="","",IF(ISNUMBER($E1127),FLOOR(($E1127-$B1127)*24,1),""))</f>
        <v/>
      </c>
      <c r="J1127" s="10" t="str">
        <f aca="false">IF($D1127="","",IFERROR(IF(VLOOKUP($F1127,Dim_Analyst!$A:$C,3,0)="Yes","Yes","No"),"No"))</f>
        <v/>
      </c>
    </row>
    <row r="1128" customFormat="false" ht="15" hidden="false" customHeight="true" outlineLevel="0" collapsed="false">
      <c r="G1128" s="4" t="str">
        <f aca="false">IF($D1128="","",$A1128&amp;"|"&amp;$B1128&amp;"|"&amp;$C1128&amp;"|"&amp;$D1128)</f>
        <v/>
      </c>
      <c r="H1128" s="4" t="str">
        <f aca="false">IF($D1128="","",$G1128&amp;"|"&amp;TEXT($E1128,"0.000000"))</f>
        <v/>
      </c>
      <c r="I1128" s="29" t="str">
        <f aca="false">IF($D1128="","",IF(ISNUMBER($E1128),FLOOR(($E1128-$B1128)*24,1),""))</f>
        <v/>
      </c>
      <c r="J1128" s="10" t="str">
        <f aca="false">IF($D1128="","",IFERROR(IF(VLOOKUP($F1128,Dim_Analyst!$A:$C,3,0)="Yes","Yes","No"),"No"))</f>
        <v/>
      </c>
    </row>
    <row r="1129" customFormat="false" ht="15" hidden="false" customHeight="true" outlineLevel="0" collapsed="false">
      <c r="G1129" s="4" t="str">
        <f aca="false">IF($D1129="","",$A1129&amp;"|"&amp;$B1129&amp;"|"&amp;$C1129&amp;"|"&amp;$D1129)</f>
        <v/>
      </c>
      <c r="H1129" s="4" t="str">
        <f aca="false">IF($D1129="","",$G1129&amp;"|"&amp;TEXT($E1129,"0.000000"))</f>
        <v/>
      </c>
      <c r="I1129" s="29" t="str">
        <f aca="false">IF($D1129="","",IF(ISNUMBER($E1129),FLOOR(($E1129-$B1129)*24,1),""))</f>
        <v/>
      </c>
      <c r="J1129" s="10" t="str">
        <f aca="false">IF($D1129="","",IFERROR(IF(VLOOKUP($F1129,Dim_Analyst!$A:$C,3,0)="Yes","Yes","No"),"No"))</f>
        <v/>
      </c>
    </row>
    <row r="1130" customFormat="false" ht="15" hidden="false" customHeight="true" outlineLevel="0" collapsed="false">
      <c r="G1130" s="4" t="str">
        <f aca="false">IF($D1130="","",$A1130&amp;"|"&amp;$B1130&amp;"|"&amp;$C1130&amp;"|"&amp;$D1130)</f>
        <v/>
      </c>
      <c r="H1130" s="4" t="str">
        <f aca="false">IF($D1130="","",$G1130&amp;"|"&amp;TEXT($E1130,"0.000000"))</f>
        <v/>
      </c>
      <c r="I1130" s="29" t="str">
        <f aca="false">IF($D1130="","",IF(ISNUMBER($E1130),FLOOR(($E1130-$B1130)*24,1),""))</f>
        <v/>
      </c>
      <c r="J1130" s="10" t="str">
        <f aca="false">IF($D1130="","",IFERROR(IF(VLOOKUP($F1130,Dim_Analyst!$A:$C,3,0)="Yes","Yes","No"),"No"))</f>
        <v/>
      </c>
    </row>
    <row r="1131" customFormat="false" ht="15" hidden="false" customHeight="true" outlineLevel="0" collapsed="false">
      <c r="G1131" s="4" t="str">
        <f aca="false">IF($D1131="","",$A1131&amp;"|"&amp;$B1131&amp;"|"&amp;$C1131&amp;"|"&amp;$D1131)</f>
        <v/>
      </c>
      <c r="H1131" s="4" t="str">
        <f aca="false">IF($D1131="","",$G1131&amp;"|"&amp;TEXT($E1131,"0.000000"))</f>
        <v/>
      </c>
      <c r="I1131" s="29" t="str">
        <f aca="false">IF($D1131="","",IF(ISNUMBER($E1131),FLOOR(($E1131-$B1131)*24,1),""))</f>
        <v/>
      </c>
      <c r="J1131" s="10" t="str">
        <f aca="false">IF($D1131="","",IFERROR(IF(VLOOKUP($F1131,Dim_Analyst!$A:$C,3,0)="Yes","Yes","No"),"No"))</f>
        <v/>
      </c>
    </row>
    <row r="1132" customFormat="false" ht="15" hidden="false" customHeight="true" outlineLevel="0" collapsed="false">
      <c r="G1132" s="4" t="str">
        <f aca="false">IF($D1132="","",$A1132&amp;"|"&amp;$B1132&amp;"|"&amp;$C1132&amp;"|"&amp;$D1132)</f>
        <v/>
      </c>
      <c r="H1132" s="4" t="str">
        <f aca="false">IF($D1132="","",$G1132&amp;"|"&amp;TEXT($E1132,"0.000000"))</f>
        <v/>
      </c>
      <c r="I1132" s="29" t="str">
        <f aca="false">IF($D1132="","",IF(ISNUMBER($E1132),FLOOR(($E1132-$B1132)*24,1),""))</f>
        <v/>
      </c>
      <c r="J1132" s="10" t="str">
        <f aca="false">IF($D1132="","",IFERROR(IF(VLOOKUP($F1132,Dim_Analyst!$A:$C,3,0)="Yes","Yes","No"),"No"))</f>
        <v/>
      </c>
    </row>
    <row r="1133" customFormat="false" ht="15" hidden="false" customHeight="true" outlineLevel="0" collapsed="false">
      <c r="G1133" s="4" t="str">
        <f aca="false">IF($D1133="","",$A1133&amp;"|"&amp;$B1133&amp;"|"&amp;$C1133&amp;"|"&amp;$D1133)</f>
        <v/>
      </c>
      <c r="H1133" s="4" t="str">
        <f aca="false">IF($D1133="","",$G1133&amp;"|"&amp;TEXT($E1133,"0.000000"))</f>
        <v/>
      </c>
      <c r="I1133" s="29" t="str">
        <f aca="false">IF($D1133="","",IF(ISNUMBER($E1133),FLOOR(($E1133-$B1133)*24,1),""))</f>
        <v/>
      </c>
      <c r="J1133" s="10" t="str">
        <f aca="false">IF($D1133="","",IFERROR(IF(VLOOKUP($F1133,Dim_Analyst!$A:$C,3,0)="Yes","Yes","No"),"No"))</f>
        <v/>
      </c>
    </row>
    <row r="1134" customFormat="false" ht="15" hidden="false" customHeight="true" outlineLevel="0" collapsed="false">
      <c r="G1134" s="4" t="str">
        <f aca="false">IF($D1134="","",$A1134&amp;"|"&amp;$B1134&amp;"|"&amp;$C1134&amp;"|"&amp;$D1134)</f>
        <v/>
      </c>
      <c r="H1134" s="4" t="str">
        <f aca="false">IF($D1134="","",$G1134&amp;"|"&amp;TEXT($E1134,"0.000000"))</f>
        <v/>
      </c>
      <c r="I1134" s="29" t="str">
        <f aca="false">IF($D1134="","",IF(ISNUMBER($E1134),FLOOR(($E1134-$B1134)*24,1),""))</f>
        <v/>
      </c>
      <c r="J1134" s="10" t="str">
        <f aca="false">IF($D1134="","",IFERROR(IF(VLOOKUP($F1134,Dim_Analyst!$A:$C,3,0)="Yes","Yes","No"),"No"))</f>
        <v/>
      </c>
    </row>
    <row r="1135" customFormat="false" ht="15" hidden="false" customHeight="true" outlineLevel="0" collapsed="false">
      <c r="G1135" s="4" t="str">
        <f aca="false">IF($D1135="","",$A1135&amp;"|"&amp;$B1135&amp;"|"&amp;$C1135&amp;"|"&amp;$D1135)</f>
        <v/>
      </c>
      <c r="H1135" s="4" t="str">
        <f aca="false">IF($D1135="","",$G1135&amp;"|"&amp;TEXT($E1135,"0.000000"))</f>
        <v/>
      </c>
      <c r="I1135" s="29" t="str">
        <f aca="false">IF($D1135="","",IF(ISNUMBER($E1135),FLOOR(($E1135-$B1135)*24,1),""))</f>
        <v/>
      </c>
      <c r="J1135" s="10" t="str">
        <f aca="false">IF($D1135="","",IFERROR(IF(VLOOKUP($F1135,Dim_Analyst!$A:$C,3,0)="Yes","Yes","No"),"No"))</f>
        <v/>
      </c>
    </row>
    <row r="1136" customFormat="false" ht="15" hidden="false" customHeight="true" outlineLevel="0" collapsed="false">
      <c r="G1136" s="4" t="str">
        <f aca="false">IF($D1136="","",$A1136&amp;"|"&amp;$B1136&amp;"|"&amp;$C1136&amp;"|"&amp;$D1136)</f>
        <v/>
      </c>
      <c r="H1136" s="4" t="str">
        <f aca="false">IF($D1136="","",$G1136&amp;"|"&amp;TEXT($E1136,"0.000000"))</f>
        <v/>
      </c>
      <c r="I1136" s="29" t="str">
        <f aca="false">IF($D1136="","",IF(ISNUMBER($E1136),FLOOR(($E1136-$B1136)*24,1),""))</f>
        <v/>
      </c>
      <c r="J1136" s="10" t="str">
        <f aca="false">IF($D1136="","",IFERROR(IF(VLOOKUP($F1136,Dim_Analyst!$A:$C,3,0)="Yes","Yes","No"),"No"))</f>
        <v/>
      </c>
    </row>
    <row r="1137" customFormat="false" ht="15" hidden="false" customHeight="true" outlineLevel="0" collapsed="false">
      <c r="G1137" s="4" t="str">
        <f aca="false">IF($D1137="","",$A1137&amp;"|"&amp;$B1137&amp;"|"&amp;$C1137&amp;"|"&amp;$D1137)</f>
        <v/>
      </c>
      <c r="H1137" s="4" t="str">
        <f aca="false">IF($D1137="","",$G1137&amp;"|"&amp;TEXT($E1137,"0.000000"))</f>
        <v/>
      </c>
      <c r="I1137" s="29" t="str">
        <f aca="false">IF($D1137="","",IF(ISNUMBER($E1137),FLOOR(($E1137-$B1137)*24,1),""))</f>
        <v/>
      </c>
      <c r="J1137" s="10" t="str">
        <f aca="false">IF($D1137="","",IFERROR(IF(VLOOKUP($F1137,Dim_Analyst!$A:$C,3,0)="Yes","Yes","No"),"No"))</f>
        <v/>
      </c>
    </row>
    <row r="1138" customFormat="false" ht="15" hidden="false" customHeight="true" outlineLevel="0" collapsed="false">
      <c r="G1138" s="4" t="str">
        <f aca="false">IF($D1138="","",$A1138&amp;"|"&amp;$B1138&amp;"|"&amp;$C1138&amp;"|"&amp;$D1138)</f>
        <v/>
      </c>
      <c r="H1138" s="4" t="str">
        <f aca="false">IF($D1138="","",$G1138&amp;"|"&amp;TEXT($E1138,"0.000000"))</f>
        <v/>
      </c>
      <c r="I1138" s="29" t="str">
        <f aca="false">IF($D1138="","",IF(ISNUMBER($E1138),FLOOR(($E1138-$B1138)*24,1),""))</f>
        <v/>
      </c>
      <c r="J1138" s="10" t="str">
        <f aca="false">IF($D1138="","",IFERROR(IF(VLOOKUP($F1138,Dim_Analyst!$A:$C,3,0)="Yes","Yes","No"),"No"))</f>
        <v/>
      </c>
    </row>
    <row r="1139" customFormat="false" ht="15" hidden="false" customHeight="true" outlineLevel="0" collapsed="false">
      <c r="G1139" s="4" t="str">
        <f aca="false">IF($D1139="","",$A1139&amp;"|"&amp;$B1139&amp;"|"&amp;$C1139&amp;"|"&amp;$D1139)</f>
        <v/>
      </c>
      <c r="H1139" s="4" t="str">
        <f aca="false">IF($D1139="","",$G1139&amp;"|"&amp;TEXT($E1139,"0.000000"))</f>
        <v/>
      </c>
      <c r="I1139" s="29" t="str">
        <f aca="false">IF($D1139="","",IF(ISNUMBER($E1139),FLOOR(($E1139-$B1139)*24,1),""))</f>
        <v/>
      </c>
      <c r="J1139" s="10" t="str">
        <f aca="false">IF($D1139="","",IFERROR(IF(VLOOKUP($F1139,Dim_Analyst!$A:$C,3,0)="Yes","Yes","No"),"No"))</f>
        <v/>
      </c>
    </row>
    <row r="1140" customFormat="false" ht="15" hidden="false" customHeight="true" outlineLevel="0" collapsed="false">
      <c r="G1140" s="4" t="str">
        <f aca="false">IF($D1140="","",$A1140&amp;"|"&amp;$B1140&amp;"|"&amp;$C1140&amp;"|"&amp;$D1140)</f>
        <v/>
      </c>
      <c r="H1140" s="4" t="str">
        <f aca="false">IF($D1140="","",$G1140&amp;"|"&amp;TEXT($E1140,"0.000000"))</f>
        <v/>
      </c>
      <c r="I1140" s="29" t="str">
        <f aca="false">IF($D1140="","",IF(ISNUMBER($E1140),FLOOR(($E1140-$B1140)*24,1),""))</f>
        <v/>
      </c>
      <c r="J1140" s="10" t="str">
        <f aca="false">IF($D1140="","",IFERROR(IF(VLOOKUP($F1140,Dim_Analyst!$A:$C,3,0)="Yes","Yes","No"),"No"))</f>
        <v/>
      </c>
    </row>
    <row r="1141" customFormat="false" ht="15" hidden="false" customHeight="true" outlineLevel="0" collapsed="false">
      <c r="G1141" s="4" t="str">
        <f aca="false">IF($D1141="","",$A1141&amp;"|"&amp;$B1141&amp;"|"&amp;$C1141&amp;"|"&amp;$D1141)</f>
        <v/>
      </c>
      <c r="H1141" s="4" t="str">
        <f aca="false">IF($D1141="","",$G1141&amp;"|"&amp;TEXT($E1141,"0.000000"))</f>
        <v/>
      </c>
      <c r="I1141" s="29" t="str">
        <f aca="false">IF($D1141="","",IF(ISNUMBER($E1141),FLOOR(($E1141-$B1141)*24,1),""))</f>
        <v/>
      </c>
      <c r="J1141" s="10" t="str">
        <f aca="false">IF($D1141="","",IFERROR(IF(VLOOKUP($F1141,Dim_Analyst!$A:$C,3,0)="Yes","Yes","No"),"No"))</f>
        <v/>
      </c>
    </row>
    <row r="1142" customFormat="false" ht="15" hidden="false" customHeight="true" outlineLevel="0" collapsed="false">
      <c r="G1142" s="4" t="str">
        <f aca="false">IF($D1142="","",$A1142&amp;"|"&amp;$B1142&amp;"|"&amp;$C1142&amp;"|"&amp;$D1142)</f>
        <v/>
      </c>
      <c r="H1142" s="4" t="str">
        <f aca="false">IF($D1142="","",$G1142&amp;"|"&amp;TEXT($E1142,"0.000000"))</f>
        <v/>
      </c>
      <c r="I1142" s="29" t="str">
        <f aca="false">IF($D1142="","",IF(ISNUMBER($E1142),FLOOR(($E1142-$B1142)*24,1),""))</f>
        <v/>
      </c>
      <c r="J1142" s="10" t="str">
        <f aca="false">IF($D1142="","",IFERROR(IF(VLOOKUP($F1142,Dim_Analyst!$A:$C,3,0)="Yes","Yes","No"),"No"))</f>
        <v/>
      </c>
    </row>
    <row r="1143" customFormat="false" ht="15" hidden="false" customHeight="true" outlineLevel="0" collapsed="false">
      <c r="G1143" s="4" t="str">
        <f aca="false">IF($D1143="","",$A1143&amp;"|"&amp;$B1143&amp;"|"&amp;$C1143&amp;"|"&amp;$D1143)</f>
        <v/>
      </c>
      <c r="H1143" s="4" t="str">
        <f aca="false">IF($D1143="","",$G1143&amp;"|"&amp;TEXT($E1143,"0.000000"))</f>
        <v/>
      </c>
      <c r="I1143" s="29" t="str">
        <f aca="false">IF($D1143="","",IF(ISNUMBER($E1143),FLOOR(($E1143-$B1143)*24,1),""))</f>
        <v/>
      </c>
      <c r="J1143" s="10" t="str">
        <f aca="false">IF($D1143="","",IFERROR(IF(VLOOKUP($F1143,Dim_Analyst!$A:$C,3,0)="Yes","Yes","No"),"No"))</f>
        <v/>
      </c>
    </row>
    <row r="1144" customFormat="false" ht="15" hidden="false" customHeight="true" outlineLevel="0" collapsed="false">
      <c r="G1144" s="4" t="str">
        <f aca="false">IF($D1144="","",$A1144&amp;"|"&amp;$B1144&amp;"|"&amp;$C1144&amp;"|"&amp;$D1144)</f>
        <v/>
      </c>
      <c r="H1144" s="4" t="str">
        <f aca="false">IF($D1144="","",$G1144&amp;"|"&amp;TEXT($E1144,"0.000000"))</f>
        <v/>
      </c>
      <c r="I1144" s="29" t="str">
        <f aca="false">IF($D1144="","",IF(ISNUMBER($E1144),FLOOR(($E1144-$B1144)*24,1),""))</f>
        <v/>
      </c>
      <c r="J1144" s="10" t="str">
        <f aca="false">IF($D1144="","",IFERROR(IF(VLOOKUP($F1144,Dim_Analyst!$A:$C,3,0)="Yes","Yes","No"),"No"))</f>
        <v/>
      </c>
    </row>
    <row r="1145" customFormat="false" ht="15" hidden="false" customHeight="true" outlineLevel="0" collapsed="false">
      <c r="G1145" s="4" t="str">
        <f aca="false">IF($D1145="","",$A1145&amp;"|"&amp;$B1145&amp;"|"&amp;$C1145&amp;"|"&amp;$D1145)</f>
        <v/>
      </c>
      <c r="H1145" s="4" t="str">
        <f aca="false">IF($D1145="","",$G1145&amp;"|"&amp;TEXT($E1145,"0.000000"))</f>
        <v/>
      </c>
      <c r="I1145" s="29" t="str">
        <f aca="false">IF($D1145="","",IF(ISNUMBER($E1145),FLOOR(($E1145-$B1145)*24,1),""))</f>
        <v/>
      </c>
      <c r="J1145" s="10" t="str">
        <f aca="false">IF($D1145="","",IFERROR(IF(VLOOKUP($F1145,Dim_Analyst!$A:$C,3,0)="Yes","Yes","No"),"No"))</f>
        <v/>
      </c>
    </row>
    <row r="1146" customFormat="false" ht="15" hidden="false" customHeight="true" outlineLevel="0" collapsed="false">
      <c r="G1146" s="4" t="str">
        <f aca="false">IF($D1146="","",$A1146&amp;"|"&amp;$B1146&amp;"|"&amp;$C1146&amp;"|"&amp;$D1146)</f>
        <v/>
      </c>
      <c r="H1146" s="4" t="str">
        <f aca="false">IF($D1146="","",$G1146&amp;"|"&amp;TEXT($E1146,"0.000000"))</f>
        <v/>
      </c>
      <c r="I1146" s="29" t="str">
        <f aca="false">IF($D1146="","",IF(ISNUMBER($E1146),FLOOR(($E1146-$B1146)*24,1),""))</f>
        <v/>
      </c>
      <c r="J1146" s="10" t="str">
        <f aca="false">IF($D1146="","",IFERROR(IF(VLOOKUP($F1146,Dim_Analyst!$A:$C,3,0)="Yes","Yes","No"),"No"))</f>
        <v/>
      </c>
    </row>
    <row r="1147" customFormat="false" ht="15" hidden="false" customHeight="true" outlineLevel="0" collapsed="false">
      <c r="G1147" s="4" t="str">
        <f aca="false">IF($D1147="","",$A1147&amp;"|"&amp;$B1147&amp;"|"&amp;$C1147&amp;"|"&amp;$D1147)</f>
        <v/>
      </c>
      <c r="H1147" s="4" t="str">
        <f aca="false">IF($D1147="","",$G1147&amp;"|"&amp;TEXT($E1147,"0.000000"))</f>
        <v/>
      </c>
      <c r="I1147" s="29" t="str">
        <f aca="false">IF($D1147="","",IF(ISNUMBER($E1147),FLOOR(($E1147-$B1147)*24,1),""))</f>
        <v/>
      </c>
      <c r="J1147" s="10" t="str">
        <f aca="false">IF($D1147="","",IFERROR(IF(VLOOKUP($F1147,Dim_Analyst!$A:$C,3,0)="Yes","Yes","No"),"No"))</f>
        <v/>
      </c>
    </row>
    <row r="1148" customFormat="false" ht="15" hidden="false" customHeight="true" outlineLevel="0" collapsed="false">
      <c r="G1148" s="4" t="str">
        <f aca="false">IF($D1148="","",$A1148&amp;"|"&amp;$B1148&amp;"|"&amp;$C1148&amp;"|"&amp;$D1148)</f>
        <v/>
      </c>
      <c r="H1148" s="4" t="str">
        <f aca="false">IF($D1148="","",$G1148&amp;"|"&amp;TEXT($E1148,"0.000000"))</f>
        <v/>
      </c>
      <c r="I1148" s="29" t="str">
        <f aca="false">IF($D1148="","",IF(ISNUMBER($E1148),FLOOR(($E1148-$B1148)*24,1),""))</f>
        <v/>
      </c>
      <c r="J1148" s="10" t="str">
        <f aca="false">IF($D1148="","",IFERROR(IF(VLOOKUP($F1148,Dim_Analyst!$A:$C,3,0)="Yes","Yes","No"),"No"))</f>
        <v/>
      </c>
    </row>
    <row r="1149" customFormat="false" ht="15" hidden="false" customHeight="true" outlineLevel="0" collapsed="false">
      <c r="G1149" s="4" t="str">
        <f aca="false">IF($D1149="","",$A1149&amp;"|"&amp;$B1149&amp;"|"&amp;$C1149&amp;"|"&amp;$D1149)</f>
        <v/>
      </c>
      <c r="H1149" s="4" t="str">
        <f aca="false">IF($D1149="","",$G1149&amp;"|"&amp;TEXT($E1149,"0.000000"))</f>
        <v/>
      </c>
      <c r="I1149" s="29" t="str">
        <f aca="false">IF($D1149="","",IF(ISNUMBER($E1149),FLOOR(($E1149-$B1149)*24,1),""))</f>
        <v/>
      </c>
      <c r="J1149" s="10" t="str">
        <f aca="false">IF($D1149="","",IFERROR(IF(VLOOKUP($F1149,Dim_Analyst!$A:$C,3,0)="Yes","Yes","No"),"No"))</f>
        <v/>
      </c>
    </row>
    <row r="1150" customFormat="false" ht="15" hidden="false" customHeight="true" outlineLevel="0" collapsed="false">
      <c r="G1150" s="4" t="str">
        <f aca="false">IF($D1150="","",$A1150&amp;"|"&amp;$B1150&amp;"|"&amp;$C1150&amp;"|"&amp;$D1150)</f>
        <v/>
      </c>
      <c r="H1150" s="4" t="str">
        <f aca="false">IF($D1150="","",$G1150&amp;"|"&amp;TEXT($E1150,"0.000000"))</f>
        <v/>
      </c>
      <c r="I1150" s="29" t="str">
        <f aca="false">IF($D1150="","",IF(ISNUMBER($E1150),FLOOR(($E1150-$B1150)*24,1),""))</f>
        <v/>
      </c>
      <c r="J1150" s="10" t="str">
        <f aca="false">IF($D1150="","",IFERROR(IF(VLOOKUP($F1150,Dim_Analyst!$A:$C,3,0)="Yes","Yes","No"),"No"))</f>
        <v/>
      </c>
    </row>
    <row r="1151" customFormat="false" ht="15" hidden="false" customHeight="true" outlineLevel="0" collapsed="false">
      <c r="G1151" s="4" t="str">
        <f aca="false">IF($D1151="","",$A1151&amp;"|"&amp;$B1151&amp;"|"&amp;$C1151&amp;"|"&amp;$D1151)</f>
        <v/>
      </c>
      <c r="H1151" s="4" t="str">
        <f aca="false">IF($D1151="","",$G1151&amp;"|"&amp;TEXT($E1151,"0.000000"))</f>
        <v/>
      </c>
      <c r="I1151" s="29" t="str">
        <f aca="false">IF($D1151="","",IF(ISNUMBER($E1151),FLOOR(($E1151-$B1151)*24,1),""))</f>
        <v/>
      </c>
      <c r="J1151" s="10" t="str">
        <f aca="false">IF($D1151="","",IFERROR(IF(VLOOKUP($F1151,Dim_Analyst!$A:$C,3,0)="Yes","Yes","No"),"No"))</f>
        <v/>
      </c>
    </row>
    <row r="1152" customFormat="false" ht="15" hidden="false" customHeight="true" outlineLevel="0" collapsed="false">
      <c r="G1152" s="4" t="str">
        <f aca="false">IF($D1152="","",$A1152&amp;"|"&amp;$B1152&amp;"|"&amp;$C1152&amp;"|"&amp;$D1152)</f>
        <v/>
      </c>
      <c r="H1152" s="4" t="str">
        <f aca="false">IF($D1152="","",$G1152&amp;"|"&amp;TEXT($E1152,"0.000000"))</f>
        <v/>
      </c>
      <c r="I1152" s="29" t="str">
        <f aca="false">IF($D1152="","",IF(ISNUMBER($E1152),FLOOR(($E1152-$B1152)*24,1),""))</f>
        <v/>
      </c>
      <c r="J1152" s="10" t="str">
        <f aca="false">IF($D1152="","",IFERROR(IF(VLOOKUP($F1152,Dim_Analyst!$A:$C,3,0)="Yes","Yes","No"),"No"))</f>
        <v/>
      </c>
    </row>
    <row r="1153" customFormat="false" ht="15" hidden="false" customHeight="true" outlineLevel="0" collapsed="false">
      <c r="G1153" s="4" t="str">
        <f aca="false">IF($D1153="","",$A1153&amp;"|"&amp;$B1153&amp;"|"&amp;$C1153&amp;"|"&amp;$D1153)</f>
        <v/>
      </c>
      <c r="H1153" s="4" t="str">
        <f aca="false">IF($D1153="","",$G1153&amp;"|"&amp;TEXT($E1153,"0.000000"))</f>
        <v/>
      </c>
      <c r="I1153" s="29" t="str">
        <f aca="false">IF($D1153="","",IF(ISNUMBER($E1153),FLOOR(($E1153-$B1153)*24,1),""))</f>
        <v/>
      </c>
      <c r="J1153" s="10" t="str">
        <f aca="false">IF($D1153="","",IFERROR(IF(VLOOKUP($F1153,Dim_Analyst!$A:$C,3,0)="Yes","Yes","No"),"No"))</f>
        <v/>
      </c>
    </row>
    <row r="1154" customFormat="false" ht="15" hidden="false" customHeight="true" outlineLevel="0" collapsed="false">
      <c r="G1154" s="4" t="str">
        <f aca="false">IF($D1154="","",$A1154&amp;"|"&amp;$B1154&amp;"|"&amp;$C1154&amp;"|"&amp;$D1154)</f>
        <v/>
      </c>
      <c r="H1154" s="4" t="str">
        <f aca="false">IF($D1154="","",$G1154&amp;"|"&amp;TEXT($E1154,"0.000000"))</f>
        <v/>
      </c>
      <c r="I1154" s="29" t="str">
        <f aca="false">IF($D1154="","",IF(ISNUMBER($E1154),FLOOR(($E1154-$B1154)*24,1),""))</f>
        <v/>
      </c>
      <c r="J1154" s="10" t="str">
        <f aca="false">IF($D1154="","",IFERROR(IF(VLOOKUP($F1154,Dim_Analyst!$A:$C,3,0)="Yes","Yes","No"),"No"))</f>
        <v/>
      </c>
    </row>
    <row r="1155" customFormat="false" ht="15" hidden="false" customHeight="true" outlineLevel="0" collapsed="false">
      <c r="G1155" s="4" t="str">
        <f aca="false">IF($D1155="","",$A1155&amp;"|"&amp;$B1155&amp;"|"&amp;$C1155&amp;"|"&amp;$D1155)</f>
        <v/>
      </c>
      <c r="H1155" s="4" t="str">
        <f aca="false">IF($D1155="","",$G1155&amp;"|"&amp;TEXT($E1155,"0.000000"))</f>
        <v/>
      </c>
      <c r="I1155" s="29" t="str">
        <f aca="false">IF($D1155="","",IF(ISNUMBER($E1155),FLOOR(($E1155-$B1155)*24,1),""))</f>
        <v/>
      </c>
      <c r="J1155" s="10" t="str">
        <f aca="false">IF($D1155="","",IFERROR(IF(VLOOKUP($F1155,Dim_Analyst!$A:$C,3,0)="Yes","Yes","No"),"No"))</f>
        <v/>
      </c>
    </row>
    <row r="1156" customFormat="false" ht="15" hidden="false" customHeight="true" outlineLevel="0" collapsed="false">
      <c r="G1156" s="4" t="str">
        <f aca="false">IF($D1156="","",$A1156&amp;"|"&amp;$B1156&amp;"|"&amp;$C1156&amp;"|"&amp;$D1156)</f>
        <v/>
      </c>
      <c r="H1156" s="4" t="str">
        <f aca="false">IF($D1156="","",$G1156&amp;"|"&amp;TEXT($E1156,"0.000000"))</f>
        <v/>
      </c>
      <c r="I1156" s="29" t="str">
        <f aca="false">IF($D1156="","",IF(ISNUMBER($E1156),FLOOR(($E1156-$B1156)*24,1),""))</f>
        <v/>
      </c>
      <c r="J1156" s="10" t="str">
        <f aca="false">IF($D1156="","",IFERROR(IF(VLOOKUP($F1156,Dim_Analyst!$A:$C,3,0)="Yes","Yes","No"),"No"))</f>
        <v/>
      </c>
    </row>
    <row r="1157" customFormat="false" ht="15" hidden="false" customHeight="true" outlineLevel="0" collapsed="false">
      <c r="G1157" s="4" t="str">
        <f aca="false">IF($D1157="","",$A1157&amp;"|"&amp;$B1157&amp;"|"&amp;$C1157&amp;"|"&amp;$D1157)</f>
        <v/>
      </c>
      <c r="H1157" s="4" t="str">
        <f aca="false">IF($D1157="","",$G1157&amp;"|"&amp;TEXT($E1157,"0.000000"))</f>
        <v/>
      </c>
      <c r="I1157" s="29" t="str">
        <f aca="false">IF($D1157="","",IF(ISNUMBER($E1157),FLOOR(($E1157-$B1157)*24,1),""))</f>
        <v/>
      </c>
      <c r="J1157" s="10" t="str">
        <f aca="false">IF($D1157="","",IFERROR(IF(VLOOKUP($F1157,Dim_Analyst!$A:$C,3,0)="Yes","Yes","No"),"No"))</f>
        <v/>
      </c>
    </row>
    <row r="1158" customFormat="false" ht="15" hidden="false" customHeight="true" outlineLevel="0" collapsed="false">
      <c r="G1158" s="4" t="str">
        <f aca="false">IF($D1158="","",$A1158&amp;"|"&amp;$B1158&amp;"|"&amp;$C1158&amp;"|"&amp;$D1158)</f>
        <v/>
      </c>
      <c r="H1158" s="4" t="str">
        <f aca="false">IF($D1158="","",$G1158&amp;"|"&amp;TEXT($E1158,"0.000000"))</f>
        <v/>
      </c>
      <c r="I1158" s="29" t="str">
        <f aca="false">IF($D1158="","",IF(ISNUMBER($E1158),FLOOR(($E1158-$B1158)*24,1),""))</f>
        <v/>
      </c>
      <c r="J1158" s="10" t="str">
        <f aca="false">IF($D1158="","",IFERROR(IF(VLOOKUP($F1158,Dim_Analyst!$A:$C,3,0)="Yes","Yes","No"),"No"))</f>
        <v/>
      </c>
    </row>
    <row r="1159" customFormat="false" ht="15" hidden="false" customHeight="true" outlineLevel="0" collapsed="false">
      <c r="G1159" s="4" t="str">
        <f aca="false">IF($D1159="","",$A1159&amp;"|"&amp;$B1159&amp;"|"&amp;$C1159&amp;"|"&amp;$D1159)</f>
        <v/>
      </c>
      <c r="H1159" s="4" t="str">
        <f aca="false">IF($D1159="","",$G1159&amp;"|"&amp;TEXT($E1159,"0.000000"))</f>
        <v/>
      </c>
      <c r="I1159" s="29" t="str">
        <f aca="false">IF($D1159="","",IF(ISNUMBER($E1159),FLOOR(($E1159-$B1159)*24,1),""))</f>
        <v/>
      </c>
      <c r="J1159" s="10" t="str">
        <f aca="false">IF($D1159="","",IFERROR(IF(VLOOKUP($F1159,Dim_Analyst!$A:$C,3,0)="Yes","Yes","No"),"No"))</f>
        <v/>
      </c>
    </row>
    <row r="1160" customFormat="false" ht="15" hidden="false" customHeight="true" outlineLevel="0" collapsed="false">
      <c r="G1160" s="4" t="str">
        <f aca="false">IF($D1160="","",$A1160&amp;"|"&amp;$B1160&amp;"|"&amp;$C1160&amp;"|"&amp;$D1160)</f>
        <v/>
      </c>
      <c r="H1160" s="4" t="str">
        <f aca="false">IF($D1160="","",$G1160&amp;"|"&amp;TEXT($E1160,"0.000000"))</f>
        <v/>
      </c>
      <c r="I1160" s="29" t="str">
        <f aca="false">IF($D1160="","",IF(ISNUMBER($E1160),FLOOR(($E1160-$B1160)*24,1),""))</f>
        <v/>
      </c>
      <c r="J1160" s="10" t="str">
        <f aca="false">IF($D1160="","",IFERROR(IF(VLOOKUP($F1160,Dim_Analyst!$A:$C,3,0)="Yes","Yes","No"),"No"))</f>
        <v/>
      </c>
    </row>
    <row r="1161" customFormat="false" ht="15" hidden="false" customHeight="true" outlineLevel="0" collapsed="false">
      <c r="G1161" s="4" t="str">
        <f aca="false">IF($D1161="","",$A1161&amp;"|"&amp;$B1161&amp;"|"&amp;$C1161&amp;"|"&amp;$D1161)</f>
        <v/>
      </c>
      <c r="H1161" s="4" t="str">
        <f aca="false">IF($D1161="","",$G1161&amp;"|"&amp;TEXT($E1161,"0.000000"))</f>
        <v/>
      </c>
      <c r="I1161" s="29" t="str">
        <f aca="false">IF($D1161="","",IF(ISNUMBER($E1161),FLOOR(($E1161-$B1161)*24,1),""))</f>
        <v/>
      </c>
      <c r="J1161" s="10" t="str">
        <f aca="false">IF($D1161="","",IFERROR(IF(VLOOKUP($F1161,Dim_Analyst!$A:$C,3,0)="Yes","Yes","No"),"No"))</f>
        <v/>
      </c>
    </row>
    <row r="1162" customFormat="false" ht="15" hidden="false" customHeight="true" outlineLevel="0" collapsed="false">
      <c r="G1162" s="4" t="str">
        <f aca="false">IF($D1162="","",$A1162&amp;"|"&amp;$B1162&amp;"|"&amp;$C1162&amp;"|"&amp;$D1162)</f>
        <v/>
      </c>
      <c r="H1162" s="4" t="str">
        <f aca="false">IF($D1162="","",$G1162&amp;"|"&amp;TEXT($E1162,"0.000000"))</f>
        <v/>
      </c>
      <c r="I1162" s="29" t="str">
        <f aca="false">IF($D1162="","",IF(ISNUMBER($E1162),FLOOR(($E1162-$B1162)*24,1),""))</f>
        <v/>
      </c>
      <c r="J1162" s="10" t="str">
        <f aca="false">IF($D1162="","",IFERROR(IF(VLOOKUP($F1162,Dim_Analyst!$A:$C,3,0)="Yes","Yes","No"),"No"))</f>
        <v/>
      </c>
    </row>
    <row r="1163" customFormat="false" ht="15" hidden="false" customHeight="true" outlineLevel="0" collapsed="false">
      <c r="G1163" s="4" t="str">
        <f aca="false">IF($D1163="","",$A1163&amp;"|"&amp;$B1163&amp;"|"&amp;$C1163&amp;"|"&amp;$D1163)</f>
        <v/>
      </c>
      <c r="H1163" s="4" t="str">
        <f aca="false">IF($D1163="","",$G1163&amp;"|"&amp;TEXT($E1163,"0.000000"))</f>
        <v/>
      </c>
      <c r="I1163" s="29" t="str">
        <f aca="false">IF($D1163="","",IF(ISNUMBER($E1163),FLOOR(($E1163-$B1163)*24,1),""))</f>
        <v/>
      </c>
      <c r="J1163" s="10" t="str">
        <f aca="false">IF($D1163="","",IFERROR(IF(VLOOKUP($F1163,Dim_Analyst!$A:$C,3,0)="Yes","Yes","No"),"No"))</f>
        <v/>
      </c>
    </row>
    <row r="1164" customFormat="false" ht="15" hidden="false" customHeight="true" outlineLevel="0" collapsed="false">
      <c r="G1164" s="4" t="str">
        <f aca="false">IF($D1164="","",$A1164&amp;"|"&amp;$B1164&amp;"|"&amp;$C1164&amp;"|"&amp;$D1164)</f>
        <v/>
      </c>
      <c r="H1164" s="4" t="str">
        <f aca="false">IF($D1164="","",$G1164&amp;"|"&amp;TEXT($E1164,"0.000000"))</f>
        <v/>
      </c>
      <c r="I1164" s="29" t="str">
        <f aca="false">IF($D1164="","",IF(ISNUMBER($E1164),FLOOR(($E1164-$B1164)*24,1),""))</f>
        <v/>
      </c>
      <c r="J1164" s="10" t="str">
        <f aca="false">IF($D1164="","",IFERROR(IF(VLOOKUP($F1164,Dim_Analyst!$A:$C,3,0)="Yes","Yes","No"),"No"))</f>
        <v/>
      </c>
    </row>
    <row r="1165" customFormat="false" ht="15" hidden="false" customHeight="true" outlineLevel="0" collapsed="false">
      <c r="G1165" s="4" t="str">
        <f aca="false">IF($D1165="","",$A1165&amp;"|"&amp;$B1165&amp;"|"&amp;$C1165&amp;"|"&amp;$D1165)</f>
        <v/>
      </c>
      <c r="H1165" s="4" t="str">
        <f aca="false">IF($D1165="","",$G1165&amp;"|"&amp;TEXT($E1165,"0.000000"))</f>
        <v/>
      </c>
      <c r="I1165" s="29" t="str">
        <f aca="false">IF($D1165="","",IF(ISNUMBER($E1165),FLOOR(($E1165-$B1165)*24,1),""))</f>
        <v/>
      </c>
      <c r="J1165" s="10" t="str">
        <f aca="false">IF($D1165="","",IFERROR(IF(VLOOKUP($F1165,Dim_Analyst!$A:$C,3,0)="Yes","Yes","No"),"No"))</f>
        <v/>
      </c>
    </row>
    <row r="1166" customFormat="false" ht="15" hidden="false" customHeight="true" outlineLevel="0" collapsed="false">
      <c r="G1166" s="4" t="str">
        <f aca="false">IF($D1166="","",$A1166&amp;"|"&amp;$B1166&amp;"|"&amp;$C1166&amp;"|"&amp;$D1166)</f>
        <v/>
      </c>
      <c r="H1166" s="4" t="str">
        <f aca="false">IF($D1166="","",$G1166&amp;"|"&amp;TEXT($E1166,"0.000000"))</f>
        <v/>
      </c>
      <c r="I1166" s="29" t="str">
        <f aca="false">IF($D1166="","",IF(ISNUMBER($E1166),FLOOR(($E1166-$B1166)*24,1),""))</f>
        <v/>
      </c>
      <c r="J1166" s="10" t="str">
        <f aca="false">IF($D1166="","",IFERROR(IF(VLOOKUP($F1166,Dim_Analyst!$A:$C,3,0)="Yes","Yes","No"),"No"))</f>
        <v/>
      </c>
    </row>
    <row r="1167" customFormat="false" ht="15" hidden="false" customHeight="true" outlineLevel="0" collapsed="false">
      <c r="G1167" s="4" t="str">
        <f aca="false">IF($D1167="","",$A1167&amp;"|"&amp;$B1167&amp;"|"&amp;$C1167&amp;"|"&amp;$D1167)</f>
        <v/>
      </c>
      <c r="H1167" s="4" t="str">
        <f aca="false">IF($D1167="","",$G1167&amp;"|"&amp;TEXT($E1167,"0.000000"))</f>
        <v/>
      </c>
      <c r="I1167" s="29" t="str">
        <f aca="false">IF($D1167="","",IF(ISNUMBER($E1167),FLOOR(($E1167-$B1167)*24,1),""))</f>
        <v/>
      </c>
      <c r="J1167" s="10" t="str">
        <f aca="false">IF($D1167="","",IFERROR(IF(VLOOKUP($F1167,Dim_Analyst!$A:$C,3,0)="Yes","Yes","No"),"No"))</f>
        <v/>
      </c>
    </row>
    <row r="1168" customFormat="false" ht="15" hidden="false" customHeight="true" outlineLevel="0" collapsed="false">
      <c r="G1168" s="4" t="str">
        <f aca="false">IF($D1168="","",$A1168&amp;"|"&amp;$B1168&amp;"|"&amp;$C1168&amp;"|"&amp;$D1168)</f>
        <v/>
      </c>
      <c r="H1168" s="4" t="str">
        <f aca="false">IF($D1168="","",$G1168&amp;"|"&amp;TEXT($E1168,"0.000000"))</f>
        <v/>
      </c>
      <c r="I1168" s="29" t="str">
        <f aca="false">IF($D1168="","",IF(ISNUMBER($E1168),FLOOR(($E1168-$B1168)*24,1),""))</f>
        <v/>
      </c>
      <c r="J1168" s="10" t="str">
        <f aca="false">IF($D1168="","",IFERROR(IF(VLOOKUP($F1168,Dim_Analyst!$A:$C,3,0)="Yes","Yes","No"),"No"))</f>
        <v/>
      </c>
    </row>
    <row r="1169" customFormat="false" ht="15" hidden="false" customHeight="true" outlineLevel="0" collapsed="false">
      <c r="G1169" s="4" t="str">
        <f aca="false">IF($D1169="","",$A1169&amp;"|"&amp;$B1169&amp;"|"&amp;$C1169&amp;"|"&amp;$D1169)</f>
        <v/>
      </c>
      <c r="H1169" s="4" t="str">
        <f aca="false">IF($D1169="","",$G1169&amp;"|"&amp;TEXT($E1169,"0.000000"))</f>
        <v/>
      </c>
      <c r="I1169" s="29" t="str">
        <f aca="false">IF($D1169="","",IF(ISNUMBER($E1169),FLOOR(($E1169-$B1169)*24,1),""))</f>
        <v/>
      </c>
      <c r="J1169" s="10" t="str">
        <f aca="false">IF($D1169="","",IFERROR(IF(VLOOKUP($F1169,Dim_Analyst!$A:$C,3,0)="Yes","Yes","No"),"No"))</f>
        <v/>
      </c>
    </row>
    <row r="1170" customFormat="false" ht="15" hidden="false" customHeight="true" outlineLevel="0" collapsed="false">
      <c r="G1170" s="4" t="str">
        <f aca="false">IF($D1170="","",$A1170&amp;"|"&amp;$B1170&amp;"|"&amp;$C1170&amp;"|"&amp;$D1170)</f>
        <v/>
      </c>
      <c r="H1170" s="4" t="str">
        <f aca="false">IF($D1170="","",$G1170&amp;"|"&amp;TEXT($E1170,"0.000000"))</f>
        <v/>
      </c>
      <c r="I1170" s="29" t="str">
        <f aca="false">IF($D1170="","",IF(ISNUMBER($E1170),FLOOR(($E1170-$B1170)*24,1),""))</f>
        <v/>
      </c>
      <c r="J1170" s="10" t="str">
        <f aca="false">IF($D1170="","",IFERROR(IF(VLOOKUP($F1170,Dim_Analyst!$A:$C,3,0)="Yes","Yes","No"),"No"))</f>
        <v/>
      </c>
    </row>
    <row r="1171" customFormat="false" ht="15" hidden="false" customHeight="true" outlineLevel="0" collapsed="false">
      <c r="G1171" s="4" t="str">
        <f aca="false">IF($D1171="","",$A1171&amp;"|"&amp;$B1171&amp;"|"&amp;$C1171&amp;"|"&amp;$D1171)</f>
        <v/>
      </c>
      <c r="H1171" s="4" t="str">
        <f aca="false">IF($D1171="","",$G1171&amp;"|"&amp;TEXT($E1171,"0.000000"))</f>
        <v/>
      </c>
      <c r="I1171" s="29" t="str">
        <f aca="false">IF($D1171="","",IF(ISNUMBER($E1171),FLOOR(($E1171-$B1171)*24,1),""))</f>
        <v/>
      </c>
      <c r="J1171" s="10" t="str">
        <f aca="false">IF($D1171="","",IFERROR(IF(VLOOKUP($F1171,Dim_Analyst!$A:$C,3,0)="Yes","Yes","No"),"No"))</f>
        <v/>
      </c>
    </row>
    <row r="1172" customFormat="false" ht="15" hidden="false" customHeight="true" outlineLevel="0" collapsed="false">
      <c r="G1172" s="4" t="str">
        <f aca="false">IF($D1172="","",$A1172&amp;"|"&amp;$B1172&amp;"|"&amp;$C1172&amp;"|"&amp;$D1172)</f>
        <v/>
      </c>
      <c r="H1172" s="4" t="str">
        <f aca="false">IF($D1172="","",$G1172&amp;"|"&amp;TEXT($E1172,"0.000000"))</f>
        <v/>
      </c>
      <c r="I1172" s="29" t="str">
        <f aca="false">IF($D1172="","",IF(ISNUMBER($E1172),FLOOR(($E1172-$B1172)*24,1),""))</f>
        <v/>
      </c>
      <c r="J1172" s="10" t="str">
        <f aca="false">IF($D1172="","",IFERROR(IF(VLOOKUP($F1172,Dim_Analyst!$A:$C,3,0)="Yes","Yes","No"),"No"))</f>
        <v/>
      </c>
    </row>
    <row r="1173" customFormat="false" ht="15" hidden="false" customHeight="true" outlineLevel="0" collapsed="false">
      <c r="G1173" s="4" t="str">
        <f aca="false">IF($D1173="","",$A1173&amp;"|"&amp;$B1173&amp;"|"&amp;$C1173&amp;"|"&amp;$D1173)</f>
        <v/>
      </c>
      <c r="H1173" s="4" t="str">
        <f aca="false">IF($D1173="","",$G1173&amp;"|"&amp;TEXT($E1173,"0.000000"))</f>
        <v/>
      </c>
      <c r="I1173" s="29" t="str">
        <f aca="false">IF($D1173="","",IF(ISNUMBER($E1173),FLOOR(($E1173-$B1173)*24,1),""))</f>
        <v/>
      </c>
      <c r="J1173" s="10" t="str">
        <f aca="false">IF($D1173="","",IFERROR(IF(VLOOKUP($F1173,Dim_Analyst!$A:$C,3,0)="Yes","Yes","No"),"No"))</f>
        <v/>
      </c>
    </row>
    <row r="1174" customFormat="false" ht="15" hidden="false" customHeight="true" outlineLevel="0" collapsed="false">
      <c r="G1174" s="4" t="str">
        <f aca="false">IF($D1174="","",$A1174&amp;"|"&amp;$B1174&amp;"|"&amp;$C1174&amp;"|"&amp;$D1174)</f>
        <v/>
      </c>
      <c r="H1174" s="4" t="str">
        <f aca="false">IF($D1174="","",$G1174&amp;"|"&amp;TEXT($E1174,"0.000000"))</f>
        <v/>
      </c>
      <c r="I1174" s="29" t="str">
        <f aca="false">IF($D1174="","",IF(ISNUMBER($E1174),FLOOR(($E1174-$B1174)*24,1),""))</f>
        <v/>
      </c>
      <c r="J1174" s="10" t="str">
        <f aca="false">IF($D1174="","",IFERROR(IF(VLOOKUP($F1174,Dim_Analyst!$A:$C,3,0)="Yes","Yes","No"),"No"))</f>
        <v/>
      </c>
    </row>
    <row r="1175" customFormat="false" ht="15" hidden="false" customHeight="true" outlineLevel="0" collapsed="false">
      <c r="G1175" s="4" t="str">
        <f aca="false">IF($D1175="","",$A1175&amp;"|"&amp;$B1175&amp;"|"&amp;$C1175&amp;"|"&amp;$D1175)</f>
        <v/>
      </c>
      <c r="H1175" s="4" t="str">
        <f aca="false">IF($D1175="","",$G1175&amp;"|"&amp;TEXT($E1175,"0.000000"))</f>
        <v/>
      </c>
      <c r="I1175" s="29" t="str">
        <f aca="false">IF($D1175="","",IF(ISNUMBER($E1175),FLOOR(($E1175-$B1175)*24,1),""))</f>
        <v/>
      </c>
      <c r="J1175" s="10" t="str">
        <f aca="false">IF($D1175="","",IFERROR(IF(VLOOKUP($F1175,Dim_Analyst!$A:$C,3,0)="Yes","Yes","No"),"No"))</f>
        <v/>
      </c>
    </row>
    <row r="1176" customFormat="false" ht="15" hidden="false" customHeight="true" outlineLevel="0" collapsed="false">
      <c r="G1176" s="4" t="str">
        <f aca="false">IF($D1176="","",$A1176&amp;"|"&amp;$B1176&amp;"|"&amp;$C1176&amp;"|"&amp;$D1176)</f>
        <v/>
      </c>
      <c r="H1176" s="4" t="str">
        <f aca="false">IF($D1176="","",$G1176&amp;"|"&amp;TEXT($E1176,"0.000000"))</f>
        <v/>
      </c>
      <c r="I1176" s="29" t="str">
        <f aca="false">IF($D1176="","",IF(ISNUMBER($E1176),FLOOR(($E1176-$B1176)*24,1),""))</f>
        <v/>
      </c>
      <c r="J1176" s="10" t="str">
        <f aca="false">IF($D1176="","",IFERROR(IF(VLOOKUP($F1176,Dim_Analyst!$A:$C,3,0)="Yes","Yes","No"),"No"))</f>
        <v/>
      </c>
    </row>
    <row r="1177" customFormat="false" ht="15" hidden="false" customHeight="true" outlineLevel="0" collapsed="false">
      <c r="G1177" s="4" t="str">
        <f aca="false">IF($D1177="","",$A1177&amp;"|"&amp;$B1177&amp;"|"&amp;$C1177&amp;"|"&amp;$D1177)</f>
        <v/>
      </c>
      <c r="H1177" s="4" t="str">
        <f aca="false">IF($D1177="","",$G1177&amp;"|"&amp;TEXT($E1177,"0.000000"))</f>
        <v/>
      </c>
      <c r="I1177" s="29" t="str">
        <f aca="false">IF($D1177="","",IF(ISNUMBER($E1177),FLOOR(($E1177-$B1177)*24,1),""))</f>
        <v/>
      </c>
      <c r="J1177" s="10" t="str">
        <f aca="false">IF($D1177="","",IFERROR(IF(VLOOKUP($F1177,Dim_Analyst!$A:$C,3,0)="Yes","Yes","No"),"No"))</f>
        <v/>
      </c>
    </row>
    <row r="1178" customFormat="false" ht="15" hidden="false" customHeight="true" outlineLevel="0" collapsed="false">
      <c r="G1178" s="4" t="str">
        <f aca="false">IF($D1178="","",$A1178&amp;"|"&amp;$B1178&amp;"|"&amp;$C1178&amp;"|"&amp;$D1178)</f>
        <v/>
      </c>
      <c r="H1178" s="4" t="str">
        <f aca="false">IF($D1178="","",$G1178&amp;"|"&amp;TEXT($E1178,"0.000000"))</f>
        <v/>
      </c>
      <c r="I1178" s="29" t="str">
        <f aca="false">IF($D1178="","",IF(ISNUMBER($E1178),FLOOR(($E1178-$B1178)*24,1),""))</f>
        <v/>
      </c>
      <c r="J1178" s="10" t="str">
        <f aca="false">IF($D1178="","",IFERROR(IF(VLOOKUP($F1178,Dim_Analyst!$A:$C,3,0)="Yes","Yes","No"),"No"))</f>
        <v/>
      </c>
    </row>
    <row r="1179" customFormat="false" ht="15" hidden="false" customHeight="true" outlineLevel="0" collapsed="false">
      <c r="G1179" s="4" t="str">
        <f aca="false">IF($D1179="","",$A1179&amp;"|"&amp;$B1179&amp;"|"&amp;$C1179&amp;"|"&amp;$D1179)</f>
        <v/>
      </c>
      <c r="H1179" s="4" t="str">
        <f aca="false">IF($D1179="","",$G1179&amp;"|"&amp;TEXT($E1179,"0.000000"))</f>
        <v/>
      </c>
      <c r="I1179" s="29" t="str">
        <f aca="false">IF($D1179="","",IF(ISNUMBER($E1179),FLOOR(($E1179-$B1179)*24,1),""))</f>
        <v/>
      </c>
      <c r="J1179" s="10" t="str">
        <f aca="false">IF($D1179="","",IFERROR(IF(VLOOKUP($F1179,Dim_Analyst!$A:$C,3,0)="Yes","Yes","No"),"No"))</f>
        <v/>
      </c>
    </row>
    <row r="1180" customFormat="false" ht="15" hidden="false" customHeight="true" outlineLevel="0" collapsed="false">
      <c r="G1180" s="4" t="str">
        <f aca="false">IF($D1180="","",$A1180&amp;"|"&amp;$B1180&amp;"|"&amp;$C1180&amp;"|"&amp;$D1180)</f>
        <v/>
      </c>
      <c r="H1180" s="4" t="str">
        <f aca="false">IF($D1180="","",$G1180&amp;"|"&amp;TEXT($E1180,"0.000000"))</f>
        <v/>
      </c>
      <c r="I1180" s="29" t="str">
        <f aca="false">IF($D1180="","",IF(ISNUMBER($E1180),FLOOR(($E1180-$B1180)*24,1),""))</f>
        <v/>
      </c>
      <c r="J1180" s="10" t="str">
        <f aca="false">IF($D1180="","",IFERROR(IF(VLOOKUP($F1180,Dim_Analyst!$A:$C,3,0)="Yes","Yes","No"),"No"))</f>
        <v/>
      </c>
    </row>
    <row r="1181" customFormat="false" ht="15" hidden="false" customHeight="true" outlineLevel="0" collapsed="false">
      <c r="G1181" s="4" t="str">
        <f aca="false">IF($D1181="","",$A1181&amp;"|"&amp;$B1181&amp;"|"&amp;$C1181&amp;"|"&amp;$D1181)</f>
        <v/>
      </c>
      <c r="H1181" s="4" t="str">
        <f aca="false">IF($D1181="","",$G1181&amp;"|"&amp;TEXT($E1181,"0.000000"))</f>
        <v/>
      </c>
      <c r="I1181" s="29" t="str">
        <f aca="false">IF($D1181="","",IF(ISNUMBER($E1181),FLOOR(($E1181-$B1181)*24,1),""))</f>
        <v/>
      </c>
      <c r="J1181" s="10" t="str">
        <f aca="false">IF($D1181="","",IFERROR(IF(VLOOKUP($F1181,Dim_Analyst!$A:$C,3,0)="Yes","Yes","No"),"No"))</f>
        <v/>
      </c>
    </row>
    <row r="1182" customFormat="false" ht="15" hidden="false" customHeight="true" outlineLevel="0" collapsed="false">
      <c r="G1182" s="4" t="str">
        <f aca="false">IF($D1182="","",$A1182&amp;"|"&amp;$B1182&amp;"|"&amp;$C1182&amp;"|"&amp;$D1182)</f>
        <v/>
      </c>
      <c r="H1182" s="4" t="str">
        <f aca="false">IF($D1182="","",$G1182&amp;"|"&amp;TEXT($E1182,"0.000000"))</f>
        <v/>
      </c>
      <c r="I1182" s="29" t="str">
        <f aca="false">IF($D1182="","",IF(ISNUMBER($E1182),FLOOR(($E1182-$B1182)*24,1),""))</f>
        <v/>
      </c>
      <c r="J1182" s="10" t="str">
        <f aca="false">IF($D1182="","",IFERROR(IF(VLOOKUP($F1182,Dim_Analyst!$A:$C,3,0)="Yes","Yes","No"),"No"))</f>
        <v/>
      </c>
    </row>
    <row r="1183" customFormat="false" ht="15" hidden="false" customHeight="true" outlineLevel="0" collapsed="false">
      <c r="G1183" s="4" t="str">
        <f aca="false">IF($D1183="","",$A1183&amp;"|"&amp;$B1183&amp;"|"&amp;$C1183&amp;"|"&amp;$D1183)</f>
        <v/>
      </c>
      <c r="H1183" s="4" t="str">
        <f aca="false">IF($D1183="","",$G1183&amp;"|"&amp;TEXT($E1183,"0.000000"))</f>
        <v/>
      </c>
      <c r="I1183" s="29" t="str">
        <f aca="false">IF($D1183="","",IF(ISNUMBER($E1183),FLOOR(($E1183-$B1183)*24,1),""))</f>
        <v/>
      </c>
      <c r="J1183" s="10" t="str">
        <f aca="false">IF($D1183="","",IFERROR(IF(VLOOKUP($F1183,Dim_Analyst!$A:$C,3,0)="Yes","Yes","No"),"No"))</f>
        <v/>
      </c>
    </row>
    <row r="1184" customFormat="false" ht="15" hidden="false" customHeight="true" outlineLevel="0" collapsed="false">
      <c r="G1184" s="4" t="str">
        <f aca="false">IF($D1184="","",$A1184&amp;"|"&amp;$B1184&amp;"|"&amp;$C1184&amp;"|"&amp;$D1184)</f>
        <v/>
      </c>
      <c r="H1184" s="4" t="str">
        <f aca="false">IF($D1184="","",$G1184&amp;"|"&amp;TEXT($E1184,"0.000000"))</f>
        <v/>
      </c>
      <c r="I1184" s="29" t="str">
        <f aca="false">IF($D1184="","",IF(ISNUMBER($E1184),FLOOR(($E1184-$B1184)*24,1),""))</f>
        <v/>
      </c>
      <c r="J1184" s="10" t="str">
        <f aca="false">IF($D1184="","",IFERROR(IF(VLOOKUP($F1184,Dim_Analyst!$A:$C,3,0)="Yes","Yes","No"),"No"))</f>
        <v/>
      </c>
    </row>
    <row r="1185" customFormat="false" ht="15" hidden="false" customHeight="true" outlineLevel="0" collapsed="false">
      <c r="G1185" s="4" t="str">
        <f aca="false">IF($D1185="","",$A1185&amp;"|"&amp;$B1185&amp;"|"&amp;$C1185&amp;"|"&amp;$D1185)</f>
        <v/>
      </c>
      <c r="H1185" s="4" t="str">
        <f aca="false">IF($D1185="","",$G1185&amp;"|"&amp;TEXT($E1185,"0.000000"))</f>
        <v/>
      </c>
      <c r="I1185" s="29" t="str">
        <f aca="false">IF($D1185="","",IF(ISNUMBER($E1185),FLOOR(($E1185-$B1185)*24,1),""))</f>
        <v/>
      </c>
      <c r="J1185" s="10" t="str">
        <f aca="false">IF($D1185="","",IFERROR(IF(VLOOKUP($F1185,Dim_Analyst!$A:$C,3,0)="Yes","Yes","No"),"No"))</f>
        <v/>
      </c>
    </row>
    <row r="1186" customFormat="false" ht="15" hidden="false" customHeight="true" outlineLevel="0" collapsed="false">
      <c r="G1186" s="4" t="str">
        <f aca="false">IF($D1186="","",$A1186&amp;"|"&amp;$B1186&amp;"|"&amp;$C1186&amp;"|"&amp;$D1186)</f>
        <v/>
      </c>
      <c r="H1186" s="4" t="str">
        <f aca="false">IF($D1186="","",$G1186&amp;"|"&amp;TEXT($E1186,"0.000000"))</f>
        <v/>
      </c>
      <c r="I1186" s="29" t="str">
        <f aca="false">IF($D1186="","",IF(ISNUMBER($E1186),FLOOR(($E1186-$B1186)*24,1),""))</f>
        <v/>
      </c>
      <c r="J1186" s="10" t="str">
        <f aca="false">IF($D1186="","",IFERROR(IF(VLOOKUP($F1186,Dim_Analyst!$A:$C,3,0)="Yes","Yes","No"),"No"))</f>
        <v/>
      </c>
    </row>
    <row r="1187" customFormat="false" ht="15" hidden="false" customHeight="true" outlineLevel="0" collapsed="false">
      <c r="G1187" s="4" t="str">
        <f aca="false">IF($D1187="","",$A1187&amp;"|"&amp;$B1187&amp;"|"&amp;$C1187&amp;"|"&amp;$D1187)</f>
        <v/>
      </c>
      <c r="H1187" s="4" t="str">
        <f aca="false">IF($D1187="","",$G1187&amp;"|"&amp;TEXT($E1187,"0.000000"))</f>
        <v/>
      </c>
      <c r="I1187" s="29" t="str">
        <f aca="false">IF($D1187="","",IF(ISNUMBER($E1187),FLOOR(($E1187-$B1187)*24,1),""))</f>
        <v/>
      </c>
      <c r="J1187" s="10" t="str">
        <f aca="false">IF($D1187="","",IFERROR(IF(VLOOKUP($F1187,Dim_Analyst!$A:$C,3,0)="Yes","Yes","No"),"No"))</f>
        <v/>
      </c>
    </row>
    <row r="1188" customFormat="false" ht="15" hidden="false" customHeight="true" outlineLevel="0" collapsed="false">
      <c r="G1188" s="4" t="str">
        <f aca="false">IF($D1188="","",$A1188&amp;"|"&amp;$B1188&amp;"|"&amp;$C1188&amp;"|"&amp;$D1188)</f>
        <v/>
      </c>
      <c r="H1188" s="4" t="str">
        <f aca="false">IF($D1188="","",$G1188&amp;"|"&amp;TEXT($E1188,"0.000000"))</f>
        <v/>
      </c>
      <c r="I1188" s="29" t="str">
        <f aca="false">IF($D1188="","",IF(ISNUMBER($E1188),FLOOR(($E1188-$B1188)*24,1),""))</f>
        <v/>
      </c>
      <c r="J1188" s="10" t="str">
        <f aca="false">IF($D1188="","",IFERROR(IF(VLOOKUP($F1188,Dim_Analyst!$A:$C,3,0)="Yes","Yes","No"),"No"))</f>
        <v/>
      </c>
    </row>
    <row r="1189" customFormat="false" ht="15" hidden="false" customHeight="true" outlineLevel="0" collapsed="false">
      <c r="G1189" s="4" t="str">
        <f aca="false">IF($D1189="","",$A1189&amp;"|"&amp;$B1189&amp;"|"&amp;$C1189&amp;"|"&amp;$D1189)</f>
        <v/>
      </c>
      <c r="H1189" s="4" t="str">
        <f aca="false">IF($D1189="","",$G1189&amp;"|"&amp;TEXT($E1189,"0.000000"))</f>
        <v/>
      </c>
      <c r="I1189" s="29" t="str">
        <f aca="false">IF($D1189="","",IF(ISNUMBER($E1189),FLOOR(($E1189-$B1189)*24,1),""))</f>
        <v/>
      </c>
      <c r="J1189" s="10" t="str">
        <f aca="false">IF($D1189="","",IFERROR(IF(VLOOKUP($F1189,Dim_Analyst!$A:$C,3,0)="Yes","Yes","No"),"No"))</f>
        <v/>
      </c>
    </row>
    <row r="1190" customFormat="false" ht="15" hidden="false" customHeight="true" outlineLevel="0" collapsed="false">
      <c r="G1190" s="4" t="str">
        <f aca="false">IF($D1190="","",$A1190&amp;"|"&amp;$B1190&amp;"|"&amp;$C1190&amp;"|"&amp;$D1190)</f>
        <v/>
      </c>
      <c r="H1190" s="4" t="str">
        <f aca="false">IF($D1190="","",$G1190&amp;"|"&amp;TEXT($E1190,"0.000000"))</f>
        <v/>
      </c>
      <c r="I1190" s="29" t="str">
        <f aca="false">IF($D1190="","",IF(ISNUMBER($E1190),FLOOR(($E1190-$B1190)*24,1),""))</f>
        <v/>
      </c>
      <c r="J1190" s="10" t="str">
        <f aca="false">IF($D1190="","",IFERROR(IF(VLOOKUP($F1190,Dim_Analyst!$A:$C,3,0)="Yes","Yes","No"),"No"))</f>
        <v/>
      </c>
    </row>
    <row r="1191" customFormat="false" ht="15" hidden="false" customHeight="true" outlineLevel="0" collapsed="false">
      <c r="G1191" s="4" t="str">
        <f aca="false">IF($D1191="","",$A1191&amp;"|"&amp;$B1191&amp;"|"&amp;$C1191&amp;"|"&amp;$D1191)</f>
        <v/>
      </c>
      <c r="H1191" s="4" t="str">
        <f aca="false">IF($D1191="","",$G1191&amp;"|"&amp;TEXT($E1191,"0.000000"))</f>
        <v/>
      </c>
      <c r="I1191" s="29" t="str">
        <f aca="false">IF($D1191="","",IF(ISNUMBER($E1191),FLOOR(($E1191-$B1191)*24,1),""))</f>
        <v/>
      </c>
      <c r="J1191" s="10" t="str">
        <f aca="false">IF($D1191="","",IFERROR(IF(VLOOKUP($F1191,Dim_Analyst!$A:$C,3,0)="Yes","Yes","No"),"No"))</f>
        <v/>
      </c>
    </row>
    <row r="1192" customFormat="false" ht="15" hidden="false" customHeight="true" outlineLevel="0" collapsed="false">
      <c r="G1192" s="4" t="str">
        <f aca="false">IF($D1192="","",$A1192&amp;"|"&amp;$B1192&amp;"|"&amp;$C1192&amp;"|"&amp;$D1192)</f>
        <v/>
      </c>
      <c r="H1192" s="4" t="str">
        <f aca="false">IF($D1192="","",$G1192&amp;"|"&amp;TEXT($E1192,"0.000000"))</f>
        <v/>
      </c>
      <c r="I1192" s="29" t="str">
        <f aca="false">IF($D1192="","",IF(ISNUMBER($E1192),FLOOR(($E1192-$B1192)*24,1),""))</f>
        <v/>
      </c>
      <c r="J1192" s="10" t="str">
        <f aca="false">IF($D1192="","",IFERROR(IF(VLOOKUP($F1192,Dim_Analyst!$A:$C,3,0)="Yes","Yes","No"),"No"))</f>
        <v/>
      </c>
    </row>
    <row r="1193" customFormat="false" ht="15" hidden="false" customHeight="true" outlineLevel="0" collapsed="false">
      <c r="G1193" s="4" t="str">
        <f aca="false">IF($D1193="","",$A1193&amp;"|"&amp;$B1193&amp;"|"&amp;$C1193&amp;"|"&amp;$D1193)</f>
        <v/>
      </c>
      <c r="H1193" s="4" t="str">
        <f aca="false">IF($D1193="","",$G1193&amp;"|"&amp;TEXT($E1193,"0.000000"))</f>
        <v/>
      </c>
      <c r="I1193" s="29" t="str">
        <f aca="false">IF($D1193="","",IF(ISNUMBER($E1193),FLOOR(($E1193-$B1193)*24,1),""))</f>
        <v/>
      </c>
      <c r="J1193" s="10" t="str">
        <f aca="false">IF($D1193="","",IFERROR(IF(VLOOKUP($F1193,Dim_Analyst!$A:$C,3,0)="Yes","Yes","No"),"No"))</f>
        <v/>
      </c>
    </row>
    <row r="1194" customFormat="false" ht="15" hidden="false" customHeight="true" outlineLevel="0" collapsed="false">
      <c r="G1194" s="4" t="str">
        <f aca="false">IF($D1194="","",$A1194&amp;"|"&amp;$B1194&amp;"|"&amp;$C1194&amp;"|"&amp;$D1194)</f>
        <v/>
      </c>
      <c r="H1194" s="4" t="str">
        <f aca="false">IF($D1194="","",$G1194&amp;"|"&amp;TEXT($E1194,"0.000000"))</f>
        <v/>
      </c>
      <c r="I1194" s="29" t="str">
        <f aca="false">IF($D1194="","",IF(ISNUMBER($E1194),FLOOR(($E1194-$B1194)*24,1),""))</f>
        <v/>
      </c>
      <c r="J1194" s="10" t="str">
        <f aca="false">IF($D1194="","",IFERROR(IF(VLOOKUP($F1194,Dim_Analyst!$A:$C,3,0)="Yes","Yes","No"),"No"))</f>
        <v/>
      </c>
    </row>
    <row r="1195" customFormat="false" ht="15" hidden="false" customHeight="true" outlineLevel="0" collapsed="false">
      <c r="G1195" s="4" t="str">
        <f aca="false">IF($D1195="","",$A1195&amp;"|"&amp;$B1195&amp;"|"&amp;$C1195&amp;"|"&amp;$D1195)</f>
        <v/>
      </c>
      <c r="H1195" s="4" t="str">
        <f aca="false">IF($D1195="","",$G1195&amp;"|"&amp;TEXT($E1195,"0.000000"))</f>
        <v/>
      </c>
      <c r="I1195" s="29" t="str">
        <f aca="false">IF($D1195="","",IF(ISNUMBER($E1195),FLOOR(($E1195-$B1195)*24,1),""))</f>
        <v/>
      </c>
      <c r="J1195" s="10" t="str">
        <f aca="false">IF($D1195="","",IFERROR(IF(VLOOKUP($F1195,Dim_Analyst!$A:$C,3,0)="Yes","Yes","No"),"No"))</f>
        <v/>
      </c>
    </row>
    <row r="1196" customFormat="false" ht="15" hidden="false" customHeight="true" outlineLevel="0" collapsed="false">
      <c r="G1196" s="4" t="str">
        <f aca="false">IF($D1196="","",$A1196&amp;"|"&amp;$B1196&amp;"|"&amp;$C1196&amp;"|"&amp;$D1196)</f>
        <v/>
      </c>
      <c r="H1196" s="4" t="str">
        <f aca="false">IF($D1196="","",$G1196&amp;"|"&amp;TEXT($E1196,"0.000000"))</f>
        <v/>
      </c>
      <c r="I1196" s="29" t="str">
        <f aca="false">IF($D1196="","",IF(ISNUMBER($E1196),FLOOR(($E1196-$B1196)*24,1),""))</f>
        <v/>
      </c>
      <c r="J1196" s="10" t="str">
        <f aca="false">IF($D1196="","",IFERROR(IF(VLOOKUP($F1196,Dim_Analyst!$A:$C,3,0)="Yes","Yes","No"),"No"))</f>
        <v/>
      </c>
    </row>
    <row r="1197" customFormat="false" ht="15" hidden="false" customHeight="true" outlineLevel="0" collapsed="false">
      <c r="G1197" s="4" t="str">
        <f aca="false">IF($D1197="","",$A1197&amp;"|"&amp;$B1197&amp;"|"&amp;$C1197&amp;"|"&amp;$D1197)</f>
        <v/>
      </c>
      <c r="H1197" s="4" t="str">
        <f aca="false">IF($D1197="","",$G1197&amp;"|"&amp;TEXT($E1197,"0.000000"))</f>
        <v/>
      </c>
      <c r="I1197" s="29" t="str">
        <f aca="false">IF($D1197="","",IF(ISNUMBER($E1197),FLOOR(($E1197-$B1197)*24,1),""))</f>
        <v/>
      </c>
      <c r="J1197" s="10" t="str">
        <f aca="false">IF($D1197="","",IFERROR(IF(VLOOKUP($F1197,Dim_Analyst!$A:$C,3,0)="Yes","Yes","No"),"No"))</f>
        <v/>
      </c>
    </row>
    <row r="1198" customFormat="false" ht="15" hidden="false" customHeight="true" outlineLevel="0" collapsed="false">
      <c r="G1198" s="4" t="str">
        <f aca="false">IF($D1198="","",$A1198&amp;"|"&amp;$B1198&amp;"|"&amp;$C1198&amp;"|"&amp;$D1198)</f>
        <v/>
      </c>
      <c r="H1198" s="4" t="str">
        <f aca="false">IF($D1198="","",$G1198&amp;"|"&amp;TEXT($E1198,"0.000000"))</f>
        <v/>
      </c>
      <c r="I1198" s="29" t="str">
        <f aca="false">IF($D1198="","",IF(ISNUMBER($E1198),FLOOR(($E1198-$B1198)*24,1),""))</f>
        <v/>
      </c>
      <c r="J1198" s="10" t="str">
        <f aca="false">IF($D1198="","",IFERROR(IF(VLOOKUP($F1198,Dim_Analyst!$A:$C,3,0)="Yes","Yes","No"),"No"))</f>
        <v/>
      </c>
    </row>
    <row r="1199" customFormat="false" ht="15" hidden="false" customHeight="true" outlineLevel="0" collapsed="false">
      <c r="G1199" s="4" t="str">
        <f aca="false">IF($D1199="","",$A1199&amp;"|"&amp;$B1199&amp;"|"&amp;$C1199&amp;"|"&amp;$D1199)</f>
        <v/>
      </c>
      <c r="H1199" s="4" t="str">
        <f aca="false">IF($D1199="","",$G1199&amp;"|"&amp;TEXT($E1199,"0.000000"))</f>
        <v/>
      </c>
      <c r="I1199" s="29" t="str">
        <f aca="false">IF($D1199="","",IF(ISNUMBER($E1199),FLOOR(($E1199-$B1199)*24,1),""))</f>
        <v/>
      </c>
      <c r="J1199" s="10" t="str">
        <f aca="false">IF($D1199="","",IFERROR(IF(VLOOKUP($F1199,Dim_Analyst!$A:$C,3,0)="Yes","Yes","No"),"No"))</f>
        <v/>
      </c>
    </row>
    <row r="1200" customFormat="false" ht="15" hidden="false" customHeight="true" outlineLevel="0" collapsed="false">
      <c r="G1200" s="4" t="str">
        <f aca="false">IF($D1200="","",$A1200&amp;"|"&amp;$B1200&amp;"|"&amp;$C1200&amp;"|"&amp;$D1200)</f>
        <v/>
      </c>
      <c r="H1200" s="4" t="str">
        <f aca="false">IF($D1200="","",$G1200&amp;"|"&amp;TEXT($E1200,"0.000000"))</f>
        <v/>
      </c>
      <c r="I1200" s="29" t="str">
        <f aca="false">IF($D1200="","",IF(ISNUMBER($E1200),FLOOR(($E1200-$B1200)*24,1),""))</f>
        <v/>
      </c>
      <c r="J1200" s="10" t="str">
        <f aca="false">IF($D1200="","",IFERROR(IF(VLOOKUP($F1200,Dim_Analyst!$A:$C,3,0)="Yes","Yes","No"),"No"))</f>
        <v/>
      </c>
    </row>
    <row r="1201" customFormat="false" ht="15" hidden="false" customHeight="true" outlineLevel="0" collapsed="false">
      <c r="G1201" s="4" t="str">
        <f aca="false">IF($D1201="","",$A1201&amp;"|"&amp;$B1201&amp;"|"&amp;$C1201&amp;"|"&amp;$D1201)</f>
        <v/>
      </c>
      <c r="H1201" s="4" t="str">
        <f aca="false">IF($D1201="","",$G1201&amp;"|"&amp;TEXT($E1201,"0.000000"))</f>
        <v/>
      </c>
      <c r="I1201" s="29" t="str">
        <f aca="false">IF($D1201="","",IF(ISNUMBER($E1201),FLOOR(($E1201-$B1201)*24,1),""))</f>
        <v/>
      </c>
      <c r="J1201" s="10" t="str">
        <f aca="false">IF($D1201="","",IFERROR(IF(VLOOKUP($F1201,Dim_Analyst!$A:$C,3,0)="Yes","Yes","No"),"No"))</f>
        <v/>
      </c>
    </row>
    <row r="1202" customFormat="false" ht="15" hidden="false" customHeight="true" outlineLevel="0" collapsed="false">
      <c r="G1202" s="4" t="str">
        <f aca="false">IF($D1202="","",$A1202&amp;"|"&amp;$B1202&amp;"|"&amp;$C1202&amp;"|"&amp;$D1202)</f>
        <v/>
      </c>
      <c r="H1202" s="4" t="str">
        <f aca="false">IF($D1202="","",$G1202&amp;"|"&amp;TEXT($E1202,"0.000000"))</f>
        <v/>
      </c>
      <c r="I1202" s="29" t="str">
        <f aca="false">IF($D1202="","",IF(ISNUMBER($E1202),FLOOR(($E1202-$B1202)*24,1),""))</f>
        <v/>
      </c>
      <c r="J1202" s="10" t="str">
        <f aca="false">IF($D1202="","",IFERROR(IF(VLOOKUP($F1202,Dim_Analyst!$A:$C,3,0)="Yes","Yes","No"),"No"))</f>
        <v/>
      </c>
    </row>
    <row r="1203" customFormat="false" ht="15" hidden="false" customHeight="true" outlineLevel="0" collapsed="false">
      <c r="G1203" s="4" t="str">
        <f aca="false">IF($D1203="","",$A1203&amp;"|"&amp;$B1203&amp;"|"&amp;$C1203&amp;"|"&amp;$D1203)</f>
        <v/>
      </c>
      <c r="H1203" s="4" t="str">
        <f aca="false">IF($D1203="","",$G1203&amp;"|"&amp;TEXT($E1203,"0.000000"))</f>
        <v/>
      </c>
      <c r="I1203" s="29" t="str">
        <f aca="false">IF($D1203="","",IF(ISNUMBER($E1203),FLOOR(($E1203-$B1203)*24,1),""))</f>
        <v/>
      </c>
      <c r="J1203" s="10" t="str">
        <f aca="false">IF($D1203="","",IFERROR(IF(VLOOKUP($F1203,Dim_Analyst!$A:$C,3,0)="Yes","Yes","No"),"No"))</f>
        <v/>
      </c>
    </row>
    <row r="1204" customFormat="false" ht="15" hidden="false" customHeight="true" outlineLevel="0" collapsed="false">
      <c r="G1204" s="4" t="str">
        <f aca="false">IF($D1204="","",$A1204&amp;"|"&amp;$B1204&amp;"|"&amp;$C1204&amp;"|"&amp;$D1204)</f>
        <v/>
      </c>
      <c r="H1204" s="4" t="str">
        <f aca="false">IF($D1204="","",$G1204&amp;"|"&amp;TEXT($E1204,"0.000000"))</f>
        <v/>
      </c>
      <c r="I1204" s="29" t="str">
        <f aca="false">IF($D1204="","",IF(ISNUMBER($E1204),FLOOR(($E1204-$B1204)*24,1),""))</f>
        <v/>
      </c>
      <c r="J1204" s="10" t="str">
        <f aca="false">IF($D1204="","",IFERROR(IF(VLOOKUP($F1204,Dim_Analyst!$A:$C,3,0)="Yes","Yes","No"),"No"))</f>
        <v/>
      </c>
    </row>
    <row r="1205" customFormat="false" ht="15" hidden="false" customHeight="true" outlineLevel="0" collapsed="false">
      <c r="G1205" s="4" t="str">
        <f aca="false">IF($D1205="","",$A1205&amp;"|"&amp;$B1205&amp;"|"&amp;$C1205&amp;"|"&amp;$D1205)</f>
        <v/>
      </c>
      <c r="H1205" s="4" t="str">
        <f aca="false">IF($D1205="","",$G1205&amp;"|"&amp;TEXT($E1205,"0.000000"))</f>
        <v/>
      </c>
      <c r="I1205" s="29" t="str">
        <f aca="false">IF($D1205="","",IF(ISNUMBER($E1205),FLOOR(($E1205-$B1205)*24,1),""))</f>
        <v/>
      </c>
      <c r="J1205" s="10" t="str">
        <f aca="false">IF($D1205="","",IFERROR(IF(VLOOKUP($F1205,Dim_Analyst!$A:$C,3,0)="Yes","Yes","No"),"No"))</f>
        <v/>
      </c>
    </row>
    <row r="1206" customFormat="false" ht="15" hidden="false" customHeight="true" outlineLevel="0" collapsed="false">
      <c r="G1206" s="4" t="str">
        <f aca="false">IF($D1206="","",$A1206&amp;"|"&amp;$B1206&amp;"|"&amp;$C1206&amp;"|"&amp;$D1206)</f>
        <v/>
      </c>
      <c r="H1206" s="4" t="str">
        <f aca="false">IF($D1206="","",$G1206&amp;"|"&amp;TEXT($E1206,"0.000000"))</f>
        <v/>
      </c>
      <c r="I1206" s="29" t="str">
        <f aca="false">IF($D1206="","",IF(ISNUMBER($E1206),FLOOR(($E1206-$B1206)*24,1),""))</f>
        <v/>
      </c>
      <c r="J1206" s="10" t="str">
        <f aca="false">IF($D1206="","",IFERROR(IF(VLOOKUP($F1206,Dim_Analyst!$A:$C,3,0)="Yes","Yes","No"),"No"))</f>
        <v/>
      </c>
    </row>
    <row r="1207" customFormat="false" ht="15" hidden="false" customHeight="true" outlineLevel="0" collapsed="false">
      <c r="G1207" s="4" t="str">
        <f aca="false">IF($D1207="","",$A1207&amp;"|"&amp;$B1207&amp;"|"&amp;$C1207&amp;"|"&amp;$D1207)</f>
        <v/>
      </c>
      <c r="H1207" s="4" t="str">
        <f aca="false">IF($D1207="","",$G1207&amp;"|"&amp;TEXT($E1207,"0.000000"))</f>
        <v/>
      </c>
      <c r="I1207" s="29" t="str">
        <f aca="false">IF($D1207="","",IF(ISNUMBER($E1207),FLOOR(($E1207-$B1207)*24,1),""))</f>
        <v/>
      </c>
      <c r="J1207" s="10" t="str">
        <f aca="false">IF($D1207="","",IFERROR(IF(VLOOKUP($F1207,Dim_Analyst!$A:$C,3,0)="Yes","Yes","No"),"No"))</f>
        <v/>
      </c>
    </row>
    <row r="1208" customFormat="false" ht="15" hidden="false" customHeight="true" outlineLevel="0" collapsed="false">
      <c r="G1208" s="4" t="str">
        <f aca="false">IF($D1208="","",$A1208&amp;"|"&amp;$B1208&amp;"|"&amp;$C1208&amp;"|"&amp;$D1208)</f>
        <v/>
      </c>
      <c r="H1208" s="4" t="str">
        <f aca="false">IF($D1208="","",$G1208&amp;"|"&amp;TEXT($E1208,"0.000000"))</f>
        <v/>
      </c>
      <c r="I1208" s="29" t="str">
        <f aca="false">IF($D1208="","",IF(ISNUMBER($E1208),FLOOR(($E1208-$B1208)*24,1),""))</f>
        <v/>
      </c>
      <c r="J1208" s="10" t="str">
        <f aca="false">IF($D1208="","",IFERROR(IF(VLOOKUP($F1208,Dim_Analyst!$A:$C,3,0)="Yes","Yes","No"),"No"))</f>
        <v/>
      </c>
    </row>
    <row r="1209" customFormat="false" ht="15" hidden="false" customHeight="true" outlineLevel="0" collapsed="false">
      <c r="G1209" s="4" t="str">
        <f aca="false">IF($D1209="","",$A1209&amp;"|"&amp;$B1209&amp;"|"&amp;$C1209&amp;"|"&amp;$D1209)</f>
        <v/>
      </c>
      <c r="H1209" s="4" t="str">
        <f aca="false">IF($D1209="","",$G1209&amp;"|"&amp;TEXT($E1209,"0.000000"))</f>
        <v/>
      </c>
      <c r="I1209" s="29" t="str">
        <f aca="false">IF($D1209="","",IF(ISNUMBER($E1209),FLOOR(($E1209-$B1209)*24,1),""))</f>
        <v/>
      </c>
      <c r="J1209" s="10" t="str">
        <f aca="false">IF($D1209="","",IFERROR(IF(VLOOKUP($F1209,Dim_Analyst!$A:$C,3,0)="Yes","Yes","No"),"No"))</f>
        <v/>
      </c>
    </row>
    <row r="1210" customFormat="false" ht="15" hidden="false" customHeight="true" outlineLevel="0" collapsed="false">
      <c r="G1210" s="4" t="str">
        <f aca="false">IF($D1210="","",$A1210&amp;"|"&amp;$B1210&amp;"|"&amp;$C1210&amp;"|"&amp;$D1210)</f>
        <v/>
      </c>
      <c r="H1210" s="4" t="str">
        <f aca="false">IF($D1210="","",$G1210&amp;"|"&amp;TEXT($E1210,"0.000000"))</f>
        <v/>
      </c>
      <c r="I1210" s="29" t="str">
        <f aca="false">IF($D1210="","",IF(ISNUMBER($E1210),FLOOR(($E1210-$B1210)*24,1),""))</f>
        <v/>
      </c>
      <c r="J1210" s="10" t="str">
        <f aca="false">IF($D1210="","",IFERROR(IF(VLOOKUP($F1210,Dim_Analyst!$A:$C,3,0)="Yes","Yes","No"),"No"))</f>
        <v/>
      </c>
    </row>
    <row r="1211" customFormat="false" ht="15" hidden="false" customHeight="true" outlineLevel="0" collapsed="false">
      <c r="G1211" s="4" t="str">
        <f aca="false">IF($D1211="","",$A1211&amp;"|"&amp;$B1211&amp;"|"&amp;$C1211&amp;"|"&amp;$D1211)</f>
        <v/>
      </c>
      <c r="H1211" s="4" t="str">
        <f aca="false">IF($D1211="","",$G1211&amp;"|"&amp;TEXT($E1211,"0.000000"))</f>
        <v/>
      </c>
      <c r="I1211" s="29" t="str">
        <f aca="false">IF($D1211="","",IF(ISNUMBER($E1211),FLOOR(($E1211-$B1211)*24,1),""))</f>
        <v/>
      </c>
      <c r="J1211" s="10" t="str">
        <f aca="false">IF($D1211="","",IFERROR(IF(VLOOKUP($F1211,Dim_Analyst!$A:$C,3,0)="Yes","Yes","No"),"No"))</f>
        <v/>
      </c>
    </row>
    <row r="1212" customFormat="false" ht="15" hidden="false" customHeight="true" outlineLevel="0" collapsed="false">
      <c r="G1212" s="4" t="str">
        <f aca="false">IF($D1212="","",$A1212&amp;"|"&amp;$B1212&amp;"|"&amp;$C1212&amp;"|"&amp;$D1212)</f>
        <v/>
      </c>
      <c r="H1212" s="4" t="str">
        <f aca="false">IF($D1212="","",$G1212&amp;"|"&amp;TEXT($E1212,"0.000000"))</f>
        <v/>
      </c>
      <c r="I1212" s="29" t="str">
        <f aca="false">IF($D1212="","",IF(ISNUMBER($E1212),FLOOR(($E1212-$B1212)*24,1),""))</f>
        <v/>
      </c>
      <c r="J1212" s="10" t="str">
        <f aca="false">IF($D1212="","",IFERROR(IF(VLOOKUP($F1212,Dim_Analyst!$A:$C,3,0)="Yes","Yes","No"),"No"))</f>
        <v/>
      </c>
    </row>
    <row r="1213" customFormat="false" ht="15" hidden="false" customHeight="true" outlineLevel="0" collapsed="false">
      <c r="G1213" s="4" t="str">
        <f aca="false">IF($D1213="","",$A1213&amp;"|"&amp;$B1213&amp;"|"&amp;$C1213&amp;"|"&amp;$D1213)</f>
        <v/>
      </c>
      <c r="H1213" s="4" t="str">
        <f aca="false">IF($D1213="","",$G1213&amp;"|"&amp;TEXT($E1213,"0.000000"))</f>
        <v/>
      </c>
      <c r="I1213" s="29" t="str">
        <f aca="false">IF($D1213="","",IF(ISNUMBER($E1213),FLOOR(($E1213-$B1213)*24,1),""))</f>
        <v/>
      </c>
      <c r="J1213" s="10" t="str">
        <f aca="false">IF($D1213="","",IFERROR(IF(VLOOKUP($F1213,Dim_Analyst!$A:$C,3,0)="Yes","Yes","No"),"No"))</f>
        <v/>
      </c>
    </row>
    <row r="1214" customFormat="false" ht="15" hidden="false" customHeight="true" outlineLevel="0" collapsed="false">
      <c r="G1214" s="4" t="str">
        <f aca="false">IF($D1214="","",$A1214&amp;"|"&amp;$B1214&amp;"|"&amp;$C1214&amp;"|"&amp;$D1214)</f>
        <v/>
      </c>
      <c r="H1214" s="4" t="str">
        <f aca="false">IF($D1214="","",$G1214&amp;"|"&amp;TEXT($E1214,"0.000000"))</f>
        <v/>
      </c>
      <c r="I1214" s="29" t="str">
        <f aca="false">IF($D1214="","",IF(ISNUMBER($E1214),FLOOR(($E1214-$B1214)*24,1),""))</f>
        <v/>
      </c>
      <c r="J1214" s="10" t="str">
        <f aca="false">IF($D1214="","",IFERROR(IF(VLOOKUP($F1214,Dim_Analyst!$A:$C,3,0)="Yes","Yes","No"),"No"))</f>
        <v/>
      </c>
    </row>
    <row r="1215" customFormat="false" ht="15" hidden="false" customHeight="true" outlineLevel="0" collapsed="false">
      <c r="G1215" s="4" t="str">
        <f aca="false">IF($D1215="","",$A1215&amp;"|"&amp;$B1215&amp;"|"&amp;$C1215&amp;"|"&amp;$D1215)</f>
        <v/>
      </c>
      <c r="H1215" s="4" t="str">
        <f aca="false">IF($D1215="","",$G1215&amp;"|"&amp;TEXT($E1215,"0.000000"))</f>
        <v/>
      </c>
      <c r="I1215" s="29" t="str">
        <f aca="false">IF($D1215="","",IF(ISNUMBER($E1215),FLOOR(($E1215-$B1215)*24,1),""))</f>
        <v/>
      </c>
      <c r="J1215" s="10" t="str">
        <f aca="false">IF($D1215="","",IFERROR(IF(VLOOKUP($F1215,Dim_Analyst!$A:$C,3,0)="Yes","Yes","No"),"No"))</f>
        <v/>
      </c>
    </row>
    <row r="1216" customFormat="false" ht="15" hidden="false" customHeight="true" outlineLevel="0" collapsed="false">
      <c r="G1216" s="4" t="str">
        <f aca="false">IF($D1216="","",$A1216&amp;"|"&amp;$B1216&amp;"|"&amp;$C1216&amp;"|"&amp;$D1216)</f>
        <v/>
      </c>
      <c r="H1216" s="4" t="str">
        <f aca="false">IF($D1216="","",$G1216&amp;"|"&amp;TEXT($E1216,"0.000000"))</f>
        <v/>
      </c>
      <c r="I1216" s="29" t="str">
        <f aca="false">IF($D1216="","",IF(ISNUMBER($E1216),FLOOR(($E1216-$B1216)*24,1),""))</f>
        <v/>
      </c>
      <c r="J1216" s="10" t="str">
        <f aca="false">IF($D1216="","",IFERROR(IF(VLOOKUP($F1216,Dim_Analyst!$A:$C,3,0)="Yes","Yes","No"),"No"))</f>
        <v/>
      </c>
    </row>
    <row r="1217" customFormat="false" ht="15" hidden="false" customHeight="true" outlineLevel="0" collapsed="false">
      <c r="G1217" s="4" t="str">
        <f aca="false">IF($D1217="","",$A1217&amp;"|"&amp;$B1217&amp;"|"&amp;$C1217&amp;"|"&amp;$D1217)</f>
        <v/>
      </c>
      <c r="H1217" s="4" t="str">
        <f aca="false">IF($D1217="","",$G1217&amp;"|"&amp;TEXT($E1217,"0.000000"))</f>
        <v/>
      </c>
      <c r="I1217" s="29" t="str">
        <f aca="false">IF($D1217="","",IF(ISNUMBER($E1217),FLOOR(($E1217-$B1217)*24,1),""))</f>
        <v/>
      </c>
      <c r="J1217" s="10" t="str">
        <f aca="false">IF($D1217="","",IFERROR(IF(VLOOKUP($F1217,Dim_Analyst!$A:$C,3,0)="Yes","Yes","No"),"No"))</f>
        <v/>
      </c>
    </row>
    <row r="1218" customFormat="false" ht="15" hidden="false" customHeight="true" outlineLevel="0" collapsed="false">
      <c r="G1218" s="4" t="str">
        <f aca="false">IF($D1218="","",$A1218&amp;"|"&amp;$B1218&amp;"|"&amp;$C1218&amp;"|"&amp;$D1218)</f>
        <v/>
      </c>
      <c r="H1218" s="4" t="str">
        <f aca="false">IF($D1218="","",$G1218&amp;"|"&amp;TEXT($E1218,"0.000000"))</f>
        <v/>
      </c>
      <c r="I1218" s="29" t="str">
        <f aca="false">IF($D1218="","",IF(ISNUMBER($E1218),FLOOR(($E1218-$B1218)*24,1),""))</f>
        <v/>
      </c>
      <c r="J1218" s="10" t="str">
        <f aca="false">IF($D1218="","",IFERROR(IF(VLOOKUP($F1218,Dim_Analyst!$A:$C,3,0)="Yes","Yes","No"),"No"))</f>
        <v/>
      </c>
    </row>
    <row r="1219" customFormat="false" ht="15" hidden="false" customHeight="true" outlineLevel="0" collapsed="false">
      <c r="G1219" s="4" t="str">
        <f aca="false">IF($D1219="","",$A1219&amp;"|"&amp;$B1219&amp;"|"&amp;$C1219&amp;"|"&amp;$D1219)</f>
        <v/>
      </c>
      <c r="H1219" s="4" t="str">
        <f aca="false">IF($D1219="","",$G1219&amp;"|"&amp;TEXT($E1219,"0.000000"))</f>
        <v/>
      </c>
      <c r="I1219" s="29" t="str">
        <f aca="false">IF($D1219="","",IF(ISNUMBER($E1219),FLOOR(($E1219-$B1219)*24,1),""))</f>
        <v/>
      </c>
      <c r="J1219" s="10" t="str">
        <f aca="false">IF($D1219="","",IFERROR(IF(VLOOKUP($F1219,Dim_Analyst!$A:$C,3,0)="Yes","Yes","No"),"No"))</f>
        <v/>
      </c>
    </row>
    <row r="1220" customFormat="false" ht="15" hidden="false" customHeight="true" outlineLevel="0" collapsed="false">
      <c r="G1220" s="4" t="str">
        <f aca="false">IF($D1220="","",$A1220&amp;"|"&amp;$B1220&amp;"|"&amp;$C1220&amp;"|"&amp;$D1220)</f>
        <v/>
      </c>
      <c r="H1220" s="4" t="str">
        <f aca="false">IF($D1220="","",$G1220&amp;"|"&amp;TEXT($E1220,"0.000000"))</f>
        <v/>
      </c>
      <c r="I1220" s="29" t="str">
        <f aca="false">IF($D1220="","",IF(ISNUMBER($E1220),FLOOR(($E1220-$B1220)*24,1),""))</f>
        <v/>
      </c>
      <c r="J1220" s="10" t="str">
        <f aca="false">IF($D1220="","",IFERROR(IF(VLOOKUP($F1220,Dim_Analyst!$A:$C,3,0)="Yes","Yes","No"),"No"))</f>
        <v/>
      </c>
    </row>
    <row r="1221" customFormat="false" ht="15" hidden="false" customHeight="true" outlineLevel="0" collapsed="false">
      <c r="G1221" s="4" t="str">
        <f aca="false">IF($D1221="","",$A1221&amp;"|"&amp;$B1221&amp;"|"&amp;$C1221&amp;"|"&amp;$D1221)</f>
        <v/>
      </c>
      <c r="H1221" s="4" t="str">
        <f aca="false">IF($D1221="","",$G1221&amp;"|"&amp;TEXT($E1221,"0.000000"))</f>
        <v/>
      </c>
      <c r="I1221" s="29" t="str">
        <f aca="false">IF($D1221="","",IF(ISNUMBER($E1221),FLOOR(($E1221-$B1221)*24,1),""))</f>
        <v/>
      </c>
      <c r="J1221" s="10" t="str">
        <f aca="false">IF($D1221="","",IFERROR(IF(VLOOKUP($F1221,Dim_Analyst!$A:$C,3,0)="Yes","Yes","No"),"No"))</f>
        <v/>
      </c>
    </row>
    <row r="1222" customFormat="false" ht="15" hidden="false" customHeight="true" outlineLevel="0" collapsed="false">
      <c r="G1222" s="4" t="str">
        <f aca="false">IF($D1222="","",$A1222&amp;"|"&amp;$B1222&amp;"|"&amp;$C1222&amp;"|"&amp;$D1222)</f>
        <v/>
      </c>
      <c r="H1222" s="4" t="str">
        <f aca="false">IF($D1222="","",$G1222&amp;"|"&amp;TEXT($E1222,"0.000000"))</f>
        <v/>
      </c>
      <c r="I1222" s="29" t="str">
        <f aca="false">IF($D1222="","",IF(ISNUMBER($E1222),FLOOR(($E1222-$B1222)*24,1),""))</f>
        <v/>
      </c>
      <c r="J1222" s="10" t="str">
        <f aca="false">IF($D1222="","",IFERROR(IF(VLOOKUP($F1222,Dim_Analyst!$A:$C,3,0)="Yes","Yes","No"),"No"))</f>
        <v/>
      </c>
    </row>
    <row r="1223" customFormat="false" ht="15" hidden="false" customHeight="true" outlineLevel="0" collapsed="false">
      <c r="G1223" s="4" t="str">
        <f aca="false">IF($D1223="","",$A1223&amp;"|"&amp;$B1223&amp;"|"&amp;$C1223&amp;"|"&amp;$D1223)</f>
        <v/>
      </c>
      <c r="H1223" s="4" t="str">
        <f aca="false">IF($D1223="","",$G1223&amp;"|"&amp;TEXT($E1223,"0.000000"))</f>
        <v/>
      </c>
      <c r="I1223" s="29" t="str">
        <f aca="false">IF($D1223="","",IF(ISNUMBER($E1223),FLOOR(($E1223-$B1223)*24,1),""))</f>
        <v/>
      </c>
      <c r="J1223" s="10" t="str">
        <f aca="false">IF($D1223="","",IFERROR(IF(VLOOKUP($F1223,Dim_Analyst!$A:$C,3,0)="Yes","Yes","No"),"No"))</f>
        <v/>
      </c>
    </row>
    <row r="1224" customFormat="false" ht="15" hidden="false" customHeight="true" outlineLevel="0" collapsed="false">
      <c r="G1224" s="4" t="str">
        <f aca="false">IF($D1224="","",$A1224&amp;"|"&amp;$B1224&amp;"|"&amp;$C1224&amp;"|"&amp;$D1224)</f>
        <v/>
      </c>
      <c r="H1224" s="4" t="str">
        <f aca="false">IF($D1224="","",$G1224&amp;"|"&amp;TEXT($E1224,"0.000000"))</f>
        <v/>
      </c>
      <c r="I1224" s="29" t="str">
        <f aca="false">IF($D1224="","",IF(ISNUMBER($E1224),FLOOR(($E1224-$B1224)*24,1),""))</f>
        <v/>
      </c>
      <c r="J1224" s="10" t="str">
        <f aca="false">IF($D1224="","",IFERROR(IF(VLOOKUP($F1224,Dim_Analyst!$A:$C,3,0)="Yes","Yes","No"),"No"))</f>
        <v/>
      </c>
    </row>
    <row r="1225" customFormat="false" ht="15" hidden="false" customHeight="true" outlineLevel="0" collapsed="false">
      <c r="G1225" s="4" t="str">
        <f aca="false">IF($D1225="","",$A1225&amp;"|"&amp;$B1225&amp;"|"&amp;$C1225&amp;"|"&amp;$D1225)</f>
        <v/>
      </c>
      <c r="H1225" s="4" t="str">
        <f aca="false">IF($D1225="","",$G1225&amp;"|"&amp;TEXT($E1225,"0.000000"))</f>
        <v/>
      </c>
      <c r="I1225" s="29" t="str">
        <f aca="false">IF($D1225="","",IF(ISNUMBER($E1225),FLOOR(($E1225-$B1225)*24,1),""))</f>
        <v/>
      </c>
      <c r="J1225" s="10" t="str">
        <f aca="false">IF($D1225="","",IFERROR(IF(VLOOKUP($F1225,Dim_Analyst!$A:$C,3,0)="Yes","Yes","No"),"No"))</f>
        <v/>
      </c>
    </row>
    <row r="1226" customFormat="false" ht="15" hidden="false" customHeight="true" outlineLevel="0" collapsed="false">
      <c r="G1226" s="4" t="str">
        <f aca="false">IF($D1226="","",$A1226&amp;"|"&amp;$B1226&amp;"|"&amp;$C1226&amp;"|"&amp;$D1226)</f>
        <v/>
      </c>
      <c r="H1226" s="4" t="str">
        <f aca="false">IF($D1226="","",$G1226&amp;"|"&amp;TEXT($E1226,"0.000000"))</f>
        <v/>
      </c>
      <c r="I1226" s="29" t="str">
        <f aca="false">IF($D1226="","",IF(ISNUMBER($E1226),FLOOR(($E1226-$B1226)*24,1),""))</f>
        <v/>
      </c>
      <c r="J1226" s="10" t="str">
        <f aca="false">IF($D1226="","",IFERROR(IF(VLOOKUP($F1226,Dim_Analyst!$A:$C,3,0)="Yes","Yes","No"),"No"))</f>
        <v/>
      </c>
    </row>
    <row r="1227" customFormat="false" ht="15" hidden="false" customHeight="true" outlineLevel="0" collapsed="false">
      <c r="G1227" s="4" t="str">
        <f aca="false">IF($D1227="","",$A1227&amp;"|"&amp;$B1227&amp;"|"&amp;$C1227&amp;"|"&amp;$D1227)</f>
        <v/>
      </c>
      <c r="H1227" s="4" t="str">
        <f aca="false">IF($D1227="","",$G1227&amp;"|"&amp;TEXT($E1227,"0.000000"))</f>
        <v/>
      </c>
      <c r="I1227" s="29" t="str">
        <f aca="false">IF($D1227="","",IF(ISNUMBER($E1227),FLOOR(($E1227-$B1227)*24,1),""))</f>
        <v/>
      </c>
      <c r="J1227" s="10" t="str">
        <f aca="false">IF($D1227="","",IFERROR(IF(VLOOKUP($F1227,Dim_Analyst!$A:$C,3,0)="Yes","Yes","No"),"No"))</f>
        <v/>
      </c>
    </row>
    <row r="1228" customFormat="false" ht="15" hidden="false" customHeight="true" outlineLevel="0" collapsed="false">
      <c r="G1228" s="4" t="str">
        <f aca="false">IF($D1228="","",$A1228&amp;"|"&amp;$B1228&amp;"|"&amp;$C1228&amp;"|"&amp;$D1228)</f>
        <v/>
      </c>
      <c r="H1228" s="4" t="str">
        <f aca="false">IF($D1228="","",$G1228&amp;"|"&amp;TEXT($E1228,"0.000000"))</f>
        <v/>
      </c>
      <c r="I1228" s="29" t="str">
        <f aca="false">IF($D1228="","",IF(ISNUMBER($E1228),FLOOR(($E1228-$B1228)*24,1),""))</f>
        <v/>
      </c>
      <c r="J1228" s="10" t="str">
        <f aca="false">IF($D1228="","",IFERROR(IF(VLOOKUP($F1228,Dim_Analyst!$A:$C,3,0)="Yes","Yes","No"),"No"))</f>
        <v/>
      </c>
    </row>
    <row r="1229" customFormat="false" ht="15" hidden="false" customHeight="true" outlineLevel="0" collapsed="false">
      <c r="G1229" s="4" t="str">
        <f aca="false">IF($D1229="","",$A1229&amp;"|"&amp;$B1229&amp;"|"&amp;$C1229&amp;"|"&amp;$D1229)</f>
        <v/>
      </c>
      <c r="H1229" s="4" t="str">
        <f aca="false">IF($D1229="","",$G1229&amp;"|"&amp;TEXT($E1229,"0.000000"))</f>
        <v/>
      </c>
      <c r="I1229" s="29" t="str">
        <f aca="false">IF($D1229="","",IF(ISNUMBER($E1229),FLOOR(($E1229-$B1229)*24,1),""))</f>
        <v/>
      </c>
      <c r="J1229" s="10" t="str">
        <f aca="false">IF($D1229="","",IFERROR(IF(VLOOKUP($F1229,Dim_Analyst!$A:$C,3,0)="Yes","Yes","No"),"No"))</f>
        <v/>
      </c>
    </row>
    <row r="1230" customFormat="false" ht="15" hidden="false" customHeight="true" outlineLevel="0" collapsed="false">
      <c r="G1230" s="4" t="str">
        <f aca="false">IF($D1230="","",$A1230&amp;"|"&amp;$B1230&amp;"|"&amp;$C1230&amp;"|"&amp;$D1230)</f>
        <v/>
      </c>
      <c r="H1230" s="4" t="str">
        <f aca="false">IF($D1230="","",$G1230&amp;"|"&amp;TEXT($E1230,"0.000000"))</f>
        <v/>
      </c>
      <c r="I1230" s="29" t="str">
        <f aca="false">IF($D1230="","",IF(ISNUMBER($E1230),FLOOR(($E1230-$B1230)*24,1),""))</f>
        <v/>
      </c>
      <c r="J1230" s="10" t="str">
        <f aca="false">IF($D1230="","",IFERROR(IF(VLOOKUP($F1230,Dim_Analyst!$A:$C,3,0)="Yes","Yes","No"),"No"))</f>
        <v/>
      </c>
    </row>
    <row r="1231" customFormat="false" ht="15" hidden="false" customHeight="true" outlineLevel="0" collapsed="false">
      <c r="G1231" s="4" t="str">
        <f aca="false">IF($D1231="","",$A1231&amp;"|"&amp;$B1231&amp;"|"&amp;$C1231&amp;"|"&amp;$D1231)</f>
        <v/>
      </c>
      <c r="H1231" s="4" t="str">
        <f aca="false">IF($D1231="","",$G1231&amp;"|"&amp;TEXT($E1231,"0.000000"))</f>
        <v/>
      </c>
      <c r="I1231" s="29" t="str">
        <f aca="false">IF($D1231="","",IF(ISNUMBER($E1231),FLOOR(($E1231-$B1231)*24,1),""))</f>
        <v/>
      </c>
      <c r="J1231" s="10" t="str">
        <f aca="false">IF($D1231="","",IFERROR(IF(VLOOKUP($F1231,Dim_Analyst!$A:$C,3,0)="Yes","Yes","No"),"No"))</f>
        <v/>
      </c>
    </row>
    <row r="1232" customFormat="false" ht="15" hidden="false" customHeight="true" outlineLevel="0" collapsed="false">
      <c r="G1232" s="4" t="str">
        <f aca="false">IF($D1232="","",$A1232&amp;"|"&amp;$B1232&amp;"|"&amp;$C1232&amp;"|"&amp;$D1232)</f>
        <v/>
      </c>
      <c r="H1232" s="4" t="str">
        <f aca="false">IF($D1232="","",$G1232&amp;"|"&amp;TEXT($E1232,"0.000000"))</f>
        <v/>
      </c>
      <c r="I1232" s="29" t="str">
        <f aca="false">IF($D1232="","",IF(ISNUMBER($E1232),FLOOR(($E1232-$B1232)*24,1),""))</f>
        <v/>
      </c>
      <c r="J1232" s="10" t="str">
        <f aca="false">IF($D1232="","",IFERROR(IF(VLOOKUP($F1232,Dim_Analyst!$A:$C,3,0)="Yes","Yes","No"),"No"))</f>
        <v/>
      </c>
    </row>
    <row r="1233" customFormat="false" ht="15" hidden="false" customHeight="true" outlineLevel="0" collapsed="false">
      <c r="G1233" s="4" t="str">
        <f aca="false">IF($D1233="","",$A1233&amp;"|"&amp;$B1233&amp;"|"&amp;$C1233&amp;"|"&amp;$D1233)</f>
        <v/>
      </c>
      <c r="H1233" s="4" t="str">
        <f aca="false">IF($D1233="","",$G1233&amp;"|"&amp;TEXT($E1233,"0.000000"))</f>
        <v/>
      </c>
      <c r="I1233" s="29" t="str">
        <f aca="false">IF($D1233="","",IF(ISNUMBER($E1233),FLOOR(($E1233-$B1233)*24,1),""))</f>
        <v/>
      </c>
      <c r="J1233" s="10" t="str">
        <f aca="false">IF($D1233="","",IFERROR(IF(VLOOKUP($F1233,Dim_Analyst!$A:$C,3,0)="Yes","Yes","No"),"No"))</f>
        <v/>
      </c>
    </row>
    <row r="1234" customFormat="false" ht="15" hidden="false" customHeight="true" outlineLevel="0" collapsed="false">
      <c r="G1234" s="4" t="str">
        <f aca="false">IF($D1234="","",$A1234&amp;"|"&amp;$B1234&amp;"|"&amp;$C1234&amp;"|"&amp;$D1234)</f>
        <v/>
      </c>
      <c r="H1234" s="4" t="str">
        <f aca="false">IF($D1234="","",$G1234&amp;"|"&amp;TEXT($E1234,"0.000000"))</f>
        <v/>
      </c>
      <c r="I1234" s="29" t="str">
        <f aca="false">IF($D1234="","",IF(ISNUMBER($E1234),FLOOR(($E1234-$B1234)*24,1),""))</f>
        <v/>
      </c>
      <c r="J1234" s="10" t="str">
        <f aca="false">IF($D1234="","",IFERROR(IF(VLOOKUP($F1234,Dim_Analyst!$A:$C,3,0)="Yes","Yes","No"),"No"))</f>
        <v/>
      </c>
    </row>
    <row r="1235" customFormat="false" ht="15" hidden="false" customHeight="true" outlineLevel="0" collapsed="false">
      <c r="G1235" s="4" t="str">
        <f aca="false">IF($D1235="","",$A1235&amp;"|"&amp;$B1235&amp;"|"&amp;$C1235&amp;"|"&amp;$D1235)</f>
        <v/>
      </c>
      <c r="H1235" s="4" t="str">
        <f aca="false">IF($D1235="","",$G1235&amp;"|"&amp;TEXT($E1235,"0.000000"))</f>
        <v/>
      </c>
      <c r="I1235" s="29" t="str">
        <f aca="false">IF($D1235="","",IF(ISNUMBER($E1235),FLOOR(($E1235-$B1235)*24,1),""))</f>
        <v/>
      </c>
      <c r="J1235" s="10" t="str">
        <f aca="false">IF($D1235="","",IFERROR(IF(VLOOKUP($F1235,Dim_Analyst!$A:$C,3,0)="Yes","Yes","No"),"No"))</f>
        <v/>
      </c>
    </row>
    <row r="1236" customFormat="false" ht="15" hidden="false" customHeight="true" outlineLevel="0" collapsed="false">
      <c r="G1236" s="4" t="str">
        <f aca="false">IF($D1236="","",$A1236&amp;"|"&amp;$B1236&amp;"|"&amp;$C1236&amp;"|"&amp;$D1236)</f>
        <v/>
      </c>
      <c r="H1236" s="4" t="str">
        <f aca="false">IF($D1236="","",$G1236&amp;"|"&amp;TEXT($E1236,"0.000000"))</f>
        <v/>
      </c>
      <c r="I1236" s="29" t="str">
        <f aca="false">IF($D1236="","",IF(ISNUMBER($E1236),FLOOR(($E1236-$B1236)*24,1),""))</f>
        <v/>
      </c>
      <c r="J1236" s="10" t="str">
        <f aca="false">IF($D1236="","",IFERROR(IF(VLOOKUP($F1236,Dim_Analyst!$A:$C,3,0)="Yes","Yes","No"),"No"))</f>
        <v/>
      </c>
    </row>
    <row r="1237" customFormat="false" ht="15" hidden="false" customHeight="true" outlineLevel="0" collapsed="false">
      <c r="G1237" s="4" t="str">
        <f aca="false">IF($D1237="","",$A1237&amp;"|"&amp;$B1237&amp;"|"&amp;$C1237&amp;"|"&amp;$D1237)</f>
        <v/>
      </c>
      <c r="H1237" s="4" t="str">
        <f aca="false">IF($D1237="","",$G1237&amp;"|"&amp;TEXT($E1237,"0.000000"))</f>
        <v/>
      </c>
      <c r="I1237" s="29" t="str">
        <f aca="false">IF($D1237="","",IF(ISNUMBER($E1237),FLOOR(($E1237-$B1237)*24,1),""))</f>
        <v/>
      </c>
      <c r="J1237" s="10" t="str">
        <f aca="false">IF($D1237="","",IFERROR(IF(VLOOKUP($F1237,Dim_Analyst!$A:$C,3,0)="Yes","Yes","No"),"No"))</f>
        <v/>
      </c>
    </row>
    <row r="1238" customFormat="false" ht="15" hidden="false" customHeight="true" outlineLevel="0" collapsed="false">
      <c r="G1238" s="4" t="str">
        <f aca="false">IF($D1238="","",$A1238&amp;"|"&amp;$B1238&amp;"|"&amp;$C1238&amp;"|"&amp;$D1238)</f>
        <v/>
      </c>
      <c r="H1238" s="4" t="str">
        <f aca="false">IF($D1238="","",$G1238&amp;"|"&amp;TEXT($E1238,"0.000000"))</f>
        <v/>
      </c>
      <c r="I1238" s="29" t="str">
        <f aca="false">IF($D1238="","",IF(ISNUMBER($E1238),FLOOR(($E1238-$B1238)*24,1),""))</f>
        <v/>
      </c>
      <c r="J1238" s="10" t="str">
        <f aca="false">IF($D1238="","",IFERROR(IF(VLOOKUP($F1238,Dim_Analyst!$A:$C,3,0)="Yes","Yes","No"),"No"))</f>
        <v/>
      </c>
    </row>
    <row r="1239" customFormat="false" ht="15" hidden="false" customHeight="true" outlineLevel="0" collapsed="false">
      <c r="G1239" s="4" t="str">
        <f aca="false">IF($D1239="","",$A1239&amp;"|"&amp;$B1239&amp;"|"&amp;$C1239&amp;"|"&amp;$D1239)</f>
        <v/>
      </c>
      <c r="H1239" s="4" t="str">
        <f aca="false">IF($D1239="","",$G1239&amp;"|"&amp;TEXT($E1239,"0.000000"))</f>
        <v/>
      </c>
      <c r="I1239" s="29" t="str">
        <f aca="false">IF($D1239="","",IF(ISNUMBER($E1239),FLOOR(($E1239-$B1239)*24,1),""))</f>
        <v/>
      </c>
      <c r="J1239" s="10" t="str">
        <f aca="false">IF($D1239="","",IFERROR(IF(VLOOKUP($F1239,Dim_Analyst!$A:$C,3,0)="Yes","Yes","No"),"No"))</f>
        <v/>
      </c>
    </row>
    <row r="1240" customFormat="false" ht="15" hidden="false" customHeight="true" outlineLevel="0" collapsed="false">
      <c r="G1240" s="4" t="str">
        <f aca="false">IF($D1240="","",$A1240&amp;"|"&amp;$B1240&amp;"|"&amp;$C1240&amp;"|"&amp;$D1240)</f>
        <v/>
      </c>
      <c r="H1240" s="4" t="str">
        <f aca="false">IF($D1240="","",$G1240&amp;"|"&amp;TEXT($E1240,"0.000000"))</f>
        <v/>
      </c>
      <c r="I1240" s="29" t="str">
        <f aca="false">IF($D1240="","",IF(ISNUMBER($E1240),FLOOR(($E1240-$B1240)*24,1),""))</f>
        <v/>
      </c>
      <c r="J1240" s="10" t="str">
        <f aca="false">IF($D1240="","",IFERROR(IF(VLOOKUP($F1240,Dim_Analyst!$A:$C,3,0)="Yes","Yes","No"),"No"))</f>
        <v/>
      </c>
    </row>
    <row r="1241" customFormat="false" ht="15" hidden="false" customHeight="true" outlineLevel="0" collapsed="false">
      <c r="G1241" s="4" t="str">
        <f aca="false">IF($D1241="","",$A1241&amp;"|"&amp;$B1241&amp;"|"&amp;$C1241&amp;"|"&amp;$D1241)</f>
        <v/>
      </c>
      <c r="H1241" s="4" t="str">
        <f aca="false">IF($D1241="","",$G1241&amp;"|"&amp;TEXT($E1241,"0.000000"))</f>
        <v/>
      </c>
      <c r="I1241" s="29" t="str">
        <f aca="false">IF($D1241="","",IF(ISNUMBER($E1241),FLOOR(($E1241-$B1241)*24,1),""))</f>
        <v/>
      </c>
      <c r="J1241" s="10" t="str">
        <f aca="false">IF($D1241="","",IFERROR(IF(VLOOKUP($F1241,Dim_Analyst!$A:$C,3,0)="Yes","Yes","No"),"No"))</f>
        <v/>
      </c>
    </row>
    <row r="1242" customFormat="false" ht="15" hidden="false" customHeight="true" outlineLevel="0" collapsed="false">
      <c r="G1242" s="4" t="str">
        <f aca="false">IF($D1242="","",$A1242&amp;"|"&amp;$B1242&amp;"|"&amp;$C1242&amp;"|"&amp;$D1242)</f>
        <v/>
      </c>
      <c r="H1242" s="4" t="str">
        <f aca="false">IF($D1242="","",$G1242&amp;"|"&amp;TEXT($E1242,"0.000000"))</f>
        <v/>
      </c>
      <c r="I1242" s="29" t="str">
        <f aca="false">IF($D1242="","",IF(ISNUMBER($E1242),FLOOR(($E1242-$B1242)*24,1),""))</f>
        <v/>
      </c>
      <c r="J1242" s="10" t="str">
        <f aca="false">IF($D1242="","",IFERROR(IF(VLOOKUP($F1242,Dim_Analyst!$A:$C,3,0)="Yes","Yes","No"),"No"))</f>
        <v/>
      </c>
    </row>
    <row r="1243" customFormat="false" ht="15" hidden="false" customHeight="true" outlineLevel="0" collapsed="false">
      <c r="G1243" s="4" t="str">
        <f aca="false">IF($D1243="","",$A1243&amp;"|"&amp;$B1243&amp;"|"&amp;$C1243&amp;"|"&amp;$D1243)</f>
        <v/>
      </c>
      <c r="H1243" s="4" t="str">
        <f aca="false">IF($D1243="","",$G1243&amp;"|"&amp;TEXT($E1243,"0.000000"))</f>
        <v/>
      </c>
      <c r="I1243" s="29" t="str">
        <f aca="false">IF($D1243="","",IF(ISNUMBER($E1243),FLOOR(($E1243-$B1243)*24,1),""))</f>
        <v/>
      </c>
      <c r="J1243" s="10" t="str">
        <f aca="false">IF($D1243="","",IFERROR(IF(VLOOKUP($F1243,Dim_Analyst!$A:$C,3,0)="Yes","Yes","No"),"No"))</f>
        <v/>
      </c>
    </row>
    <row r="1244" customFormat="false" ht="15" hidden="false" customHeight="true" outlineLevel="0" collapsed="false">
      <c r="G1244" s="4" t="str">
        <f aca="false">IF($D1244="","",$A1244&amp;"|"&amp;$B1244&amp;"|"&amp;$C1244&amp;"|"&amp;$D1244)</f>
        <v/>
      </c>
      <c r="H1244" s="4" t="str">
        <f aca="false">IF($D1244="","",$G1244&amp;"|"&amp;TEXT($E1244,"0.000000"))</f>
        <v/>
      </c>
      <c r="I1244" s="29" t="str">
        <f aca="false">IF($D1244="","",IF(ISNUMBER($E1244),FLOOR(($E1244-$B1244)*24,1),""))</f>
        <v/>
      </c>
      <c r="J1244" s="10" t="str">
        <f aca="false">IF($D1244="","",IFERROR(IF(VLOOKUP($F1244,Dim_Analyst!$A:$C,3,0)="Yes","Yes","No"),"No"))</f>
        <v/>
      </c>
    </row>
    <row r="1245" customFormat="false" ht="15" hidden="false" customHeight="true" outlineLevel="0" collapsed="false">
      <c r="G1245" s="4" t="str">
        <f aca="false">IF($D1245="","",$A1245&amp;"|"&amp;$B1245&amp;"|"&amp;$C1245&amp;"|"&amp;$D1245)</f>
        <v/>
      </c>
      <c r="H1245" s="4" t="str">
        <f aca="false">IF($D1245="","",$G1245&amp;"|"&amp;TEXT($E1245,"0.000000"))</f>
        <v/>
      </c>
      <c r="I1245" s="29" t="str">
        <f aca="false">IF($D1245="","",IF(ISNUMBER($E1245),FLOOR(($E1245-$B1245)*24,1),""))</f>
        <v/>
      </c>
      <c r="J1245" s="10" t="str">
        <f aca="false">IF($D1245="","",IFERROR(IF(VLOOKUP($F1245,Dim_Analyst!$A:$C,3,0)="Yes","Yes","No"),"No"))</f>
        <v/>
      </c>
    </row>
    <row r="1246" customFormat="false" ht="15" hidden="false" customHeight="true" outlineLevel="0" collapsed="false">
      <c r="G1246" s="4" t="str">
        <f aca="false">IF($D1246="","",$A1246&amp;"|"&amp;$B1246&amp;"|"&amp;$C1246&amp;"|"&amp;$D1246)</f>
        <v/>
      </c>
      <c r="H1246" s="4" t="str">
        <f aca="false">IF($D1246="","",$G1246&amp;"|"&amp;TEXT($E1246,"0.000000"))</f>
        <v/>
      </c>
      <c r="I1246" s="29" t="str">
        <f aca="false">IF($D1246="","",IF(ISNUMBER($E1246),FLOOR(($E1246-$B1246)*24,1),""))</f>
        <v/>
      </c>
      <c r="J1246" s="10" t="str">
        <f aca="false">IF($D1246="","",IFERROR(IF(VLOOKUP($F1246,Dim_Analyst!$A:$C,3,0)="Yes","Yes","No"),"No"))</f>
        <v/>
      </c>
    </row>
    <row r="1247" customFormat="false" ht="15" hidden="false" customHeight="true" outlineLevel="0" collapsed="false">
      <c r="G1247" s="4" t="str">
        <f aca="false">IF($D1247="","",$A1247&amp;"|"&amp;$B1247&amp;"|"&amp;$C1247&amp;"|"&amp;$D1247)</f>
        <v/>
      </c>
      <c r="H1247" s="4" t="str">
        <f aca="false">IF($D1247="","",$G1247&amp;"|"&amp;TEXT($E1247,"0.000000"))</f>
        <v/>
      </c>
      <c r="I1247" s="29" t="str">
        <f aca="false">IF($D1247="","",IF(ISNUMBER($E1247),FLOOR(($E1247-$B1247)*24,1),""))</f>
        <v/>
      </c>
      <c r="J1247" s="10" t="str">
        <f aca="false">IF($D1247="","",IFERROR(IF(VLOOKUP($F1247,Dim_Analyst!$A:$C,3,0)="Yes","Yes","No"),"No"))</f>
        <v/>
      </c>
    </row>
    <row r="1248" customFormat="false" ht="15" hidden="false" customHeight="true" outlineLevel="0" collapsed="false">
      <c r="G1248" s="4" t="str">
        <f aca="false">IF($D1248="","",$A1248&amp;"|"&amp;$B1248&amp;"|"&amp;$C1248&amp;"|"&amp;$D1248)</f>
        <v/>
      </c>
      <c r="H1248" s="4" t="str">
        <f aca="false">IF($D1248="","",$G1248&amp;"|"&amp;TEXT($E1248,"0.000000"))</f>
        <v/>
      </c>
      <c r="I1248" s="29" t="str">
        <f aca="false">IF($D1248="","",IF(ISNUMBER($E1248),FLOOR(($E1248-$B1248)*24,1),""))</f>
        <v/>
      </c>
      <c r="J1248" s="10" t="str">
        <f aca="false">IF($D1248="","",IFERROR(IF(VLOOKUP($F1248,Dim_Analyst!$A:$C,3,0)="Yes","Yes","No"),"No"))</f>
        <v/>
      </c>
    </row>
    <row r="1249" customFormat="false" ht="15" hidden="false" customHeight="true" outlineLevel="0" collapsed="false">
      <c r="G1249" s="4" t="str">
        <f aca="false">IF($D1249="","",$A1249&amp;"|"&amp;$B1249&amp;"|"&amp;$C1249&amp;"|"&amp;$D1249)</f>
        <v/>
      </c>
      <c r="H1249" s="4" t="str">
        <f aca="false">IF($D1249="","",$G1249&amp;"|"&amp;TEXT($E1249,"0.000000"))</f>
        <v/>
      </c>
      <c r="I1249" s="29" t="str">
        <f aca="false">IF($D1249="","",IF(ISNUMBER($E1249),FLOOR(($E1249-$B1249)*24,1),""))</f>
        <v/>
      </c>
      <c r="J1249" s="10" t="str">
        <f aca="false">IF($D1249="","",IFERROR(IF(VLOOKUP($F1249,Dim_Analyst!$A:$C,3,0)="Yes","Yes","No"),"No"))</f>
        <v/>
      </c>
    </row>
    <row r="1250" customFormat="false" ht="15" hidden="false" customHeight="true" outlineLevel="0" collapsed="false">
      <c r="G1250" s="4" t="str">
        <f aca="false">IF($D1250="","",$A1250&amp;"|"&amp;$B1250&amp;"|"&amp;$C1250&amp;"|"&amp;$D1250)</f>
        <v/>
      </c>
      <c r="H1250" s="4" t="str">
        <f aca="false">IF($D1250="","",$G1250&amp;"|"&amp;TEXT($E1250,"0.000000"))</f>
        <v/>
      </c>
      <c r="I1250" s="29" t="str">
        <f aca="false">IF($D1250="","",IF(ISNUMBER($E1250),FLOOR(($E1250-$B1250)*24,1),""))</f>
        <v/>
      </c>
      <c r="J1250" s="10" t="str">
        <f aca="false">IF($D1250="","",IFERROR(IF(VLOOKUP($F1250,Dim_Analyst!$A:$C,3,0)="Yes","Yes","No"),"No"))</f>
        <v/>
      </c>
    </row>
    <row r="1251" customFormat="false" ht="15" hidden="false" customHeight="true" outlineLevel="0" collapsed="false">
      <c r="G1251" s="4" t="str">
        <f aca="false">IF($D1251="","",$A1251&amp;"|"&amp;$B1251&amp;"|"&amp;$C1251&amp;"|"&amp;$D1251)</f>
        <v/>
      </c>
      <c r="H1251" s="4" t="str">
        <f aca="false">IF($D1251="","",$G1251&amp;"|"&amp;TEXT($E1251,"0.000000"))</f>
        <v/>
      </c>
      <c r="I1251" s="29" t="str">
        <f aca="false">IF($D1251="","",IF(ISNUMBER($E1251),FLOOR(($E1251-$B1251)*24,1),""))</f>
        <v/>
      </c>
      <c r="J1251" s="10" t="str">
        <f aca="false">IF($D1251="","",IFERROR(IF(VLOOKUP($F1251,Dim_Analyst!$A:$C,3,0)="Yes","Yes","No"),"No"))</f>
        <v/>
      </c>
    </row>
    <row r="1252" customFormat="false" ht="15" hidden="false" customHeight="true" outlineLevel="0" collapsed="false">
      <c r="G1252" s="4" t="str">
        <f aca="false">IF($D1252="","",$A1252&amp;"|"&amp;$B1252&amp;"|"&amp;$C1252&amp;"|"&amp;$D1252)</f>
        <v/>
      </c>
      <c r="H1252" s="4" t="str">
        <f aca="false">IF($D1252="","",$G1252&amp;"|"&amp;TEXT($E1252,"0.000000"))</f>
        <v/>
      </c>
      <c r="I1252" s="29" t="str">
        <f aca="false">IF($D1252="","",IF(ISNUMBER($E1252),FLOOR(($E1252-$B1252)*24,1),""))</f>
        <v/>
      </c>
      <c r="J1252" s="10" t="str">
        <f aca="false">IF($D1252="","",IFERROR(IF(VLOOKUP($F1252,Dim_Analyst!$A:$C,3,0)="Yes","Yes","No"),"No"))</f>
        <v/>
      </c>
    </row>
    <row r="1253" customFormat="false" ht="15" hidden="false" customHeight="true" outlineLevel="0" collapsed="false">
      <c r="G1253" s="4" t="str">
        <f aca="false">IF($D1253="","",$A1253&amp;"|"&amp;$B1253&amp;"|"&amp;$C1253&amp;"|"&amp;$D1253)</f>
        <v/>
      </c>
      <c r="H1253" s="4" t="str">
        <f aca="false">IF($D1253="","",$G1253&amp;"|"&amp;TEXT($E1253,"0.000000"))</f>
        <v/>
      </c>
      <c r="I1253" s="29" t="str">
        <f aca="false">IF($D1253="","",IF(ISNUMBER($E1253),FLOOR(($E1253-$B1253)*24,1),""))</f>
        <v/>
      </c>
      <c r="J1253" s="10" t="str">
        <f aca="false">IF($D1253="","",IFERROR(IF(VLOOKUP($F1253,Dim_Analyst!$A:$C,3,0)="Yes","Yes","No"),"No"))</f>
        <v/>
      </c>
    </row>
    <row r="1254" customFormat="false" ht="15" hidden="false" customHeight="true" outlineLevel="0" collapsed="false">
      <c r="G1254" s="4" t="str">
        <f aca="false">IF($D1254="","",$A1254&amp;"|"&amp;$B1254&amp;"|"&amp;$C1254&amp;"|"&amp;$D1254)</f>
        <v/>
      </c>
      <c r="H1254" s="4" t="str">
        <f aca="false">IF($D1254="","",$G1254&amp;"|"&amp;TEXT($E1254,"0.000000"))</f>
        <v/>
      </c>
      <c r="I1254" s="29" t="str">
        <f aca="false">IF($D1254="","",IF(ISNUMBER($E1254),FLOOR(($E1254-$B1254)*24,1),""))</f>
        <v/>
      </c>
      <c r="J1254" s="10" t="str">
        <f aca="false">IF($D1254="","",IFERROR(IF(VLOOKUP($F1254,Dim_Analyst!$A:$C,3,0)="Yes","Yes","No"),"No"))</f>
        <v/>
      </c>
    </row>
    <row r="1255" customFormat="false" ht="15" hidden="false" customHeight="true" outlineLevel="0" collapsed="false">
      <c r="G1255" s="4" t="str">
        <f aca="false">IF($D1255="","",$A1255&amp;"|"&amp;$B1255&amp;"|"&amp;$C1255&amp;"|"&amp;$D1255)</f>
        <v/>
      </c>
      <c r="H1255" s="4" t="str">
        <f aca="false">IF($D1255="","",$G1255&amp;"|"&amp;TEXT($E1255,"0.000000"))</f>
        <v/>
      </c>
      <c r="I1255" s="29" t="str">
        <f aca="false">IF($D1255="","",IF(ISNUMBER($E1255),FLOOR(($E1255-$B1255)*24,1),""))</f>
        <v/>
      </c>
      <c r="J1255" s="10" t="str">
        <f aca="false">IF($D1255="","",IFERROR(IF(VLOOKUP($F1255,Dim_Analyst!$A:$C,3,0)="Yes","Yes","No"),"No"))</f>
        <v/>
      </c>
    </row>
    <row r="1256" customFormat="false" ht="15" hidden="false" customHeight="true" outlineLevel="0" collapsed="false">
      <c r="G1256" s="4" t="str">
        <f aca="false">IF($D1256="","",$A1256&amp;"|"&amp;$B1256&amp;"|"&amp;$C1256&amp;"|"&amp;$D1256)</f>
        <v/>
      </c>
      <c r="H1256" s="4" t="str">
        <f aca="false">IF($D1256="","",$G1256&amp;"|"&amp;TEXT($E1256,"0.000000"))</f>
        <v/>
      </c>
      <c r="I1256" s="29" t="str">
        <f aca="false">IF($D1256="","",IF(ISNUMBER($E1256),FLOOR(($E1256-$B1256)*24,1),""))</f>
        <v/>
      </c>
      <c r="J1256" s="10" t="str">
        <f aca="false">IF($D1256="","",IFERROR(IF(VLOOKUP($F1256,Dim_Analyst!$A:$C,3,0)="Yes","Yes","No"),"No"))</f>
        <v/>
      </c>
    </row>
    <row r="1257" customFormat="false" ht="15" hidden="false" customHeight="true" outlineLevel="0" collapsed="false">
      <c r="G1257" s="4" t="str">
        <f aca="false">IF($D1257="","",$A1257&amp;"|"&amp;$B1257&amp;"|"&amp;$C1257&amp;"|"&amp;$D1257)</f>
        <v/>
      </c>
      <c r="H1257" s="4" t="str">
        <f aca="false">IF($D1257="","",$G1257&amp;"|"&amp;TEXT($E1257,"0.000000"))</f>
        <v/>
      </c>
      <c r="I1257" s="29" t="str">
        <f aca="false">IF($D1257="","",IF(ISNUMBER($E1257),FLOOR(($E1257-$B1257)*24,1),""))</f>
        <v/>
      </c>
      <c r="J1257" s="10" t="str">
        <f aca="false">IF($D1257="","",IFERROR(IF(VLOOKUP($F1257,Dim_Analyst!$A:$C,3,0)="Yes","Yes","No"),"No"))</f>
        <v/>
      </c>
    </row>
    <row r="1258" customFormat="false" ht="15" hidden="false" customHeight="true" outlineLevel="0" collapsed="false">
      <c r="G1258" s="4" t="str">
        <f aca="false">IF($D1258="","",$A1258&amp;"|"&amp;$B1258&amp;"|"&amp;$C1258&amp;"|"&amp;$D1258)</f>
        <v/>
      </c>
      <c r="H1258" s="4" t="str">
        <f aca="false">IF($D1258="","",$G1258&amp;"|"&amp;TEXT($E1258,"0.000000"))</f>
        <v/>
      </c>
      <c r="I1258" s="29" t="str">
        <f aca="false">IF($D1258="","",IF(ISNUMBER($E1258),FLOOR(($E1258-$B1258)*24,1),""))</f>
        <v/>
      </c>
      <c r="J1258" s="10" t="str">
        <f aca="false">IF($D1258="","",IFERROR(IF(VLOOKUP($F1258,Dim_Analyst!$A:$C,3,0)="Yes","Yes","No"),"No"))</f>
        <v/>
      </c>
    </row>
    <row r="1259" customFormat="false" ht="15" hidden="false" customHeight="true" outlineLevel="0" collapsed="false">
      <c r="G1259" s="4" t="str">
        <f aca="false">IF($D1259="","",$A1259&amp;"|"&amp;$B1259&amp;"|"&amp;$C1259&amp;"|"&amp;$D1259)</f>
        <v/>
      </c>
      <c r="H1259" s="4" t="str">
        <f aca="false">IF($D1259="","",$G1259&amp;"|"&amp;TEXT($E1259,"0.000000"))</f>
        <v/>
      </c>
      <c r="I1259" s="29" t="str">
        <f aca="false">IF($D1259="","",IF(ISNUMBER($E1259),FLOOR(($E1259-$B1259)*24,1),""))</f>
        <v/>
      </c>
      <c r="J1259" s="10" t="str">
        <f aca="false">IF($D1259="","",IFERROR(IF(VLOOKUP($F1259,Dim_Analyst!$A:$C,3,0)="Yes","Yes","No"),"No"))</f>
        <v/>
      </c>
    </row>
    <row r="1260" customFormat="false" ht="15" hidden="false" customHeight="true" outlineLevel="0" collapsed="false">
      <c r="G1260" s="4" t="str">
        <f aca="false">IF($D1260="","",$A1260&amp;"|"&amp;$B1260&amp;"|"&amp;$C1260&amp;"|"&amp;$D1260)</f>
        <v/>
      </c>
      <c r="H1260" s="4" t="str">
        <f aca="false">IF($D1260="","",$G1260&amp;"|"&amp;TEXT($E1260,"0.000000"))</f>
        <v/>
      </c>
      <c r="I1260" s="29" t="str">
        <f aca="false">IF($D1260="","",IF(ISNUMBER($E1260),FLOOR(($E1260-$B1260)*24,1),""))</f>
        <v/>
      </c>
      <c r="J1260" s="10" t="str">
        <f aca="false">IF($D1260="","",IFERROR(IF(VLOOKUP($F1260,Dim_Analyst!$A:$C,3,0)="Yes","Yes","No"),"No"))</f>
        <v/>
      </c>
    </row>
    <row r="1261" customFormat="false" ht="15" hidden="false" customHeight="true" outlineLevel="0" collapsed="false">
      <c r="G1261" s="4" t="str">
        <f aca="false">IF($D1261="","",$A1261&amp;"|"&amp;$B1261&amp;"|"&amp;$C1261&amp;"|"&amp;$D1261)</f>
        <v/>
      </c>
      <c r="H1261" s="4" t="str">
        <f aca="false">IF($D1261="","",$G1261&amp;"|"&amp;TEXT($E1261,"0.000000"))</f>
        <v/>
      </c>
      <c r="I1261" s="29" t="str">
        <f aca="false">IF($D1261="","",IF(ISNUMBER($E1261),FLOOR(($E1261-$B1261)*24,1),""))</f>
        <v/>
      </c>
      <c r="J1261" s="10" t="str">
        <f aca="false">IF($D1261="","",IFERROR(IF(VLOOKUP($F1261,Dim_Analyst!$A:$C,3,0)="Yes","Yes","No"),"No"))</f>
        <v/>
      </c>
    </row>
    <row r="1262" customFormat="false" ht="15" hidden="false" customHeight="true" outlineLevel="0" collapsed="false">
      <c r="G1262" s="4" t="str">
        <f aca="false">IF($D1262="","",$A1262&amp;"|"&amp;$B1262&amp;"|"&amp;$C1262&amp;"|"&amp;$D1262)</f>
        <v/>
      </c>
      <c r="H1262" s="4" t="str">
        <f aca="false">IF($D1262="","",$G1262&amp;"|"&amp;TEXT($E1262,"0.000000"))</f>
        <v/>
      </c>
      <c r="I1262" s="29" t="str">
        <f aca="false">IF($D1262="","",IF(ISNUMBER($E1262),FLOOR(($E1262-$B1262)*24,1),""))</f>
        <v/>
      </c>
      <c r="J1262" s="10" t="str">
        <f aca="false">IF($D1262="","",IFERROR(IF(VLOOKUP($F1262,Dim_Analyst!$A:$C,3,0)="Yes","Yes","No"),"No"))</f>
        <v/>
      </c>
    </row>
    <row r="1263" customFormat="false" ht="15" hidden="false" customHeight="true" outlineLevel="0" collapsed="false">
      <c r="G1263" s="4" t="str">
        <f aca="false">IF($D1263="","",$A1263&amp;"|"&amp;$B1263&amp;"|"&amp;$C1263&amp;"|"&amp;$D1263)</f>
        <v/>
      </c>
      <c r="H1263" s="4" t="str">
        <f aca="false">IF($D1263="","",$G1263&amp;"|"&amp;TEXT($E1263,"0.000000"))</f>
        <v/>
      </c>
      <c r="I1263" s="29" t="str">
        <f aca="false">IF($D1263="","",IF(ISNUMBER($E1263),FLOOR(($E1263-$B1263)*24,1),""))</f>
        <v/>
      </c>
      <c r="J1263" s="10" t="str">
        <f aca="false">IF($D1263="","",IFERROR(IF(VLOOKUP($F1263,Dim_Analyst!$A:$C,3,0)="Yes","Yes","No"),"No"))</f>
        <v/>
      </c>
    </row>
    <row r="1264" customFormat="false" ht="15" hidden="false" customHeight="true" outlineLevel="0" collapsed="false">
      <c r="G1264" s="4" t="str">
        <f aca="false">IF($D1264="","",$A1264&amp;"|"&amp;$B1264&amp;"|"&amp;$C1264&amp;"|"&amp;$D1264)</f>
        <v/>
      </c>
      <c r="H1264" s="4" t="str">
        <f aca="false">IF($D1264="","",$G1264&amp;"|"&amp;TEXT($E1264,"0.000000"))</f>
        <v/>
      </c>
      <c r="I1264" s="29" t="str">
        <f aca="false">IF($D1264="","",IF(ISNUMBER($E1264),FLOOR(($E1264-$B1264)*24,1),""))</f>
        <v/>
      </c>
      <c r="J1264" s="10" t="str">
        <f aca="false">IF($D1264="","",IFERROR(IF(VLOOKUP($F1264,Dim_Analyst!$A:$C,3,0)="Yes","Yes","No"),"No"))</f>
        <v/>
      </c>
    </row>
    <row r="1265" customFormat="false" ht="15" hidden="false" customHeight="true" outlineLevel="0" collapsed="false">
      <c r="G1265" s="4" t="str">
        <f aca="false">IF($D1265="","",$A1265&amp;"|"&amp;$B1265&amp;"|"&amp;$C1265&amp;"|"&amp;$D1265)</f>
        <v/>
      </c>
      <c r="H1265" s="4" t="str">
        <f aca="false">IF($D1265="","",$G1265&amp;"|"&amp;TEXT($E1265,"0.000000"))</f>
        <v/>
      </c>
      <c r="I1265" s="29" t="str">
        <f aca="false">IF($D1265="","",IF(ISNUMBER($E1265),FLOOR(($E1265-$B1265)*24,1),""))</f>
        <v/>
      </c>
      <c r="J1265" s="10" t="str">
        <f aca="false">IF($D1265="","",IFERROR(IF(VLOOKUP($F1265,Dim_Analyst!$A:$C,3,0)="Yes","Yes","No"),"No"))</f>
        <v/>
      </c>
    </row>
    <row r="1266" customFormat="false" ht="15" hidden="false" customHeight="true" outlineLevel="0" collapsed="false">
      <c r="G1266" s="4" t="str">
        <f aca="false">IF($D1266="","",$A1266&amp;"|"&amp;$B1266&amp;"|"&amp;$C1266&amp;"|"&amp;$D1266)</f>
        <v/>
      </c>
      <c r="H1266" s="4" t="str">
        <f aca="false">IF($D1266="","",$G1266&amp;"|"&amp;TEXT($E1266,"0.000000"))</f>
        <v/>
      </c>
      <c r="I1266" s="29" t="str">
        <f aca="false">IF($D1266="","",IF(ISNUMBER($E1266),FLOOR(($E1266-$B1266)*24,1),""))</f>
        <v/>
      </c>
      <c r="J1266" s="10" t="str">
        <f aca="false">IF($D1266="","",IFERROR(IF(VLOOKUP($F1266,Dim_Analyst!$A:$C,3,0)="Yes","Yes","No"),"No"))</f>
        <v/>
      </c>
    </row>
    <row r="1267" customFormat="false" ht="15" hidden="false" customHeight="true" outlineLevel="0" collapsed="false">
      <c r="G1267" s="4" t="str">
        <f aca="false">IF($D1267="","",$A1267&amp;"|"&amp;$B1267&amp;"|"&amp;$C1267&amp;"|"&amp;$D1267)</f>
        <v/>
      </c>
      <c r="H1267" s="4" t="str">
        <f aca="false">IF($D1267="","",$G1267&amp;"|"&amp;TEXT($E1267,"0.000000"))</f>
        <v/>
      </c>
      <c r="I1267" s="29" t="str">
        <f aca="false">IF($D1267="","",IF(ISNUMBER($E1267),FLOOR(($E1267-$B1267)*24,1),""))</f>
        <v/>
      </c>
      <c r="J1267" s="10" t="str">
        <f aca="false">IF($D1267="","",IFERROR(IF(VLOOKUP($F1267,Dim_Analyst!$A:$C,3,0)="Yes","Yes","No"),"No"))</f>
        <v/>
      </c>
    </row>
    <row r="1268" customFormat="false" ht="15" hidden="false" customHeight="true" outlineLevel="0" collapsed="false">
      <c r="G1268" s="4" t="str">
        <f aca="false">IF($D1268="","",$A1268&amp;"|"&amp;$B1268&amp;"|"&amp;$C1268&amp;"|"&amp;$D1268)</f>
        <v/>
      </c>
      <c r="H1268" s="4" t="str">
        <f aca="false">IF($D1268="","",$G1268&amp;"|"&amp;TEXT($E1268,"0.000000"))</f>
        <v/>
      </c>
      <c r="I1268" s="29" t="str">
        <f aca="false">IF($D1268="","",IF(ISNUMBER($E1268),FLOOR(($E1268-$B1268)*24,1),""))</f>
        <v/>
      </c>
      <c r="J1268" s="10" t="str">
        <f aca="false">IF($D1268="","",IFERROR(IF(VLOOKUP($F1268,Dim_Analyst!$A:$C,3,0)="Yes","Yes","No"),"No"))</f>
        <v/>
      </c>
    </row>
    <row r="1269" customFormat="false" ht="15" hidden="false" customHeight="true" outlineLevel="0" collapsed="false">
      <c r="G1269" s="4" t="str">
        <f aca="false">IF($D1269="","",$A1269&amp;"|"&amp;$B1269&amp;"|"&amp;$C1269&amp;"|"&amp;$D1269)</f>
        <v/>
      </c>
      <c r="H1269" s="4" t="str">
        <f aca="false">IF($D1269="","",$G1269&amp;"|"&amp;TEXT($E1269,"0.000000"))</f>
        <v/>
      </c>
      <c r="I1269" s="29" t="str">
        <f aca="false">IF($D1269="","",IF(ISNUMBER($E1269),FLOOR(($E1269-$B1269)*24,1),""))</f>
        <v/>
      </c>
      <c r="J1269" s="10" t="str">
        <f aca="false">IF($D1269="","",IFERROR(IF(VLOOKUP($F1269,Dim_Analyst!$A:$C,3,0)="Yes","Yes","No"),"No"))</f>
        <v/>
      </c>
    </row>
    <row r="1270" customFormat="false" ht="15" hidden="false" customHeight="true" outlineLevel="0" collapsed="false">
      <c r="G1270" s="4" t="str">
        <f aca="false">IF($D1270="","",$A1270&amp;"|"&amp;$B1270&amp;"|"&amp;$C1270&amp;"|"&amp;$D1270)</f>
        <v/>
      </c>
      <c r="H1270" s="4" t="str">
        <f aca="false">IF($D1270="","",$G1270&amp;"|"&amp;TEXT($E1270,"0.000000"))</f>
        <v/>
      </c>
      <c r="I1270" s="29" t="str">
        <f aca="false">IF($D1270="","",IF(ISNUMBER($E1270),FLOOR(($E1270-$B1270)*24,1),""))</f>
        <v/>
      </c>
      <c r="J1270" s="10" t="str">
        <f aca="false">IF($D1270="","",IFERROR(IF(VLOOKUP($F1270,Dim_Analyst!$A:$C,3,0)="Yes","Yes","No"),"No"))</f>
        <v/>
      </c>
    </row>
    <row r="1271" customFormat="false" ht="15" hidden="false" customHeight="true" outlineLevel="0" collapsed="false">
      <c r="G1271" s="4" t="str">
        <f aca="false">IF($D1271="","",$A1271&amp;"|"&amp;$B1271&amp;"|"&amp;$C1271&amp;"|"&amp;$D1271)</f>
        <v/>
      </c>
      <c r="H1271" s="4" t="str">
        <f aca="false">IF($D1271="","",$G1271&amp;"|"&amp;TEXT($E1271,"0.000000"))</f>
        <v/>
      </c>
      <c r="I1271" s="29" t="str">
        <f aca="false">IF($D1271="","",IF(ISNUMBER($E1271),FLOOR(($E1271-$B1271)*24,1),""))</f>
        <v/>
      </c>
      <c r="J1271" s="10" t="str">
        <f aca="false">IF($D1271="","",IFERROR(IF(VLOOKUP($F1271,Dim_Analyst!$A:$C,3,0)="Yes","Yes","No"),"No"))</f>
        <v/>
      </c>
    </row>
    <row r="1272" customFormat="false" ht="15" hidden="false" customHeight="true" outlineLevel="0" collapsed="false">
      <c r="G1272" s="4" t="str">
        <f aca="false">IF($D1272="","",$A1272&amp;"|"&amp;$B1272&amp;"|"&amp;$C1272&amp;"|"&amp;$D1272)</f>
        <v/>
      </c>
      <c r="H1272" s="4" t="str">
        <f aca="false">IF($D1272="","",$G1272&amp;"|"&amp;TEXT($E1272,"0.000000"))</f>
        <v/>
      </c>
      <c r="I1272" s="29" t="str">
        <f aca="false">IF($D1272="","",IF(ISNUMBER($E1272),FLOOR(($E1272-$B1272)*24,1),""))</f>
        <v/>
      </c>
      <c r="J1272" s="10" t="str">
        <f aca="false">IF($D1272="","",IFERROR(IF(VLOOKUP($F1272,Dim_Analyst!$A:$C,3,0)="Yes","Yes","No"),"No"))</f>
        <v/>
      </c>
    </row>
    <row r="1273" customFormat="false" ht="15" hidden="false" customHeight="true" outlineLevel="0" collapsed="false">
      <c r="G1273" s="4" t="str">
        <f aca="false">IF($D1273="","",$A1273&amp;"|"&amp;$B1273&amp;"|"&amp;$C1273&amp;"|"&amp;$D1273)</f>
        <v/>
      </c>
      <c r="H1273" s="4" t="str">
        <f aca="false">IF($D1273="","",$G1273&amp;"|"&amp;TEXT($E1273,"0.000000"))</f>
        <v/>
      </c>
      <c r="I1273" s="29" t="str">
        <f aca="false">IF($D1273="","",IF(ISNUMBER($E1273),FLOOR(($E1273-$B1273)*24,1),""))</f>
        <v/>
      </c>
      <c r="J1273" s="10" t="str">
        <f aca="false">IF($D1273="","",IFERROR(IF(VLOOKUP($F1273,Dim_Analyst!$A:$C,3,0)="Yes","Yes","No"),"No"))</f>
        <v/>
      </c>
    </row>
    <row r="1274" customFormat="false" ht="15" hidden="false" customHeight="true" outlineLevel="0" collapsed="false">
      <c r="G1274" s="4" t="str">
        <f aca="false">IF($D1274="","",$A1274&amp;"|"&amp;$B1274&amp;"|"&amp;$C1274&amp;"|"&amp;$D1274)</f>
        <v/>
      </c>
      <c r="H1274" s="4" t="str">
        <f aca="false">IF($D1274="","",$G1274&amp;"|"&amp;TEXT($E1274,"0.000000"))</f>
        <v/>
      </c>
      <c r="I1274" s="29" t="str">
        <f aca="false">IF($D1274="","",IF(ISNUMBER($E1274),FLOOR(($E1274-$B1274)*24,1),""))</f>
        <v/>
      </c>
      <c r="J1274" s="10" t="str">
        <f aca="false">IF($D1274="","",IFERROR(IF(VLOOKUP($F1274,Dim_Analyst!$A:$C,3,0)="Yes","Yes","No"),"No"))</f>
        <v/>
      </c>
    </row>
    <row r="1275" customFormat="false" ht="15" hidden="false" customHeight="true" outlineLevel="0" collapsed="false">
      <c r="G1275" s="4" t="str">
        <f aca="false">IF($D1275="","",$A1275&amp;"|"&amp;$B1275&amp;"|"&amp;$C1275&amp;"|"&amp;$D1275)</f>
        <v/>
      </c>
      <c r="H1275" s="4" t="str">
        <f aca="false">IF($D1275="","",$G1275&amp;"|"&amp;TEXT($E1275,"0.000000"))</f>
        <v/>
      </c>
      <c r="I1275" s="29" t="str">
        <f aca="false">IF($D1275="","",IF(ISNUMBER($E1275),FLOOR(($E1275-$B1275)*24,1),""))</f>
        <v/>
      </c>
      <c r="J1275" s="10" t="str">
        <f aca="false">IF($D1275="","",IFERROR(IF(VLOOKUP($F1275,Dim_Analyst!$A:$C,3,0)="Yes","Yes","No"),"No"))</f>
        <v/>
      </c>
    </row>
    <row r="1276" customFormat="false" ht="15" hidden="false" customHeight="true" outlineLevel="0" collapsed="false">
      <c r="G1276" s="4" t="str">
        <f aca="false">IF($D1276="","",$A1276&amp;"|"&amp;$B1276&amp;"|"&amp;$C1276&amp;"|"&amp;$D1276)</f>
        <v/>
      </c>
      <c r="H1276" s="4" t="str">
        <f aca="false">IF($D1276="","",$G1276&amp;"|"&amp;TEXT($E1276,"0.000000"))</f>
        <v/>
      </c>
      <c r="I1276" s="29" t="str">
        <f aca="false">IF($D1276="","",IF(ISNUMBER($E1276),FLOOR(($E1276-$B1276)*24,1),""))</f>
        <v/>
      </c>
      <c r="J1276" s="10" t="str">
        <f aca="false">IF($D1276="","",IFERROR(IF(VLOOKUP($F1276,Dim_Analyst!$A:$C,3,0)="Yes","Yes","No"),"No"))</f>
        <v/>
      </c>
    </row>
    <row r="1277" customFormat="false" ht="15" hidden="false" customHeight="true" outlineLevel="0" collapsed="false">
      <c r="G1277" s="4" t="str">
        <f aca="false">IF($D1277="","",$A1277&amp;"|"&amp;$B1277&amp;"|"&amp;$C1277&amp;"|"&amp;$D1277)</f>
        <v/>
      </c>
      <c r="H1277" s="4" t="str">
        <f aca="false">IF($D1277="","",$G1277&amp;"|"&amp;TEXT($E1277,"0.000000"))</f>
        <v/>
      </c>
      <c r="I1277" s="29" t="str">
        <f aca="false">IF($D1277="","",IF(ISNUMBER($E1277),FLOOR(($E1277-$B1277)*24,1),""))</f>
        <v/>
      </c>
      <c r="J1277" s="10" t="str">
        <f aca="false">IF($D1277="","",IFERROR(IF(VLOOKUP($F1277,Dim_Analyst!$A:$C,3,0)="Yes","Yes","No"),"No"))</f>
        <v/>
      </c>
    </row>
    <row r="1278" customFormat="false" ht="15" hidden="false" customHeight="true" outlineLevel="0" collapsed="false">
      <c r="G1278" s="4" t="str">
        <f aca="false">IF($D1278="","",$A1278&amp;"|"&amp;$B1278&amp;"|"&amp;$C1278&amp;"|"&amp;$D1278)</f>
        <v/>
      </c>
      <c r="H1278" s="4" t="str">
        <f aca="false">IF($D1278="","",$G1278&amp;"|"&amp;TEXT($E1278,"0.000000"))</f>
        <v/>
      </c>
      <c r="I1278" s="29" t="str">
        <f aca="false">IF($D1278="","",IF(ISNUMBER($E1278),FLOOR(($E1278-$B1278)*24,1),""))</f>
        <v/>
      </c>
      <c r="J1278" s="10" t="str">
        <f aca="false">IF($D1278="","",IFERROR(IF(VLOOKUP($F1278,Dim_Analyst!$A:$C,3,0)="Yes","Yes","No"),"No"))</f>
        <v/>
      </c>
    </row>
    <row r="1279" customFormat="false" ht="15" hidden="false" customHeight="true" outlineLevel="0" collapsed="false">
      <c r="G1279" s="4" t="str">
        <f aca="false">IF($D1279="","",$A1279&amp;"|"&amp;$B1279&amp;"|"&amp;$C1279&amp;"|"&amp;$D1279)</f>
        <v/>
      </c>
      <c r="H1279" s="4" t="str">
        <f aca="false">IF($D1279="","",$G1279&amp;"|"&amp;TEXT($E1279,"0.000000"))</f>
        <v/>
      </c>
      <c r="I1279" s="29" t="str">
        <f aca="false">IF($D1279="","",IF(ISNUMBER($E1279),FLOOR(($E1279-$B1279)*24,1),""))</f>
        <v/>
      </c>
      <c r="J1279" s="10" t="str">
        <f aca="false">IF($D1279="","",IFERROR(IF(VLOOKUP($F1279,Dim_Analyst!$A:$C,3,0)="Yes","Yes","No"),"No"))</f>
        <v/>
      </c>
    </row>
    <row r="1280" customFormat="false" ht="15" hidden="false" customHeight="true" outlineLevel="0" collapsed="false">
      <c r="G1280" s="4" t="str">
        <f aca="false">IF($D1280="","",$A1280&amp;"|"&amp;$B1280&amp;"|"&amp;$C1280&amp;"|"&amp;$D1280)</f>
        <v/>
      </c>
      <c r="H1280" s="4" t="str">
        <f aca="false">IF($D1280="","",$G1280&amp;"|"&amp;TEXT($E1280,"0.000000"))</f>
        <v/>
      </c>
      <c r="I1280" s="29" t="str">
        <f aca="false">IF($D1280="","",IF(ISNUMBER($E1280),FLOOR(($E1280-$B1280)*24,1),""))</f>
        <v/>
      </c>
      <c r="J1280" s="10" t="str">
        <f aca="false">IF($D1280="","",IFERROR(IF(VLOOKUP($F1280,Dim_Analyst!$A:$C,3,0)="Yes","Yes","No"),"No"))</f>
        <v/>
      </c>
    </row>
    <row r="1281" customFormat="false" ht="15" hidden="false" customHeight="true" outlineLevel="0" collapsed="false">
      <c r="G1281" s="4" t="str">
        <f aca="false">IF($D1281="","",$A1281&amp;"|"&amp;$B1281&amp;"|"&amp;$C1281&amp;"|"&amp;$D1281)</f>
        <v/>
      </c>
      <c r="H1281" s="4" t="str">
        <f aca="false">IF($D1281="","",$G1281&amp;"|"&amp;TEXT($E1281,"0.000000"))</f>
        <v/>
      </c>
      <c r="I1281" s="29" t="str">
        <f aca="false">IF($D1281="","",IF(ISNUMBER($E1281),FLOOR(($E1281-$B1281)*24,1),""))</f>
        <v/>
      </c>
      <c r="J1281" s="10" t="str">
        <f aca="false">IF($D1281="","",IFERROR(IF(VLOOKUP($F1281,Dim_Analyst!$A:$C,3,0)="Yes","Yes","No"),"No"))</f>
        <v/>
      </c>
    </row>
    <row r="1282" customFormat="false" ht="15" hidden="false" customHeight="true" outlineLevel="0" collapsed="false">
      <c r="G1282" s="4" t="str">
        <f aca="false">IF($D1282="","",$A1282&amp;"|"&amp;$B1282&amp;"|"&amp;$C1282&amp;"|"&amp;$D1282)</f>
        <v/>
      </c>
      <c r="H1282" s="4" t="str">
        <f aca="false">IF($D1282="","",$G1282&amp;"|"&amp;TEXT($E1282,"0.000000"))</f>
        <v/>
      </c>
      <c r="I1282" s="29" t="str">
        <f aca="false">IF($D1282="","",IF(ISNUMBER($E1282),FLOOR(($E1282-$B1282)*24,1),""))</f>
        <v/>
      </c>
      <c r="J1282" s="10" t="str">
        <f aca="false">IF($D1282="","",IFERROR(IF(VLOOKUP($F1282,Dim_Analyst!$A:$C,3,0)="Yes","Yes","No"),"No"))</f>
        <v/>
      </c>
    </row>
    <row r="1283" customFormat="false" ht="15" hidden="false" customHeight="true" outlineLevel="0" collapsed="false">
      <c r="G1283" s="4" t="str">
        <f aca="false">IF($D1283="","",$A1283&amp;"|"&amp;$B1283&amp;"|"&amp;$C1283&amp;"|"&amp;$D1283)</f>
        <v/>
      </c>
      <c r="H1283" s="4" t="str">
        <f aca="false">IF($D1283="","",$G1283&amp;"|"&amp;TEXT($E1283,"0.000000"))</f>
        <v/>
      </c>
      <c r="I1283" s="29" t="str">
        <f aca="false">IF($D1283="","",IF(ISNUMBER($E1283),FLOOR(($E1283-$B1283)*24,1),""))</f>
        <v/>
      </c>
      <c r="J1283" s="10" t="str">
        <f aca="false">IF($D1283="","",IFERROR(IF(VLOOKUP($F1283,Dim_Analyst!$A:$C,3,0)="Yes","Yes","No"),"No"))</f>
        <v/>
      </c>
    </row>
    <row r="1284" customFormat="false" ht="15" hidden="false" customHeight="true" outlineLevel="0" collapsed="false">
      <c r="G1284" s="4" t="str">
        <f aca="false">IF($D1284="","",$A1284&amp;"|"&amp;$B1284&amp;"|"&amp;$C1284&amp;"|"&amp;$D1284)</f>
        <v/>
      </c>
      <c r="H1284" s="4" t="str">
        <f aca="false">IF($D1284="","",$G1284&amp;"|"&amp;TEXT($E1284,"0.000000"))</f>
        <v/>
      </c>
      <c r="I1284" s="29" t="str">
        <f aca="false">IF($D1284="","",IF(ISNUMBER($E1284),FLOOR(($E1284-$B1284)*24,1),""))</f>
        <v/>
      </c>
      <c r="J1284" s="10" t="str">
        <f aca="false">IF($D1284="","",IFERROR(IF(VLOOKUP($F1284,Dim_Analyst!$A:$C,3,0)="Yes","Yes","No"),"No"))</f>
        <v/>
      </c>
    </row>
    <row r="1285" customFormat="false" ht="15" hidden="false" customHeight="true" outlineLevel="0" collapsed="false">
      <c r="G1285" s="4" t="str">
        <f aca="false">IF($D1285="","",$A1285&amp;"|"&amp;$B1285&amp;"|"&amp;$C1285&amp;"|"&amp;$D1285)</f>
        <v/>
      </c>
      <c r="H1285" s="4" t="str">
        <f aca="false">IF($D1285="","",$G1285&amp;"|"&amp;TEXT($E1285,"0.000000"))</f>
        <v/>
      </c>
      <c r="I1285" s="29" t="str">
        <f aca="false">IF($D1285="","",IF(ISNUMBER($E1285),FLOOR(($E1285-$B1285)*24,1),""))</f>
        <v/>
      </c>
      <c r="J1285" s="10" t="str">
        <f aca="false">IF($D1285="","",IFERROR(IF(VLOOKUP($F1285,Dim_Analyst!$A:$C,3,0)="Yes","Yes","No"),"No"))</f>
        <v/>
      </c>
    </row>
    <row r="1286" customFormat="false" ht="15" hidden="false" customHeight="true" outlineLevel="0" collapsed="false">
      <c r="G1286" s="4" t="str">
        <f aca="false">IF($D1286="","",$A1286&amp;"|"&amp;$B1286&amp;"|"&amp;$C1286&amp;"|"&amp;$D1286)</f>
        <v/>
      </c>
      <c r="H1286" s="4" t="str">
        <f aca="false">IF($D1286="","",$G1286&amp;"|"&amp;TEXT($E1286,"0.000000"))</f>
        <v/>
      </c>
      <c r="I1286" s="29" t="str">
        <f aca="false">IF($D1286="","",IF(ISNUMBER($E1286),FLOOR(($E1286-$B1286)*24,1),""))</f>
        <v/>
      </c>
      <c r="J1286" s="10" t="str">
        <f aca="false">IF($D1286="","",IFERROR(IF(VLOOKUP($F1286,Dim_Analyst!$A:$C,3,0)="Yes","Yes","No"),"No"))</f>
        <v/>
      </c>
    </row>
    <row r="1287" customFormat="false" ht="15" hidden="false" customHeight="true" outlineLevel="0" collapsed="false">
      <c r="G1287" s="4" t="str">
        <f aca="false">IF($D1287="","",$A1287&amp;"|"&amp;$B1287&amp;"|"&amp;$C1287&amp;"|"&amp;$D1287)</f>
        <v/>
      </c>
      <c r="H1287" s="4" t="str">
        <f aca="false">IF($D1287="","",$G1287&amp;"|"&amp;TEXT($E1287,"0.000000"))</f>
        <v/>
      </c>
      <c r="I1287" s="29" t="str">
        <f aca="false">IF($D1287="","",IF(ISNUMBER($E1287),FLOOR(($E1287-$B1287)*24,1),""))</f>
        <v/>
      </c>
      <c r="J1287" s="10" t="str">
        <f aca="false">IF($D1287="","",IFERROR(IF(VLOOKUP($F1287,Dim_Analyst!$A:$C,3,0)="Yes","Yes","No"),"No"))</f>
        <v/>
      </c>
    </row>
    <row r="1288" customFormat="false" ht="15" hidden="false" customHeight="true" outlineLevel="0" collapsed="false">
      <c r="G1288" s="4" t="str">
        <f aca="false">IF($D1288="","",$A1288&amp;"|"&amp;$B1288&amp;"|"&amp;$C1288&amp;"|"&amp;$D1288)</f>
        <v/>
      </c>
      <c r="H1288" s="4" t="str">
        <f aca="false">IF($D1288="","",$G1288&amp;"|"&amp;TEXT($E1288,"0.000000"))</f>
        <v/>
      </c>
      <c r="I1288" s="29" t="str">
        <f aca="false">IF($D1288="","",IF(ISNUMBER($E1288),FLOOR(($E1288-$B1288)*24,1),""))</f>
        <v/>
      </c>
      <c r="J1288" s="10" t="str">
        <f aca="false">IF($D1288="","",IFERROR(IF(VLOOKUP($F1288,Dim_Analyst!$A:$C,3,0)="Yes","Yes","No"),"No"))</f>
        <v/>
      </c>
    </row>
    <row r="1289" customFormat="false" ht="15" hidden="false" customHeight="true" outlineLevel="0" collapsed="false">
      <c r="G1289" s="4" t="str">
        <f aca="false">IF($D1289="","",$A1289&amp;"|"&amp;$B1289&amp;"|"&amp;$C1289&amp;"|"&amp;$D1289)</f>
        <v/>
      </c>
      <c r="H1289" s="4" t="str">
        <f aca="false">IF($D1289="","",$G1289&amp;"|"&amp;TEXT($E1289,"0.000000"))</f>
        <v/>
      </c>
      <c r="I1289" s="29" t="str">
        <f aca="false">IF($D1289="","",IF(ISNUMBER($E1289),FLOOR(($E1289-$B1289)*24,1),""))</f>
        <v/>
      </c>
      <c r="J1289" s="10" t="str">
        <f aca="false">IF($D1289="","",IFERROR(IF(VLOOKUP($F1289,Dim_Analyst!$A:$C,3,0)="Yes","Yes","No"),"No"))</f>
        <v/>
      </c>
    </row>
    <row r="1290" customFormat="false" ht="15" hidden="false" customHeight="true" outlineLevel="0" collapsed="false">
      <c r="G1290" s="4" t="str">
        <f aca="false">IF($D1290="","",$A1290&amp;"|"&amp;$B1290&amp;"|"&amp;$C1290&amp;"|"&amp;$D1290)</f>
        <v/>
      </c>
      <c r="H1290" s="4" t="str">
        <f aca="false">IF($D1290="","",$G1290&amp;"|"&amp;TEXT($E1290,"0.000000"))</f>
        <v/>
      </c>
      <c r="I1290" s="29" t="str">
        <f aca="false">IF($D1290="","",IF(ISNUMBER($E1290),FLOOR(($E1290-$B1290)*24,1),""))</f>
        <v/>
      </c>
      <c r="J1290" s="10" t="str">
        <f aca="false">IF($D1290="","",IFERROR(IF(VLOOKUP($F1290,Dim_Analyst!$A:$C,3,0)="Yes","Yes","No"),"No"))</f>
        <v/>
      </c>
    </row>
    <row r="1291" customFormat="false" ht="15" hidden="false" customHeight="true" outlineLevel="0" collapsed="false">
      <c r="G1291" s="4" t="str">
        <f aca="false">IF($D1291="","",$A1291&amp;"|"&amp;$B1291&amp;"|"&amp;$C1291&amp;"|"&amp;$D1291)</f>
        <v/>
      </c>
      <c r="H1291" s="4" t="str">
        <f aca="false">IF($D1291="","",$G1291&amp;"|"&amp;TEXT($E1291,"0.000000"))</f>
        <v/>
      </c>
      <c r="I1291" s="29" t="str">
        <f aca="false">IF($D1291="","",IF(ISNUMBER($E1291),FLOOR(($E1291-$B1291)*24,1),""))</f>
        <v/>
      </c>
      <c r="J1291" s="10" t="str">
        <f aca="false">IF($D1291="","",IFERROR(IF(VLOOKUP($F1291,Dim_Analyst!$A:$C,3,0)="Yes","Yes","No"),"No"))</f>
        <v/>
      </c>
    </row>
    <row r="1292" customFormat="false" ht="15" hidden="false" customHeight="true" outlineLevel="0" collapsed="false">
      <c r="G1292" s="4" t="str">
        <f aca="false">IF($D1292="","",$A1292&amp;"|"&amp;$B1292&amp;"|"&amp;$C1292&amp;"|"&amp;$D1292)</f>
        <v/>
      </c>
      <c r="H1292" s="4" t="str">
        <f aca="false">IF($D1292="","",$G1292&amp;"|"&amp;TEXT($E1292,"0.000000"))</f>
        <v/>
      </c>
      <c r="I1292" s="29" t="str">
        <f aca="false">IF($D1292="","",IF(ISNUMBER($E1292),FLOOR(($E1292-$B1292)*24,1),""))</f>
        <v/>
      </c>
      <c r="J1292" s="10" t="str">
        <f aca="false">IF($D1292="","",IFERROR(IF(VLOOKUP($F1292,Dim_Analyst!$A:$C,3,0)="Yes","Yes","No"),"No"))</f>
        <v/>
      </c>
    </row>
    <row r="1293" customFormat="false" ht="15" hidden="false" customHeight="true" outlineLevel="0" collapsed="false">
      <c r="G1293" s="4" t="str">
        <f aca="false">IF($D1293="","",$A1293&amp;"|"&amp;$B1293&amp;"|"&amp;$C1293&amp;"|"&amp;$D1293)</f>
        <v/>
      </c>
      <c r="H1293" s="4" t="str">
        <f aca="false">IF($D1293="","",$G1293&amp;"|"&amp;TEXT($E1293,"0.000000"))</f>
        <v/>
      </c>
      <c r="I1293" s="29" t="str">
        <f aca="false">IF($D1293="","",IF(ISNUMBER($E1293),FLOOR(($E1293-$B1293)*24,1),""))</f>
        <v/>
      </c>
      <c r="J1293" s="10" t="str">
        <f aca="false">IF($D1293="","",IFERROR(IF(VLOOKUP($F1293,Dim_Analyst!$A:$C,3,0)="Yes","Yes","No"),"No"))</f>
        <v/>
      </c>
    </row>
    <row r="1294" customFormat="false" ht="15" hidden="false" customHeight="true" outlineLevel="0" collapsed="false">
      <c r="G1294" s="4" t="str">
        <f aca="false">IF($D1294="","",$A1294&amp;"|"&amp;$B1294&amp;"|"&amp;$C1294&amp;"|"&amp;$D1294)</f>
        <v/>
      </c>
      <c r="H1294" s="4" t="str">
        <f aca="false">IF($D1294="","",$G1294&amp;"|"&amp;TEXT($E1294,"0.000000"))</f>
        <v/>
      </c>
      <c r="I1294" s="29" t="str">
        <f aca="false">IF($D1294="","",IF(ISNUMBER($E1294),FLOOR(($E1294-$B1294)*24,1),""))</f>
        <v/>
      </c>
      <c r="J1294" s="10" t="str">
        <f aca="false">IF($D1294="","",IFERROR(IF(VLOOKUP($F1294,Dim_Analyst!$A:$C,3,0)="Yes","Yes","No"),"No"))</f>
        <v/>
      </c>
    </row>
    <row r="1295" customFormat="false" ht="15" hidden="false" customHeight="true" outlineLevel="0" collapsed="false">
      <c r="G1295" s="4" t="str">
        <f aca="false">IF($D1295="","",$A1295&amp;"|"&amp;$B1295&amp;"|"&amp;$C1295&amp;"|"&amp;$D1295)</f>
        <v/>
      </c>
      <c r="H1295" s="4" t="str">
        <f aca="false">IF($D1295="","",$G1295&amp;"|"&amp;TEXT($E1295,"0.000000"))</f>
        <v/>
      </c>
      <c r="I1295" s="29" t="str">
        <f aca="false">IF($D1295="","",IF(ISNUMBER($E1295),FLOOR(($E1295-$B1295)*24,1),""))</f>
        <v/>
      </c>
      <c r="J1295" s="10" t="str">
        <f aca="false">IF($D1295="","",IFERROR(IF(VLOOKUP($F1295,Dim_Analyst!$A:$C,3,0)="Yes","Yes","No"),"No"))</f>
        <v/>
      </c>
    </row>
    <row r="1296" customFormat="false" ht="15" hidden="false" customHeight="true" outlineLevel="0" collapsed="false">
      <c r="G1296" s="4" t="str">
        <f aca="false">IF($D1296="","",$A1296&amp;"|"&amp;$B1296&amp;"|"&amp;$C1296&amp;"|"&amp;$D1296)</f>
        <v/>
      </c>
      <c r="H1296" s="4" t="str">
        <f aca="false">IF($D1296="","",$G1296&amp;"|"&amp;TEXT($E1296,"0.000000"))</f>
        <v/>
      </c>
      <c r="I1296" s="29" t="str">
        <f aca="false">IF($D1296="","",IF(ISNUMBER($E1296),FLOOR(($E1296-$B1296)*24,1),""))</f>
        <v/>
      </c>
      <c r="J1296" s="10" t="str">
        <f aca="false">IF($D1296="","",IFERROR(IF(VLOOKUP($F1296,Dim_Analyst!$A:$C,3,0)="Yes","Yes","No"),"No"))</f>
        <v/>
      </c>
    </row>
    <row r="1297" customFormat="false" ht="15" hidden="false" customHeight="true" outlineLevel="0" collapsed="false">
      <c r="G1297" s="4" t="str">
        <f aca="false">IF($D1297="","",$A1297&amp;"|"&amp;$B1297&amp;"|"&amp;$C1297&amp;"|"&amp;$D1297)</f>
        <v/>
      </c>
      <c r="H1297" s="4" t="str">
        <f aca="false">IF($D1297="","",$G1297&amp;"|"&amp;TEXT($E1297,"0.000000"))</f>
        <v/>
      </c>
      <c r="I1297" s="29" t="str">
        <f aca="false">IF($D1297="","",IF(ISNUMBER($E1297),FLOOR(($E1297-$B1297)*24,1),""))</f>
        <v/>
      </c>
      <c r="J1297" s="10" t="str">
        <f aca="false">IF($D1297="","",IFERROR(IF(VLOOKUP($F1297,Dim_Analyst!$A:$C,3,0)="Yes","Yes","No"),"No"))</f>
        <v/>
      </c>
    </row>
    <row r="1298" customFormat="false" ht="15" hidden="false" customHeight="true" outlineLevel="0" collapsed="false">
      <c r="G1298" s="4" t="str">
        <f aca="false">IF($D1298="","",$A1298&amp;"|"&amp;$B1298&amp;"|"&amp;$C1298&amp;"|"&amp;$D1298)</f>
        <v/>
      </c>
      <c r="H1298" s="4" t="str">
        <f aca="false">IF($D1298="","",$G1298&amp;"|"&amp;TEXT($E1298,"0.000000"))</f>
        <v/>
      </c>
      <c r="I1298" s="29" t="str">
        <f aca="false">IF($D1298="","",IF(ISNUMBER($E1298),FLOOR(($E1298-$B1298)*24,1),""))</f>
        <v/>
      </c>
      <c r="J1298" s="10" t="str">
        <f aca="false">IF($D1298="","",IFERROR(IF(VLOOKUP($F1298,Dim_Analyst!$A:$C,3,0)="Yes","Yes","No"),"No"))</f>
        <v/>
      </c>
    </row>
    <row r="1299" customFormat="false" ht="15" hidden="false" customHeight="true" outlineLevel="0" collapsed="false">
      <c r="G1299" s="4" t="str">
        <f aca="false">IF($D1299="","",$A1299&amp;"|"&amp;$B1299&amp;"|"&amp;$C1299&amp;"|"&amp;$D1299)</f>
        <v/>
      </c>
      <c r="H1299" s="4" t="str">
        <f aca="false">IF($D1299="","",$G1299&amp;"|"&amp;TEXT($E1299,"0.000000"))</f>
        <v/>
      </c>
      <c r="I1299" s="29" t="str">
        <f aca="false">IF($D1299="","",IF(ISNUMBER($E1299),FLOOR(($E1299-$B1299)*24,1),""))</f>
        <v/>
      </c>
      <c r="J1299" s="10" t="str">
        <f aca="false">IF($D1299="","",IFERROR(IF(VLOOKUP($F1299,Dim_Analyst!$A:$C,3,0)="Yes","Yes","No"),"No"))</f>
        <v/>
      </c>
    </row>
    <row r="1300" customFormat="false" ht="15" hidden="false" customHeight="true" outlineLevel="0" collapsed="false">
      <c r="G1300" s="4" t="str">
        <f aca="false">IF($D1300="","",$A1300&amp;"|"&amp;$B1300&amp;"|"&amp;$C1300&amp;"|"&amp;$D1300)</f>
        <v/>
      </c>
      <c r="H1300" s="4" t="str">
        <f aca="false">IF($D1300="","",$G1300&amp;"|"&amp;TEXT($E1300,"0.000000"))</f>
        <v/>
      </c>
      <c r="I1300" s="29" t="str">
        <f aca="false">IF($D1300="","",IF(ISNUMBER($E1300),FLOOR(($E1300-$B1300)*24,1),""))</f>
        <v/>
      </c>
      <c r="J1300" s="10" t="str">
        <f aca="false">IF($D1300="","",IFERROR(IF(VLOOKUP($F1300,Dim_Analyst!$A:$C,3,0)="Yes","Yes","No"),"No"))</f>
        <v/>
      </c>
    </row>
    <row r="1301" customFormat="false" ht="15" hidden="false" customHeight="true" outlineLevel="0" collapsed="false">
      <c r="G1301" s="4" t="str">
        <f aca="false">IF($D1301="","",$A1301&amp;"|"&amp;$B1301&amp;"|"&amp;$C1301&amp;"|"&amp;$D1301)</f>
        <v/>
      </c>
      <c r="H1301" s="4" t="str">
        <f aca="false">IF($D1301="","",$G1301&amp;"|"&amp;TEXT($E1301,"0.000000"))</f>
        <v/>
      </c>
      <c r="I1301" s="29" t="str">
        <f aca="false">IF($D1301="","",IF(ISNUMBER($E1301),FLOOR(($E1301-$B1301)*24,1),""))</f>
        <v/>
      </c>
      <c r="J1301" s="10" t="str">
        <f aca="false">IF($D1301="","",IFERROR(IF(VLOOKUP($F1301,Dim_Analyst!$A:$C,3,0)="Yes","Yes","No"),"No"))</f>
        <v/>
      </c>
    </row>
    <row r="1302" customFormat="false" ht="15" hidden="false" customHeight="true" outlineLevel="0" collapsed="false">
      <c r="G1302" s="4" t="str">
        <f aca="false">IF($D1302="","",$A1302&amp;"|"&amp;$B1302&amp;"|"&amp;$C1302&amp;"|"&amp;$D1302)</f>
        <v/>
      </c>
      <c r="H1302" s="4" t="str">
        <f aca="false">IF($D1302="","",$G1302&amp;"|"&amp;TEXT($E1302,"0.000000"))</f>
        <v/>
      </c>
      <c r="I1302" s="29" t="str">
        <f aca="false">IF($D1302="","",IF(ISNUMBER($E1302),FLOOR(($E1302-$B1302)*24,1),""))</f>
        <v/>
      </c>
      <c r="J1302" s="10" t="str">
        <f aca="false">IF($D1302="","",IFERROR(IF(VLOOKUP($F1302,Dim_Analyst!$A:$C,3,0)="Yes","Yes","No"),"No"))</f>
        <v/>
      </c>
    </row>
    <row r="1303" customFormat="false" ht="15" hidden="false" customHeight="true" outlineLevel="0" collapsed="false">
      <c r="G1303" s="4" t="str">
        <f aca="false">IF($D1303="","",$A1303&amp;"|"&amp;$B1303&amp;"|"&amp;$C1303&amp;"|"&amp;$D1303)</f>
        <v/>
      </c>
      <c r="H1303" s="4" t="str">
        <f aca="false">IF($D1303="","",$G1303&amp;"|"&amp;TEXT($E1303,"0.000000"))</f>
        <v/>
      </c>
      <c r="I1303" s="29" t="str">
        <f aca="false">IF($D1303="","",IF(ISNUMBER($E1303),FLOOR(($E1303-$B1303)*24,1),""))</f>
        <v/>
      </c>
      <c r="J1303" s="10" t="str">
        <f aca="false">IF($D1303="","",IFERROR(IF(VLOOKUP($F1303,Dim_Analyst!$A:$C,3,0)="Yes","Yes","No"),"No"))</f>
        <v/>
      </c>
    </row>
    <row r="1304" customFormat="false" ht="15" hidden="false" customHeight="true" outlineLevel="0" collapsed="false">
      <c r="G1304" s="4" t="str">
        <f aca="false">IF($D1304="","",$A1304&amp;"|"&amp;$B1304&amp;"|"&amp;$C1304&amp;"|"&amp;$D1304)</f>
        <v/>
      </c>
      <c r="H1304" s="4" t="str">
        <f aca="false">IF($D1304="","",$G1304&amp;"|"&amp;TEXT($E1304,"0.000000"))</f>
        <v/>
      </c>
      <c r="I1304" s="29" t="str">
        <f aca="false">IF($D1304="","",IF(ISNUMBER($E1304),FLOOR(($E1304-$B1304)*24,1),""))</f>
        <v/>
      </c>
      <c r="J1304" s="10" t="str">
        <f aca="false">IF($D1304="","",IFERROR(IF(VLOOKUP($F1304,Dim_Analyst!$A:$C,3,0)="Yes","Yes","No"),"No"))</f>
        <v/>
      </c>
    </row>
    <row r="1305" customFormat="false" ht="15" hidden="false" customHeight="true" outlineLevel="0" collapsed="false">
      <c r="G1305" s="4" t="str">
        <f aca="false">IF($D1305="","",$A1305&amp;"|"&amp;$B1305&amp;"|"&amp;$C1305&amp;"|"&amp;$D1305)</f>
        <v/>
      </c>
      <c r="H1305" s="4" t="str">
        <f aca="false">IF($D1305="","",$G1305&amp;"|"&amp;TEXT($E1305,"0.000000"))</f>
        <v/>
      </c>
      <c r="I1305" s="29" t="str">
        <f aca="false">IF($D1305="","",IF(ISNUMBER($E1305),FLOOR(($E1305-$B1305)*24,1),""))</f>
        <v/>
      </c>
      <c r="J1305" s="10" t="str">
        <f aca="false">IF($D1305="","",IFERROR(IF(VLOOKUP($F1305,Dim_Analyst!$A:$C,3,0)="Yes","Yes","No"),"No"))</f>
        <v/>
      </c>
    </row>
    <row r="1306" customFormat="false" ht="15" hidden="false" customHeight="true" outlineLevel="0" collapsed="false">
      <c r="G1306" s="4" t="str">
        <f aca="false">IF($D1306="","",$A1306&amp;"|"&amp;$B1306&amp;"|"&amp;$C1306&amp;"|"&amp;$D1306)</f>
        <v/>
      </c>
      <c r="H1306" s="4" t="str">
        <f aca="false">IF($D1306="","",$G1306&amp;"|"&amp;TEXT($E1306,"0.000000"))</f>
        <v/>
      </c>
      <c r="I1306" s="29" t="str">
        <f aca="false">IF($D1306="","",IF(ISNUMBER($E1306),FLOOR(($E1306-$B1306)*24,1),""))</f>
        <v/>
      </c>
      <c r="J1306" s="10" t="str">
        <f aca="false">IF($D1306="","",IFERROR(IF(VLOOKUP($F1306,Dim_Analyst!$A:$C,3,0)="Yes","Yes","No"),"No"))</f>
        <v/>
      </c>
    </row>
    <row r="1307" customFormat="false" ht="15" hidden="false" customHeight="true" outlineLevel="0" collapsed="false">
      <c r="G1307" s="4" t="str">
        <f aca="false">IF($D1307="","",$A1307&amp;"|"&amp;$B1307&amp;"|"&amp;$C1307&amp;"|"&amp;$D1307)</f>
        <v/>
      </c>
      <c r="H1307" s="4" t="str">
        <f aca="false">IF($D1307="","",$G1307&amp;"|"&amp;TEXT($E1307,"0.000000"))</f>
        <v/>
      </c>
      <c r="I1307" s="29" t="str">
        <f aca="false">IF($D1307="","",IF(ISNUMBER($E1307),FLOOR(($E1307-$B1307)*24,1),""))</f>
        <v/>
      </c>
      <c r="J1307" s="10" t="str">
        <f aca="false">IF($D1307="","",IFERROR(IF(VLOOKUP($F1307,Dim_Analyst!$A:$C,3,0)="Yes","Yes","No"),"No"))</f>
        <v/>
      </c>
    </row>
    <row r="1308" customFormat="false" ht="15" hidden="false" customHeight="true" outlineLevel="0" collapsed="false">
      <c r="G1308" s="4" t="str">
        <f aca="false">IF($D1308="","",$A1308&amp;"|"&amp;$B1308&amp;"|"&amp;$C1308&amp;"|"&amp;$D1308)</f>
        <v/>
      </c>
      <c r="H1308" s="4" t="str">
        <f aca="false">IF($D1308="","",$G1308&amp;"|"&amp;TEXT($E1308,"0.000000"))</f>
        <v/>
      </c>
      <c r="I1308" s="29" t="str">
        <f aca="false">IF($D1308="","",IF(ISNUMBER($E1308),FLOOR(($E1308-$B1308)*24,1),""))</f>
        <v/>
      </c>
      <c r="J1308" s="10" t="str">
        <f aca="false">IF($D1308="","",IFERROR(IF(VLOOKUP($F1308,Dim_Analyst!$A:$C,3,0)="Yes","Yes","No"),"No"))</f>
        <v/>
      </c>
    </row>
    <row r="1309" customFormat="false" ht="15" hidden="false" customHeight="true" outlineLevel="0" collapsed="false">
      <c r="G1309" s="4" t="str">
        <f aca="false">IF($D1309="","",$A1309&amp;"|"&amp;$B1309&amp;"|"&amp;$C1309&amp;"|"&amp;$D1309)</f>
        <v/>
      </c>
      <c r="H1309" s="4" t="str">
        <f aca="false">IF($D1309="","",$G1309&amp;"|"&amp;TEXT($E1309,"0.000000"))</f>
        <v/>
      </c>
      <c r="I1309" s="29" t="str">
        <f aca="false">IF($D1309="","",IF(ISNUMBER($E1309),FLOOR(($E1309-$B1309)*24,1),""))</f>
        <v/>
      </c>
      <c r="J1309" s="10" t="str">
        <f aca="false">IF($D1309="","",IFERROR(IF(VLOOKUP($F1309,Dim_Analyst!$A:$C,3,0)="Yes","Yes","No"),"No"))</f>
        <v/>
      </c>
    </row>
    <row r="1310" customFormat="false" ht="15" hidden="false" customHeight="true" outlineLevel="0" collapsed="false">
      <c r="G1310" s="4" t="str">
        <f aca="false">IF($D1310="","",$A1310&amp;"|"&amp;$B1310&amp;"|"&amp;$C1310&amp;"|"&amp;$D1310)</f>
        <v/>
      </c>
      <c r="H1310" s="4" t="str">
        <f aca="false">IF($D1310="","",$G1310&amp;"|"&amp;TEXT($E1310,"0.000000"))</f>
        <v/>
      </c>
      <c r="I1310" s="29" t="str">
        <f aca="false">IF($D1310="","",IF(ISNUMBER($E1310),FLOOR(($E1310-$B1310)*24,1),""))</f>
        <v/>
      </c>
      <c r="J1310" s="10" t="str">
        <f aca="false">IF($D1310="","",IFERROR(IF(VLOOKUP($F1310,Dim_Analyst!$A:$C,3,0)="Yes","Yes","No"),"No"))</f>
        <v/>
      </c>
    </row>
    <row r="1311" customFormat="false" ht="15" hidden="false" customHeight="true" outlineLevel="0" collapsed="false">
      <c r="G1311" s="4" t="str">
        <f aca="false">IF($D1311="","",$A1311&amp;"|"&amp;$B1311&amp;"|"&amp;$C1311&amp;"|"&amp;$D1311)</f>
        <v/>
      </c>
      <c r="H1311" s="4" t="str">
        <f aca="false">IF($D1311="","",$G1311&amp;"|"&amp;TEXT($E1311,"0.000000"))</f>
        <v/>
      </c>
      <c r="I1311" s="29" t="str">
        <f aca="false">IF($D1311="","",IF(ISNUMBER($E1311),FLOOR(($E1311-$B1311)*24,1),""))</f>
        <v/>
      </c>
      <c r="J1311" s="10" t="str">
        <f aca="false">IF($D1311="","",IFERROR(IF(VLOOKUP($F1311,Dim_Analyst!$A:$C,3,0)="Yes","Yes","No"),"No"))</f>
        <v/>
      </c>
    </row>
    <row r="1312" customFormat="false" ht="15" hidden="false" customHeight="true" outlineLevel="0" collapsed="false">
      <c r="G1312" s="4" t="str">
        <f aca="false">IF($D1312="","",$A1312&amp;"|"&amp;$B1312&amp;"|"&amp;$C1312&amp;"|"&amp;$D1312)</f>
        <v/>
      </c>
      <c r="H1312" s="4" t="str">
        <f aca="false">IF($D1312="","",$G1312&amp;"|"&amp;TEXT($E1312,"0.000000"))</f>
        <v/>
      </c>
      <c r="I1312" s="29" t="str">
        <f aca="false">IF($D1312="","",IF(ISNUMBER($E1312),FLOOR(($E1312-$B1312)*24,1),""))</f>
        <v/>
      </c>
      <c r="J1312" s="10" t="str">
        <f aca="false">IF($D1312="","",IFERROR(IF(VLOOKUP($F1312,Dim_Analyst!$A:$C,3,0)="Yes","Yes","No"),"No"))</f>
        <v/>
      </c>
    </row>
    <row r="1313" customFormat="false" ht="15" hidden="false" customHeight="true" outlineLevel="0" collapsed="false">
      <c r="G1313" s="4" t="str">
        <f aca="false">IF($D1313="","",$A1313&amp;"|"&amp;$B1313&amp;"|"&amp;$C1313&amp;"|"&amp;$D1313)</f>
        <v/>
      </c>
      <c r="H1313" s="4" t="str">
        <f aca="false">IF($D1313="","",$G1313&amp;"|"&amp;TEXT($E1313,"0.000000"))</f>
        <v/>
      </c>
      <c r="I1313" s="29" t="str">
        <f aca="false">IF($D1313="","",IF(ISNUMBER($E1313),FLOOR(($E1313-$B1313)*24,1),""))</f>
        <v/>
      </c>
      <c r="J1313" s="10" t="str">
        <f aca="false">IF($D1313="","",IFERROR(IF(VLOOKUP($F1313,Dim_Analyst!$A:$C,3,0)="Yes","Yes","No"),"No"))</f>
        <v/>
      </c>
    </row>
    <row r="1314" customFormat="false" ht="15" hidden="false" customHeight="true" outlineLevel="0" collapsed="false">
      <c r="G1314" s="4" t="str">
        <f aca="false">IF($D1314="","",$A1314&amp;"|"&amp;$B1314&amp;"|"&amp;$C1314&amp;"|"&amp;$D1314)</f>
        <v/>
      </c>
      <c r="H1314" s="4" t="str">
        <f aca="false">IF($D1314="","",$G1314&amp;"|"&amp;TEXT($E1314,"0.000000"))</f>
        <v/>
      </c>
      <c r="I1314" s="29" t="str">
        <f aca="false">IF($D1314="","",IF(ISNUMBER($E1314),FLOOR(($E1314-$B1314)*24,1),""))</f>
        <v/>
      </c>
      <c r="J1314" s="10" t="str">
        <f aca="false">IF($D1314="","",IFERROR(IF(VLOOKUP($F1314,Dim_Analyst!$A:$C,3,0)="Yes","Yes","No"),"No"))</f>
        <v/>
      </c>
    </row>
    <row r="1315" customFormat="false" ht="15" hidden="false" customHeight="true" outlineLevel="0" collapsed="false">
      <c r="G1315" s="4" t="str">
        <f aca="false">IF($D1315="","",$A1315&amp;"|"&amp;$B1315&amp;"|"&amp;$C1315&amp;"|"&amp;$D1315)</f>
        <v/>
      </c>
      <c r="H1315" s="4" t="str">
        <f aca="false">IF($D1315="","",$G1315&amp;"|"&amp;TEXT($E1315,"0.000000"))</f>
        <v/>
      </c>
      <c r="I1315" s="29" t="str">
        <f aca="false">IF($D1315="","",IF(ISNUMBER($E1315),FLOOR(($E1315-$B1315)*24,1),""))</f>
        <v/>
      </c>
      <c r="J1315" s="10" t="str">
        <f aca="false">IF($D1315="","",IFERROR(IF(VLOOKUP($F1315,Dim_Analyst!$A:$C,3,0)="Yes","Yes","No"),"No"))</f>
        <v/>
      </c>
    </row>
    <row r="1316" customFormat="false" ht="15" hidden="false" customHeight="true" outlineLevel="0" collapsed="false">
      <c r="G1316" s="4" t="str">
        <f aca="false">IF($D1316="","",$A1316&amp;"|"&amp;$B1316&amp;"|"&amp;$C1316&amp;"|"&amp;$D1316)</f>
        <v/>
      </c>
      <c r="H1316" s="4" t="str">
        <f aca="false">IF($D1316="","",$G1316&amp;"|"&amp;TEXT($E1316,"0.000000"))</f>
        <v/>
      </c>
      <c r="I1316" s="29" t="str">
        <f aca="false">IF($D1316="","",IF(ISNUMBER($E1316),FLOOR(($E1316-$B1316)*24,1),""))</f>
        <v/>
      </c>
      <c r="J1316" s="10" t="str">
        <f aca="false">IF($D1316="","",IFERROR(IF(VLOOKUP($F1316,Dim_Analyst!$A:$C,3,0)="Yes","Yes","No"),"No"))</f>
        <v/>
      </c>
    </row>
    <row r="1317" customFormat="false" ht="15" hidden="false" customHeight="true" outlineLevel="0" collapsed="false">
      <c r="G1317" s="4" t="str">
        <f aca="false">IF($D1317="","",$A1317&amp;"|"&amp;$B1317&amp;"|"&amp;$C1317&amp;"|"&amp;$D1317)</f>
        <v/>
      </c>
      <c r="H1317" s="4" t="str">
        <f aca="false">IF($D1317="","",$G1317&amp;"|"&amp;TEXT($E1317,"0.000000"))</f>
        <v/>
      </c>
      <c r="I1317" s="29" t="str">
        <f aca="false">IF($D1317="","",IF(ISNUMBER($E1317),FLOOR(($E1317-$B1317)*24,1),""))</f>
        <v/>
      </c>
      <c r="J1317" s="10" t="str">
        <f aca="false">IF($D1317="","",IFERROR(IF(VLOOKUP($F1317,Dim_Analyst!$A:$C,3,0)="Yes","Yes","No"),"No"))</f>
        <v/>
      </c>
    </row>
    <row r="1318" customFormat="false" ht="15" hidden="false" customHeight="true" outlineLevel="0" collapsed="false">
      <c r="G1318" s="4" t="str">
        <f aca="false">IF($D1318="","",$A1318&amp;"|"&amp;$B1318&amp;"|"&amp;$C1318&amp;"|"&amp;$D1318)</f>
        <v/>
      </c>
      <c r="H1318" s="4" t="str">
        <f aca="false">IF($D1318="","",$G1318&amp;"|"&amp;TEXT($E1318,"0.000000"))</f>
        <v/>
      </c>
      <c r="I1318" s="29" t="str">
        <f aca="false">IF($D1318="","",IF(ISNUMBER($E1318),FLOOR(($E1318-$B1318)*24,1),""))</f>
        <v/>
      </c>
      <c r="J1318" s="10" t="str">
        <f aca="false">IF($D1318="","",IFERROR(IF(VLOOKUP($F1318,Dim_Analyst!$A:$C,3,0)="Yes","Yes","No"),"No"))</f>
        <v/>
      </c>
    </row>
    <row r="1319" customFormat="false" ht="15" hidden="false" customHeight="true" outlineLevel="0" collapsed="false">
      <c r="G1319" s="4" t="str">
        <f aca="false">IF($D1319="","",$A1319&amp;"|"&amp;$B1319&amp;"|"&amp;$C1319&amp;"|"&amp;$D1319)</f>
        <v/>
      </c>
      <c r="H1319" s="4" t="str">
        <f aca="false">IF($D1319="","",$G1319&amp;"|"&amp;TEXT($E1319,"0.000000"))</f>
        <v/>
      </c>
      <c r="I1319" s="29" t="str">
        <f aca="false">IF($D1319="","",IF(ISNUMBER($E1319),FLOOR(($E1319-$B1319)*24,1),""))</f>
        <v/>
      </c>
      <c r="J1319" s="10" t="str">
        <f aca="false">IF($D1319="","",IFERROR(IF(VLOOKUP($F1319,Dim_Analyst!$A:$C,3,0)="Yes","Yes","No"),"No"))</f>
        <v/>
      </c>
    </row>
    <row r="1320" customFormat="false" ht="15" hidden="false" customHeight="true" outlineLevel="0" collapsed="false">
      <c r="G1320" s="4" t="str">
        <f aca="false">IF($D1320="","",$A1320&amp;"|"&amp;$B1320&amp;"|"&amp;$C1320&amp;"|"&amp;$D1320)</f>
        <v/>
      </c>
      <c r="H1320" s="4" t="str">
        <f aca="false">IF($D1320="","",$G1320&amp;"|"&amp;TEXT($E1320,"0.000000"))</f>
        <v/>
      </c>
      <c r="I1320" s="29" t="str">
        <f aca="false">IF($D1320="","",IF(ISNUMBER($E1320),FLOOR(($E1320-$B1320)*24,1),""))</f>
        <v/>
      </c>
      <c r="J1320" s="10" t="str">
        <f aca="false">IF($D1320="","",IFERROR(IF(VLOOKUP($F1320,Dim_Analyst!$A:$C,3,0)="Yes","Yes","No"),"No"))</f>
        <v/>
      </c>
    </row>
    <row r="1321" customFormat="false" ht="15" hidden="false" customHeight="true" outlineLevel="0" collapsed="false">
      <c r="G1321" s="4" t="str">
        <f aca="false">IF($D1321="","",$A1321&amp;"|"&amp;$B1321&amp;"|"&amp;$C1321&amp;"|"&amp;$D1321)</f>
        <v/>
      </c>
      <c r="H1321" s="4" t="str">
        <f aca="false">IF($D1321="","",$G1321&amp;"|"&amp;TEXT($E1321,"0.000000"))</f>
        <v/>
      </c>
      <c r="I1321" s="29" t="str">
        <f aca="false">IF($D1321="","",IF(ISNUMBER($E1321),FLOOR(($E1321-$B1321)*24,1),""))</f>
        <v/>
      </c>
      <c r="J1321" s="10" t="str">
        <f aca="false">IF($D1321="","",IFERROR(IF(VLOOKUP($F1321,Dim_Analyst!$A:$C,3,0)="Yes","Yes","No"),"No"))</f>
        <v/>
      </c>
    </row>
    <row r="1322" customFormat="false" ht="15" hidden="false" customHeight="true" outlineLevel="0" collapsed="false">
      <c r="G1322" s="4" t="str">
        <f aca="false">IF($D1322="","",$A1322&amp;"|"&amp;$B1322&amp;"|"&amp;$C1322&amp;"|"&amp;$D1322)</f>
        <v/>
      </c>
      <c r="H1322" s="4" t="str">
        <f aca="false">IF($D1322="","",$G1322&amp;"|"&amp;TEXT($E1322,"0.000000"))</f>
        <v/>
      </c>
      <c r="I1322" s="29" t="str">
        <f aca="false">IF($D1322="","",IF(ISNUMBER($E1322),FLOOR(($E1322-$B1322)*24,1),""))</f>
        <v/>
      </c>
      <c r="J1322" s="10" t="str">
        <f aca="false">IF($D1322="","",IFERROR(IF(VLOOKUP($F1322,Dim_Analyst!$A:$C,3,0)="Yes","Yes","No"),"No"))</f>
        <v/>
      </c>
    </row>
    <row r="1323" customFormat="false" ht="15" hidden="false" customHeight="true" outlineLevel="0" collapsed="false">
      <c r="G1323" s="4" t="str">
        <f aca="false">IF($D1323="","",$A1323&amp;"|"&amp;$B1323&amp;"|"&amp;$C1323&amp;"|"&amp;$D1323)</f>
        <v/>
      </c>
      <c r="H1323" s="4" t="str">
        <f aca="false">IF($D1323="","",$G1323&amp;"|"&amp;TEXT($E1323,"0.000000"))</f>
        <v/>
      </c>
      <c r="I1323" s="29" t="str">
        <f aca="false">IF($D1323="","",IF(ISNUMBER($E1323),FLOOR(($E1323-$B1323)*24,1),""))</f>
        <v/>
      </c>
      <c r="J1323" s="10" t="str">
        <f aca="false">IF($D1323="","",IFERROR(IF(VLOOKUP($F1323,Dim_Analyst!$A:$C,3,0)="Yes","Yes","No"),"No"))</f>
        <v/>
      </c>
    </row>
    <row r="1324" customFormat="false" ht="15" hidden="false" customHeight="true" outlineLevel="0" collapsed="false">
      <c r="G1324" s="4" t="str">
        <f aca="false">IF($D1324="","",$A1324&amp;"|"&amp;$B1324&amp;"|"&amp;$C1324&amp;"|"&amp;$D1324)</f>
        <v/>
      </c>
      <c r="H1324" s="4" t="str">
        <f aca="false">IF($D1324="","",$G1324&amp;"|"&amp;TEXT($E1324,"0.000000"))</f>
        <v/>
      </c>
      <c r="I1324" s="29" t="str">
        <f aca="false">IF($D1324="","",IF(ISNUMBER($E1324),FLOOR(($E1324-$B1324)*24,1),""))</f>
        <v/>
      </c>
      <c r="J1324" s="10" t="str">
        <f aca="false">IF($D1324="","",IFERROR(IF(VLOOKUP($F1324,Dim_Analyst!$A:$C,3,0)="Yes","Yes","No"),"No"))</f>
        <v/>
      </c>
    </row>
    <row r="1325" customFormat="false" ht="15" hidden="false" customHeight="true" outlineLevel="0" collapsed="false">
      <c r="G1325" s="4" t="str">
        <f aca="false">IF($D1325="","",$A1325&amp;"|"&amp;$B1325&amp;"|"&amp;$C1325&amp;"|"&amp;$D1325)</f>
        <v/>
      </c>
      <c r="H1325" s="4" t="str">
        <f aca="false">IF($D1325="","",$G1325&amp;"|"&amp;TEXT($E1325,"0.000000"))</f>
        <v/>
      </c>
      <c r="I1325" s="29" t="str">
        <f aca="false">IF($D1325="","",IF(ISNUMBER($E1325),FLOOR(($E1325-$B1325)*24,1),""))</f>
        <v/>
      </c>
      <c r="J1325" s="10" t="str">
        <f aca="false">IF($D1325="","",IFERROR(IF(VLOOKUP($F1325,Dim_Analyst!$A:$C,3,0)="Yes","Yes","No"),"No"))</f>
        <v/>
      </c>
    </row>
    <row r="1326" customFormat="false" ht="15" hidden="false" customHeight="true" outlineLevel="0" collapsed="false">
      <c r="G1326" s="4" t="str">
        <f aca="false">IF($D1326="","",$A1326&amp;"|"&amp;$B1326&amp;"|"&amp;$C1326&amp;"|"&amp;$D1326)</f>
        <v/>
      </c>
      <c r="H1326" s="4" t="str">
        <f aca="false">IF($D1326="","",$G1326&amp;"|"&amp;TEXT($E1326,"0.000000"))</f>
        <v/>
      </c>
      <c r="I1326" s="29" t="str">
        <f aca="false">IF($D1326="","",IF(ISNUMBER($E1326),FLOOR(($E1326-$B1326)*24,1),""))</f>
        <v/>
      </c>
      <c r="J1326" s="10" t="str">
        <f aca="false">IF($D1326="","",IFERROR(IF(VLOOKUP($F1326,Dim_Analyst!$A:$C,3,0)="Yes","Yes","No"),"No"))</f>
        <v/>
      </c>
    </row>
    <row r="1327" customFormat="false" ht="15" hidden="false" customHeight="true" outlineLevel="0" collapsed="false">
      <c r="G1327" s="4" t="str">
        <f aca="false">IF($D1327="","",$A1327&amp;"|"&amp;$B1327&amp;"|"&amp;$C1327&amp;"|"&amp;$D1327)</f>
        <v/>
      </c>
      <c r="H1327" s="4" t="str">
        <f aca="false">IF($D1327="","",$G1327&amp;"|"&amp;TEXT($E1327,"0.000000"))</f>
        <v/>
      </c>
      <c r="I1327" s="29" t="str">
        <f aca="false">IF($D1327="","",IF(ISNUMBER($E1327),FLOOR(($E1327-$B1327)*24,1),""))</f>
        <v/>
      </c>
      <c r="J1327" s="10" t="str">
        <f aca="false">IF($D1327="","",IFERROR(IF(VLOOKUP($F1327,Dim_Analyst!$A:$C,3,0)="Yes","Yes","No"),"No"))</f>
        <v/>
      </c>
    </row>
    <row r="1328" customFormat="false" ht="15" hidden="false" customHeight="true" outlineLevel="0" collapsed="false">
      <c r="G1328" s="4" t="str">
        <f aca="false">IF($D1328="","",$A1328&amp;"|"&amp;$B1328&amp;"|"&amp;$C1328&amp;"|"&amp;$D1328)</f>
        <v/>
      </c>
      <c r="H1328" s="4" t="str">
        <f aca="false">IF($D1328="","",$G1328&amp;"|"&amp;TEXT($E1328,"0.000000"))</f>
        <v/>
      </c>
      <c r="I1328" s="29" t="str">
        <f aca="false">IF($D1328="","",IF(ISNUMBER($E1328),FLOOR(($E1328-$B1328)*24,1),""))</f>
        <v/>
      </c>
      <c r="J1328" s="10" t="str">
        <f aca="false">IF($D1328="","",IFERROR(IF(VLOOKUP($F1328,Dim_Analyst!$A:$C,3,0)="Yes","Yes","No"),"No"))</f>
        <v/>
      </c>
    </row>
    <row r="1329" customFormat="false" ht="15" hidden="false" customHeight="true" outlineLevel="0" collapsed="false">
      <c r="G1329" s="4" t="str">
        <f aca="false">IF($D1329="","",$A1329&amp;"|"&amp;$B1329&amp;"|"&amp;$C1329&amp;"|"&amp;$D1329)</f>
        <v/>
      </c>
      <c r="H1329" s="4" t="str">
        <f aca="false">IF($D1329="","",$G1329&amp;"|"&amp;TEXT($E1329,"0.000000"))</f>
        <v/>
      </c>
      <c r="I1329" s="29" t="str">
        <f aca="false">IF($D1329="","",IF(ISNUMBER($E1329),FLOOR(($E1329-$B1329)*24,1),""))</f>
        <v/>
      </c>
      <c r="J1329" s="10" t="str">
        <f aca="false">IF($D1329="","",IFERROR(IF(VLOOKUP($F1329,Dim_Analyst!$A:$C,3,0)="Yes","Yes","No"),"No"))</f>
        <v/>
      </c>
    </row>
    <row r="1330" customFormat="false" ht="15" hidden="false" customHeight="true" outlineLevel="0" collapsed="false">
      <c r="G1330" s="4" t="str">
        <f aca="false">IF($D1330="","",$A1330&amp;"|"&amp;$B1330&amp;"|"&amp;$C1330&amp;"|"&amp;$D1330)</f>
        <v/>
      </c>
      <c r="H1330" s="4" t="str">
        <f aca="false">IF($D1330="","",$G1330&amp;"|"&amp;TEXT($E1330,"0.000000"))</f>
        <v/>
      </c>
      <c r="I1330" s="29" t="str">
        <f aca="false">IF($D1330="","",IF(ISNUMBER($E1330),FLOOR(($E1330-$B1330)*24,1),""))</f>
        <v/>
      </c>
      <c r="J1330" s="10" t="str">
        <f aca="false">IF($D1330="","",IFERROR(IF(VLOOKUP($F1330,Dim_Analyst!$A:$C,3,0)="Yes","Yes","No"),"No"))</f>
        <v/>
      </c>
    </row>
    <row r="1331" customFormat="false" ht="15" hidden="false" customHeight="true" outlineLevel="0" collapsed="false">
      <c r="G1331" s="4" t="str">
        <f aca="false">IF($D1331="","",$A1331&amp;"|"&amp;$B1331&amp;"|"&amp;$C1331&amp;"|"&amp;$D1331)</f>
        <v/>
      </c>
      <c r="H1331" s="4" t="str">
        <f aca="false">IF($D1331="","",$G1331&amp;"|"&amp;TEXT($E1331,"0.000000"))</f>
        <v/>
      </c>
      <c r="I1331" s="29" t="str">
        <f aca="false">IF($D1331="","",IF(ISNUMBER($E1331),FLOOR(($E1331-$B1331)*24,1),""))</f>
        <v/>
      </c>
      <c r="J1331" s="10" t="str">
        <f aca="false">IF($D1331="","",IFERROR(IF(VLOOKUP($F1331,Dim_Analyst!$A:$C,3,0)="Yes","Yes","No"),"No"))</f>
        <v/>
      </c>
    </row>
    <row r="1332" customFormat="false" ht="15" hidden="false" customHeight="true" outlineLevel="0" collapsed="false">
      <c r="G1332" s="4" t="str">
        <f aca="false">IF($D1332="","",$A1332&amp;"|"&amp;$B1332&amp;"|"&amp;$C1332&amp;"|"&amp;$D1332)</f>
        <v/>
      </c>
      <c r="H1332" s="4" t="str">
        <f aca="false">IF($D1332="","",$G1332&amp;"|"&amp;TEXT($E1332,"0.000000"))</f>
        <v/>
      </c>
      <c r="I1332" s="29" t="str">
        <f aca="false">IF($D1332="","",IF(ISNUMBER($E1332),FLOOR(($E1332-$B1332)*24,1),""))</f>
        <v/>
      </c>
      <c r="J1332" s="10" t="str">
        <f aca="false">IF($D1332="","",IFERROR(IF(VLOOKUP($F1332,Dim_Analyst!$A:$C,3,0)="Yes","Yes","No"),"No"))</f>
        <v/>
      </c>
    </row>
    <row r="1333" customFormat="false" ht="15" hidden="false" customHeight="true" outlineLevel="0" collapsed="false">
      <c r="G1333" s="4" t="str">
        <f aca="false">IF($D1333="","",$A1333&amp;"|"&amp;$B1333&amp;"|"&amp;$C1333&amp;"|"&amp;$D1333)</f>
        <v/>
      </c>
      <c r="H1333" s="4" t="str">
        <f aca="false">IF($D1333="","",$G1333&amp;"|"&amp;TEXT($E1333,"0.000000"))</f>
        <v/>
      </c>
      <c r="I1333" s="29" t="str">
        <f aca="false">IF($D1333="","",IF(ISNUMBER($E1333),FLOOR(($E1333-$B1333)*24,1),""))</f>
        <v/>
      </c>
      <c r="J1333" s="10" t="str">
        <f aca="false">IF($D1333="","",IFERROR(IF(VLOOKUP($F1333,Dim_Analyst!$A:$C,3,0)="Yes","Yes","No"),"No"))</f>
        <v/>
      </c>
    </row>
    <row r="1334" customFormat="false" ht="15" hidden="false" customHeight="true" outlineLevel="0" collapsed="false">
      <c r="G1334" s="4" t="str">
        <f aca="false">IF($D1334="","",$A1334&amp;"|"&amp;$B1334&amp;"|"&amp;$C1334&amp;"|"&amp;$D1334)</f>
        <v/>
      </c>
      <c r="H1334" s="4" t="str">
        <f aca="false">IF($D1334="","",$G1334&amp;"|"&amp;TEXT($E1334,"0.000000"))</f>
        <v/>
      </c>
      <c r="I1334" s="29" t="str">
        <f aca="false">IF($D1334="","",IF(ISNUMBER($E1334),FLOOR(($E1334-$B1334)*24,1),""))</f>
        <v/>
      </c>
      <c r="J1334" s="10" t="str">
        <f aca="false">IF($D1334="","",IFERROR(IF(VLOOKUP($F1334,Dim_Analyst!$A:$C,3,0)="Yes","Yes","No"),"No"))</f>
        <v/>
      </c>
    </row>
    <row r="1335" customFormat="false" ht="15" hidden="false" customHeight="true" outlineLevel="0" collapsed="false">
      <c r="G1335" s="4" t="str">
        <f aca="false">IF($D1335="","",$A1335&amp;"|"&amp;$B1335&amp;"|"&amp;$C1335&amp;"|"&amp;$D1335)</f>
        <v/>
      </c>
      <c r="H1335" s="4" t="str">
        <f aca="false">IF($D1335="","",$G1335&amp;"|"&amp;TEXT($E1335,"0.000000"))</f>
        <v/>
      </c>
      <c r="I1335" s="29" t="str">
        <f aca="false">IF($D1335="","",IF(ISNUMBER($E1335),FLOOR(($E1335-$B1335)*24,1),""))</f>
        <v/>
      </c>
      <c r="J1335" s="10" t="str">
        <f aca="false">IF($D1335="","",IFERROR(IF(VLOOKUP($F1335,Dim_Analyst!$A:$C,3,0)="Yes","Yes","No"),"No"))</f>
        <v/>
      </c>
    </row>
    <row r="1336" customFormat="false" ht="15" hidden="false" customHeight="true" outlineLevel="0" collapsed="false">
      <c r="G1336" s="4" t="str">
        <f aca="false">IF($D1336="","",$A1336&amp;"|"&amp;$B1336&amp;"|"&amp;$C1336&amp;"|"&amp;$D1336)</f>
        <v/>
      </c>
      <c r="H1336" s="4" t="str">
        <f aca="false">IF($D1336="","",$G1336&amp;"|"&amp;TEXT($E1336,"0.000000"))</f>
        <v/>
      </c>
      <c r="I1336" s="29" t="str">
        <f aca="false">IF($D1336="","",IF(ISNUMBER($E1336),FLOOR(($E1336-$B1336)*24,1),""))</f>
        <v/>
      </c>
      <c r="J1336" s="10" t="str">
        <f aca="false">IF($D1336="","",IFERROR(IF(VLOOKUP($F1336,Dim_Analyst!$A:$C,3,0)="Yes","Yes","No"),"No"))</f>
        <v/>
      </c>
    </row>
    <row r="1337" customFormat="false" ht="15" hidden="false" customHeight="true" outlineLevel="0" collapsed="false">
      <c r="G1337" s="4" t="str">
        <f aca="false">IF($D1337="","",$A1337&amp;"|"&amp;$B1337&amp;"|"&amp;$C1337&amp;"|"&amp;$D1337)</f>
        <v/>
      </c>
      <c r="H1337" s="4" t="str">
        <f aca="false">IF($D1337="","",$G1337&amp;"|"&amp;TEXT($E1337,"0.000000"))</f>
        <v/>
      </c>
      <c r="I1337" s="29" t="str">
        <f aca="false">IF($D1337="","",IF(ISNUMBER($E1337),FLOOR(($E1337-$B1337)*24,1),""))</f>
        <v/>
      </c>
      <c r="J1337" s="10" t="str">
        <f aca="false">IF($D1337="","",IFERROR(IF(VLOOKUP($F1337,Dim_Analyst!$A:$C,3,0)="Yes","Yes","No"),"No"))</f>
        <v/>
      </c>
    </row>
    <row r="1338" customFormat="false" ht="15" hidden="false" customHeight="true" outlineLevel="0" collapsed="false">
      <c r="G1338" s="4" t="str">
        <f aca="false">IF($D1338="","",$A1338&amp;"|"&amp;$B1338&amp;"|"&amp;$C1338&amp;"|"&amp;$D1338)</f>
        <v/>
      </c>
      <c r="H1338" s="4" t="str">
        <f aca="false">IF($D1338="","",$G1338&amp;"|"&amp;TEXT($E1338,"0.000000"))</f>
        <v/>
      </c>
      <c r="I1338" s="29" t="str">
        <f aca="false">IF($D1338="","",IF(ISNUMBER($E1338),FLOOR(($E1338-$B1338)*24,1),""))</f>
        <v/>
      </c>
      <c r="J1338" s="10" t="str">
        <f aca="false">IF($D1338="","",IFERROR(IF(VLOOKUP($F1338,Dim_Analyst!$A:$C,3,0)="Yes","Yes","No"),"No"))</f>
        <v/>
      </c>
    </row>
    <row r="1339" customFormat="false" ht="15" hidden="false" customHeight="true" outlineLevel="0" collapsed="false">
      <c r="G1339" s="4" t="str">
        <f aca="false">IF($D1339="","",$A1339&amp;"|"&amp;$B1339&amp;"|"&amp;$C1339&amp;"|"&amp;$D1339)</f>
        <v/>
      </c>
      <c r="H1339" s="4" t="str">
        <f aca="false">IF($D1339="","",$G1339&amp;"|"&amp;TEXT($E1339,"0.000000"))</f>
        <v/>
      </c>
      <c r="I1339" s="29" t="str">
        <f aca="false">IF($D1339="","",IF(ISNUMBER($E1339),FLOOR(($E1339-$B1339)*24,1),""))</f>
        <v/>
      </c>
      <c r="J1339" s="10" t="str">
        <f aca="false">IF($D1339="","",IFERROR(IF(VLOOKUP($F1339,Dim_Analyst!$A:$C,3,0)="Yes","Yes","No"),"No"))</f>
        <v/>
      </c>
    </row>
    <row r="1340" customFormat="false" ht="15" hidden="false" customHeight="true" outlineLevel="0" collapsed="false">
      <c r="G1340" s="4" t="str">
        <f aca="false">IF($D1340="","",$A1340&amp;"|"&amp;$B1340&amp;"|"&amp;$C1340&amp;"|"&amp;$D1340)</f>
        <v/>
      </c>
      <c r="H1340" s="4" t="str">
        <f aca="false">IF($D1340="","",$G1340&amp;"|"&amp;TEXT($E1340,"0.000000"))</f>
        <v/>
      </c>
      <c r="I1340" s="29" t="str">
        <f aca="false">IF($D1340="","",IF(ISNUMBER($E1340),FLOOR(($E1340-$B1340)*24,1),""))</f>
        <v/>
      </c>
      <c r="J1340" s="10" t="str">
        <f aca="false">IF($D1340="","",IFERROR(IF(VLOOKUP($F1340,Dim_Analyst!$A:$C,3,0)="Yes","Yes","No"),"No"))</f>
        <v/>
      </c>
    </row>
    <row r="1341" customFormat="false" ht="15" hidden="false" customHeight="true" outlineLevel="0" collapsed="false">
      <c r="G1341" s="4" t="str">
        <f aca="false">IF($D1341="","",$A1341&amp;"|"&amp;$B1341&amp;"|"&amp;$C1341&amp;"|"&amp;$D1341)</f>
        <v/>
      </c>
      <c r="H1341" s="4" t="str">
        <f aca="false">IF($D1341="","",$G1341&amp;"|"&amp;TEXT($E1341,"0.000000"))</f>
        <v/>
      </c>
      <c r="I1341" s="29" t="str">
        <f aca="false">IF($D1341="","",IF(ISNUMBER($E1341),FLOOR(($E1341-$B1341)*24,1),""))</f>
        <v/>
      </c>
      <c r="J1341" s="10" t="str">
        <f aca="false">IF($D1341="","",IFERROR(IF(VLOOKUP($F1341,Dim_Analyst!$A:$C,3,0)="Yes","Yes","No"),"No"))</f>
        <v/>
      </c>
    </row>
    <row r="1342" customFormat="false" ht="15" hidden="false" customHeight="true" outlineLevel="0" collapsed="false">
      <c r="G1342" s="4" t="str">
        <f aca="false">IF($D1342="","",$A1342&amp;"|"&amp;$B1342&amp;"|"&amp;$C1342&amp;"|"&amp;$D1342)</f>
        <v/>
      </c>
      <c r="H1342" s="4" t="str">
        <f aca="false">IF($D1342="","",$G1342&amp;"|"&amp;TEXT($E1342,"0.000000"))</f>
        <v/>
      </c>
      <c r="I1342" s="29" t="str">
        <f aca="false">IF($D1342="","",IF(ISNUMBER($E1342),FLOOR(($E1342-$B1342)*24,1),""))</f>
        <v/>
      </c>
      <c r="J1342" s="10" t="str">
        <f aca="false">IF($D1342="","",IFERROR(IF(VLOOKUP($F1342,Dim_Analyst!$A:$C,3,0)="Yes","Yes","No"),"No"))</f>
        <v/>
      </c>
    </row>
    <row r="1343" customFormat="false" ht="15" hidden="false" customHeight="true" outlineLevel="0" collapsed="false">
      <c r="G1343" s="4" t="str">
        <f aca="false">IF($D1343="","",$A1343&amp;"|"&amp;$B1343&amp;"|"&amp;$C1343&amp;"|"&amp;$D1343)</f>
        <v/>
      </c>
      <c r="H1343" s="4" t="str">
        <f aca="false">IF($D1343="","",$G1343&amp;"|"&amp;TEXT($E1343,"0.000000"))</f>
        <v/>
      </c>
      <c r="I1343" s="29" t="str">
        <f aca="false">IF($D1343="","",IF(ISNUMBER($E1343),FLOOR(($E1343-$B1343)*24,1),""))</f>
        <v/>
      </c>
      <c r="J1343" s="10" t="str">
        <f aca="false">IF($D1343="","",IFERROR(IF(VLOOKUP($F1343,Dim_Analyst!$A:$C,3,0)="Yes","Yes","No"),"No"))</f>
        <v/>
      </c>
    </row>
    <row r="1344" customFormat="false" ht="15" hidden="false" customHeight="true" outlineLevel="0" collapsed="false">
      <c r="G1344" s="4" t="str">
        <f aca="false">IF($D1344="","",$A1344&amp;"|"&amp;$B1344&amp;"|"&amp;$C1344&amp;"|"&amp;$D1344)</f>
        <v/>
      </c>
      <c r="H1344" s="4" t="str">
        <f aca="false">IF($D1344="","",$G1344&amp;"|"&amp;TEXT($E1344,"0.000000"))</f>
        <v/>
      </c>
      <c r="I1344" s="29" t="str">
        <f aca="false">IF($D1344="","",IF(ISNUMBER($E1344),FLOOR(($E1344-$B1344)*24,1),""))</f>
        <v/>
      </c>
      <c r="J1344" s="10" t="str">
        <f aca="false">IF($D1344="","",IFERROR(IF(VLOOKUP($F1344,Dim_Analyst!$A:$C,3,0)="Yes","Yes","No"),"No"))</f>
        <v/>
      </c>
    </row>
    <row r="1345" customFormat="false" ht="15" hidden="false" customHeight="true" outlineLevel="0" collapsed="false">
      <c r="G1345" s="4" t="str">
        <f aca="false">IF($D1345="","",$A1345&amp;"|"&amp;$B1345&amp;"|"&amp;$C1345&amp;"|"&amp;$D1345)</f>
        <v/>
      </c>
      <c r="H1345" s="4" t="str">
        <f aca="false">IF($D1345="","",$G1345&amp;"|"&amp;TEXT($E1345,"0.000000"))</f>
        <v/>
      </c>
      <c r="I1345" s="29" t="str">
        <f aca="false">IF($D1345="","",IF(ISNUMBER($E1345),FLOOR(($E1345-$B1345)*24,1),""))</f>
        <v/>
      </c>
      <c r="J1345" s="10" t="str">
        <f aca="false">IF($D1345="","",IFERROR(IF(VLOOKUP($F1345,Dim_Analyst!$A:$C,3,0)="Yes","Yes","No"),"No"))</f>
        <v/>
      </c>
    </row>
    <row r="1346" customFormat="false" ht="15" hidden="false" customHeight="true" outlineLevel="0" collapsed="false">
      <c r="G1346" s="4" t="str">
        <f aca="false">IF($D1346="","",$A1346&amp;"|"&amp;$B1346&amp;"|"&amp;$C1346&amp;"|"&amp;$D1346)</f>
        <v/>
      </c>
      <c r="H1346" s="4" t="str">
        <f aca="false">IF($D1346="","",$G1346&amp;"|"&amp;TEXT($E1346,"0.000000"))</f>
        <v/>
      </c>
      <c r="I1346" s="29" t="str">
        <f aca="false">IF($D1346="","",IF(ISNUMBER($E1346),FLOOR(($E1346-$B1346)*24,1),""))</f>
        <v/>
      </c>
      <c r="J1346" s="10" t="str">
        <f aca="false">IF($D1346="","",IFERROR(IF(VLOOKUP($F1346,Dim_Analyst!$A:$C,3,0)="Yes","Yes","No"),"No"))</f>
        <v/>
      </c>
    </row>
    <row r="1347" customFormat="false" ht="15" hidden="false" customHeight="true" outlineLevel="0" collapsed="false">
      <c r="G1347" s="4" t="str">
        <f aca="false">IF($D1347="","",$A1347&amp;"|"&amp;$B1347&amp;"|"&amp;$C1347&amp;"|"&amp;$D1347)</f>
        <v/>
      </c>
      <c r="H1347" s="4" t="str">
        <f aca="false">IF($D1347="","",$G1347&amp;"|"&amp;TEXT($E1347,"0.000000"))</f>
        <v/>
      </c>
      <c r="I1347" s="29" t="str">
        <f aca="false">IF($D1347="","",IF(ISNUMBER($E1347),FLOOR(($E1347-$B1347)*24,1),""))</f>
        <v/>
      </c>
      <c r="J1347" s="10" t="str">
        <f aca="false">IF($D1347="","",IFERROR(IF(VLOOKUP($F1347,Dim_Analyst!$A:$C,3,0)="Yes","Yes","No"),"No"))</f>
        <v/>
      </c>
    </row>
    <row r="1348" customFormat="false" ht="15" hidden="false" customHeight="true" outlineLevel="0" collapsed="false">
      <c r="G1348" s="4" t="str">
        <f aca="false">IF($D1348="","",$A1348&amp;"|"&amp;$B1348&amp;"|"&amp;$C1348&amp;"|"&amp;$D1348)</f>
        <v/>
      </c>
      <c r="H1348" s="4" t="str">
        <f aca="false">IF($D1348="","",$G1348&amp;"|"&amp;TEXT($E1348,"0.000000"))</f>
        <v/>
      </c>
      <c r="I1348" s="29" t="str">
        <f aca="false">IF($D1348="","",IF(ISNUMBER($E1348),FLOOR(($E1348-$B1348)*24,1),""))</f>
        <v/>
      </c>
      <c r="J1348" s="10" t="str">
        <f aca="false">IF($D1348="","",IFERROR(IF(VLOOKUP($F1348,Dim_Analyst!$A:$C,3,0)="Yes","Yes","No"),"No"))</f>
        <v/>
      </c>
    </row>
    <row r="1349" customFormat="false" ht="15" hidden="false" customHeight="true" outlineLevel="0" collapsed="false">
      <c r="G1349" s="4" t="str">
        <f aca="false">IF($D1349="","",$A1349&amp;"|"&amp;$B1349&amp;"|"&amp;$C1349&amp;"|"&amp;$D1349)</f>
        <v/>
      </c>
      <c r="H1349" s="4" t="str">
        <f aca="false">IF($D1349="","",$G1349&amp;"|"&amp;TEXT($E1349,"0.000000"))</f>
        <v/>
      </c>
      <c r="I1349" s="29" t="str">
        <f aca="false">IF($D1349="","",IF(ISNUMBER($E1349),FLOOR(($E1349-$B1349)*24,1),""))</f>
        <v/>
      </c>
      <c r="J1349" s="10" t="str">
        <f aca="false">IF($D1349="","",IFERROR(IF(VLOOKUP($F1349,Dim_Analyst!$A:$C,3,0)="Yes","Yes","No"),"No"))</f>
        <v/>
      </c>
    </row>
    <row r="1350" customFormat="false" ht="15" hidden="false" customHeight="true" outlineLevel="0" collapsed="false">
      <c r="G1350" s="4" t="str">
        <f aca="false">IF($D1350="","",$A1350&amp;"|"&amp;$B1350&amp;"|"&amp;$C1350&amp;"|"&amp;$D1350)</f>
        <v/>
      </c>
      <c r="H1350" s="4" t="str">
        <f aca="false">IF($D1350="","",$G1350&amp;"|"&amp;TEXT($E1350,"0.000000"))</f>
        <v/>
      </c>
      <c r="I1350" s="29" t="str">
        <f aca="false">IF($D1350="","",IF(ISNUMBER($E1350),FLOOR(($E1350-$B1350)*24,1),""))</f>
        <v/>
      </c>
      <c r="J1350" s="10" t="str">
        <f aca="false">IF($D1350="","",IFERROR(IF(VLOOKUP($F1350,Dim_Analyst!$A:$C,3,0)="Yes","Yes","No"),"No"))</f>
        <v/>
      </c>
    </row>
    <row r="1351" customFormat="false" ht="15" hidden="false" customHeight="true" outlineLevel="0" collapsed="false">
      <c r="G1351" s="4" t="str">
        <f aca="false">IF($D1351="","",$A1351&amp;"|"&amp;$B1351&amp;"|"&amp;$C1351&amp;"|"&amp;$D1351)</f>
        <v/>
      </c>
      <c r="H1351" s="4" t="str">
        <f aca="false">IF($D1351="","",$G1351&amp;"|"&amp;TEXT($E1351,"0.000000"))</f>
        <v/>
      </c>
      <c r="I1351" s="29" t="str">
        <f aca="false">IF($D1351="","",IF(ISNUMBER($E1351),FLOOR(($E1351-$B1351)*24,1),""))</f>
        <v/>
      </c>
      <c r="J1351" s="10" t="str">
        <f aca="false">IF($D1351="","",IFERROR(IF(VLOOKUP($F1351,Dim_Analyst!$A:$C,3,0)="Yes","Yes","No"),"No"))</f>
        <v/>
      </c>
    </row>
    <row r="1352" customFormat="false" ht="15" hidden="false" customHeight="true" outlineLevel="0" collapsed="false">
      <c r="G1352" s="4" t="str">
        <f aca="false">IF($D1352="","",$A1352&amp;"|"&amp;$B1352&amp;"|"&amp;$C1352&amp;"|"&amp;$D1352)</f>
        <v/>
      </c>
      <c r="H1352" s="4" t="str">
        <f aca="false">IF($D1352="","",$G1352&amp;"|"&amp;TEXT($E1352,"0.000000"))</f>
        <v/>
      </c>
      <c r="I1352" s="29" t="str">
        <f aca="false">IF($D1352="","",IF(ISNUMBER($E1352),FLOOR(($E1352-$B1352)*24,1),""))</f>
        <v/>
      </c>
      <c r="J1352" s="10" t="str">
        <f aca="false">IF($D1352="","",IFERROR(IF(VLOOKUP($F1352,Dim_Analyst!$A:$C,3,0)="Yes","Yes","No"),"No"))</f>
        <v/>
      </c>
    </row>
    <row r="1353" customFormat="false" ht="15" hidden="false" customHeight="true" outlineLevel="0" collapsed="false">
      <c r="G1353" s="4" t="str">
        <f aca="false">IF($D1353="","",$A1353&amp;"|"&amp;$B1353&amp;"|"&amp;$C1353&amp;"|"&amp;$D1353)</f>
        <v/>
      </c>
      <c r="H1353" s="4" t="str">
        <f aca="false">IF($D1353="","",$G1353&amp;"|"&amp;TEXT($E1353,"0.000000"))</f>
        <v/>
      </c>
      <c r="I1353" s="29" t="str">
        <f aca="false">IF($D1353="","",IF(ISNUMBER($E1353),FLOOR(($E1353-$B1353)*24,1),""))</f>
        <v/>
      </c>
      <c r="J1353" s="10" t="str">
        <f aca="false">IF($D1353="","",IFERROR(IF(VLOOKUP($F1353,Dim_Analyst!$A:$C,3,0)="Yes","Yes","No"),"No"))</f>
        <v/>
      </c>
    </row>
    <row r="1354" customFormat="false" ht="15" hidden="false" customHeight="true" outlineLevel="0" collapsed="false">
      <c r="G1354" s="4" t="str">
        <f aca="false">IF($D1354="","",$A1354&amp;"|"&amp;$B1354&amp;"|"&amp;$C1354&amp;"|"&amp;$D1354)</f>
        <v/>
      </c>
      <c r="H1354" s="4" t="str">
        <f aca="false">IF($D1354="","",$G1354&amp;"|"&amp;TEXT($E1354,"0.000000"))</f>
        <v/>
      </c>
      <c r="I1354" s="29" t="str">
        <f aca="false">IF($D1354="","",IF(ISNUMBER($E1354),FLOOR(($E1354-$B1354)*24,1),""))</f>
        <v/>
      </c>
      <c r="J1354" s="10" t="str">
        <f aca="false">IF($D1354="","",IFERROR(IF(VLOOKUP($F1354,Dim_Analyst!$A:$C,3,0)="Yes","Yes","No"),"No"))</f>
        <v/>
      </c>
    </row>
    <row r="1355" customFormat="false" ht="15" hidden="false" customHeight="true" outlineLevel="0" collapsed="false">
      <c r="G1355" s="4" t="str">
        <f aca="false">IF($D1355="","",$A1355&amp;"|"&amp;$B1355&amp;"|"&amp;$C1355&amp;"|"&amp;$D1355)</f>
        <v/>
      </c>
      <c r="H1355" s="4" t="str">
        <f aca="false">IF($D1355="","",$G1355&amp;"|"&amp;TEXT($E1355,"0.000000"))</f>
        <v/>
      </c>
      <c r="I1355" s="29" t="str">
        <f aca="false">IF($D1355="","",IF(ISNUMBER($E1355),FLOOR(($E1355-$B1355)*24,1),""))</f>
        <v/>
      </c>
      <c r="J1355" s="10" t="str">
        <f aca="false">IF($D1355="","",IFERROR(IF(VLOOKUP($F1355,Dim_Analyst!$A:$C,3,0)="Yes","Yes","No"),"No"))</f>
        <v/>
      </c>
    </row>
    <row r="1356" customFormat="false" ht="15" hidden="false" customHeight="true" outlineLevel="0" collapsed="false">
      <c r="G1356" s="4" t="str">
        <f aca="false">IF($D1356="","",$A1356&amp;"|"&amp;$B1356&amp;"|"&amp;$C1356&amp;"|"&amp;$D1356)</f>
        <v/>
      </c>
      <c r="H1356" s="4" t="str">
        <f aca="false">IF($D1356="","",$G1356&amp;"|"&amp;TEXT($E1356,"0.000000"))</f>
        <v/>
      </c>
      <c r="I1356" s="29" t="str">
        <f aca="false">IF($D1356="","",IF(ISNUMBER($E1356),FLOOR(($E1356-$B1356)*24,1),""))</f>
        <v/>
      </c>
      <c r="J1356" s="10" t="str">
        <f aca="false">IF($D1356="","",IFERROR(IF(VLOOKUP($F1356,Dim_Analyst!$A:$C,3,0)="Yes","Yes","No"),"No"))</f>
        <v/>
      </c>
    </row>
    <row r="1357" customFormat="false" ht="15" hidden="false" customHeight="true" outlineLevel="0" collapsed="false">
      <c r="G1357" s="4" t="str">
        <f aca="false">IF($D1357="","",$A1357&amp;"|"&amp;$B1357&amp;"|"&amp;$C1357&amp;"|"&amp;$D1357)</f>
        <v/>
      </c>
      <c r="H1357" s="4" t="str">
        <f aca="false">IF($D1357="","",$G1357&amp;"|"&amp;TEXT($E1357,"0.000000"))</f>
        <v/>
      </c>
      <c r="I1357" s="29" t="str">
        <f aca="false">IF($D1357="","",IF(ISNUMBER($E1357),FLOOR(($E1357-$B1357)*24,1),""))</f>
        <v/>
      </c>
      <c r="J1357" s="10" t="str">
        <f aca="false">IF($D1357="","",IFERROR(IF(VLOOKUP($F1357,Dim_Analyst!$A:$C,3,0)="Yes","Yes","No"),"No"))</f>
        <v/>
      </c>
    </row>
    <row r="1358" customFormat="false" ht="15" hidden="false" customHeight="true" outlineLevel="0" collapsed="false">
      <c r="G1358" s="4" t="str">
        <f aca="false">IF($D1358="","",$A1358&amp;"|"&amp;$B1358&amp;"|"&amp;$C1358&amp;"|"&amp;$D1358)</f>
        <v/>
      </c>
      <c r="H1358" s="4" t="str">
        <f aca="false">IF($D1358="","",$G1358&amp;"|"&amp;TEXT($E1358,"0.000000"))</f>
        <v/>
      </c>
      <c r="I1358" s="29" t="str">
        <f aca="false">IF($D1358="","",IF(ISNUMBER($E1358),FLOOR(($E1358-$B1358)*24,1),""))</f>
        <v/>
      </c>
      <c r="J1358" s="10" t="str">
        <f aca="false">IF($D1358="","",IFERROR(IF(VLOOKUP($F1358,Dim_Analyst!$A:$C,3,0)="Yes","Yes","No"),"No"))</f>
        <v/>
      </c>
    </row>
    <row r="1359" customFormat="false" ht="15" hidden="false" customHeight="true" outlineLevel="0" collapsed="false">
      <c r="G1359" s="4" t="str">
        <f aca="false">IF($D1359="","",$A1359&amp;"|"&amp;$B1359&amp;"|"&amp;$C1359&amp;"|"&amp;$D1359)</f>
        <v/>
      </c>
      <c r="H1359" s="4" t="str">
        <f aca="false">IF($D1359="","",$G1359&amp;"|"&amp;TEXT($E1359,"0.000000"))</f>
        <v/>
      </c>
      <c r="I1359" s="29" t="str">
        <f aca="false">IF($D1359="","",IF(ISNUMBER($E1359),FLOOR(($E1359-$B1359)*24,1),""))</f>
        <v/>
      </c>
      <c r="J1359" s="10" t="str">
        <f aca="false">IF($D1359="","",IFERROR(IF(VLOOKUP($F1359,Dim_Analyst!$A:$C,3,0)="Yes","Yes","No"),"No"))</f>
        <v/>
      </c>
    </row>
    <row r="1360" customFormat="false" ht="15" hidden="false" customHeight="true" outlineLevel="0" collapsed="false">
      <c r="G1360" s="4" t="str">
        <f aca="false">IF($D1360="","",$A1360&amp;"|"&amp;$B1360&amp;"|"&amp;$C1360&amp;"|"&amp;$D1360)</f>
        <v/>
      </c>
      <c r="H1360" s="4" t="str">
        <f aca="false">IF($D1360="","",$G1360&amp;"|"&amp;TEXT($E1360,"0.000000"))</f>
        <v/>
      </c>
      <c r="I1360" s="29" t="str">
        <f aca="false">IF($D1360="","",IF(ISNUMBER($E1360),FLOOR(($E1360-$B1360)*24,1),""))</f>
        <v/>
      </c>
      <c r="J1360" s="10" t="str">
        <f aca="false">IF($D1360="","",IFERROR(IF(VLOOKUP($F1360,Dim_Analyst!$A:$C,3,0)="Yes","Yes","No"),"No"))</f>
        <v/>
      </c>
    </row>
    <row r="1361" customFormat="false" ht="15" hidden="false" customHeight="true" outlineLevel="0" collapsed="false">
      <c r="G1361" s="4" t="str">
        <f aca="false">IF($D1361="","",$A1361&amp;"|"&amp;$B1361&amp;"|"&amp;$C1361&amp;"|"&amp;$D1361)</f>
        <v/>
      </c>
      <c r="H1361" s="4" t="str">
        <f aca="false">IF($D1361="","",$G1361&amp;"|"&amp;TEXT($E1361,"0.000000"))</f>
        <v/>
      </c>
      <c r="I1361" s="29" t="str">
        <f aca="false">IF($D1361="","",IF(ISNUMBER($E1361),FLOOR(($E1361-$B1361)*24,1),""))</f>
        <v/>
      </c>
      <c r="J1361" s="10" t="str">
        <f aca="false">IF($D1361="","",IFERROR(IF(VLOOKUP($F1361,Dim_Analyst!$A:$C,3,0)="Yes","Yes","No"),"No"))</f>
        <v/>
      </c>
    </row>
    <row r="1362" customFormat="false" ht="15" hidden="false" customHeight="true" outlineLevel="0" collapsed="false">
      <c r="G1362" s="4" t="str">
        <f aca="false">IF($D1362="","",$A1362&amp;"|"&amp;$B1362&amp;"|"&amp;$C1362&amp;"|"&amp;$D1362)</f>
        <v/>
      </c>
      <c r="H1362" s="4" t="str">
        <f aca="false">IF($D1362="","",$G1362&amp;"|"&amp;TEXT($E1362,"0.000000"))</f>
        <v/>
      </c>
      <c r="I1362" s="29" t="str">
        <f aca="false">IF($D1362="","",IF(ISNUMBER($E1362),FLOOR(($E1362-$B1362)*24,1),""))</f>
        <v/>
      </c>
      <c r="J1362" s="10" t="str">
        <f aca="false">IF($D1362="","",IFERROR(IF(VLOOKUP($F1362,Dim_Analyst!$A:$C,3,0)="Yes","Yes","No"),"No"))</f>
        <v/>
      </c>
    </row>
    <row r="1363" customFormat="false" ht="15" hidden="false" customHeight="true" outlineLevel="0" collapsed="false">
      <c r="G1363" s="4" t="str">
        <f aca="false">IF($D1363="","",$A1363&amp;"|"&amp;$B1363&amp;"|"&amp;$C1363&amp;"|"&amp;$D1363)</f>
        <v/>
      </c>
      <c r="H1363" s="4" t="str">
        <f aca="false">IF($D1363="","",$G1363&amp;"|"&amp;TEXT($E1363,"0.000000"))</f>
        <v/>
      </c>
      <c r="I1363" s="29" t="str">
        <f aca="false">IF($D1363="","",IF(ISNUMBER($E1363),FLOOR(($E1363-$B1363)*24,1),""))</f>
        <v/>
      </c>
      <c r="J1363" s="10" t="str">
        <f aca="false">IF($D1363="","",IFERROR(IF(VLOOKUP($F1363,Dim_Analyst!$A:$C,3,0)="Yes","Yes","No"),"No"))</f>
        <v/>
      </c>
    </row>
    <row r="1364" customFormat="false" ht="15" hidden="false" customHeight="true" outlineLevel="0" collapsed="false">
      <c r="G1364" s="4" t="str">
        <f aca="false">IF($D1364="","",$A1364&amp;"|"&amp;$B1364&amp;"|"&amp;$C1364&amp;"|"&amp;$D1364)</f>
        <v/>
      </c>
      <c r="H1364" s="4" t="str">
        <f aca="false">IF($D1364="","",$G1364&amp;"|"&amp;TEXT($E1364,"0.000000"))</f>
        <v/>
      </c>
      <c r="I1364" s="29" t="str">
        <f aca="false">IF($D1364="","",IF(ISNUMBER($E1364),FLOOR(($E1364-$B1364)*24,1),""))</f>
        <v/>
      </c>
      <c r="J1364" s="10" t="str">
        <f aca="false">IF($D1364="","",IFERROR(IF(VLOOKUP($F1364,Dim_Analyst!$A:$C,3,0)="Yes","Yes","No"),"No"))</f>
        <v/>
      </c>
    </row>
    <row r="1365" customFormat="false" ht="15" hidden="false" customHeight="true" outlineLevel="0" collapsed="false">
      <c r="G1365" s="4" t="str">
        <f aca="false">IF($D1365="","",$A1365&amp;"|"&amp;$B1365&amp;"|"&amp;$C1365&amp;"|"&amp;$D1365)</f>
        <v/>
      </c>
      <c r="H1365" s="4" t="str">
        <f aca="false">IF($D1365="","",$G1365&amp;"|"&amp;TEXT($E1365,"0.000000"))</f>
        <v/>
      </c>
      <c r="I1365" s="29" t="str">
        <f aca="false">IF($D1365="","",IF(ISNUMBER($E1365),FLOOR(($E1365-$B1365)*24,1),""))</f>
        <v/>
      </c>
      <c r="J1365" s="10" t="str">
        <f aca="false">IF($D1365="","",IFERROR(IF(VLOOKUP($F1365,Dim_Analyst!$A:$C,3,0)="Yes","Yes","No"),"No"))</f>
        <v/>
      </c>
    </row>
    <row r="1366" customFormat="false" ht="15" hidden="false" customHeight="true" outlineLevel="0" collapsed="false">
      <c r="G1366" s="4" t="str">
        <f aca="false">IF($D1366="","",$A1366&amp;"|"&amp;$B1366&amp;"|"&amp;$C1366&amp;"|"&amp;$D1366)</f>
        <v/>
      </c>
      <c r="H1366" s="4" t="str">
        <f aca="false">IF($D1366="","",$G1366&amp;"|"&amp;TEXT($E1366,"0.000000"))</f>
        <v/>
      </c>
      <c r="I1366" s="29" t="str">
        <f aca="false">IF($D1366="","",IF(ISNUMBER($E1366),FLOOR(($E1366-$B1366)*24,1),""))</f>
        <v/>
      </c>
      <c r="J1366" s="10" t="str">
        <f aca="false">IF($D1366="","",IFERROR(IF(VLOOKUP($F1366,Dim_Analyst!$A:$C,3,0)="Yes","Yes","No"),"No"))</f>
        <v/>
      </c>
    </row>
    <row r="1367" customFormat="false" ht="15" hidden="false" customHeight="true" outlineLevel="0" collapsed="false">
      <c r="G1367" s="4" t="str">
        <f aca="false">IF($D1367="","",$A1367&amp;"|"&amp;$B1367&amp;"|"&amp;$C1367&amp;"|"&amp;$D1367)</f>
        <v/>
      </c>
      <c r="H1367" s="4" t="str">
        <f aca="false">IF($D1367="","",$G1367&amp;"|"&amp;TEXT($E1367,"0.000000"))</f>
        <v/>
      </c>
      <c r="I1367" s="29" t="str">
        <f aca="false">IF($D1367="","",IF(ISNUMBER($E1367),FLOOR(($E1367-$B1367)*24,1),""))</f>
        <v/>
      </c>
      <c r="J1367" s="10" t="str">
        <f aca="false">IF($D1367="","",IFERROR(IF(VLOOKUP($F1367,Dim_Analyst!$A:$C,3,0)="Yes","Yes","No"),"No"))</f>
        <v/>
      </c>
    </row>
    <row r="1368" customFormat="false" ht="15" hidden="false" customHeight="true" outlineLevel="0" collapsed="false">
      <c r="G1368" s="4" t="str">
        <f aca="false">IF($D1368="","",$A1368&amp;"|"&amp;$B1368&amp;"|"&amp;$C1368&amp;"|"&amp;$D1368)</f>
        <v/>
      </c>
      <c r="H1368" s="4" t="str">
        <f aca="false">IF($D1368="","",$G1368&amp;"|"&amp;TEXT($E1368,"0.000000"))</f>
        <v/>
      </c>
      <c r="I1368" s="29" t="str">
        <f aca="false">IF($D1368="","",IF(ISNUMBER($E1368),FLOOR(($E1368-$B1368)*24,1),""))</f>
        <v/>
      </c>
      <c r="J1368" s="10" t="str">
        <f aca="false">IF($D1368="","",IFERROR(IF(VLOOKUP($F1368,Dim_Analyst!$A:$C,3,0)="Yes","Yes","No"),"No"))</f>
        <v/>
      </c>
    </row>
    <row r="1369" customFormat="false" ht="15" hidden="false" customHeight="true" outlineLevel="0" collapsed="false">
      <c r="G1369" s="4" t="str">
        <f aca="false">IF($D1369="","",$A1369&amp;"|"&amp;$B1369&amp;"|"&amp;$C1369&amp;"|"&amp;$D1369)</f>
        <v/>
      </c>
      <c r="H1369" s="4" t="str">
        <f aca="false">IF($D1369="","",$G1369&amp;"|"&amp;TEXT($E1369,"0.000000"))</f>
        <v/>
      </c>
      <c r="I1369" s="29" t="str">
        <f aca="false">IF($D1369="","",IF(ISNUMBER($E1369),FLOOR(($E1369-$B1369)*24,1),""))</f>
        <v/>
      </c>
      <c r="J1369" s="10" t="str">
        <f aca="false">IF($D1369="","",IFERROR(IF(VLOOKUP($F1369,Dim_Analyst!$A:$C,3,0)="Yes","Yes","No"),"No"))</f>
        <v/>
      </c>
    </row>
    <row r="1370" customFormat="false" ht="15" hidden="false" customHeight="true" outlineLevel="0" collapsed="false">
      <c r="G1370" s="4" t="str">
        <f aca="false">IF($D1370="","",$A1370&amp;"|"&amp;$B1370&amp;"|"&amp;$C1370&amp;"|"&amp;$D1370)</f>
        <v/>
      </c>
      <c r="H1370" s="4" t="str">
        <f aca="false">IF($D1370="","",$G1370&amp;"|"&amp;TEXT($E1370,"0.000000"))</f>
        <v/>
      </c>
      <c r="I1370" s="29" t="str">
        <f aca="false">IF($D1370="","",IF(ISNUMBER($E1370),FLOOR(($E1370-$B1370)*24,1),""))</f>
        <v/>
      </c>
      <c r="J1370" s="10" t="str">
        <f aca="false">IF($D1370="","",IFERROR(IF(VLOOKUP($F1370,Dim_Analyst!$A:$C,3,0)="Yes","Yes","No"),"No"))</f>
        <v/>
      </c>
    </row>
    <row r="1371" customFormat="false" ht="15" hidden="false" customHeight="true" outlineLevel="0" collapsed="false">
      <c r="G1371" s="4" t="str">
        <f aca="false">IF($D1371="","",$A1371&amp;"|"&amp;$B1371&amp;"|"&amp;$C1371&amp;"|"&amp;$D1371)</f>
        <v/>
      </c>
      <c r="H1371" s="4" t="str">
        <f aca="false">IF($D1371="","",$G1371&amp;"|"&amp;TEXT($E1371,"0.000000"))</f>
        <v/>
      </c>
      <c r="I1371" s="29" t="str">
        <f aca="false">IF($D1371="","",IF(ISNUMBER($E1371),FLOOR(($E1371-$B1371)*24,1),""))</f>
        <v/>
      </c>
      <c r="J1371" s="10" t="str">
        <f aca="false">IF($D1371="","",IFERROR(IF(VLOOKUP($F1371,Dim_Analyst!$A:$C,3,0)="Yes","Yes","No"),"No"))</f>
        <v/>
      </c>
    </row>
    <row r="1372" customFormat="false" ht="15" hidden="false" customHeight="true" outlineLevel="0" collapsed="false">
      <c r="G1372" s="4" t="str">
        <f aca="false">IF($D1372="","",$A1372&amp;"|"&amp;$B1372&amp;"|"&amp;$C1372&amp;"|"&amp;$D1372)</f>
        <v/>
      </c>
      <c r="H1372" s="4" t="str">
        <f aca="false">IF($D1372="","",$G1372&amp;"|"&amp;TEXT($E1372,"0.000000"))</f>
        <v/>
      </c>
      <c r="I1372" s="29" t="str">
        <f aca="false">IF($D1372="","",IF(ISNUMBER($E1372),FLOOR(($E1372-$B1372)*24,1),""))</f>
        <v/>
      </c>
      <c r="J1372" s="10" t="str">
        <f aca="false">IF($D1372="","",IFERROR(IF(VLOOKUP($F1372,Dim_Analyst!$A:$C,3,0)="Yes","Yes","No"),"No"))</f>
        <v/>
      </c>
    </row>
    <row r="1373" customFormat="false" ht="15" hidden="false" customHeight="true" outlineLevel="0" collapsed="false">
      <c r="G1373" s="4" t="str">
        <f aca="false">IF($D1373="","",$A1373&amp;"|"&amp;$B1373&amp;"|"&amp;$C1373&amp;"|"&amp;$D1373)</f>
        <v/>
      </c>
      <c r="H1373" s="4" t="str">
        <f aca="false">IF($D1373="","",$G1373&amp;"|"&amp;TEXT($E1373,"0.000000"))</f>
        <v/>
      </c>
      <c r="I1373" s="29" t="str">
        <f aca="false">IF($D1373="","",IF(ISNUMBER($E1373),FLOOR(($E1373-$B1373)*24,1),""))</f>
        <v/>
      </c>
      <c r="J1373" s="10" t="str">
        <f aca="false">IF($D1373="","",IFERROR(IF(VLOOKUP($F1373,Dim_Analyst!$A:$C,3,0)="Yes","Yes","No"),"No"))</f>
        <v/>
      </c>
    </row>
    <row r="1374" customFormat="false" ht="15" hidden="false" customHeight="true" outlineLevel="0" collapsed="false">
      <c r="G1374" s="4" t="str">
        <f aca="false">IF($D1374="","",$A1374&amp;"|"&amp;$B1374&amp;"|"&amp;$C1374&amp;"|"&amp;$D1374)</f>
        <v/>
      </c>
      <c r="H1374" s="4" t="str">
        <f aca="false">IF($D1374="","",$G1374&amp;"|"&amp;TEXT($E1374,"0.000000"))</f>
        <v/>
      </c>
      <c r="I1374" s="29" t="str">
        <f aca="false">IF($D1374="","",IF(ISNUMBER($E1374),FLOOR(($E1374-$B1374)*24,1),""))</f>
        <v/>
      </c>
      <c r="J1374" s="10" t="str">
        <f aca="false">IF($D1374="","",IFERROR(IF(VLOOKUP($F1374,Dim_Analyst!$A:$C,3,0)="Yes","Yes","No"),"No"))</f>
        <v/>
      </c>
    </row>
    <row r="1375" customFormat="false" ht="15" hidden="false" customHeight="true" outlineLevel="0" collapsed="false">
      <c r="G1375" s="4" t="str">
        <f aca="false">IF($D1375="","",$A1375&amp;"|"&amp;$B1375&amp;"|"&amp;$C1375&amp;"|"&amp;$D1375)</f>
        <v/>
      </c>
      <c r="H1375" s="4" t="str">
        <f aca="false">IF($D1375="","",$G1375&amp;"|"&amp;TEXT($E1375,"0.000000"))</f>
        <v/>
      </c>
      <c r="I1375" s="29" t="str">
        <f aca="false">IF($D1375="","",IF(ISNUMBER($E1375),FLOOR(($E1375-$B1375)*24,1),""))</f>
        <v/>
      </c>
      <c r="J1375" s="10" t="str">
        <f aca="false">IF($D1375="","",IFERROR(IF(VLOOKUP($F1375,Dim_Analyst!$A:$C,3,0)="Yes","Yes","No"),"No"))</f>
        <v/>
      </c>
    </row>
    <row r="1376" customFormat="false" ht="15" hidden="false" customHeight="true" outlineLevel="0" collapsed="false">
      <c r="G1376" s="4" t="str">
        <f aca="false">IF($D1376="","",$A1376&amp;"|"&amp;$B1376&amp;"|"&amp;$C1376&amp;"|"&amp;$D1376)</f>
        <v/>
      </c>
      <c r="H1376" s="4" t="str">
        <f aca="false">IF($D1376="","",$G1376&amp;"|"&amp;TEXT($E1376,"0.000000"))</f>
        <v/>
      </c>
      <c r="I1376" s="29" t="str">
        <f aca="false">IF($D1376="","",IF(ISNUMBER($E1376),FLOOR(($E1376-$B1376)*24,1),""))</f>
        <v/>
      </c>
      <c r="J1376" s="10" t="str">
        <f aca="false">IF($D1376="","",IFERROR(IF(VLOOKUP($F1376,Dim_Analyst!$A:$C,3,0)="Yes","Yes","No"),"No"))</f>
        <v/>
      </c>
    </row>
    <row r="1377" customFormat="false" ht="15" hidden="false" customHeight="true" outlineLevel="0" collapsed="false">
      <c r="G1377" s="4" t="str">
        <f aca="false">IF($D1377="","",$A1377&amp;"|"&amp;$B1377&amp;"|"&amp;$C1377&amp;"|"&amp;$D1377)</f>
        <v/>
      </c>
      <c r="H1377" s="4" t="str">
        <f aca="false">IF($D1377="","",$G1377&amp;"|"&amp;TEXT($E1377,"0.000000"))</f>
        <v/>
      </c>
      <c r="I1377" s="29" t="str">
        <f aca="false">IF($D1377="","",IF(ISNUMBER($E1377),FLOOR(($E1377-$B1377)*24,1),""))</f>
        <v/>
      </c>
      <c r="J1377" s="10" t="str">
        <f aca="false">IF($D1377="","",IFERROR(IF(VLOOKUP($F1377,Dim_Analyst!$A:$C,3,0)="Yes","Yes","No"),"No"))</f>
        <v/>
      </c>
    </row>
    <row r="1378" customFormat="false" ht="15" hidden="false" customHeight="true" outlineLevel="0" collapsed="false">
      <c r="G1378" s="4" t="str">
        <f aca="false">IF($D1378="","",$A1378&amp;"|"&amp;$B1378&amp;"|"&amp;$C1378&amp;"|"&amp;$D1378)</f>
        <v/>
      </c>
      <c r="H1378" s="4" t="str">
        <f aca="false">IF($D1378="","",$G1378&amp;"|"&amp;TEXT($E1378,"0.000000"))</f>
        <v/>
      </c>
      <c r="I1378" s="29" t="str">
        <f aca="false">IF($D1378="","",IF(ISNUMBER($E1378),FLOOR(($E1378-$B1378)*24,1),""))</f>
        <v/>
      </c>
      <c r="J1378" s="10" t="str">
        <f aca="false">IF($D1378="","",IFERROR(IF(VLOOKUP($F1378,Dim_Analyst!$A:$C,3,0)="Yes","Yes","No"),"No"))</f>
        <v/>
      </c>
    </row>
    <row r="1379" customFormat="false" ht="15" hidden="false" customHeight="true" outlineLevel="0" collapsed="false">
      <c r="G1379" s="4" t="str">
        <f aca="false">IF($D1379="","",$A1379&amp;"|"&amp;$B1379&amp;"|"&amp;$C1379&amp;"|"&amp;$D1379)</f>
        <v/>
      </c>
      <c r="H1379" s="4" t="str">
        <f aca="false">IF($D1379="","",$G1379&amp;"|"&amp;TEXT($E1379,"0.000000"))</f>
        <v/>
      </c>
      <c r="I1379" s="29" t="str">
        <f aca="false">IF($D1379="","",IF(ISNUMBER($E1379),FLOOR(($E1379-$B1379)*24,1),""))</f>
        <v/>
      </c>
      <c r="J1379" s="10" t="str">
        <f aca="false">IF($D1379="","",IFERROR(IF(VLOOKUP($F1379,Dim_Analyst!$A:$C,3,0)="Yes","Yes","No"),"No"))</f>
        <v/>
      </c>
    </row>
    <row r="1380" customFormat="false" ht="15" hidden="false" customHeight="true" outlineLevel="0" collapsed="false">
      <c r="G1380" s="4" t="str">
        <f aca="false">IF($D1380="","",$A1380&amp;"|"&amp;$B1380&amp;"|"&amp;$C1380&amp;"|"&amp;$D1380)</f>
        <v/>
      </c>
      <c r="H1380" s="4" t="str">
        <f aca="false">IF($D1380="","",$G1380&amp;"|"&amp;TEXT($E1380,"0.000000"))</f>
        <v/>
      </c>
      <c r="I1380" s="29" t="str">
        <f aca="false">IF($D1380="","",IF(ISNUMBER($E1380),FLOOR(($E1380-$B1380)*24,1),""))</f>
        <v/>
      </c>
      <c r="J1380" s="10" t="str">
        <f aca="false">IF($D1380="","",IFERROR(IF(VLOOKUP($F1380,Dim_Analyst!$A:$C,3,0)="Yes","Yes","No"),"No"))</f>
        <v/>
      </c>
    </row>
    <row r="1381" customFormat="false" ht="15" hidden="false" customHeight="true" outlineLevel="0" collapsed="false">
      <c r="G1381" s="4" t="str">
        <f aca="false">IF($D1381="","",$A1381&amp;"|"&amp;$B1381&amp;"|"&amp;$C1381&amp;"|"&amp;$D1381)</f>
        <v/>
      </c>
      <c r="H1381" s="4" t="str">
        <f aca="false">IF($D1381="","",$G1381&amp;"|"&amp;TEXT($E1381,"0.000000"))</f>
        <v/>
      </c>
      <c r="I1381" s="29" t="str">
        <f aca="false">IF($D1381="","",IF(ISNUMBER($E1381),FLOOR(($E1381-$B1381)*24,1),""))</f>
        <v/>
      </c>
      <c r="J1381" s="10" t="str">
        <f aca="false">IF($D1381="","",IFERROR(IF(VLOOKUP($F1381,Dim_Analyst!$A:$C,3,0)="Yes","Yes","No"),"No"))</f>
        <v/>
      </c>
    </row>
    <row r="1382" customFormat="false" ht="15" hidden="false" customHeight="true" outlineLevel="0" collapsed="false">
      <c r="G1382" s="4" t="str">
        <f aca="false">IF($D1382="","",$A1382&amp;"|"&amp;$B1382&amp;"|"&amp;$C1382&amp;"|"&amp;$D1382)</f>
        <v/>
      </c>
      <c r="H1382" s="4" t="str">
        <f aca="false">IF($D1382="","",$G1382&amp;"|"&amp;TEXT($E1382,"0.000000"))</f>
        <v/>
      </c>
      <c r="I1382" s="29" t="str">
        <f aca="false">IF($D1382="","",IF(ISNUMBER($E1382),FLOOR(($E1382-$B1382)*24,1),""))</f>
        <v/>
      </c>
      <c r="J1382" s="10" t="str">
        <f aca="false">IF($D1382="","",IFERROR(IF(VLOOKUP($F1382,Dim_Analyst!$A:$C,3,0)="Yes","Yes","No"),"No"))</f>
        <v/>
      </c>
    </row>
    <row r="1383" customFormat="false" ht="15" hidden="false" customHeight="true" outlineLevel="0" collapsed="false">
      <c r="G1383" s="4" t="str">
        <f aca="false">IF($D1383="","",$A1383&amp;"|"&amp;$B1383&amp;"|"&amp;$C1383&amp;"|"&amp;$D1383)</f>
        <v/>
      </c>
      <c r="H1383" s="4" t="str">
        <f aca="false">IF($D1383="","",$G1383&amp;"|"&amp;TEXT($E1383,"0.000000"))</f>
        <v/>
      </c>
      <c r="I1383" s="29" t="str">
        <f aca="false">IF($D1383="","",IF(ISNUMBER($E1383),FLOOR(($E1383-$B1383)*24,1),""))</f>
        <v/>
      </c>
      <c r="J1383" s="10" t="str">
        <f aca="false">IF($D1383="","",IFERROR(IF(VLOOKUP($F1383,Dim_Analyst!$A:$C,3,0)="Yes","Yes","No"),"No"))</f>
        <v/>
      </c>
    </row>
    <row r="1384" customFormat="false" ht="15" hidden="false" customHeight="true" outlineLevel="0" collapsed="false">
      <c r="G1384" s="4" t="str">
        <f aca="false">IF($D1384="","",$A1384&amp;"|"&amp;$B1384&amp;"|"&amp;$C1384&amp;"|"&amp;$D1384)</f>
        <v/>
      </c>
      <c r="H1384" s="4" t="str">
        <f aca="false">IF($D1384="","",$G1384&amp;"|"&amp;TEXT($E1384,"0.000000"))</f>
        <v/>
      </c>
      <c r="I1384" s="29" t="str">
        <f aca="false">IF($D1384="","",IF(ISNUMBER($E1384),FLOOR(($E1384-$B1384)*24,1),""))</f>
        <v/>
      </c>
      <c r="J1384" s="10" t="str">
        <f aca="false">IF($D1384="","",IFERROR(IF(VLOOKUP($F1384,Dim_Analyst!$A:$C,3,0)="Yes","Yes","No"),"No"))</f>
        <v/>
      </c>
    </row>
    <row r="1385" customFormat="false" ht="15" hidden="false" customHeight="true" outlineLevel="0" collapsed="false">
      <c r="G1385" s="4" t="str">
        <f aca="false">IF($D1385="","",$A1385&amp;"|"&amp;$B1385&amp;"|"&amp;$C1385&amp;"|"&amp;$D1385)</f>
        <v/>
      </c>
      <c r="H1385" s="4" t="str">
        <f aca="false">IF($D1385="","",$G1385&amp;"|"&amp;TEXT($E1385,"0.000000"))</f>
        <v/>
      </c>
      <c r="I1385" s="29" t="str">
        <f aca="false">IF($D1385="","",IF(ISNUMBER($E1385),FLOOR(($E1385-$B1385)*24,1),""))</f>
        <v/>
      </c>
      <c r="J1385" s="10" t="str">
        <f aca="false">IF($D1385="","",IFERROR(IF(VLOOKUP($F1385,Dim_Analyst!$A:$C,3,0)="Yes","Yes","No"),"No"))</f>
        <v/>
      </c>
    </row>
    <row r="1386" customFormat="false" ht="15" hidden="false" customHeight="true" outlineLevel="0" collapsed="false">
      <c r="G1386" s="4" t="str">
        <f aca="false">IF($D1386="","",$A1386&amp;"|"&amp;$B1386&amp;"|"&amp;$C1386&amp;"|"&amp;$D1386)</f>
        <v/>
      </c>
      <c r="H1386" s="4" t="str">
        <f aca="false">IF($D1386="","",$G1386&amp;"|"&amp;TEXT($E1386,"0.000000"))</f>
        <v/>
      </c>
      <c r="I1386" s="29" t="str">
        <f aca="false">IF($D1386="","",IF(ISNUMBER($E1386),FLOOR(($E1386-$B1386)*24,1),""))</f>
        <v/>
      </c>
      <c r="J1386" s="10" t="str">
        <f aca="false">IF($D1386="","",IFERROR(IF(VLOOKUP($F1386,Dim_Analyst!$A:$C,3,0)="Yes","Yes","No"),"No"))</f>
        <v/>
      </c>
    </row>
    <row r="1387" customFormat="false" ht="15" hidden="false" customHeight="true" outlineLevel="0" collapsed="false">
      <c r="G1387" s="4" t="str">
        <f aca="false">IF($D1387="","",$A1387&amp;"|"&amp;$B1387&amp;"|"&amp;$C1387&amp;"|"&amp;$D1387)</f>
        <v/>
      </c>
      <c r="H1387" s="4" t="str">
        <f aca="false">IF($D1387="","",$G1387&amp;"|"&amp;TEXT($E1387,"0.000000"))</f>
        <v/>
      </c>
      <c r="I1387" s="29" t="str">
        <f aca="false">IF($D1387="","",IF(ISNUMBER($E1387),FLOOR(($E1387-$B1387)*24,1),""))</f>
        <v/>
      </c>
      <c r="J1387" s="10" t="str">
        <f aca="false">IF($D1387="","",IFERROR(IF(VLOOKUP($F1387,Dim_Analyst!$A:$C,3,0)="Yes","Yes","No"),"No"))</f>
        <v/>
      </c>
    </row>
    <row r="1388" customFormat="false" ht="15" hidden="false" customHeight="true" outlineLevel="0" collapsed="false">
      <c r="G1388" s="4" t="str">
        <f aca="false">IF($D1388="","",$A1388&amp;"|"&amp;$B1388&amp;"|"&amp;$C1388&amp;"|"&amp;$D1388)</f>
        <v/>
      </c>
      <c r="H1388" s="4" t="str">
        <f aca="false">IF($D1388="","",$G1388&amp;"|"&amp;TEXT($E1388,"0.000000"))</f>
        <v/>
      </c>
      <c r="I1388" s="29" t="str">
        <f aca="false">IF($D1388="","",IF(ISNUMBER($E1388),FLOOR(($E1388-$B1388)*24,1),""))</f>
        <v/>
      </c>
      <c r="J1388" s="10" t="str">
        <f aca="false">IF($D1388="","",IFERROR(IF(VLOOKUP($F1388,Dim_Analyst!$A:$C,3,0)="Yes","Yes","No"),"No"))</f>
        <v/>
      </c>
    </row>
    <row r="1389" customFormat="false" ht="15" hidden="false" customHeight="true" outlineLevel="0" collapsed="false">
      <c r="G1389" s="4" t="str">
        <f aca="false">IF($D1389="","",$A1389&amp;"|"&amp;$B1389&amp;"|"&amp;$C1389&amp;"|"&amp;$D1389)</f>
        <v/>
      </c>
      <c r="H1389" s="4" t="str">
        <f aca="false">IF($D1389="","",$G1389&amp;"|"&amp;TEXT($E1389,"0.000000"))</f>
        <v/>
      </c>
      <c r="I1389" s="29" t="str">
        <f aca="false">IF($D1389="","",IF(ISNUMBER($E1389),FLOOR(($E1389-$B1389)*24,1),""))</f>
        <v/>
      </c>
      <c r="J1389" s="10" t="str">
        <f aca="false">IF($D1389="","",IFERROR(IF(VLOOKUP($F1389,Dim_Analyst!$A:$C,3,0)="Yes","Yes","No"),"No"))</f>
        <v/>
      </c>
    </row>
    <row r="1390" customFormat="false" ht="15" hidden="false" customHeight="true" outlineLevel="0" collapsed="false">
      <c r="G1390" s="4" t="str">
        <f aca="false">IF($D1390="","",$A1390&amp;"|"&amp;$B1390&amp;"|"&amp;$C1390&amp;"|"&amp;$D1390)</f>
        <v/>
      </c>
      <c r="H1390" s="4" t="str">
        <f aca="false">IF($D1390="","",$G1390&amp;"|"&amp;TEXT($E1390,"0.000000"))</f>
        <v/>
      </c>
      <c r="I1390" s="29" t="str">
        <f aca="false">IF($D1390="","",IF(ISNUMBER($E1390),FLOOR(($E1390-$B1390)*24,1),""))</f>
        <v/>
      </c>
      <c r="J1390" s="10" t="str">
        <f aca="false">IF($D1390="","",IFERROR(IF(VLOOKUP($F1390,Dim_Analyst!$A:$C,3,0)="Yes","Yes","No"),"No"))</f>
        <v/>
      </c>
    </row>
    <row r="1391" customFormat="false" ht="15" hidden="false" customHeight="true" outlineLevel="0" collapsed="false">
      <c r="G1391" s="4" t="str">
        <f aca="false">IF($D1391="","",$A1391&amp;"|"&amp;$B1391&amp;"|"&amp;$C1391&amp;"|"&amp;$D1391)</f>
        <v/>
      </c>
      <c r="H1391" s="4" t="str">
        <f aca="false">IF($D1391="","",$G1391&amp;"|"&amp;TEXT($E1391,"0.000000"))</f>
        <v/>
      </c>
      <c r="I1391" s="29" t="str">
        <f aca="false">IF($D1391="","",IF(ISNUMBER($E1391),FLOOR(($E1391-$B1391)*24,1),""))</f>
        <v/>
      </c>
      <c r="J1391" s="10" t="str">
        <f aca="false">IF($D1391="","",IFERROR(IF(VLOOKUP($F1391,Dim_Analyst!$A:$C,3,0)="Yes","Yes","No"),"No"))</f>
        <v/>
      </c>
    </row>
    <row r="1392" customFormat="false" ht="15" hidden="false" customHeight="true" outlineLevel="0" collapsed="false">
      <c r="G1392" s="4" t="str">
        <f aca="false">IF($D1392="","",$A1392&amp;"|"&amp;$B1392&amp;"|"&amp;$C1392&amp;"|"&amp;$D1392)</f>
        <v/>
      </c>
      <c r="H1392" s="4" t="str">
        <f aca="false">IF($D1392="","",$G1392&amp;"|"&amp;TEXT($E1392,"0.000000"))</f>
        <v/>
      </c>
      <c r="I1392" s="29" t="str">
        <f aca="false">IF($D1392="","",IF(ISNUMBER($E1392),FLOOR(($E1392-$B1392)*24,1),""))</f>
        <v/>
      </c>
      <c r="J1392" s="10" t="str">
        <f aca="false">IF($D1392="","",IFERROR(IF(VLOOKUP($F1392,Dim_Analyst!$A:$C,3,0)="Yes","Yes","No"),"No"))</f>
        <v/>
      </c>
    </row>
    <row r="1393" customFormat="false" ht="15" hidden="false" customHeight="true" outlineLevel="0" collapsed="false">
      <c r="G1393" s="4" t="str">
        <f aca="false">IF($D1393="","",$A1393&amp;"|"&amp;$B1393&amp;"|"&amp;$C1393&amp;"|"&amp;$D1393)</f>
        <v/>
      </c>
      <c r="H1393" s="4" t="str">
        <f aca="false">IF($D1393="","",$G1393&amp;"|"&amp;TEXT($E1393,"0.000000"))</f>
        <v/>
      </c>
      <c r="I1393" s="29" t="str">
        <f aca="false">IF($D1393="","",IF(ISNUMBER($E1393),FLOOR(($E1393-$B1393)*24,1),""))</f>
        <v/>
      </c>
      <c r="J1393" s="10" t="str">
        <f aca="false">IF($D1393="","",IFERROR(IF(VLOOKUP($F1393,Dim_Analyst!$A:$C,3,0)="Yes","Yes","No"),"No"))</f>
        <v/>
      </c>
    </row>
    <row r="1394" customFormat="false" ht="15" hidden="false" customHeight="true" outlineLevel="0" collapsed="false">
      <c r="G1394" s="4" t="str">
        <f aca="false">IF($D1394="","",$A1394&amp;"|"&amp;$B1394&amp;"|"&amp;$C1394&amp;"|"&amp;$D1394)</f>
        <v/>
      </c>
      <c r="H1394" s="4" t="str">
        <f aca="false">IF($D1394="","",$G1394&amp;"|"&amp;TEXT($E1394,"0.000000"))</f>
        <v/>
      </c>
      <c r="I1394" s="29" t="str">
        <f aca="false">IF($D1394="","",IF(ISNUMBER($E1394),FLOOR(($E1394-$B1394)*24,1),""))</f>
        <v/>
      </c>
      <c r="J1394" s="10" t="str">
        <f aca="false">IF($D1394="","",IFERROR(IF(VLOOKUP($F1394,Dim_Analyst!$A:$C,3,0)="Yes","Yes","No"),"No"))</f>
        <v/>
      </c>
    </row>
    <row r="1395" customFormat="false" ht="15" hidden="false" customHeight="true" outlineLevel="0" collapsed="false">
      <c r="G1395" s="4" t="str">
        <f aca="false">IF($D1395="","",$A1395&amp;"|"&amp;$B1395&amp;"|"&amp;$C1395&amp;"|"&amp;$D1395)</f>
        <v/>
      </c>
      <c r="H1395" s="4" t="str">
        <f aca="false">IF($D1395="","",$G1395&amp;"|"&amp;TEXT($E1395,"0.000000"))</f>
        <v/>
      </c>
      <c r="I1395" s="29" t="str">
        <f aca="false">IF($D1395="","",IF(ISNUMBER($E1395),FLOOR(($E1395-$B1395)*24,1),""))</f>
        <v/>
      </c>
      <c r="J1395" s="10" t="str">
        <f aca="false">IF($D1395="","",IFERROR(IF(VLOOKUP($F1395,Dim_Analyst!$A:$C,3,0)="Yes","Yes","No"),"No"))</f>
        <v/>
      </c>
    </row>
    <row r="1396" customFormat="false" ht="15" hidden="false" customHeight="true" outlineLevel="0" collapsed="false">
      <c r="G1396" s="4" t="str">
        <f aca="false">IF($D1396="","",$A1396&amp;"|"&amp;$B1396&amp;"|"&amp;$C1396&amp;"|"&amp;$D1396)</f>
        <v/>
      </c>
      <c r="H1396" s="4" t="str">
        <f aca="false">IF($D1396="","",$G1396&amp;"|"&amp;TEXT($E1396,"0.000000"))</f>
        <v/>
      </c>
      <c r="I1396" s="29" t="str">
        <f aca="false">IF($D1396="","",IF(ISNUMBER($E1396),FLOOR(($E1396-$B1396)*24,1),""))</f>
        <v/>
      </c>
      <c r="J1396" s="10" t="str">
        <f aca="false">IF($D1396="","",IFERROR(IF(VLOOKUP($F1396,Dim_Analyst!$A:$C,3,0)="Yes","Yes","No"),"No"))</f>
        <v/>
      </c>
    </row>
    <row r="1397" customFormat="false" ht="15" hidden="false" customHeight="true" outlineLevel="0" collapsed="false">
      <c r="G1397" s="4" t="str">
        <f aca="false">IF($D1397="","",$A1397&amp;"|"&amp;$B1397&amp;"|"&amp;$C1397&amp;"|"&amp;$D1397)</f>
        <v/>
      </c>
      <c r="H1397" s="4" t="str">
        <f aca="false">IF($D1397="","",$G1397&amp;"|"&amp;TEXT($E1397,"0.000000"))</f>
        <v/>
      </c>
      <c r="I1397" s="29" t="str">
        <f aca="false">IF($D1397="","",IF(ISNUMBER($E1397),FLOOR(($E1397-$B1397)*24,1),""))</f>
        <v/>
      </c>
      <c r="J1397" s="10" t="str">
        <f aca="false">IF($D1397="","",IFERROR(IF(VLOOKUP($F1397,Dim_Analyst!$A:$C,3,0)="Yes","Yes","No"),"No"))</f>
        <v/>
      </c>
    </row>
    <row r="1398" customFormat="false" ht="15" hidden="false" customHeight="true" outlineLevel="0" collapsed="false">
      <c r="G1398" s="4" t="str">
        <f aca="false">IF($D1398="","",$A1398&amp;"|"&amp;$B1398&amp;"|"&amp;$C1398&amp;"|"&amp;$D1398)</f>
        <v/>
      </c>
      <c r="H1398" s="4" t="str">
        <f aca="false">IF($D1398="","",$G1398&amp;"|"&amp;TEXT($E1398,"0.000000"))</f>
        <v/>
      </c>
      <c r="I1398" s="29" t="str">
        <f aca="false">IF($D1398="","",IF(ISNUMBER($E1398),FLOOR(($E1398-$B1398)*24,1),""))</f>
        <v/>
      </c>
      <c r="J1398" s="10" t="str">
        <f aca="false">IF($D1398="","",IFERROR(IF(VLOOKUP($F1398,Dim_Analyst!$A:$C,3,0)="Yes","Yes","No"),"No"))</f>
        <v/>
      </c>
    </row>
    <row r="1399" customFormat="false" ht="15" hidden="false" customHeight="true" outlineLevel="0" collapsed="false">
      <c r="G1399" s="4" t="str">
        <f aca="false">IF($D1399="","",$A1399&amp;"|"&amp;$B1399&amp;"|"&amp;$C1399&amp;"|"&amp;$D1399)</f>
        <v/>
      </c>
      <c r="H1399" s="4" t="str">
        <f aca="false">IF($D1399="","",$G1399&amp;"|"&amp;TEXT($E1399,"0.000000"))</f>
        <v/>
      </c>
      <c r="I1399" s="29" t="str">
        <f aca="false">IF($D1399="","",IF(ISNUMBER($E1399),FLOOR(($E1399-$B1399)*24,1),""))</f>
        <v/>
      </c>
      <c r="J1399" s="10" t="str">
        <f aca="false">IF($D1399="","",IFERROR(IF(VLOOKUP($F1399,Dim_Analyst!$A:$C,3,0)="Yes","Yes","No"),"No"))</f>
        <v/>
      </c>
    </row>
    <row r="1400" customFormat="false" ht="15" hidden="false" customHeight="true" outlineLevel="0" collapsed="false">
      <c r="G1400" s="4" t="str">
        <f aca="false">IF($D1400="","",$A1400&amp;"|"&amp;$B1400&amp;"|"&amp;$C1400&amp;"|"&amp;$D1400)</f>
        <v/>
      </c>
      <c r="H1400" s="4" t="str">
        <f aca="false">IF($D1400="","",$G1400&amp;"|"&amp;TEXT($E1400,"0.000000"))</f>
        <v/>
      </c>
      <c r="I1400" s="29" t="str">
        <f aca="false">IF($D1400="","",IF(ISNUMBER($E1400),FLOOR(($E1400-$B1400)*24,1),""))</f>
        <v/>
      </c>
      <c r="J1400" s="10" t="str">
        <f aca="false">IF($D1400="","",IFERROR(IF(VLOOKUP($F1400,Dim_Analyst!$A:$C,3,0)="Yes","Yes","No"),"No"))</f>
        <v/>
      </c>
    </row>
    <row r="1401" customFormat="false" ht="15" hidden="false" customHeight="true" outlineLevel="0" collapsed="false">
      <c r="G1401" s="4" t="str">
        <f aca="false">IF($D1401="","",$A1401&amp;"|"&amp;$B1401&amp;"|"&amp;$C1401&amp;"|"&amp;$D1401)</f>
        <v/>
      </c>
      <c r="H1401" s="4" t="str">
        <f aca="false">IF($D1401="","",$G1401&amp;"|"&amp;TEXT($E1401,"0.000000"))</f>
        <v/>
      </c>
      <c r="I1401" s="29" t="str">
        <f aca="false">IF($D1401="","",IF(ISNUMBER($E1401),FLOOR(($E1401-$B1401)*24,1),""))</f>
        <v/>
      </c>
      <c r="J1401" s="10" t="str">
        <f aca="false">IF($D1401="","",IFERROR(IF(VLOOKUP($F1401,Dim_Analyst!$A:$C,3,0)="Yes","Yes","No"),"No"))</f>
        <v/>
      </c>
    </row>
    <row r="1402" customFormat="false" ht="15" hidden="false" customHeight="true" outlineLevel="0" collapsed="false">
      <c r="G1402" s="4" t="str">
        <f aca="false">IF($D1402="","",$A1402&amp;"|"&amp;$B1402&amp;"|"&amp;$C1402&amp;"|"&amp;$D1402)</f>
        <v/>
      </c>
      <c r="H1402" s="4" t="str">
        <f aca="false">IF($D1402="","",$G1402&amp;"|"&amp;TEXT($E1402,"0.000000"))</f>
        <v/>
      </c>
      <c r="I1402" s="29" t="str">
        <f aca="false">IF($D1402="","",IF(ISNUMBER($E1402),FLOOR(($E1402-$B1402)*24,1),""))</f>
        <v/>
      </c>
      <c r="J1402" s="10" t="str">
        <f aca="false">IF($D1402="","",IFERROR(IF(VLOOKUP($F1402,Dim_Analyst!$A:$C,3,0)="Yes","Yes","No"),"No"))</f>
        <v/>
      </c>
    </row>
    <row r="1403" customFormat="false" ht="15" hidden="false" customHeight="true" outlineLevel="0" collapsed="false">
      <c r="G1403" s="4" t="str">
        <f aca="false">IF($D1403="","",$A1403&amp;"|"&amp;$B1403&amp;"|"&amp;$C1403&amp;"|"&amp;$D1403)</f>
        <v/>
      </c>
      <c r="H1403" s="4" t="str">
        <f aca="false">IF($D1403="","",$G1403&amp;"|"&amp;TEXT($E1403,"0.000000"))</f>
        <v/>
      </c>
      <c r="I1403" s="29" t="str">
        <f aca="false">IF($D1403="","",IF(ISNUMBER($E1403),FLOOR(($E1403-$B1403)*24,1),""))</f>
        <v/>
      </c>
      <c r="J1403" s="10" t="str">
        <f aca="false">IF($D1403="","",IFERROR(IF(VLOOKUP($F1403,Dim_Analyst!$A:$C,3,0)="Yes","Yes","No"),"No"))</f>
        <v/>
      </c>
    </row>
    <row r="1404" customFormat="false" ht="15" hidden="false" customHeight="true" outlineLevel="0" collapsed="false">
      <c r="G1404" s="4" t="str">
        <f aca="false">IF($D1404="","",$A1404&amp;"|"&amp;$B1404&amp;"|"&amp;$C1404&amp;"|"&amp;$D1404)</f>
        <v/>
      </c>
      <c r="H1404" s="4" t="str">
        <f aca="false">IF($D1404="","",$G1404&amp;"|"&amp;TEXT($E1404,"0.000000"))</f>
        <v/>
      </c>
      <c r="I1404" s="29" t="str">
        <f aca="false">IF($D1404="","",IF(ISNUMBER($E1404),FLOOR(($E1404-$B1404)*24,1),""))</f>
        <v/>
      </c>
      <c r="J1404" s="10" t="str">
        <f aca="false">IF($D1404="","",IFERROR(IF(VLOOKUP($F1404,Dim_Analyst!$A:$C,3,0)="Yes","Yes","No"),"No"))</f>
        <v/>
      </c>
    </row>
    <row r="1405" customFormat="false" ht="15" hidden="false" customHeight="true" outlineLevel="0" collapsed="false">
      <c r="G1405" s="4" t="str">
        <f aca="false">IF($D1405="","",$A1405&amp;"|"&amp;$B1405&amp;"|"&amp;$C1405&amp;"|"&amp;$D1405)</f>
        <v/>
      </c>
      <c r="H1405" s="4" t="str">
        <f aca="false">IF($D1405="","",$G1405&amp;"|"&amp;TEXT($E1405,"0.000000"))</f>
        <v/>
      </c>
      <c r="I1405" s="29" t="str">
        <f aca="false">IF($D1405="","",IF(ISNUMBER($E1405),FLOOR(($E1405-$B1405)*24,1),""))</f>
        <v/>
      </c>
      <c r="J1405" s="10" t="str">
        <f aca="false">IF($D1405="","",IFERROR(IF(VLOOKUP($F1405,Dim_Analyst!$A:$C,3,0)="Yes","Yes","No"),"No"))</f>
        <v/>
      </c>
    </row>
    <row r="1406" customFormat="false" ht="15" hidden="false" customHeight="true" outlineLevel="0" collapsed="false">
      <c r="G1406" s="4" t="str">
        <f aca="false">IF($D1406="","",$A1406&amp;"|"&amp;$B1406&amp;"|"&amp;$C1406&amp;"|"&amp;$D1406)</f>
        <v/>
      </c>
      <c r="H1406" s="4" t="str">
        <f aca="false">IF($D1406="","",$G1406&amp;"|"&amp;TEXT($E1406,"0.000000"))</f>
        <v/>
      </c>
      <c r="I1406" s="29" t="str">
        <f aca="false">IF($D1406="","",IF(ISNUMBER($E1406),FLOOR(($E1406-$B1406)*24,1),""))</f>
        <v/>
      </c>
      <c r="J1406" s="10" t="str">
        <f aca="false">IF($D1406="","",IFERROR(IF(VLOOKUP($F1406,Dim_Analyst!$A:$C,3,0)="Yes","Yes","No"),"No"))</f>
        <v/>
      </c>
    </row>
    <row r="1407" customFormat="false" ht="15" hidden="false" customHeight="true" outlineLevel="0" collapsed="false">
      <c r="G1407" s="4" t="str">
        <f aca="false">IF($D1407="","",$A1407&amp;"|"&amp;$B1407&amp;"|"&amp;$C1407&amp;"|"&amp;$D1407)</f>
        <v/>
      </c>
      <c r="H1407" s="4" t="str">
        <f aca="false">IF($D1407="","",$G1407&amp;"|"&amp;TEXT($E1407,"0.000000"))</f>
        <v/>
      </c>
      <c r="I1407" s="29" t="str">
        <f aca="false">IF($D1407="","",IF(ISNUMBER($E1407),FLOOR(($E1407-$B1407)*24,1),""))</f>
        <v/>
      </c>
      <c r="J1407" s="10" t="str">
        <f aca="false">IF($D1407="","",IFERROR(IF(VLOOKUP($F1407,Dim_Analyst!$A:$C,3,0)="Yes","Yes","No"),"No"))</f>
        <v/>
      </c>
    </row>
    <row r="1408" customFormat="false" ht="15" hidden="false" customHeight="true" outlineLevel="0" collapsed="false">
      <c r="G1408" s="4" t="str">
        <f aca="false">IF($D1408="","",$A1408&amp;"|"&amp;$B1408&amp;"|"&amp;$C1408&amp;"|"&amp;$D1408)</f>
        <v/>
      </c>
      <c r="H1408" s="4" t="str">
        <f aca="false">IF($D1408="","",$G1408&amp;"|"&amp;TEXT($E1408,"0.000000"))</f>
        <v/>
      </c>
      <c r="I1408" s="29" t="str">
        <f aca="false">IF($D1408="","",IF(ISNUMBER($E1408),FLOOR(($E1408-$B1408)*24,1),""))</f>
        <v/>
      </c>
      <c r="J1408" s="10" t="str">
        <f aca="false">IF($D1408="","",IFERROR(IF(VLOOKUP($F1408,Dim_Analyst!$A:$C,3,0)="Yes","Yes","No"),"No"))</f>
        <v/>
      </c>
    </row>
    <row r="1409" customFormat="false" ht="15" hidden="false" customHeight="true" outlineLevel="0" collapsed="false">
      <c r="G1409" s="4" t="str">
        <f aca="false">IF($D1409="","",$A1409&amp;"|"&amp;$B1409&amp;"|"&amp;$C1409&amp;"|"&amp;$D1409)</f>
        <v/>
      </c>
      <c r="H1409" s="4" t="str">
        <f aca="false">IF($D1409="","",$G1409&amp;"|"&amp;TEXT($E1409,"0.000000"))</f>
        <v/>
      </c>
      <c r="I1409" s="29" t="str">
        <f aca="false">IF($D1409="","",IF(ISNUMBER($E1409),FLOOR(($E1409-$B1409)*24,1),""))</f>
        <v/>
      </c>
      <c r="J1409" s="10" t="str">
        <f aca="false">IF($D1409="","",IFERROR(IF(VLOOKUP($F1409,Dim_Analyst!$A:$C,3,0)="Yes","Yes","No"),"No"))</f>
        <v/>
      </c>
    </row>
    <row r="1410" customFormat="false" ht="15" hidden="false" customHeight="true" outlineLevel="0" collapsed="false">
      <c r="G1410" s="4" t="str">
        <f aca="false">IF($D1410="","",$A1410&amp;"|"&amp;$B1410&amp;"|"&amp;$C1410&amp;"|"&amp;$D1410)</f>
        <v/>
      </c>
      <c r="H1410" s="4" t="str">
        <f aca="false">IF($D1410="","",$G1410&amp;"|"&amp;TEXT($E1410,"0.000000"))</f>
        <v/>
      </c>
      <c r="I1410" s="29" t="str">
        <f aca="false">IF($D1410="","",IF(ISNUMBER($E1410),FLOOR(($E1410-$B1410)*24,1),""))</f>
        <v/>
      </c>
      <c r="J1410" s="10" t="str">
        <f aca="false">IF($D1410="","",IFERROR(IF(VLOOKUP($F1410,Dim_Analyst!$A:$C,3,0)="Yes","Yes","No"),"No"))</f>
        <v/>
      </c>
    </row>
    <row r="1411" customFormat="false" ht="15" hidden="false" customHeight="true" outlineLevel="0" collapsed="false">
      <c r="G1411" s="4" t="str">
        <f aca="false">IF($D1411="","",$A1411&amp;"|"&amp;$B1411&amp;"|"&amp;$C1411&amp;"|"&amp;$D1411)</f>
        <v/>
      </c>
      <c r="H1411" s="4" t="str">
        <f aca="false">IF($D1411="","",$G1411&amp;"|"&amp;TEXT($E1411,"0.000000"))</f>
        <v/>
      </c>
      <c r="I1411" s="29" t="str">
        <f aca="false">IF($D1411="","",IF(ISNUMBER($E1411),FLOOR(($E1411-$B1411)*24,1),""))</f>
        <v/>
      </c>
      <c r="J1411" s="10" t="str">
        <f aca="false">IF($D1411="","",IFERROR(IF(VLOOKUP($F1411,Dim_Analyst!$A:$C,3,0)="Yes","Yes","No"),"No"))</f>
        <v/>
      </c>
    </row>
    <row r="1412" customFormat="false" ht="15" hidden="false" customHeight="true" outlineLevel="0" collapsed="false">
      <c r="G1412" s="4" t="str">
        <f aca="false">IF($D1412="","",$A1412&amp;"|"&amp;$B1412&amp;"|"&amp;$C1412&amp;"|"&amp;$D1412)</f>
        <v/>
      </c>
      <c r="H1412" s="4" t="str">
        <f aca="false">IF($D1412="","",$G1412&amp;"|"&amp;TEXT($E1412,"0.000000"))</f>
        <v/>
      </c>
      <c r="I1412" s="29" t="str">
        <f aca="false">IF($D1412="","",IF(ISNUMBER($E1412),FLOOR(($E1412-$B1412)*24,1),""))</f>
        <v/>
      </c>
      <c r="J1412" s="10" t="str">
        <f aca="false">IF($D1412="","",IFERROR(IF(VLOOKUP($F1412,Dim_Analyst!$A:$C,3,0)="Yes","Yes","No"),"No"))</f>
        <v/>
      </c>
    </row>
    <row r="1413" customFormat="false" ht="15" hidden="false" customHeight="true" outlineLevel="0" collapsed="false">
      <c r="G1413" s="4" t="str">
        <f aca="false">IF($D1413="","",$A1413&amp;"|"&amp;$B1413&amp;"|"&amp;$C1413&amp;"|"&amp;$D1413)</f>
        <v/>
      </c>
      <c r="H1413" s="4" t="str">
        <f aca="false">IF($D1413="","",$G1413&amp;"|"&amp;TEXT($E1413,"0.000000"))</f>
        <v/>
      </c>
      <c r="I1413" s="29" t="str">
        <f aca="false">IF($D1413="","",IF(ISNUMBER($E1413),FLOOR(($E1413-$B1413)*24,1),""))</f>
        <v/>
      </c>
      <c r="J1413" s="10" t="str">
        <f aca="false">IF($D1413="","",IFERROR(IF(VLOOKUP($F1413,Dim_Analyst!$A:$C,3,0)="Yes","Yes","No"),"No"))</f>
        <v/>
      </c>
    </row>
    <row r="1414" customFormat="false" ht="15" hidden="false" customHeight="true" outlineLevel="0" collapsed="false">
      <c r="G1414" s="4" t="str">
        <f aca="false">IF($D1414="","",$A1414&amp;"|"&amp;$B1414&amp;"|"&amp;$C1414&amp;"|"&amp;$D1414)</f>
        <v/>
      </c>
      <c r="H1414" s="4" t="str">
        <f aca="false">IF($D1414="","",$G1414&amp;"|"&amp;TEXT($E1414,"0.000000"))</f>
        <v/>
      </c>
      <c r="I1414" s="29" t="str">
        <f aca="false">IF($D1414="","",IF(ISNUMBER($E1414),FLOOR(($E1414-$B1414)*24,1),""))</f>
        <v/>
      </c>
      <c r="J1414" s="10" t="str">
        <f aca="false">IF($D1414="","",IFERROR(IF(VLOOKUP($F1414,Dim_Analyst!$A:$C,3,0)="Yes","Yes","No"),"No"))</f>
        <v/>
      </c>
    </row>
    <row r="1415" customFormat="false" ht="15" hidden="false" customHeight="true" outlineLevel="0" collapsed="false">
      <c r="G1415" s="4" t="str">
        <f aca="false">IF($D1415="","",$A1415&amp;"|"&amp;$B1415&amp;"|"&amp;$C1415&amp;"|"&amp;$D1415)</f>
        <v/>
      </c>
      <c r="H1415" s="4" t="str">
        <f aca="false">IF($D1415="","",$G1415&amp;"|"&amp;TEXT($E1415,"0.000000"))</f>
        <v/>
      </c>
      <c r="I1415" s="29" t="str">
        <f aca="false">IF($D1415="","",IF(ISNUMBER($E1415),FLOOR(($E1415-$B1415)*24,1),""))</f>
        <v/>
      </c>
      <c r="J1415" s="10" t="str">
        <f aca="false">IF($D1415="","",IFERROR(IF(VLOOKUP($F1415,Dim_Analyst!$A:$C,3,0)="Yes","Yes","No"),"No"))</f>
        <v/>
      </c>
    </row>
    <row r="1416" customFormat="false" ht="15" hidden="false" customHeight="true" outlineLevel="0" collapsed="false">
      <c r="G1416" s="4" t="str">
        <f aca="false">IF($D1416="","",$A1416&amp;"|"&amp;$B1416&amp;"|"&amp;$C1416&amp;"|"&amp;$D1416)</f>
        <v/>
      </c>
      <c r="H1416" s="4" t="str">
        <f aca="false">IF($D1416="","",$G1416&amp;"|"&amp;TEXT($E1416,"0.000000"))</f>
        <v/>
      </c>
      <c r="I1416" s="29" t="str">
        <f aca="false">IF($D1416="","",IF(ISNUMBER($E1416),FLOOR(($E1416-$B1416)*24,1),""))</f>
        <v/>
      </c>
      <c r="J1416" s="10" t="str">
        <f aca="false">IF($D1416="","",IFERROR(IF(VLOOKUP($F1416,Dim_Analyst!$A:$C,3,0)="Yes","Yes","No"),"No"))</f>
        <v/>
      </c>
    </row>
    <row r="1417" customFormat="false" ht="15" hidden="false" customHeight="true" outlineLevel="0" collapsed="false">
      <c r="G1417" s="4" t="str">
        <f aca="false">IF($D1417="","",$A1417&amp;"|"&amp;$B1417&amp;"|"&amp;$C1417&amp;"|"&amp;$D1417)</f>
        <v/>
      </c>
      <c r="H1417" s="4" t="str">
        <f aca="false">IF($D1417="","",$G1417&amp;"|"&amp;TEXT($E1417,"0.000000"))</f>
        <v/>
      </c>
      <c r="I1417" s="29" t="str">
        <f aca="false">IF($D1417="","",IF(ISNUMBER($E1417),FLOOR(($E1417-$B1417)*24,1),""))</f>
        <v/>
      </c>
      <c r="J1417" s="10" t="str">
        <f aca="false">IF($D1417="","",IFERROR(IF(VLOOKUP($F1417,Dim_Analyst!$A:$C,3,0)="Yes","Yes","No"),"No"))</f>
        <v/>
      </c>
    </row>
    <row r="1418" customFormat="false" ht="15" hidden="false" customHeight="true" outlineLevel="0" collapsed="false">
      <c r="G1418" s="4" t="str">
        <f aca="false">IF($D1418="","",$A1418&amp;"|"&amp;$B1418&amp;"|"&amp;$C1418&amp;"|"&amp;$D1418)</f>
        <v/>
      </c>
      <c r="H1418" s="4" t="str">
        <f aca="false">IF($D1418="","",$G1418&amp;"|"&amp;TEXT($E1418,"0.000000"))</f>
        <v/>
      </c>
      <c r="I1418" s="29" t="str">
        <f aca="false">IF($D1418="","",IF(ISNUMBER($E1418),FLOOR(($E1418-$B1418)*24,1),""))</f>
        <v/>
      </c>
      <c r="J1418" s="10" t="str">
        <f aca="false">IF($D1418="","",IFERROR(IF(VLOOKUP($F1418,Dim_Analyst!$A:$C,3,0)="Yes","Yes","No"),"No"))</f>
        <v/>
      </c>
    </row>
    <row r="1419" customFormat="false" ht="15" hidden="false" customHeight="true" outlineLevel="0" collapsed="false">
      <c r="G1419" s="4" t="str">
        <f aca="false">IF($D1419="","",$A1419&amp;"|"&amp;$B1419&amp;"|"&amp;$C1419&amp;"|"&amp;$D1419)</f>
        <v/>
      </c>
      <c r="H1419" s="4" t="str">
        <f aca="false">IF($D1419="","",$G1419&amp;"|"&amp;TEXT($E1419,"0.000000"))</f>
        <v/>
      </c>
      <c r="I1419" s="29" t="str">
        <f aca="false">IF($D1419="","",IF(ISNUMBER($E1419),FLOOR(($E1419-$B1419)*24,1),""))</f>
        <v/>
      </c>
      <c r="J1419" s="10" t="str">
        <f aca="false">IF($D1419="","",IFERROR(IF(VLOOKUP($F1419,Dim_Analyst!$A:$C,3,0)="Yes","Yes","No"),"No"))</f>
        <v/>
      </c>
    </row>
    <row r="1420" customFormat="false" ht="15" hidden="false" customHeight="true" outlineLevel="0" collapsed="false">
      <c r="G1420" s="4" t="str">
        <f aca="false">IF($D1420="","",$A1420&amp;"|"&amp;$B1420&amp;"|"&amp;$C1420&amp;"|"&amp;$D1420)</f>
        <v/>
      </c>
      <c r="H1420" s="4" t="str">
        <f aca="false">IF($D1420="","",$G1420&amp;"|"&amp;TEXT($E1420,"0.000000"))</f>
        <v/>
      </c>
      <c r="I1420" s="29" t="str">
        <f aca="false">IF($D1420="","",IF(ISNUMBER($E1420),FLOOR(($E1420-$B1420)*24,1),""))</f>
        <v/>
      </c>
      <c r="J1420" s="10" t="str">
        <f aca="false">IF($D1420="","",IFERROR(IF(VLOOKUP($F1420,Dim_Analyst!$A:$C,3,0)="Yes","Yes","No"),"No"))</f>
        <v/>
      </c>
    </row>
    <row r="1421" customFormat="false" ht="15" hidden="false" customHeight="true" outlineLevel="0" collapsed="false">
      <c r="G1421" s="4" t="str">
        <f aca="false">IF($D1421="","",$A1421&amp;"|"&amp;$B1421&amp;"|"&amp;$C1421&amp;"|"&amp;$D1421)</f>
        <v/>
      </c>
      <c r="H1421" s="4" t="str">
        <f aca="false">IF($D1421="","",$G1421&amp;"|"&amp;TEXT($E1421,"0.000000"))</f>
        <v/>
      </c>
      <c r="I1421" s="29" t="str">
        <f aca="false">IF($D1421="","",IF(ISNUMBER($E1421),FLOOR(($E1421-$B1421)*24,1),""))</f>
        <v/>
      </c>
      <c r="J1421" s="10" t="str">
        <f aca="false">IF($D1421="","",IFERROR(IF(VLOOKUP($F1421,Dim_Analyst!$A:$C,3,0)="Yes","Yes","No"),"No"))</f>
        <v/>
      </c>
    </row>
    <row r="1422" customFormat="false" ht="15" hidden="false" customHeight="true" outlineLevel="0" collapsed="false">
      <c r="G1422" s="4" t="str">
        <f aca="false">IF($D1422="","",$A1422&amp;"|"&amp;$B1422&amp;"|"&amp;$C1422&amp;"|"&amp;$D1422)</f>
        <v/>
      </c>
      <c r="H1422" s="4" t="str">
        <f aca="false">IF($D1422="","",$G1422&amp;"|"&amp;TEXT($E1422,"0.000000"))</f>
        <v/>
      </c>
      <c r="I1422" s="29" t="str">
        <f aca="false">IF($D1422="","",IF(ISNUMBER($E1422),FLOOR(($E1422-$B1422)*24,1),""))</f>
        <v/>
      </c>
      <c r="J1422" s="10" t="str">
        <f aca="false">IF($D1422="","",IFERROR(IF(VLOOKUP($F1422,Dim_Analyst!$A:$C,3,0)="Yes","Yes","No"),"No"))</f>
        <v/>
      </c>
    </row>
    <row r="1423" customFormat="false" ht="15" hidden="false" customHeight="true" outlineLevel="0" collapsed="false">
      <c r="G1423" s="4" t="str">
        <f aca="false">IF($D1423="","",$A1423&amp;"|"&amp;$B1423&amp;"|"&amp;$C1423&amp;"|"&amp;$D1423)</f>
        <v/>
      </c>
      <c r="H1423" s="4" t="str">
        <f aca="false">IF($D1423="","",$G1423&amp;"|"&amp;TEXT($E1423,"0.000000"))</f>
        <v/>
      </c>
      <c r="I1423" s="29" t="str">
        <f aca="false">IF($D1423="","",IF(ISNUMBER($E1423),FLOOR(($E1423-$B1423)*24,1),""))</f>
        <v/>
      </c>
      <c r="J1423" s="10" t="str">
        <f aca="false">IF($D1423="","",IFERROR(IF(VLOOKUP($F1423,Dim_Analyst!$A:$C,3,0)="Yes","Yes","No"),"No"))</f>
        <v/>
      </c>
    </row>
    <row r="1424" customFormat="false" ht="15" hidden="false" customHeight="true" outlineLevel="0" collapsed="false">
      <c r="G1424" s="4" t="str">
        <f aca="false">IF($D1424="","",$A1424&amp;"|"&amp;$B1424&amp;"|"&amp;$C1424&amp;"|"&amp;$D1424)</f>
        <v/>
      </c>
      <c r="H1424" s="4" t="str">
        <f aca="false">IF($D1424="","",$G1424&amp;"|"&amp;TEXT($E1424,"0.000000"))</f>
        <v/>
      </c>
      <c r="I1424" s="29" t="str">
        <f aca="false">IF($D1424="","",IF(ISNUMBER($E1424),FLOOR(($E1424-$B1424)*24,1),""))</f>
        <v/>
      </c>
      <c r="J1424" s="10" t="str">
        <f aca="false">IF($D1424="","",IFERROR(IF(VLOOKUP($F1424,Dim_Analyst!$A:$C,3,0)="Yes","Yes","No"),"No"))</f>
        <v/>
      </c>
    </row>
    <row r="1425" customFormat="false" ht="15" hidden="false" customHeight="true" outlineLevel="0" collapsed="false">
      <c r="G1425" s="4" t="str">
        <f aca="false">IF($D1425="","",$A1425&amp;"|"&amp;$B1425&amp;"|"&amp;$C1425&amp;"|"&amp;$D1425)</f>
        <v/>
      </c>
      <c r="H1425" s="4" t="str">
        <f aca="false">IF($D1425="","",$G1425&amp;"|"&amp;TEXT($E1425,"0.000000"))</f>
        <v/>
      </c>
      <c r="I1425" s="29" t="str">
        <f aca="false">IF($D1425="","",IF(ISNUMBER($E1425),FLOOR(($E1425-$B1425)*24,1),""))</f>
        <v/>
      </c>
      <c r="J1425" s="10" t="str">
        <f aca="false">IF($D1425="","",IFERROR(IF(VLOOKUP($F1425,Dim_Analyst!$A:$C,3,0)="Yes","Yes","No"),"No"))</f>
        <v/>
      </c>
    </row>
    <row r="1426" customFormat="false" ht="15" hidden="false" customHeight="true" outlineLevel="0" collapsed="false">
      <c r="G1426" s="4" t="str">
        <f aca="false">IF($D1426="","",$A1426&amp;"|"&amp;$B1426&amp;"|"&amp;$C1426&amp;"|"&amp;$D1426)</f>
        <v/>
      </c>
      <c r="H1426" s="4" t="str">
        <f aca="false">IF($D1426="","",$G1426&amp;"|"&amp;TEXT($E1426,"0.000000"))</f>
        <v/>
      </c>
      <c r="I1426" s="29" t="str">
        <f aca="false">IF($D1426="","",IF(ISNUMBER($E1426),FLOOR(($E1426-$B1426)*24,1),""))</f>
        <v/>
      </c>
      <c r="J1426" s="10" t="str">
        <f aca="false">IF($D1426="","",IFERROR(IF(VLOOKUP($F1426,Dim_Analyst!$A:$C,3,0)="Yes","Yes","No"),"No"))</f>
        <v/>
      </c>
    </row>
    <row r="1427" customFormat="false" ht="15" hidden="false" customHeight="true" outlineLevel="0" collapsed="false">
      <c r="G1427" s="4" t="str">
        <f aca="false">IF($D1427="","",$A1427&amp;"|"&amp;$B1427&amp;"|"&amp;$C1427&amp;"|"&amp;$D1427)</f>
        <v/>
      </c>
      <c r="H1427" s="4" t="str">
        <f aca="false">IF($D1427="","",$G1427&amp;"|"&amp;TEXT($E1427,"0.000000"))</f>
        <v/>
      </c>
      <c r="I1427" s="29" t="str">
        <f aca="false">IF($D1427="","",IF(ISNUMBER($E1427),FLOOR(($E1427-$B1427)*24,1),""))</f>
        <v/>
      </c>
      <c r="J1427" s="10" t="str">
        <f aca="false">IF($D1427="","",IFERROR(IF(VLOOKUP($F1427,Dim_Analyst!$A:$C,3,0)="Yes","Yes","No"),"No"))</f>
        <v/>
      </c>
    </row>
    <row r="1428" customFormat="false" ht="15" hidden="false" customHeight="true" outlineLevel="0" collapsed="false">
      <c r="G1428" s="4" t="str">
        <f aca="false">IF($D1428="","",$A1428&amp;"|"&amp;$B1428&amp;"|"&amp;$C1428&amp;"|"&amp;$D1428)</f>
        <v/>
      </c>
      <c r="H1428" s="4" t="str">
        <f aca="false">IF($D1428="","",$G1428&amp;"|"&amp;TEXT($E1428,"0.000000"))</f>
        <v/>
      </c>
      <c r="I1428" s="29" t="str">
        <f aca="false">IF($D1428="","",IF(ISNUMBER($E1428),FLOOR(($E1428-$B1428)*24,1),""))</f>
        <v/>
      </c>
      <c r="J1428" s="10" t="str">
        <f aca="false">IF($D1428="","",IFERROR(IF(VLOOKUP($F1428,Dim_Analyst!$A:$C,3,0)="Yes","Yes","No"),"No"))</f>
        <v/>
      </c>
    </row>
    <row r="1429" customFormat="false" ht="15" hidden="false" customHeight="true" outlineLevel="0" collapsed="false">
      <c r="G1429" s="4" t="str">
        <f aca="false">IF($D1429="","",$A1429&amp;"|"&amp;$B1429&amp;"|"&amp;$C1429&amp;"|"&amp;$D1429)</f>
        <v/>
      </c>
      <c r="H1429" s="4" t="str">
        <f aca="false">IF($D1429="","",$G1429&amp;"|"&amp;TEXT($E1429,"0.000000"))</f>
        <v/>
      </c>
      <c r="I1429" s="29" t="str">
        <f aca="false">IF($D1429="","",IF(ISNUMBER($E1429),FLOOR(($E1429-$B1429)*24,1),""))</f>
        <v/>
      </c>
      <c r="J1429" s="10" t="str">
        <f aca="false">IF($D1429="","",IFERROR(IF(VLOOKUP($F1429,Dim_Analyst!$A:$C,3,0)="Yes","Yes","No"),"No"))</f>
        <v/>
      </c>
    </row>
    <row r="1430" customFormat="false" ht="15" hidden="false" customHeight="true" outlineLevel="0" collapsed="false">
      <c r="G1430" s="4" t="str">
        <f aca="false">IF($D1430="","",$A1430&amp;"|"&amp;$B1430&amp;"|"&amp;$C1430&amp;"|"&amp;$D1430)</f>
        <v/>
      </c>
      <c r="H1430" s="4" t="str">
        <f aca="false">IF($D1430="","",$G1430&amp;"|"&amp;TEXT($E1430,"0.000000"))</f>
        <v/>
      </c>
      <c r="I1430" s="29" t="str">
        <f aca="false">IF($D1430="","",IF(ISNUMBER($E1430),FLOOR(($E1430-$B1430)*24,1),""))</f>
        <v/>
      </c>
      <c r="J1430" s="10" t="str">
        <f aca="false">IF($D1430="","",IFERROR(IF(VLOOKUP($F1430,Dim_Analyst!$A:$C,3,0)="Yes","Yes","No"),"No"))</f>
        <v/>
      </c>
    </row>
    <row r="1431" customFormat="false" ht="15" hidden="false" customHeight="true" outlineLevel="0" collapsed="false">
      <c r="G1431" s="4" t="str">
        <f aca="false">IF($D1431="","",$A1431&amp;"|"&amp;$B1431&amp;"|"&amp;$C1431&amp;"|"&amp;$D1431)</f>
        <v/>
      </c>
      <c r="H1431" s="4" t="str">
        <f aca="false">IF($D1431="","",$G1431&amp;"|"&amp;TEXT($E1431,"0.000000"))</f>
        <v/>
      </c>
      <c r="I1431" s="29" t="str">
        <f aca="false">IF($D1431="","",IF(ISNUMBER($E1431),FLOOR(($E1431-$B1431)*24,1),""))</f>
        <v/>
      </c>
      <c r="J1431" s="10" t="str">
        <f aca="false">IF($D1431="","",IFERROR(IF(VLOOKUP($F1431,Dim_Analyst!$A:$C,3,0)="Yes","Yes","No"),"No"))</f>
        <v/>
      </c>
    </row>
    <row r="1432" customFormat="false" ht="15" hidden="false" customHeight="true" outlineLevel="0" collapsed="false">
      <c r="G1432" s="4" t="str">
        <f aca="false">IF($D1432="","",$A1432&amp;"|"&amp;$B1432&amp;"|"&amp;$C1432&amp;"|"&amp;$D1432)</f>
        <v/>
      </c>
      <c r="H1432" s="4" t="str">
        <f aca="false">IF($D1432="","",$G1432&amp;"|"&amp;TEXT($E1432,"0.000000"))</f>
        <v/>
      </c>
      <c r="I1432" s="29" t="str">
        <f aca="false">IF($D1432="","",IF(ISNUMBER($E1432),FLOOR(($E1432-$B1432)*24,1),""))</f>
        <v/>
      </c>
      <c r="J1432" s="10" t="str">
        <f aca="false">IF($D1432="","",IFERROR(IF(VLOOKUP($F1432,Dim_Analyst!$A:$C,3,0)="Yes","Yes","No"),"No"))</f>
        <v/>
      </c>
    </row>
    <row r="1433" customFormat="false" ht="15" hidden="false" customHeight="true" outlineLevel="0" collapsed="false">
      <c r="G1433" s="4" t="str">
        <f aca="false">IF($D1433="","",$A1433&amp;"|"&amp;$B1433&amp;"|"&amp;$C1433&amp;"|"&amp;$D1433)</f>
        <v/>
      </c>
      <c r="H1433" s="4" t="str">
        <f aca="false">IF($D1433="","",$G1433&amp;"|"&amp;TEXT($E1433,"0.000000"))</f>
        <v/>
      </c>
      <c r="I1433" s="29" t="str">
        <f aca="false">IF($D1433="","",IF(ISNUMBER($E1433),FLOOR(($E1433-$B1433)*24,1),""))</f>
        <v/>
      </c>
      <c r="J1433" s="10" t="str">
        <f aca="false">IF($D1433="","",IFERROR(IF(VLOOKUP($F1433,Dim_Analyst!$A:$C,3,0)="Yes","Yes","No"),"No"))</f>
        <v/>
      </c>
    </row>
    <row r="1434" customFormat="false" ht="15" hidden="false" customHeight="true" outlineLevel="0" collapsed="false">
      <c r="G1434" s="4" t="str">
        <f aca="false">IF($D1434="","",$A1434&amp;"|"&amp;$B1434&amp;"|"&amp;$C1434&amp;"|"&amp;$D1434)</f>
        <v/>
      </c>
      <c r="H1434" s="4" t="str">
        <f aca="false">IF($D1434="","",$G1434&amp;"|"&amp;TEXT($E1434,"0.000000"))</f>
        <v/>
      </c>
      <c r="I1434" s="29" t="str">
        <f aca="false">IF($D1434="","",IF(ISNUMBER($E1434),FLOOR(($E1434-$B1434)*24,1),""))</f>
        <v/>
      </c>
      <c r="J1434" s="10" t="str">
        <f aca="false">IF($D1434="","",IFERROR(IF(VLOOKUP($F1434,Dim_Analyst!$A:$C,3,0)="Yes","Yes","No"),"No"))</f>
        <v/>
      </c>
    </row>
    <row r="1435" customFormat="false" ht="15" hidden="false" customHeight="true" outlineLevel="0" collapsed="false">
      <c r="G1435" s="4" t="str">
        <f aca="false">IF($D1435="","",$A1435&amp;"|"&amp;$B1435&amp;"|"&amp;$C1435&amp;"|"&amp;$D1435)</f>
        <v/>
      </c>
      <c r="H1435" s="4" t="str">
        <f aca="false">IF($D1435="","",$G1435&amp;"|"&amp;TEXT($E1435,"0.000000"))</f>
        <v/>
      </c>
      <c r="I1435" s="29" t="str">
        <f aca="false">IF($D1435="","",IF(ISNUMBER($E1435),FLOOR(($E1435-$B1435)*24,1),""))</f>
        <v/>
      </c>
      <c r="J1435" s="10" t="str">
        <f aca="false">IF($D1435="","",IFERROR(IF(VLOOKUP($F1435,Dim_Analyst!$A:$C,3,0)="Yes","Yes","No"),"No"))</f>
        <v/>
      </c>
    </row>
    <row r="1436" customFormat="false" ht="15" hidden="false" customHeight="true" outlineLevel="0" collapsed="false">
      <c r="G1436" s="4" t="str">
        <f aca="false">IF($D1436="","",$A1436&amp;"|"&amp;$B1436&amp;"|"&amp;$C1436&amp;"|"&amp;$D1436)</f>
        <v/>
      </c>
      <c r="H1436" s="4" t="str">
        <f aca="false">IF($D1436="","",$G1436&amp;"|"&amp;TEXT($E1436,"0.000000"))</f>
        <v/>
      </c>
      <c r="I1436" s="29" t="str">
        <f aca="false">IF($D1436="","",IF(ISNUMBER($E1436),FLOOR(($E1436-$B1436)*24,1),""))</f>
        <v/>
      </c>
      <c r="J1436" s="10" t="str">
        <f aca="false">IF($D1436="","",IFERROR(IF(VLOOKUP($F1436,Dim_Analyst!$A:$C,3,0)="Yes","Yes","No"),"No"))</f>
        <v/>
      </c>
    </row>
    <row r="1437" customFormat="false" ht="15" hidden="false" customHeight="true" outlineLevel="0" collapsed="false">
      <c r="G1437" s="4" t="str">
        <f aca="false">IF($D1437="","",$A1437&amp;"|"&amp;$B1437&amp;"|"&amp;$C1437&amp;"|"&amp;$D1437)</f>
        <v/>
      </c>
      <c r="H1437" s="4" t="str">
        <f aca="false">IF($D1437="","",$G1437&amp;"|"&amp;TEXT($E1437,"0.000000"))</f>
        <v/>
      </c>
      <c r="I1437" s="29" t="str">
        <f aca="false">IF($D1437="","",IF(ISNUMBER($E1437),FLOOR(($E1437-$B1437)*24,1),""))</f>
        <v/>
      </c>
      <c r="J1437" s="10" t="str">
        <f aca="false">IF($D1437="","",IFERROR(IF(VLOOKUP($F1437,Dim_Analyst!$A:$C,3,0)="Yes","Yes","No"),"No"))</f>
        <v/>
      </c>
    </row>
    <row r="1438" customFormat="false" ht="15" hidden="false" customHeight="true" outlineLevel="0" collapsed="false">
      <c r="G1438" s="4" t="str">
        <f aca="false">IF($D1438="","",$A1438&amp;"|"&amp;$B1438&amp;"|"&amp;$C1438&amp;"|"&amp;$D1438)</f>
        <v/>
      </c>
      <c r="H1438" s="4" t="str">
        <f aca="false">IF($D1438="","",$G1438&amp;"|"&amp;TEXT($E1438,"0.000000"))</f>
        <v/>
      </c>
      <c r="I1438" s="29" t="str">
        <f aca="false">IF($D1438="","",IF(ISNUMBER($E1438),FLOOR(($E1438-$B1438)*24,1),""))</f>
        <v/>
      </c>
      <c r="J1438" s="10" t="str">
        <f aca="false">IF($D1438="","",IFERROR(IF(VLOOKUP($F1438,Dim_Analyst!$A:$C,3,0)="Yes","Yes","No"),"No"))</f>
        <v/>
      </c>
    </row>
    <row r="1439" customFormat="false" ht="15" hidden="false" customHeight="true" outlineLevel="0" collapsed="false">
      <c r="G1439" s="4" t="str">
        <f aca="false">IF($D1439="","",$A1439&amp;"|"&amp;$B1439&amp;"|"&amp;$C1439&amp;"|"&amp;$D1439)</f>
        <v/>
      </c>
      <c r="H1439" s="4" t="str">
        <f aca="false">IF($D1439="","",$G1439&amp;"|"&amp;TEXT($E1439,"0.000000"))</f>
        <v/>
      </c>
      <c r="I1439" s="29" t="str">
        <f aca="false">IF($D1439="","",IF(ISNUMBER($E1439),FLOOR(($E1439-$B1439)*24,1),""))</f>
        <v/>
      </c>
      <c r="J1439" s="10" t="str">
        <f aca="false">IF($D1439="","",IFERROR(IF(VLOOKUP($F1439,Dim_Analyst!$A:$C,3,0)="Yes","Yes","No"),"No"))</f>
        <v/>
      </c>
    </row>
    <row r="1440" customFormat="false" ht="15" hidden="false" customHeight="true" outlineLevel="0" collapsed="false">
      <c r="G1440" s="4" t="str">
        <f aca="false">IF($D1440="","",$A1440&amp;"|"&amp;$B1440&amp;"|"&amp;$C1440&amp;"|"&amp;$D1440)</f>
        <v/>
      </c>
      <c r="H1440" s="4" t="str">
        <f aca="false">IF($D1440="","",$G1440&amp;"|"&amp;TEXT($E1440,"0.000000"))</f>
        <v/>
      </c>
      <c r="I1440" s="29" t="str">
        <f aca="false">IF($D1440="","",IF(ISNUMBER($E1440),FLOOR(($E1440-$B1440)*24,1),""))</f>
        <v/>
      </c>
      <c r="J1440" s="10" t="str">
        <f aca="false">IF($D1440="","",IFERROR(IF(VLOOKUP($F1440,Dim_Analyst!$A:$C,3,0)="Yes","Yes","No"),"No"))</f>
        <v/>
      </c>
    </row>
    <row r="1441" customFormat="false" ht="15" hidden="false" customHeight="true" outlineLevel="0" collapsed="false">
      <c r="G1441" s="4" t="str">
        <f aca="false">IF($D1441="","",$A1441&amp;"|"&amp;$B1441&amp;"|"&amp;$C1441&amp;"|"&amp;$D1441)</f>
        <v/>
      </c>
      <c r="H1441" s="4" t="str">
        <f aca="false">IF($D1441="","",$G1441&amp;"|"&amp;TEXT($E1441,"0.000000"))</f>
        <v/>
      </c>
      <c r="I1441" s="29" t="str">
        <f aca="false">IF($D1441="","",IF(ISNUMBER($E1441),FLOOR(($E1441-$B1441)*24,1),""))</f>
        <v/>
      </c>
      <c r="J1441" s="10" t="str">
        <f aca="false">IF($D1441="","",IFERROR(IF(VLOOKUP($F1441,Dim_Analyst!$A:$C,3,0)="Yes","Yes","No"),"No"))</f>
        <v/>
      </c>
    </row>
    <row r="1442" customFormat="false" ht="15" hidden="false" customHeight="true" outlineLevel="0" collapsed="false">
      <c r="G1442" s="4" t="str">
        <f aca="false">IF($D1442="","",$A1442&amp;"|"&amp;$B1442&amp;"|"&amp;$C1442&amp;"|"&amp;$D1442)</f>
        <v/>
      </c>
      <c r="H1442" s="4" t="str">
        <f aca="false">IF($D1442="","",$G1442&amp;"|"&amp;TEXT($E1442,"0.000000"))</f>
        <v/>
      </c>
      <c r="I1442" s="29" t="str">
        <f aca="false">IF($D1442="","",IF(ISNUMBER($E1442),FLOOR(($E1442-$B1442)*24,1),""))</f>
        <v/>
      </c>
      <c r="J1442" s="10" t="str">
        <f aca="false">IF($D1442="","",IFERROR(IF(VLOOKUP($F1442,Dim_Analyst!$A:$C,3,0)="Yes","Yes","No"),"No"))</f>
        <v/>
      </c>
    </row>
    <row r="1443" customFormat="false" ht="15" hidden="false" customHeight="true" outlineLevel="0" collapsed="false">
      <c r="G1443" s="4" t="str">
        <f aca="false">IF($D1443="","",$A1443&amp;"|"&amp;$B1443&amp;"|"&amp;$C1443&amp;"|"&amp;$D1443)</f>
        <v/>
      </c>
      <c r="H1443" s="4" t="str">
        <f aca="false">IF($D1443="","",$G1443&amp;"|"&amp;TEXT($E1443,"0.000000"))</f>
        <v/>
      </c>
      <c r="I1443" s="29" t="str">
        <f aca="false">IF($D1443="","",IF(ISNUMBER($E1443),FLOOR(($E1443-$B1443)*24,1),""))</f>
        <v/>
      </c>
      <c r="J1443" s="10" t="str">
        <f aca="false">IF($D1443="","",IFERROR(IF(VLOOKUP($F1443,Dim_Analyst!$A:$C,3,0)="Yes","Yes","No"),"No"))</f>
        <v/>
      </c>
    </row>
    <row r="1444" customFormat="false" ht="15" hidden="false" customHeight="true" outlineLevel="0" collapsed="false">
      <c r="G1444" s="4" t="str">
        <f aca="false">IF($D1444="","",$A1444&amp;"|"&amp;$B1444&amp;"|"&amp;$C1444&amp;"|"&amp;$D1444)</f>
        <v/>
      </c>
      <c r="H1444" s="4" t="str">
        <f aca="false">IF($D1444="","",$G1444&amp;"|"&amp;TEXT($E1444,"0.000000"))</f>
        <v/>
      </c>
      <c r="I1444" s="29" t="str">
        <f aca="false">IF($D1444="","",IF(ISNUMBER($E1444),FLOOR(($E1444-$B1444)*24,1),""))</f>
        <v/>
      </c>
      <c r="J1444" s="10" t="str">
        <f aca="false">IF($D1444="","",IFERROR(IF(VLOOKUP($F1444,Dim_Analyst!$A:$C,3,0)="Yes","Yes","No"),"No"))</f>
        <v/>
      </c>
    </row>
    <row r="1445" customFormat="false" ht="15" hidden="false" customHeight="true" outlineLevel="0" collapsed="false">
      <c r="G1445" s="4" t="str">
        <f aca="false">IF($D1445="","",$A1445&amp;"|"&amp;$B1445&amp;"|"&amp;$C1445&amp;"|"&amp;$D1445)</f>
        <v/>
      </c>
      <c r="H1445" s="4" t="str">
        <f aca="false">IF($D1445="","",$G1445&amp;"|"&amp;TEXT($E1445,"0.000000"))</f>
        <v/>
      </c>
      <c r="I1445" s="29" t="str">
        <f aca="false">IF($D1445="","",IF(ISNUMBER($E1445),FLOOR(($E1445-$B1445)*24,1),""))</f>
        <v/>
      </c>
      <c r="J1445" s="10" t="str">
        <f aca="false">IF($D1445="","",IFERROR(IF(VLOOKUP($F1445,Dim_Analyst!$A:$C,3,0)="Yes","Yes","No"),"No"))</f>
        <v/>
      </c>
    </row>
    <row r="1446" customFormat="false" ht="15" hidden="false" customHeight="true" outlineLevel="0" collapsed="false">
      <c r="G1446" s="4" t="str">
        <f aca="false">IF($D1446="","",$A1446&amp;"|"&amp;$B1446&amp;"|"&amp;$C1446&amp;"|"&amp;$D1446)</f>
        <v/>
      </c>
      <c r="H1446" s="4" t="str">
        <f aca="false">IF($D1446="","",$G1446&amp;"|"&amp;TEXT($E1446,"0.000000"))</f>
        <v/>
      </c>
      <c r="I1446" s="29" t="str">
        <f aca="false">IF($D1446="","",IF(ISNUMBER($E1446),FLOOR(($E1446-$B1446)*24,1),""))</f>
        <v/>
      </c>
      <c r="J1446" s="10" t="str">
        <f aca="false">IF($D1446="","",IFERROR(IF(VLOOKUP($F1446,Dim_Analyst!$A:$C,3,0)="Yes","Yes","No"),"No"))</f>
        <v/>
      </c>
    </row>
    <row r="1447" customFormat="false" ht="15" hidden="false" customHeight="true" outlineLevel="0" collapsed="false">
      <c r="G1447" s="4" t="str">
        <f aca="false">IF($D1447="","",$A1447&amp;"|"&amp;$B1447&amp;"|"&amp;$C1447&amp;"|"&amp;$D1447)</f>
        <v/>
      </c>
      <c r="H1447" s="4" t="str">
        <f aca="false">IF($D1447="","",$G1447&amp;"|"&amp;TEXT($E1447,"0.000000"))</f>
        <v/>
      </c>
      <c r="I1447" s="29" t="str">
        <f aca="false">IF($D1447="","",IF(ISNUMBER($E1447),FLOOR(($E1447-$B1447)*24,1),""))</f>
        <v/>
      </c>
      <c r="J1447" s="10" t="str">
        <f aca="false">IF($D1447="","",IFERROR(IF(VLOOKUP($F1447,Dim_Analyst!$A:$C,3,0)="Yes","Yes","No"),"No"))</f>
        <v/>
      </c>
    </row>
    <row r="1448" customFormat="false" ht="15" hidden="false" customHeight="true" outlineLevel="0" collapsed="false">
      <c r="G1448" s="4" t="str">
        <f aca="false">IF($D1448="","",$A1448&amp;"|"&amp;$B1448&amp;"|"&amp;$C1448&amp;"|"&amp;$D1448)</f>
        <v/>
      </c>
      <c r="H1448" s="4" t="str">
        <f aca="false">IF($D1448="","",$G1448&amp;"|"&amp;TEXT($E1448,"0.000000"))</f>
        <v/>
      </c>
      <c r="I1448" s="29" t="str">
        <f aca="false">IF($D1448="","",IF(ISNUMBER($E1448),FLOOR(($E1448-$B1448)*24,1),""))</f>
        <v/>
      </c>
      <c r="J1448" s="10" t="str">
        <f aca="false">IF($D1448="","",IFERROR(IF(VLOOKUP($F1448,Dim_Analyst!$A:$C,3,0)="Yes","Yes","No"),"No"))</f>
        <v/>
      </c>
    </row>
    <row r="1449" customFormat="false" ht="15" hidden="false" customHeight="true" outlineLevel="0" collapsed="false">
      <c r="G1449" s="4" t="str">
        <f aca="false">IF($D1449="","",$A1449&amp;"|"&amp;$B1449&amp;"|"&amp;$C1449&amp;"|"&amp;$D1449)</f>
        <v/>
      </c>
      <c r="H1449" s="4" t="str">
        <f aca="false">IF($D1449="","",$G1449&amp;"|"&amp;TEXT($E1449,"0.000000"))</f>
        <v/>
      </c>
      <c r="I1449" s="29" t="str">
        <f aca="false">IF($D1449="","",IF(ISNUMBER($E1449),FLOOR(($E1449-$B1449)*24,1),""))</f>
        <v/>
      </c>
      <c r="J1449" s="10" t="str">
        <f aca="false">IF($D1449="","",IFERROR(IF(VLOOKUP($F1449,Dim_Analyst!$A:$C,3,0)="Yes","Yes","No"),"No"))</f>
        <v/>
      </c>
    </row>
    <row r="1450" customFormat="false" ht="15" hidden="false" customHeight="true" outlineLevel="0" collapsed="false">
      <c r="G1450" s="4" t="str">
        <f aca="false">IF($D1450="","",$A1450&amp;"|"&amp;$B1450&amp;"|"&amp;$C1450&amp;"|"&amp;$D1450)</f>
        <v/>
      </c>
      <c r="H1450" s="4" t="str">
        <f aca="false">IF($D1450="","",$G1450&amp;"|"&amp;TEXT($E1450,"0.000000"))</f>
        <v/>
      </c>
      <c r="I1450" s="29" t="str">
        <f aca="false">IF($D1450="","",IF(ISNUMBER($E1450),FLOOR(($E1450-$B1450)*24,1),""))</f>
        <v/>
      </c>
      <c r="J1450" s="10" t="str">
        <f aca="false">IF($D1450="","",IFERROR(IF(VLOOKUP($F1450,Dim_Analyst!$A:$C,3,0)="Yes","Yes","No"),"No"))</f>
        <v/>
      </c>
    </row>
    <row r="1451" customFormat="false" ht="15" hidden="false" customHeight="true" outlineLevel="0" collapsed="false">
      <c r="G1451" s="4" t="str">
        <f aca="false">IF($D1451="","",$A1451&amp;"|"&amp;$B1451&amp;"|"&amp;$C1451&amp;"|"&amp;$D1451)</f>
        <v/>
      </c>
      <c r="H1451" s="4" t="str">
        <f aca="false">IF($D1451="","",$G1451&amp;"|"&amp;TEXT($E1451,"0.000000"))</f>
        <v/>
      </c>
      <c r="I1451" s="29" t="str">
        <f aca="false">IF($D1451="","",IF(ISNUMBER($E1451),FLOOR(($E1451-$B1451)*24,1),""))</f>
        <v/>
      </c>
      <c r="J1451" s="10" t="str">
        <f aca="false">IF($D1451="","",IFERROR(IF(VLOOKUP($F1451,Dim_Analyst!$A:$C,3,0)="Yes","Yes","No"),"No"))</f>
        <v/>
      </c>
    </row>
    <row r="1452" customFormat="false" ht="15" hidden="false" customHeight="true" outlineLevel="0" collapsed="false">
      <c r="G1452" s="4" t="str">
        <f aca="false">IF($D1452="","",$A1452&amp;"|"&amp;$B1452&amp;"|"&amp;$C1452&amp;"|"&amp;$D1452)</f>
        <v/>
      </c>
      <c r="H1452" s="4" t="str">
        <f aca="false">IF($D1452="","",$G1452&amp;"|"&amp;TEXT($E1452,"0.000000"))</f>
        <v/>
      </c>
      <c r="I1452" s="29" t="str">
        <f aca="false">IF($D1452="","",IF(ISNUMBER($E1452),FLOOR(($E1452-$B1452)*24,1),""))</f>
        <v/>
      </c>
      <c r="J1452" s="10" t="str">
        <f aca="false">IF($D1452="","",IFERROR(IF(VLOOKUP($F1452,Dim_Analyst!$A:$C,3,0)="Yes","Yes","No"),"No"))</f>
        <v/>
      </c>
    </row>
    <row r="1453" customFormat="false" ht="15" hidden="false" customHeight="true" outlineLevel="0" collapsed="false">
      <c r="G1453" s="4" t="str">
        <f aca="false">IF($D1453="","",$A1453&amp;"|"&amp;$B1453&amp;"|"&amp;$C1453&amp;"|"&amp;$D1453)</f>
        <v/>
      </c>
      <c r="H1453" s="4" t="str">
        <f aca="false">IF($D1453="","",$G1453&amp;"|"&amp;TEXT($E1453,"0.000000"))</f>
        <v/>
      </c>
      <c r="I1453" s="29" t="str">
        <f aca="false">IF($D1453="","",IF(ISNUMBER($E1453),FLOOR(($E1453-$B1453)*24,1),""))</f>
        <v/>
      </c>
      <c r="J1453" s="10" t="str">
        <f aca="false">IF($D1453="","",IFERROR(IF(VLOOKUP($F1453,Dim_Analyst!$A:$C,3,0)="Yes","Yes","No"),"No"))</f>
        <v/>
      </c>
    </row>
    <row r="1454" customFormat="false" ht="15" hidden="false" customHeight="true" outlineLevel="0" collapsed="false">
      <c r="G1454" s="4" t="str">
        <f aca="false">IF($D1454="","",$A1454&amp;"|"&amp;$B1454&amp;"|"&amp;$C1454&amp;"|"&amp;$D1454)</f>
        <v/>
      </c>
      <c r="H1454" s="4" t="str">
        <f aca="false">IF($D1454="","",$G1454&amp;"|"&amp;TEXT($E1454,"0.000000"))</f>
        <v/>
      </c>
      <c r="I1454" s="29" t="str">
        <f aca="false">IF($D1454="","",IF(ISNUMBER($E1454),FLOOR(($E1454-$B1454)*24,1),""))</f>
        <v/>
      </c>
      <c r="J1454" s="10" t="str">
        <f aca="false">IF($D1454="","",IFERROR(IF(VLOOKUP($F1454,Dim_Analyst!$A:$C,3,0)="Yes","Yes","No"),"No"))</f>
        <v/>
      </c>
    </row>
    <row r="1455" customFormat="false" ht="15" hidden="false" customHeight="true" outlineLevel="0" collapsed="false">
      <c r="G1455" s="4" t="str">
        <f aca="false">IF($D1455="","",$A1455&amp;"|"&amp;$B1455&amp;"|"&amp;$C1455&amp;"|"&amp;$D1455)</f>
        <v/>
      </c>
      <c r="H1455" s="4" t="str">
        <f aca="false">IF($D1455="","",$G1455&amp;"|"&amp;TEXT($E1455,"0.000000"))</f>
        <v/>
      </c>
      <c r="I1455" s="29" t="str">
        <f aca="false">IF($D1455="","",IF(ISNUMBER($E1455),FLOOR(($E1455-$B1455)*24,1),""))</f>
        <v/>
      </c>
      <c r="J1455" s="10" t="str">
        <f aca="false">IF($D1455="","",IFERROR(IF(VLOOKUP($F1455,Dim_Analyst!$A:$C,3,0)="Yes","Yes","No"),"No"))</f>
        <v/>
      </c>
    </row>
    <row r="1456" customFormat="false" ht="15" hidden="false" customHeight="true" outlineLevel="0" collapsed="false">
      <c r="G1456" s="4" t="str">
        <f aca="false">IF($D1456="","",$A1456&amp;"|"&amp;$B1456&amp;"|"&amp;$C1456&amp;"|"&amp;$D1456)</f>
        <v/>
      </c>
      <c r="H1456" s="4" t="str">
        <f aca="false">IF($D1456="","",$G1456&amp;"|"&amp;TEXT($E1456,"0.000000"))</f>
        <v/>
      </c>
      <c r="I1456" s="29" t="str">
        <f aca="false">IF($D1456="","",IF(ISNUMBER($E1456),FLOOR(($E1456-$B1456)*24,1),""))</f>
        <v/>
      </c>
      <c r="J1456" s="10" t="str">
        <f aca="false">IF($D1456="","",IFERROR(IF(VLOOKUP($F1456,Dim_Analyst!$A:$C,3,0)="Yes","Yes","No"),"No"))</f>
        <v/>
      </c>
    </row>
    <row r="1457" customFormat="false" ht="15" hidden="false" customHeight="true" outlineLevel="0" collapsed="false">
      <c r="G1457" s="4" t="str">
        <f aca="false">IF($D1457="","",$A1457&amp;"|"&amp;$B1457&amp;"|"&amp;$C1457&amp;"|"&amp;$D1457)</f>
        <v/>
      </c>
      <c r="H1457" s="4" t="str">
        <f aca="false">IF($D1457="","",$G1457&amp;"|"&amp;TEXT($E1457,"0.000000"))</f>
        <v/>
      </c>
      <c r="I1457" s="29" t="str">
        <f aca="false">IF($D1457="","",IF(ISNUMBER($E1457),FLOOR(($E1457-$B1457)*24,1),""))</f>
        <v/>
      </c>
      <c r="J1457" s="10" t="str">
        <f aca="false">IF($D1457="","",IFERROR(IF(VLOOKUP($F1457,Dim_Analyst!$A:$C,3,0)="Yes","Yes","No"),"No"))</f>
        <v/>
      </c>
    </row>
    <row r="1458" customFormat="false" ht="15" hidden="false" customHeight="true" outlineLevel="0" collapsed="false">
      <c r="G1458" s="4" t="str">
        <f aca="false">IF($D1458="","",$A1458&amp;"|"&amp;$B1458&amp;"|"&amp;$C1458&amp;"|"&amp;$D1458)</f>
        <v/>
      </c>
      <c r="H1458" s="4" t="str">
        <f aca="false">IF($D1458="","",$G1458&amp;"|"&amp;TEXT($E1458,"0.000000"))</f>
        <v/>
      </c>
      <c r="I1458" s="29" t="str">
        <f aca="false">IF($D1458="","",IF(ISNUMBER($E1458),FLOOR(($E1458-$B1458)*24,1),""))</f>
        <v/>
      </c>
      <c r="J1458" s="10" t="str">
        <f aca="false">IF($D1458="","",IFERROR(IF(VLOOKUP($F1458,Dim_Analyst!$A:$C,3,0)="Yes","Yes","No"),"No"))</f>
        <v/>
      </c>
    </row>
    <row r="1459" customFormat="false" ht="15" hidden="false" customHeight="true" outlineLevel="0" collapsed="false">
      <c r="G1459" s="4" t="str">
        <f aca="false">IF($D1459="","",$A1459&amp;"|"&amp;$B1459&amp;"|"&amp;$C1459&amp;"|"&amp;$D1459)</f>
        <v/>
      </c>
      <c r="H1459" s="4" t="str">
        <f aca="false">IF($D1459="","",$G1459&amp;"|"&amp;TEXT($E1459,"0.000000"))</f>
        <v/>
      </c>
      <c r="I1459" s="29" t="str">
        <f aca="false">IF($D1459="","",IF(ISNUMBER($E1459),FLOOR(($E1459-$B1459)*24,1),""))</f>
        <v/>
      </c>
      <c r="J1459" s="10" t="str">
        <f aca="false">IF($D1459="","",IFERROR(IF(VLOOKUP($F1459,Dim_Analyst!$A:$C,3,0)="Yes","Yes","No"),"No"))</f>
        <v/>
      </c>
    </row>
    <row r="1460" customFormat="false" ht="15" hidden="false" customHeight="true" outlineLevel="0" collapsed="false">
      <c r="G1460" s="4" t="str">
        <f aca="false">IF($D1460="","",$A1460&amp;"|"&amp;$B1460&amp;"|"&amp;$C1460&amp;"|"&amp;$D1460)</f>
        <v/>
      </c>
      <c r="H1460" s="4" t="str">
        <f aca="false">IF($D1460="","",$G1460&amp;"|"&amp;TEXT($E1460,"0.000000"))</f>
        <v/>
      </c>
      <c r="I1460" s="29" t="str">
        <f aca="false">IF($D1460="","",IF(ISNUMBER($E1460),FLOOR(($E1460-$B1460)*24,1),""))</f>
        <v/>
      </c>
      <c r="J1460" s="10" t="str">
        <f aca="false">IF($D1460="","",IFERROR(IF(VLOOKUP($F1460,Dim_Analyst!$A:$C,3,0)="Yes","Yes","No"),"No"))</f>
        <v/>
      </c>
    </row>
    <row r="1461" customFormat="false" ht="15" hidden="false" customHeight="true" outlineLevel="0" collapsed="false">
      <c r="G1461" s="4" t="str">
        <f aca="false">IF($D1461="","",$A1461&amp;"|"&amp;$B1461&amp;"|"&amp;$C1461&amp;"|"&amp;$D1461)</f>
        <v/>
      </c>
      <c r="H1461" s="4" t="str">
        <f aca="false">IF($D1461="","",$G1461&amp;"|"&amp;TEXT($E1461,"0.000000"))</f>
        <v/>
      </c>
      <c r="I1461" s="29" t="str">
        <f aca="false">IF($D1461="","",IF(ISNUMBER($E1461),FLOOR(($E1461-$B1461)*24,1),""))</f>
        <v/>
      </c>
      <c r="J1461" s="10" t="str">
        <f aca="false">IF($D1461="","",IFERROR(IF(VLOOKUP($F1461,Dim_Analyst!$A:$C,3,0)="Yes","Yes","No"),"No"))</f>
        <v/>
      </c>
    </row>
    <row r="1462" customFormat="false" ht="15" hidden="false" customHeight="true" outlineLevel="0" collapsed="false">
      <c r="G1462" s="4" t="str">
        <f aca="false">IF($D1462="","",$A1462&amp;"|"&amp;$B1462&amp;"|"&amp;$C1462&amp;"|"&amp;$D1462)</f>
        <v/>
      </c>
      <c r="H1462" s="4" t="str">
        <f aca="false">IF($D1462="","",$G1462&amp;"|"&amp;TEXT($E1462,"0.000000"))</f>
        <v/>
      </c>
      <c r="I1462" s="29" t="str">
        <f aca="false">IF($D1462="","",IF(ISNUMBER($E1462),FLOOR(($E1462-$B1462)*24,1),""))</f>
        <v/>
      </c>
      <c r="J1462" s="10" t="str">
        <f aca="false">IF($D1462="","",IFERROR(IF(VLOOKUP($F1462,Dim_Analyst!$A:$C,3,0)="Yes","Yes","No"),"No"))</f>
        <v/>
      </c>
    </row>
    <row r="1463" customFormat="false" ht="15" hidden="false" customHeight="true" outlineLevel="0" collapsed="false">
      <c r="G1463" s="4" t="str">
        <f aca="false">IF($D1463="","",$A1463&amp;"|"&amp;$B1463&amp;"|"&amp;$C1463&amp;"|"&amp;$D1463)</f>
        <v/>
      </c>
      <c r="H1463" s="4" t="str">
        <f aca="false">IF($D1463="","",$G1463&amp;"|"&amp;TEXT($E1463,"0.000000"))</f>
        <v/>
      </c>
      <c r="I1463" s="29" t="str">
        <f aca="false">IF($D1463="","",IF(ISNUMBER($E1463),FLOOR(($E1463-$B1463)*24,1),""))</f>
        <v/>
      </c>
      <c r="J1463" s="10" t="str">
        <f aca="false">IF($D1463="","",IFERROR(IF(VLOOKUP($F1463,Dim_Analyst!$A:$C,3,0)="Yes","Yes","No"),"No"))</f>
        <v/>
      </c>
    </row>
    <row r="1464" customFormat="false" ht="15" hidden="false" customHeight="true" outlineLevel="0" collapsed="false">
      <c r="G1464" s="4" t="str">
        <f aca="false">IF($D1464="","",$A1464&amp;"|"&amp;$B1464&amp;"|"&amp;$C1464&amp;"|"&amp;$D1464)</f>
        <v/>
      </c>
      <c r="H1464" s="4" t="str">
        <f aca="false">IF($D1464="","",$G1464&amp;"|"&amp;TEXT($E1464,"0.000000"))</f>
        <v/>
      </c>
      <c r="I1464" s="29" t="str">
        <f aca="false">IF($D1464="","",IF(ISNUMBER($E1464),FLOOR(($E1464-$B1464)*24,1),""))</f>
        <v/>
      </c>
      <c r="J1464" s="10" t="str">
        <f aca="false">IF($D1464="","",IFERROR(IF(VLOOKUP($F1464,Dim_Analyst!$A:$C,3,0)="Yes","Yes","No"),"No"))</f>
        <v/>
      </c>
    </row>
    <row r="1465" customFormat="false" ht="15" hidden="false" customHeight="true" outlineLevel="0" collapsed="false">
      <c r="G1465" s="4" t="str">
        <f aca="false">IF($D1465="","",$A1465&amp;"|"&amp;$B1465&amp;"|"&amp;$C1465&amp;"|"&amp;$D1465)</f>
        <v/>
      </c>
      <c r="H1465" s="4" t="str">
        <f aca="false">IF($D1465="","",$G1465&amp;"|"&amp;TEXT($E1465,"0.000000"))</f>
        <v/>
      </c>
      <c r="I1465" s="29" t="str">
        <f aca="false">IF($D1465="","",IF(ISNUMBER($E1465),FLOOR(($E1465-$B1465)*24,1),""))</f>
        <v/>
      </c>
      <c r="J1465" s="10" t="str">
        <f aca="false">IF($D1465="","",IFERROR(IF(VLOOKUP($F1465,Dim_Analyst!$A:$C,3,0)="Yes","Yes","No"),"No"))</f>
        <v/>
      </c>
    </row>
    <row r="1466" customFormat="false" ht="15" hidden="false" customHeight="true" outlineLevel="0" collapsed="false">
      <c r="G1466" s="4" t="str">
        <f aca="false">IF($D1466="","",$A1466&amp;"|"&amp;$B1466&amp;"|"&amp;$C1466&amp;"|"&amp;$D1466)</f>
        <v/>
      </c>
      <c r="H1466" s="4" t="str">
        <f aca="false">IF($D1466="","",$G1466&amp;"|"&amp;TEXT($E1466,"0.000000"))</f>
        <v/>
      </c>
      <c r="I1466" s="29" t="str">
        <f aca="false">IF($D1466="","",IF(ISNUMBER($E1466),FLOOR(($E1466-$B1466)*24,1),""))</f>
        <v/>
      </c>
      <c r="J1466" s="10" t="str">
        <f aca="false">IF($D1466="","",IFERROR(IF(VLOOKUP($F1466,Dim_Analyst!$A:$C,3,0)="Yes","Yes","No"),"No"))</f>
        <v/>
      </c>
    </row>
    <row r="1467" customFormat="false" ht="15" hidden="false" customHeight="true" outlineLevel="0" collapsed="false">
      <c r="G1467" s="4" t="str">
        <f aca="false">IF($D1467="","",$A1467&amp;"|"&amp;$B1467&amp;"|"&amp;$C1467&amp;"|"&amp;$D1467)</f>
        <v/>
      </c>
      <c r="H1467" s="4" t="str">
        <f aca="false">IF($D1467="","",$G1467&amp;"|"&amp;TEXT($E1467,"0.000000"))</f>
        <v/>
      </c>
      <c r="I1467" s="29" t="str">
        <f aca="false">IF($D1467="","",IF(ISNUMBER($E1467),FLOOR(($E1467-$B1467)*24,1),""))</f>
        <v/>
      </c>
      <c r="J1467" s="10" t="str">
        <f aca="false">IF($D1467="","",IFERROR(IF(VLOOKUP($F1467,Dim_Analyst!$A:$C,3,0)="Yes","Yes","No"),"No"))</f>
        <v/>
      </c>
    </row>
    <row r="1468" customFormat="false" ht="15" hidden="false" customHeight="true" outlineLevel="0" collapsed="false">
      <c r="G1468" s="4" t="str">
        <f aca="false">IF($D1468="","",$A1468&amp;"|"&amp;$B1468&amp;"|"&amp;$C1468&amp;"|"&amp;$D1468)</f>
        <v/>
      </c>
      <c r="H1468" s="4" t="str">
        <f aca="false">IF($D1468="","",$G1468&amp;"|"&amp;TEXT($E1468,"0.000000"))</f>
        <v/>
      </c>
      <c r="I1468" s="29" t="str">
        <f aca="false">IF($D1468="","",IF(ISNUMBER($E1468),FLOOR(($E1468-$B1468)*24,1),""))</f>
        <v/>
      </c>
      <c r="J1468" s="10" t="str">
        <f aca="false">IF($D1468="","",IFERROR(IF(VLOOKUP($F1468,Dim_Analyst!$A:$C,3,0)="Yes","Yes","No"),"No"))</f>
        <v/>
      </c>
    </row>
    <row r="1469" customFormat="false" ht="15" hidden="false" customHeight="true" outlineLevel="0" collapsed="false">
      <c r="G1469" s="4" t="str">
        <f aca="false">IF($D1469="","",$A1469&amp;"|"&amp;$B1469&amp;"|"&amp;$C1469&amp;"|"&amp;$D1469)</f>
        <v/>
      </c>
      <c r="H1469" s="4" t="str">
        <f aca="false">IF($D1469="","",$G1469&amp;"|"&amp;TEXT($E1469,"0.000000"))</f>
        <v/>
      </c>
      <c r="I1469" s="29" t="str">
        <f aca="false">IF($D1469="","",IF(ISNUMBER($E1469),FLOOR(($E1469-$B1469)*24,1),""))</f>
        <v/>
      </c>
      <c r="J1469" s="10" t="str">
        <f aca="false">IF($D1469="","",IFERROR(IF(VLOOKUP($F1469,Dim_Analyst!$A:$C,3,0)="Yes","Yes","No"),"No"))</f>
        <v/>
      </c>
    </row>
    <row r="1470" customFormat="false" ht="15" hidden="false" customHeight="true" outlineLevel="0" collapsed="false">
      <c r="G1470" s="4" t="str">
        <f aca="false">IF($D1470="","",$A1470&amp;"|"&amp;$B1470&amp;"|"&amp;$C1470&amp;"|"&amp;$D1470)</f>
        <v/>
      </c>
      <c r="H1470" s="4" t="str">
        <f aca="false">IF($D1470="","",$G1470&amp;"|"&amp;TEXT($E1470,"0.000000"))</f>
        <v/>
      </c>
      <c r="I1470" s="29" t="str">
        <f aca="false">IF($D1470="","",IF(ISNUMBER($E1470),FLOOR(($E1470-$B1470)*24,1),""))</f>
        <v/>
      </c>
      <c r="J1470" s="10" t="str">
        <f aca="false">IF($D1470="","",IFERROR(IF(VLOOKUP($F1470,Dim_Analyst!$A:$C,3,0)="Yes","Yes","No"),"No"))</f>
        <v/>
      </c>
    </row>
    <row r="1471" customFormat="false" ht="15" hidden="false" customHeight="true" outlineLevel="0" collapsed="false">
      <c r="G1471" s="4" t="str">
        <f aca="false">IF($D1471="","",$A1471&amp;"|"&amp;$B1471&amp;"|"&amp;$C1471&amp;"|"&amp;$D1471)</f>
        <v/>
      </c>
      <c r="H1471" s="4" t="str">
        <f aca="false">IF($D1471="","",$G1471&amp;"|"&amp;TEXT($E1471,"0.000000"))</f>
        <v/>
      </c>
      <c r="I1471" s="29" t="str">
        <f aca="false">IF($D1471="","",IF(ISNUMBER($E1471),FLOOR(($E1471-$B1471)*24,1),""))</f>
        <v/>
      </c>
      <c r="J1471" s="10" t="str">
        <f aca="false">IF($D1471="","",IFERROR(IF(VLOOKUP($F1471,Dim_Analyst!$A:$C,3,0)="Yes","Yes","No"),"No"))</f>
        <v/>
      </c>
    </row>
    <row r="1472" customFormat="false" ht="15" hidden="false" customHeight="true" outlineLevel="0" collapsed="false">
      <c r="G1472" s="4" t="str">
        <f aca="false">IF($D1472="","",$A1472&amp;"|"&amp;$B1472&amp;"|"&amp;$C1472&amp;"|"&amp;$D1472)</f>
        <v/>
      </c>
      <c r="H1472" s="4" t="str">
        <f aca="false">IF($D1472="","",$G1472&amp;"|"&amp;TEXT($E1472,"0.000000"))</f>
        <v/>
      </c>
      <c r="I1472" s="29" t="str">
        <f aca="false">IF($D1472="","",IF(ISNUMBER($E1472),FLOOR(($E1472-$B1472)*24,1),""))</f>
        <v/>
      </c>
      <c r="J1472" s="10" t="str">
        <f aca="false">IF($D1472="","",IFERROR(IF(VLOOKUP($F1472,Dim_Analyst!$A:$C,3,0)="Yes","Yes","No"),"No"))</f>
        <v/>
      </c>
    </row>
    <row r="1473" customFormat="false" ht="15" hidden="false" customHeight="true" outlineLevel="0" collapsed="false">
      <c r="G1473" s="4" t="str">
        <f aca="false">IF($D1473="","",$A1473&amp;"|"&amp;$B1473&amp;"|"&amp;$C1473&amp;"|"&amp;$D1473)</f>
        <v/>
      </c>
      <c r="H1473" s="4" t="str">
        <f aca="false">IF($D1473="","",$G1473&amp;"|"&amp;TEXT($E1473,"0.000000"))</f>
        <v/>
      </c>
      <c r="I1473" s="29" t="str">
        <f aca="false">IF($D1473="","",IF(ISNUMBER($E1473),FLOOR(($E1473-$B1473)*24,1),""))</f>
        <v/>
      </c>
      <c r="J1473" s="10" t="str">
        <f aca="false">IF($D1473="","",IFERROR(IF(VLOOKUP($F1473,Dim_Analyst!$A:$C,3,0)="Yes","Yes","No"),"No"))</f>
        <v/>
      </c>
    </row>
    <row r="1474" customFormat="false" ht="15" hidden="false" customHeight="true" outlineLevel="0" collapsed="false">
      <c r="G1474" s="4" t="str">
        <f aca="false">IF($D1474="","",$A1474&amp;"|"&amp;$B1474&amp;"|"&amp;$C1474&amp;"|"&amp;$D1474)</f>
        <v/>
      </c>
      <c r="H1474" s="4" t="str">
        <f aca="false">IF($D1474="","",$G1474&amp;"|"&amp;TEXT($E1474,"0.000000"))</f>
        <v/>
      </c>
      <c r="I1474" s="29" t="str">
        <f aca="false">IF($D1474="","",IF(ISNUMBER($E1474),FLOOR(($E1474-$B1474)*24,1),""))</f>
        <v/>
      </c>
      <c r="J1474" s="10" t="str">
        <f aca="false">IF($D1474="","",IFERROR(IF(VLOOKUP($F1474,Dim_Analyst!$A:$C,3,0)="Yes","Yes","No"),"No"))</f>
        <v/>
      </c>
    </row>
    <row r="1475" customFormat="false" ht="15" hidden="false" customHeight="true" outlineLevel="0" collapsed="false">
      <c r="G1475" s="4" t="str">
        <f aca="false">IF($D1475="","",$A1475&amp;"|"&amp;$B1475&amp;"|"&amp;$C1475&amp;"|"&amp;$D1475)</f>
        <v/>
      </c>
      <c r="H1475" s="4" t="str">
        <f aca="false">IF($D1475="","",$G1475&amp;"|"&amp;TEXT($E1475,"0.000000"))</f>
        <v/>
      </c>
      <c r="I1475" s="29" t="str">
        <f aca="false">IF($D1475="","",IF(ISNUMBER($E1475),FLOOR(($E1475-$B1475)*24,1),""))</f>
        <v/>
      </c>
      <c r="J1475" s="10" t="str">
        <f aca="false">IF($D1475="","",IFERROR(IF(VLOOKUP($F1475,Dim_Analyst!$A:$C,3,0)="Yes","Yes","No"),"No"))</f>
        <v/>
      </c>
    </row>
    <row r="1476" customFormat="false" ht="15" hidden="false" customHeight="true" outlineLevel="0" collapsed="false">
      <c r="G1476" s="4" t="str">
        <f aca="false">IF($D1476="","",$A1476&amp;"|"&amp;$B1476&amp;"|"&amp;$C1476&amp;"|"&amp;$D1476)</f>
        <v/>
      </c>
      <c r="H1476" s="4" t="str">
        <f aca="false">IF($D1476="","",$G1476&amp;"|"&amp;TEXT($E1476,"0.000000"))</f>
        <v/>
      </c>
      <c r="I1476" s="29" t="str">
        <f aca="false">IF($D1476="","",IF(ISNUMBER($E1476),FLOOR(($E1476-$B1476)*24,1),""))</f>
        <v/>
      </c>
      <c r="J1476" s="10" t="str">
        <f aca="false">IF($D1476="","",IFERROR(IF(VLOOKUP($F1476,Dim_Analyst!$A:$C,3,0)="Yes","Yes","No"),"No"))</f>
        <v/>
      </c>
    </row>
    <row r="1477" customFormat="false" ht="15" hidden="false" customHeight="true" outlineLevel="0" collapsed="false">
      <c r="G1477" s="4" t="str">
        <f aca="false">IF($D1477="","",$A1477&amp;"|"&amp;$B1477&amp;"|"&amp;$C1477&amp;"|"&amp;$D1477)</f>
        <v/>
      </c>
      <c r="H1477" s="4" t="str">
        <f aca="false">IF($D1477="","",$G1477&amp;"|"&amp;TEXT($E1477,"0.000000"))</f>
        <v/>
      </c>
      <c r="I1477" s="29" t="str">
        <f aca="false">IF($D1477="","",IF(ISNUMBER($E1477),FLOOR(($E1477-$B1477)*24,1),""))</f>
        <v/>
      </c>
      <c r="J1477" s="10" t="str">
        <f aca="false">IF($D1477="","",IFERROR(IF(VLOOKUP($F1477,Dim_Analyst!$A:$C,3,0)="Yes","Yes","No"),"No"))</f>
        <v/>
      </c>
    </row>
    <row r="1478" customFormat="false" ht="15" hidden="false" customHeight="true" outlineLevel="0" collapsed="false">
      <c r="G1478" s="4" t="str">
        <f aca="false">IF($D1478="","",$A1478&amp;"|"&amp;$B1478&amp;"|"&amp;$C1478&amp;"|"&amp;$D1478)</f>
        <v/>
      </c>
      <c r="H1478" s="4" t="str">
        <f aca="false">IF($D1478="","",$G1478&amp;"|"&amp;TEXT($E1478,"0.000000"))</f>
        <v/>
      </c>
      <c r="I1478" s="29" t="str">
        <f aca="false">IF($D1478="","",IF(ISNUMBER($E1478),FLOOR(($E1478-$B1478)*24,1),""))</f>
        <v/>
      </c>
      <c r="J1478" s="10" t="str">
        <f aca="false">IF($D1478="","",IFERROR(IF(VLOOKUP($F1478,Dim_Analyst!$A:$C,3,0)="Yes","Yes","No"),"No"))</f>
        <v/>
      </c>
    </row>
    <row r="1479" customFormat="false" ht="15" hidden="false" customHeight="true" outlineLevel="0" collapsed="false">
      <c r="G1479" s="4" t="str">
        <f aca="false">IF($D1479="","",$A1479&amp;"|"&amp;$B1479&amp;"|"&amp;$C1479&amp;"|"&amp;$D1479)</f>
        <v/>
      </c>
      <c r="H1479" s="4" t="str">
        <f aca="false">IF($D1479="","",$G1479&amp;"|"&amp;TEXT($E1479,"0.000000"))</f>
        <v/>
      </c>
      <c r="I1479" s="29" t="str">
        <f aca="false">IF($D1479="","",IF(ISNUMBER($E1479),FLOOR(($E1479-$B1479)*24,1),""))</f>
        <v/>
      </c>
      <c r="J1479" s="10" t="str">
        <f aca="false">IF($D1479="","",IFERROR(IF(VLOOKUP($F1479,Dim_Analyst!$A:$C,3,0)="Yes","Yes","No"),"No"))</f>
        <v/>
      </c>
    </row>
    <row r="1480" customFormat="false" ht="15" hidden="false" customHeight="true" outlineLevel="0" collapsed="false">
      <c r="G1480" s="4" t="str">
        <f aca="false">IF($D1480="","",$A1480&amp;"|"&amp;$B1480&amp;"|"&amp;$C1480&amp;"|"&amp;$D1480)</f>
        <v/>
      </c>
      <c r="H1480" s="4" t="str">
        <f aca="false">IF($D1480="","",$G1480&amp;"|"&amp;TEXT($E1480,"0.000000"))</f>
        <v/>
      </c>
      <c r="I1480" s="29" t="str">
        <f aca="false">IF($D1480="","",IF(ISNUMBER($E1480),FLOOR(($E1480-$B1480)*24,1),""))</f>
        <v/>
      </c>
      <c r="J1480" s="10" t="str">
        <f aca="false">IF($D1480="","",IFERROR(IF(VLOOKUP($F1480,Dim_Analyst!$A:$C,3,0)="Yes","Yes","No"),"No"))</f>
        <v/>
      </c>
    </row>
    <row r="1481" customFormat="false" ht="15" hidden="false" customHeight="true" outlineLevel="0" collapsed="false">
      <c r="G1481" s="4" t="str">
        <f aca="false">IF($D1481="","",$A1481&amp;"|"&amp;$B1481&amp;"|"&amp;$C1481&amp;"|"&amp;$D1481)</f>
        <v/>
      </c>
      <c r="H1481" s="4" t="str">
        <f aca="false">IF($D1481="","",$G1481&amp;"|"&amp;TEXT($E1481,"0.000000"))</f>
        <v/>
      </c>
      <c r="I1481" s="29" t="str">
        <f aca="false">IF($D1481="","",IF(ISNUMBER($E1481),FLOOR(($E1481-$B1481)*24,1),""))</f>
        <v/>
      </c>
      <c r="J1481" s="10" t="str">
        <f aca="false">IF($D1481="","",IFERROR(IF(VLOOKUP($F1481,Dim_Analyst!$A:$C,3,0)="Yes","Yes","No"),"No"))</f>
        <v/>
      </c>
    </row>
    <row r="1482" customFormat="false" ht="15" hidden="false" customHeight="true" outlineLevel="0" collapsed="false">
      <c r="G1482" s="4" t="str">
        <f aca="false">IF($D1482="","",$A1482&amp;"|"&amp;$B1482&amp;"|"&amp;$C1482&amp;"|"&amp;$D1482)</f>
        <v/>
      </c>
      <c r="H1482" s="4" t="str">
        <f aca="false">IF($D1482="","",$G1482&amp;"|"&amp;TEXT($E1482,"0.000000"))</f>
        <v/>
      </c>
      <c r="I1482" s="29" t="str">
        <f aca="false">IF($D1482="","",IF(ISNUMBER($E1482),FLOOR(($E1482-$B1482)*24,1),""))</f>
        <v/>
      </c>
      <c r="J1482" s="10" t="str">
        <f aca="false">IF($D1482="","",IFERROR(IF(VLOOKUP($F1482,Dim_Analyst!$A:$C,3,0)="Yes","Yes","No"),"No"))</f>
        <v/>
      </c>
    </row>
    <row r="1483" customFormat="false" ht="15" hidden="false" customHeight="true" outlineLevel="0" collapsed="false">
      <c r="G1483" s="4" t="str">
        <f aca="false">IF($D1483="","",$A1483&amp;"|"&amp;$B1483&amp;"|"&amp;$C1483&amp;"|"&amp;$D1483)</f>
        <v/>
      </c>
      <c r="H1483" s="4" t="str">
        <f aca="false">IF($D1483="","",$G1483&amp;"|"&amp;TEXT($E1483,"0.000000"))</f>
        <v/>
      </c>
      <c r="I1483" s="29" t="str">
        <f aca="false">IF($D1483="","",IF(ISNUMBER($E1483),FLOOR(($E1483-$B1483)*24,1),""))</f>
        <v/>
      </c>
      <c r="J1483" s="10" t="str">
        <f aca="false">IF($D1483="","",IFERROR(IF(VLOOKUP($F1483,Dim_Analyst!$A:$C,3,0)="Yes","Yes","No"),"No"))</f>
        <v/>
      </c>
    </row>
    <row r="1484" customFormat="false" ht="15" hidden="false" customHeight="true" outlineLevel="0" collapsed="false">
      <c r="G1484" s="4" t="str">
        <f aca="false">IF($D1484="","",$A1484&amp;"|"&amp;$B1484&amp;"|"&amp;$C1484&amp;"|"&amp;$D1484)</f>
        <v/>
      </c>
      <c r="H1484" s="4" t="str">
        <f aca="false">IF($D1484="","",$G1484&amp;"|"&amp;TEXT($E1484,"0.000000"))</f>
        <v/>
      </c>
      <c r="I1484" s="29" t="str">
        <f aca="false">IF($D1484="","",IF(ISNUMBER($E1484),FLOOR(($E1484-$B1484)*24,1),""))</f>
        <v/>
      </c>
      <c r="J1484" s="10" t="str">
        <f aca="false">IF($D1484="","",IFERROR(IF(VLOOKUP($F1484,Dim_Analyst!$A:$C,3,0)="Yes","Yes","No"),"No"))</f>
        <v/>
      </c>
    </row>
    <row r="1485" customFormat="false" ht="15" hidden="false" customHeight="true" outlineLevel="0" collapsed="false">
      <c r="G1485" s="4" t="str">
        <f aca="false">IF($D1485="","",$A1485&amp;"|"&amp;$B1485&amp;"|"&amp;$C1485&amp;"|"&amp;$D1485)</f>
        <v/>
      </c>
      <c r="H1485" s="4" t="str">
        <f aca="false">IF($D1485="","",$G1485&amp;"|"&amp;TEXT($E1485,"0.000000"))</f>
        <v/>
      </c>
      <c r="I1485" s="29" t="str">
        <f aca="false">IF($D1485="","",IF(ISNUMBER($E1485),FLOOR(($E1485-$B1485)*24,1),""))</f>
        <v/>
      </c>
      <c r="J1485" s="10" t="str">
        <f aca="false">IF($D1485="","",IFERROR(IF(VLOOKUP($F1485,Dim_Analyst!$A:$C,3,0)="Yes","Yes","No"),"No"))</f>
        <v/>
      </c>
    </row>
    <row r="1486" customFormat="false" ht="15" hidden="false" customHeight="true" outlineLevel="0" collapsed="false">
      <c r="G1486" s="4" t="str">
        <f aca="false">IF($D1486="","",$A1486&amp;"|"&amp;$B1486&amp;"|"&amp;$C1486&amp;"|"&amp;$D1486)</f>
        <v/>
      </c>
      <c r="H1486" s="4" t="str">
        <f aca="false">IF($D1486="","",$G1486&amp;"|"&amp;TEXT($E1486,"0.000000"))</f>
        <v/>
      </c>
      <c r="I1486" s="29" t="str">
        <f aca="false">IF($D1486="","",IF(ISNUMBER($E1486),FLOOR(($E1486-$B1486)*24,1),""))</f>
        <v/>
      </c>
      <c r="J1486" s="10" t="str">
        <f aca="false">IF($D1486="","",IFERROR(IF(VLOOKUP($F1486,Dim_Analyst!$A:$C,3,0)="Yes","Yes","No"),"No"))</f>
        <v/>
      </c>
    </row>
    <row r="1487" customFormat="false" ht="15" hidden="false" customHeight="true" outlineLevel="0" collapsed="false">
      <c r="G1487" s="4" t="str">
        <f aca="false">IF($D1487="","",$A1487&amp;"|"&amp;$B1487&amp;"|"&amp;$C1487&amp;"|"&amp;$D1487)</f>
        <v/>
      </c>
      <c r="H1487" s="4" t="str">
        <f aca="false">IF($D1487="","",$G1487&amp;"|"&amp;TEXT($E1487,"0.000000"))</f>
        <v/>
      </c>
      <c r="I1487" s="29" t="str">
        <f aca="false">IF($D1487="","",IF(ISNUMBER($E1487),FLOOR(($E1487-$B1487)*24,1),""))</f>
        <v/>
      </c>
      <c r="J1487" s="10" t="str">
        <f aca="false">IF($D1487="","",IFERROR(IF(VLOOKUP($F1487,Dim_Analyst!$A:$C,3,0)="Yes","Yes","No"),"No"))</f>
        <v/>
      </c>
    </row>
    <row r="1488" customFormat="false" ht="15" hidden="false" customHeight="true" outlineLevel="0" collapsed="false">
      <c r="G1488" s="4" t="str">
        <f aca="false">IF($D1488="","",$A1488&amp;"|"&amp;$B1488&amp;"|"&amp;$C1488&amp;"|"&amp;$D1488)</f>
        <v/>
      </c>
      <c r="H1488" s="4" t="str">
        <f aca="false">IF($D1488="","",$G1488&amp;"|"&amp;TEXT($E1488,"0.000000"))</f>
        <v/>
      </c>
      <c r="I1488" s="29" t="str">
        <f aca="false">IF($D1488="","",IF(ISNUMBER($E1488),FLOOR(($E1488-$B1488)*24,1),""))</f>
        <v/>
      </c>
      <c r="J1488" s="10" t="str">
        <f aca="false">IF($D1488="","",IFERROR(IF(VLOOKUP($F1488,Dim_Analyst!$A:$C,3,0)="Yes","Yes","No"),"No"))</f>
        <v/>
      </c>
    </row>
    <row r="1489" customFormat="false" ht="15" hidden="false" customHeight="true" outlineLevel="0" collapsed="false">
      <c r="G1489" s="4" t="str">
        <f aca="false">IF($D1489="","",$A1489&amp;"|"&amp;$B1489&amp;"|"&amp;$C1489&amp;"|"&amp;$D1489)</f>
        <v/>
      </c>
      <c r="H1489" s="4" t="str">
        <f aca="false">IF($D1489="","",$G1489&amp;"|"&amp;TEXT($E1489,"0.000000"))</f>
        <v/>
      </c>
      <c r="I1489" s="29" t="str">
        <f aca="false">IF($D1489="","",IF(ISNUMBER($E1489),FLOOR(($E1489-$B1489)*24,1),""))</f>
        <v/>
      </c>
      <c r="J1489" s="10" t="str">
        <f aca="false">IF($D1489="","",IFERROR(IF(VLOOKUP($F1489,Dim_Analyst!$A:$C,3,0)="Yes","Yes","No"),"No"))</f>
        <v/>
      </c>
    </row>
    <row r="1490" customFormat="false" ht="15" hidden="false" customHeight="true" outlineLevel="0" collapsed="false">
      <c r="G1490" s="4" t="str">
        <f aca="false">IF($D1490="","",$A1490&amp;"|"&amp;$B1490&amp;"|"&amp;$C1490&amp;"|"&amp;$D1490)</f>
        <v/>
      </c>
      <c r="H1490" s="4" t="str">
        <f aca="false">IF($D1490="","",$G1490&amp;"|"&amp;TEXT($E1490,"0.000000"))</f>
        <v/>
      </c>
      <c r="I1490" s="29" t="str">
        <f aca="false">IF($D1490="","",IF(ISNUMBER($E1490),FLOOR(($E1490-$B1490)*24,1),""))</f>
        <v/>
      </c>
      <c r="J1490" s="10" t="str">
        <f aca="false">IF($D1490="","",IFERROR(IF(VLOOKUP($F1490,Dim_Analyst!$A:$C,3,0)="Yes","Yes","No"),"No"))</f>
        <v/>
      </c>
    </row>
    <row r="1491" customFormat="false" ht="15" hidden="false" customHeight="true" outlineLevel="0" collapsed="false">
      <c r="G1491" s="4" t="str">
        <f aca="false">IF($D1491="","",$A1491&amp;"|"&amp;$B1491&amp;"|"&amp;$C1491&amp;"|"&amp;$D1491)</f>
        <v/>
      </c>
      <c r="H1491" s="4" t="str">
        <f aca="false">IF($D1491="","",$G1491&amp;"|"&amp;TEXT($E1491,"0.000000"))</f>
        <v/>
      </c>
      <c r="I1491" s="29" t="str">
        <f aca="false">IF($D1491="","",IF(ISNUMBER($E1491),FLOOR(($E1491-$B1491)*24,1),""))</f>
        <v/>
      </c>
      <c r="J1491" s="10" t="str">
        <f aca="false">IF($D1491="","",IFERROR(IF(VLOOKUP($F1491,Dim_Analyst!$A:$C,3,0)="Yes","Yes","No"),"No"))</f>
        <v/>
      </c>
    </row>
    <row r="1492" customFormat="false" ht="15" hidden="false" customHeight="true" outlineLevel="0" collapsed="false">
      <c r="G1492" s="4" t="str">
        <f aca="false">IF($D1492="","",$A1492&amp;"|"&amp;$B1492&amp;"|"&amp;$C1492&amp;"|"&amp;$D1492)</f>
        <v/>
      </c>
      <c r="H1492" s="4" t="str">
        <f aca="false">IF($D1492="","",$G1492&amp;"|"&amp;TEXT($E1492,"0.000000"))</f>
        <v/>
      </c>
      <c r="I1492" s="29" t="str">
        <f aca="false">IF($D1492="","",IF(ISNUMBER($E1492),FLOOR(($E1492-$B1492)*24,1),""))</f>
        <v/>
      </c>
      <c r="J1492" s="10" t="str">
        <f aca="false">IF($D1492="","",IFERROR(IF(VLOOKUP($F1492,Dim_Analyst!$A:$C,3,0)="Yes","Yes","No"),"No"))</f>
        <v/>
      </c>
    </row>
    <row r="1493" customFormat="false" ht="15" hidden="false" customHeight="true" outlineLevel="0" collapsed="false">
      <c r="G1493" s="4" t="str">
        <f aca="false">IF($D1493="","",$A1493&amp;"|"&amp;$B1493&amp;"|"&amp;$C1493&amp;"|"&amp;$D1493)</f>
        <v/>
      </c>
      <c r="H1493" s="4" t="str">
        <f aca="false">IF($D1493="","",$G1493&amp;"|"&amp;TEXT($E1493,"0.000000"))</f>
        <v/>
      </c>
      <c r="I1493" s="29" t="str">
        <f aca="false">IF($D1493="","",IF(ISNUMBER($E1493),FLOOR(($E1493-$B1493)*24,1),""))</f>
        <v/>
      </c>
      <c r="J1493" s="10" t="str">
        <f aca="false">IF($D1493="","",IFERROR(IF(VLOOKUP($F1493,Dim_Analyst!$A:$C,3,0)="Yes","Yes","No"),"No"))</f>
        <v/>
      </c>
    </row>
    <row r="1494" customFormat="false" ht="15" hidden="false" customHeight="true" outlineLevel="0" collapsed="false">
      <c r="G1494" s="4" t="str">
        <f aca="false">IF($D1494="","",$A1494&amp;"|"&amp;$B1494&amp;"|"&amp;$C1494&amp;"|"&amp;$D1494)</f>
        <v/>
      </c>
      <c r="H1494" s="4" t="str">
        <f aca="false">IF($D1494="","",$G1494&amp;"|"&amp;TEXT($E1494,"0.000000"))</f>
        <v/>
      </c>
      <c r="I1494" s="29" t="str">
        <f aca="false">IF($D1494="","",IF(ISNUMBER($E1494),FLOOR(($E1494-$B1494)*24,1),""))</f>
        <v/>
      </c>
      <c r="J1494" s="10" t="str">
        <f aca="false">IF($D1494="","",IFERROR(IF(VLOOKUP($F1494,Dim_Analyst!$A:$C,3,0)="Yes","Yes","No"),"No"))</f>
        <v/>
      </c>
    </row>
    <row r="1495" customFormat="false" ht="15" hidden="false" customHeight="true" outlineLevel="0" collapsed="false">
      <c r="G1495" s="4" t="str">
        <f aca="false">IF($D1495="","",$A1495&amp;"|"&amp;$B1495&amp;"|"&amp;$C1495&amp;"|"&amp;$D1495)</f>
        <v/>
      </c>
      <c r="H1495" s="4" t="str">
        <f aca="false">IF($D1495="","",$G1495&amp;"|"&amp;TEXT($E1495,"0.000000"))</f>
        <v/>
      </c>
      <c r="I1495" s="29" t="str">
        <f aca="false">IF($D1495="","",IF(ISNUMBER($E1495),FLOOR(($E1495-$B1495)*24,1),""))</f>
        <v/>
      </c>
      <c r="J1495" s="10" t="str">
        <f aca="false">IF($D1495="","",IFERROR(IF(VLOOKUP($F1495,Dim_Analyst!$A:$C,3,0)="Yes","Yes","No"),"No"))</f>
        <v/>
      </c>
    </row>
    <row r="1496" customFormat="false" ht="15" hidden="false" customHeight="true" outlineLevel="0" collapsed="false">
      <c r="G1496" s="4" t="str">
        <f aca="false">IF($D1496="","",$A1496&amp;"|"&amp;$B1496&amp;"|"&amp;$C1496&amp;"|"&amp;$D1496)</f>
        <v/>
      </c>
      <c r="H1496" s="4" t="str">
        <f aca="false">IF($D1496="","",$G1496&amp;"|"&amp;TEXT($E1496,"0.000000"))</f>
        <v/>
      </c>
      <c r="I1496" s="29" t="str">
        <f aca="false">IF($D1496="","",IF(ISNUMBER($E1496),FLOOR(($E1496-$B1496)*24,1),""))</f>
        <v/>
      </c>
      <c r="J1496" s="10" t="str">
        <f aca="false">IF($D1496="","",IFERROR(IF(VLOOKUP($F1496,Dim_Analyst!$A:$C,3,0)="Yes","Yes","No"),"No"))</f>
        <v/>
      </c>
    </row>
    <row r="1497" customFormat="false" ht="15" hidden="false" customHeight="true" outlineLevel="0" collapsed="false">
      <c r="G1497" s="4" t="str">
        <f aca="false">IF($D1497="","",$A1497&amp;"|"&amp;$B1497&amp;"|"&amp;$C1497&amp;"|"&amp;$D1497)</f>
        <v/>
      </c>
      <c r="H1497" s="4" t="str">
        <f aca="false">IF($D1497="","",$G1497&amp;"|"&amp;TEXT($E1497,"0.000000"))</f>
        <v/>
      </c>
      <c r="I1497" s="29" t="str">
        <f aca="false">IF($D1497="","",IF(ISNUMBER($E1497),FLOOR(($E1497-$B1497)*24,1),""))</f>
        <v/>
      </c>
      <c r="J1497" s="10" t="str">
        <f aca="false">IF($D1497="","",IFERROR(IF(VLOOKUP($F1497,Dim_Analyst!$A:$C,3,0)="Yes","Yes","No"),"No"))</f>
        <v/>
      </c>
    </row>
    <row r="1498" customFormat="false" ht="15" hidden="false" customHeight="true" outlineLevel="0" collapsed="false">
      <c r="G1498" s="4" t="str">
        <f aca="false">IF($D1498="","",$A1498&amp;"|"&amp;$B1498&amp;"|"&amp;$C1498&amp;"|"&amp;$D1498)</f>
        <v/>
      </c>
      <c r="H1498" s="4" t="str">
        <f aca="false">IF($D1498="","",$G1498&amp;"|"&amp;TEXT($E1498,"0.000000"))</f>
        <v/>
      </c>
      <c r="I1498" s="29" t="str">
        <f aca="false">IF($D1498="","",IF(ISNUMBER($E1498),FLOOR(($E1498-$B1498)*24,1),""))</f>
        <v/>
      </c>
      <c r="J1498" s="10" t="str">
        <f aca="false">IF($D1498="","",IFERROR(IF(VLOOKUP($F1498,Dim_Analyst!$A:$C,3,0)="Yes","Yes","No"),"No"))</f>
        <v/>
      </c>
    </row>
    <row r="1499" customFormat="false" ht="15" hidden="false" customHeight="true" outlineLevel="0" collapsed="false">
      <c r="G1499" s="4" t="str">
        <f aca="false">IF($D1499="","",$A1499&amp;"|"&amp;$B1499&amp;"|"&amp;$C1499&amp;"|"&amp;$D1499)</f>
        <v/>
      </c>
      <c r="H1499" s="4" t="str">
        <f aca="false">IF($D1499="","",$G1499&amp;"|"&amp;TEXT($E1499,"0.000000"))</f>
        <v/>
      </c>
      <c r="I1499" s="29" t="str">
        <f aca="false">IF($D1499="","",IF(ISNUMBER($E1499),FLOOR(($E1499-$B1499)*24,1),""))</f>
        <v/>
      </c>
      <c r="J1499" s="10" t="str">
        <f aca="false">IF($D1499="","",IFERROR(IF(VLOOKUP($F1499,Dim_Analyst!$A:$C,3,0)="Yes","Yes","No"),"No"))</f>
        <v/>
      </c>
    </row>
    <row r="1500" customFormat="false" ht="15" hidden="false" customHeight="true" outlineLevel="0" collapsed="false">
      <c r="G1500" s="4" t="str">
        <f aca="false">IF($D1500="","",$A1500&amp;"|"&amp;$B1500&amp;"|"&amp;$C1500&amp;"|"&amp;$D1500)</f>
        <v/>
      </c>
      <c r="H1500" s="4" t="str">
        <f aca="false">IF($D1500="","",$G1500&amp;"|"&amp;TEXT($E1500,"0.000000"))</f>
        <v/>
      </c>
      <c r="I1500" s="29" t="str">
        <f aca="false">IF($D1500="","",IF(ISNUMBER($E1500),FLOOR(($E1500-$B1500)*24,1),""))</f>
        <v/>
      </c>
      <c r="J1500" s="10" t="str">
        <f aca="false">IF($D1500="","",IFERROR(IF(VLOOKUP($F1500,Dim_Analyst!$A:$C,3,0)="Yes","Yes","No"),"No"))</f>
        <v/>
      </c>
    </row>
    <row r="1501" customFormat="false" ht="15" hidden="false" customHeight="true" outlineLevel="0" collapsed="false">
      <c r="G1501" s="4" t="str">
        <f aca="false">IF($D1501="","",$A1501&amp;"|"&amp;$B1501&amp;"|"&amp;$C1501&amp;"|"&amp;$D1501)</f>
        <v/>
      </c>
      <c r="H1501" s="4" t="str">
        <f aca="false">IF($D1501="","",$G1501&amp;"|"&amp;TEXT($E1501,"0.000000"))</f>
        <v/>
      </c>
      <c r="I1501" s="29" t="str">
        <f aca="false">IF($D1501="","",IF(ISNUMBER($E1501),FLOOR(($E1501-$B1501)*24,1),""))</f>
        <v/>
      </c>
      <c r="J1501" s="10" t="str">
        <f aca="false">IF($D1501="","",IFERROR(IF(VLOOKUP($F1501,Dim_Analyst!$A:$C,3,0)="Yes","Yes","No"),"No"))</f>
        <v/>
      </c>
    </row>
    <row r="1502" customFormat="false" ht="15" hidden="false" customHeight="true" outlineLevel="0" collapsed="false">
      <c r="G1502" s="4" t="str">
        <f aca="false">IF($D1502="","",$A1502&amp;"|"&amp;$B1502&amp;"|"&amp;$C1502&amp;"|"&amp;$D1502)</f>
        <v/>
      </c>
      <c r="H1502" s="4" t="str">
        <f aca="false">IF($D1502="","",$G1502&amp;"|"&amp;TEXT($E1502,"0.000000"))</f>
        <v/>
      </c>
      <c r="I1502" s="29" t="str">
        <f aca="false">IF($D1502="","",IF(ISNUMBER($E1502),FLOOR(($E1502-$B1502)*24,1),""))</f>
        <v/>
      </c>
      <c r="J1502" s="10" t="str">
        <f aca="false">IF($D1502="","",IFERROR(IF(VLOOKUP($F1502,Dim_Analyst!$A:$C,3,0)="Yes","Yes","No"),"No"))</f>
        <v/>
      </c>
    </row>
    <row r="1503" customFormat="false" ht="15" hidden="false" customHeight="true" outlineLevel="0" collapsed="false">
      <c r="G1503" s="4" t="str">
        <f aca="false">IF($D1503="","",$A1503&amp;"|"&amp;$B1503&amp;"|"&amp;$C1503&amp;"|"&amp;$D1503)</f>
        <v/>
      </c>
      <c r="H1503" s="4" t="str">
        <f aca="false">IF($D1503="","",$G1503&amp;"|"&amp;TEXT($E1503,"0.000000"))</f>
        <v/>
      </c>
      <c r="I1503" s="29" t="str">
        <f aca="false">IF($D1503="","",IF(ISNUMBER($E1503),FLOOR(($E1503-$B1503)*24,1),""))</f>
        <v/>
      </c>
      <c r="J1503" s="10" t="str">
        <f aca="false">IF($D1503="","",IFERROR(IF(VLOOKUP($F1503,Dim_Analyst!$A:$C,3,0)="Yes","Yes","No"),"No"))</f>
        <v/>
      </c>
    </row>
    <row r="1504" customFormat="false" ht="15" hidden="false" customHeight="true" outlineLevel="0" collapsed="false">
      <c r="G1504" s="4" t="str">
        <f aca="false">IF($D1504="","",$A1504&amp;"|"&amp;$B1504&amp;"|"&amp;$C1504&amp;"|"&amp;$D1504)</f>
        <v/>
      </c>
      <c r="H1504" s="4" t="str">
        <f aca="false">IF($D1504="","",$G1504&amp;"|"&amp;TEXT($E1504,"0.000000"))</f>
        <v/>
      </c>
      <c r="I1504" s="29" t="str">
        <f aca="false">IF($D1504="","",IF(ISNUMBER($E1504),FLOOR(($E1504-$B1504)*24,1),""))</f>
        <v/>
      </c>
      <c r="J1504" s="10" t="str">
        <f aca="false">IF($D1504="","",IFERROR(IF(VLOOKUP($F1504,Dim_Analyst!$A:$C,3,0)="Yes","Yes","No"),"No"))</f>
        <v/>
      </c>
    </row>
    <row r="1505" customFormat="false" ht="15" hidden="false" customHeight="true" outlineLevel="0" collapsed="false">
      <c r="G1505" s="4" t="str">
        <f aca="false">IF($D1505="","",$A1505&amp;"|"&amp;$B1505&amp;"|"&amp;$C1505&amp;"|"&amp;$D1505)</f>
        <v/>
      </c>
      <c r="H1505" s="4" t="str">
        <f aca="false">IF($D1505="","",$G1505&amp;"|"&amp;TEXT($E1505,"0.000000"))</f>
        <v/>
      </c>
      <c r="I1505" s="29" t="str">
        <f aca="false">IF($D1505="","",IF(ISNUMBER($E1505),FLOOR(($E1505-$B1505)*24,1),""))</f>
        <v/>
      </c>
      <c r="J1505" s="10" t="str">
        <f aca="false">IF($D1505="","",IFERROR(IF(VLOOKUP($F1505,Dim_Analyst!$A:$C,3,0)="Yes","Yes","No"),"No"))</f>
        <v/>
      </c>
    </row>
    <row r="1506" customFormat="false" ht="15" hidden="false" customHeight="true" outlineLevel="0" collapsed="false">
      <c r="G1506" s="4" t="str">
        <f aca="false">IF($D1506="","",$A1506&amp;"|"&amp;$B1506&amp;"|"&amp;$C1506&amp;"|"&amp;$D1506)</f>
        <v/>
      </c>
      <c r="H1506" s="4" t="str">
        <f aca="false">IF($D1506="","",$G1506&amp;"|"&amp;TEXT($E1506,"0.000000"))</f>
        <v/>
      </c>
      <c r="I1506" s="29" t="str">
        <f aca="false">IF($D1506="","",IF(ISNUMBER($E1506),FLOOR(($E1506-$B1506)*24,1),""))</f>
        <v/>
      </c>
      <c r="J1506" s="10" t="str">
        <f aca="false">IF($D1506="","",IFERROR(IF(VLOOKUP($F1506,Dim_Analyst!$A:$C,3,0)="Yes","Yes","No"),"No"))</f>
        <v/>
      </c>
    </row>
    <row r="1507" customFormat="false" ht="15" hidden="false" customHeight="true" outlineLevel="0" collapsed="false">
      <c r="G1507" s="4" t="str">
        <f aca="false">IF($D1507="","",$A1507&amp;"|"&amp;$B1507&amp;"|"&amp;$C1507&amp;"|"&amp;$D1507)</f>
        <v/>
      </c>
      <c r="H1507" s="4" t="str">
        <f aca="false">IF($D1507="","",$G1507&amp;"|"&amp;TEXT($E1507,"0.000000"))</f>
        <v/>
      </c>
      <c r="I1507" s="29" t="str">
        <f aca="false">IF($D1507="","",IF(ISNUMBER($E1507),FLOOR(($E1507-$B1507)*24,1),""))</f>
        <v/>
      </c>
      <c r="J1507" s="10" t="str">
        <f aca="false">IF($D1507="","",IFERROR(IF(VLOOKUP($F1507,Dim_Analyst!$A:$C,3,0)="Yes","Yes","No"),"No"))</f>
        <v/>
      </c>
    </row>
    <row r="1508" customFormat="false" ht="15" hidden="false" customHeight="true" outlineLevel="0" collapsed="false">
      <c r="G1508" s="4" t="str">
        <f aca="false">IF($D1508="","",$A1508&amp;"|"&amp;$B1508&amp;"|"&amp;$C1508&amp;"|"&amp;$D1508)</f>
        <v/>
      </c>
      <c r="H1508" s="4" t="str">
        <f aca="false">IF($D1508="","",$G1508&amp;"|"&amp;TEXT($E1508,"0.000000"))</f>
        <v/>
      </c>
      <c r="I1508" s="29" t="str">
        <f aca="false">IF($D1508="","",IF(ISNUMBER($E1508),FLOOR(($E1508-$B1508)*24,1),""))</f>
        <v/>
      </c>
      <c r="J1508" s="10" t="str">
        <f aca="false">IF($D1508="","",IFERROR(IF(VLOOKUP($F1508,Dim_Analyst!$A:$C,3,0)="Yes","Yes","No"),"No"))</f>
        <v/>
      </c>
    </row>
    <row r="1509" customFormat="false" ht="15" hidden="false" customHeight="true" outlineLevel="0" collapsed="false">
      <c r="G1509" s="4" t="str">
        <f aca="false">IF($D1509="","",$A1509&amp;"|"&amp;$B1509&amp;"|"&amp;$C1509&amp;"|"&amp;$D1509)</f>
        <v/>
      </c>
      <c r="H1509" s="4" t="str">
        <f aca="false">IF($D1509="","",$G1509&amp;"|"&amp;TEXT($E1509,"0.000000"))</f>
        <v/>
      </c>
      <c r="I1509" s="29" t="str">
        <f aca="false">IF($D1509="","",IF(ISNUMBER($E1509),FLOOR(($E1509-$B1509)*24,1),""))</f>
        <v/>
      </c>
      <c r="J1509" s="10" t="str">
        <f aca="false">IF($D1509="","",IFERROR(IF(VLOOKUP($F1509,Dim_Analyst!$A:$C,3,0)="Yes","Yes","No"),"No"))</f>
        <v/>
      </c>
    </row>
    <row r="1510" customFormat="false" ht="15" hidden="false" customHeight="true" outlineLevel="0" collapsed="false">
      <c r="G1510" s="4" t="str">
        <f aca="false">IF($D1510="","",$A1510&amp;"|"&amp;$B1510&amp;"|"&amp;$C1510&amp;"|"&amp;$D1510)</f>
        <v/>
      </c>
      <c r="H1510" s="4" t="str">
        <f aca="false">IF($D1510="","",$G1510&amp;"|"&amp;TEXT($E1510,"0.000000"))</f>
        <v/>
      </c>
      <c r="I1510" s="29" t="str">
        <f aca="false">IF($D1510="","",IF(ISNUMBER($E1510),FLOOR(($E1510-$B1510)*24,1),""))</f>
        <v/>
      </c>
      <c r="J1510" s="10" t="str">
        <f aca="false">IF($D1510="","",IFERROR(IF(VLOOKUP($F1510,Dim_Analyst!$A:$C,3,0)="Yes","Yes","No"),"No"))</f>
        <v/>
      </c>
    </row>
    <row r="1511" customFormat="false" ht="15" hidden="false" customHeight="true" outlineLevel="0" collapsed="false">
      <c r="G1511" s="4" t="str">
        <f aca="false">IF($D1511="","",$A1511&amp;"|"&amp;$B1511&amp;"|"&amp;$C1511&amp;"|"&amp;$D1511)</f>
        <v/>
      </c>
      <c r="H1511" s="4" t="str">
        <f aca="false">IF($D1511="","",$G1511&amp;"|"&amp;TEXT($E1511,"0.000000"))</f>
        <v/>
      </c>
      <c r="I1511" s="29" t="str">
        <f aca="false">IF($D1511="","",IF(ISNUMBER($E1511),FLOOR(($E1511-$B1511)*24,1),""))</f>
        <v/>
      </c>
      <c r="J1511" s="10" t="str">
        <f aca="false">IF($D1511="","",IFERROR(IF(VLOOKUP($F1511,Dim_Analyst!$A:$C,3,0)="Yes","Yes","No"),"No"))</f>
        <v/>
      </c>
    </row>
    <row r="1512" customFormat="false" ht="15" hidden="false" customHeight="true" outlineLevel="0" collapsed="false">
      <c r="G1512" s="4" t="str">
        <f aca="false">IF($D1512="","",$A1512&amp;"|"&amp;$B1512&amp;"|"&amp;$C1512&amp;"|"&amp;$D1512)</f>
        <v/>
      </c>
      <c r="H1512" s="4" t="str">
        <f aca="false">IF($D1512="","",$G1512&amp;"|"&amp;TEXT($E1512,"0.000000"))</f>
        <v/>
      </c>
      <c r="I1512" s="29" t="str">
        <f aca="false">IF($D1512="","",IF(ISNUMBER($E1512),FLOOR(($E1512-$B1512)*24,1),""))</f>
        <v/>
      </c>
      <c r="J1512" s="10" t="str">
        <f aca="false">IF($D1512="","",IFERROR(IF(VLOOKUP($F1512,Dim_Analyst!$A:$C,3,0)="Yes","Yes","No"),"No"))</f>
        <v/>
      </c>
    </row>
    <row r="1513" customFormat="false" ht="15" hidden="false" customHeight="true" outlineLevel="0" collapsed="false">
      <c r="G1513" s="4" t="str">
        <f aca="false">IF($D1513="","",$A1513&amp;"|"&amp;$B1513&amp;"|"&amp;$C1513&amp;"|"&amp;$D1513)</f>
        <v/>
      </c>
      <c r="H1513" s="4" t="str">
        <f aca="false">IF($D1513="","",$G1513&amp;"|"&amp;TEXT($E1513,"0.000000"))</f>
        <v/>
      </c>
      <c r="I1513" s="29" t="str">
        <f aca="false">IF($D1513="","",IF(ISNUMBER($E1513),FLOOR(($E1513-$B1513)*24,1),""))</f>
        <v/>
      </c>
      <c r="J1513" s="10" t="str">
        <f aca="false">IF($D1513="","",IFERROR(IF(VLOOKUP($F1513,Dim_Analyst!$A:$C,3,0)="Yes","Yes","No"),"No"))</f>
        <v/>
      </c>
    </row>
    <row r="1514" customFormat="false" ht="15" hidden="false" customHeight="true" outlineLevel="0" collapsed="false">
      <c r="G1514" s="4" t="str">
        <f aca="false">IF($D1514="","",$A1514&amp;"|"&amp;$B1514&amp;"|"&amp;$C1514&amp;"|"&amp;$D1514)</f>
        <v/>
      </c>
      <c r="H1514" s="4" t="str">
        <f aca="false">IF($D1514="","",$G1514&amp;"|"&amp;TEXT($E1514,"0.000000"))</f>
        <v/>
      </c>
      <c r="I1514" s="29" t="str">
        <f aca="false">IF($D1514="","",IF(ISNUMBER($E1514),FLOOR(($E1514-$B1514)*24,1),""))</f>
        <v/>
      </c>
      <c r="J1514" s="10" t="str">
        <f aca="false">IF($D1514="","",IFERROR(IF(VLOOKUP($F1514,Dim_Analyst!$A:$C,3,0)="Yes","Yes","No"),"No"))</f>
        <v/>
      </c>
    </row>
    <row r="1515" customFormat="false" ht="15" hidden="false" customHeight="true" outlineLevel="0" collapsed="false">
      <c r="G1515" s="4" t="str">
        <f aca="false">IF($D1515="","",$A1515&amp;"|"&amp;$B1515&amp;"|"&amp;$C1515&amp;"|"&amp;$D1515)</f>
        <v/>
      </c>
      <c r="H1515" s="4" t="str">
        <f aca="false">IF($D1515="","",$G1515&amp;"|"&amp;TEXT($E1515,"0.000000"))</f>
        <v/>
      </c>
      <c r="I1515" s="29" t="str">
        <f aca="false">IF($D1515="","",IF(ISNUMBER($E1515),FLOOR(($E1515-$B1515)*24,1),""))</f>
        <v/>
      </c>
      <c r="J1515" s="10" t="str">
        <f aca="false">IF($D1515="","",IFERROR(IF(VLOOKUP($F1515,Dim_Analyst!$A:$C,3,0)="Yes","Yes","No"),"No"))</f>
        <v/>
      </c>
    </row>
    <row r="1516" customFormat="false" ht="15" hidden="false" customHeight="true" outlineLevel="0" collapsed="false">
      <c r="G1516" s="4" t="str">
        <f aca="false">IF($D1516="","",$A1516&amp;"|"&amp;$B1516&amp;"|"&amp;$C1516&amp;"|"&amp;$D1516)</f>
        <v/>
      </c>
      <c r="H1516" s="4" t="str">
        <f aca="false">IF($D1516="","",$G1516&amp;"|"&amp;TEXT($E1516,"0.000000"))</f>
        <v/>
      </c>
      <c r="I1516" s="29" t="str">
        <f aca="false">IF($D1516="","",IF(ISNUMBER($E1516),FLOOR(($E1516-$B1516)*24,1),""))</f>
        <v/>
      </c>
      <c r="J1516" s="10" t="str">
        <f aca="false">IF($D1516="","",IFERROR(IF(VLOOKUP($F1516,Dim_Analyst!$A:$C,3,0)="Yes","Yes","No"),"No"))</f>
        <v/>
      </c>
    </row>
    <row r="1517" customFormat="false" ht="15" hidden="false" customHeight="true" outlineLevel="0" collapsed="false">
      <c r="G1517" s="4" t="str">
        <f aca="false">IF($D1517="","",$A1517&amp;"|"&amp;$B1517&amp;"|"&amp;$C1517&amp;"|"&amp;$D1517)</f>
        <v/>
      </c>
      <c r="H1517" s="4" t="str">
        <f aca="false">IF($D1517="","",$G1517&amp;"|"&amp;TEXT($E1517,"0.000000"))</f>
        <v/>
      </c>
      <c r="I1517" s="29" t="str">
        <f aca="false">IF($D1517="","",IF(ISNUMBER($E1517),FLOOR(($E1517-$B1517)*24,1),""))</f>
        <v/>
      </c>
      <c r="J1517" s="10" t="str">
        <f aca="false">IF($D1517="","",IFERROR(IF(VLOOKUP($F1517,Dim_Analyst!$A:$C,3,0)="Yes","Yes","No"),"No"))</f>
        <v/>
      </c>
    </row>
    <row r="1518" customFormat="false" ht="15" hidden="false" customHeight="true" outlineLevel="0" collapsed="false">
      <c r="G1518" s="4" t="str">
        <f aca="false">IF($D1518="","",$A1518&amp;"|"&amp;$B1518&amp;"|"&amp;$C1518&amp;"|"&amp;$D1518)</f>
        <v/>
      </c>
      <c r="H1518" s="4" t="str">
        <f aca="false">IF($D1518="","",$G1518&amp;"|"&amp;TEXT($E1518,"0.000000"))</f>
        <v/>
      </c>
      <c r="I1518" s="29" t="str">
        <f aca="false">IF($D1518="","",IF(ISNUMBER($E1518),FLOOR(($E1518-$B1518)*24,1),""))</f>
        <v/>
      </c>
      <c r="J1518" s="10" t="str">
        <f aca="false">IF($D1518="","",IFERROR(IF(VLOOKUP($F1518,Dim_Analyst!$A:$C,3,0)="Yes","Yes","No"),"No"))</f>
        <v/>
      </c>
    </row>
    <row r="1519" customFormat="false" ht="15" hidden="false" customHeight="true" outlineLevel="0" collapsed="false">
      <c r="G1519" s="4" t="str">
        <f aca="false">IF($D1519="","",$A1519&amp;"|"&amp;$B1519&amp;"|"&amp;$C1519&amp;"|"&amp;$D1519)</f>
        <v/>
      </c>
      <c r="H1519" s="4" t="str">
        <f aca="false">IF($D1519="","",$G1519&amp;"|"&amp;TEXT($E1519,"0.000000"))</f>
        <v/>
      </c>
      <c r="I1519" s="29" t="str">
        <f aca="false">IF($D1519="","",IF(ISNUMBER($E1519),FLOOR(($E1519-$B1519)*24,1),""))</f>
        <v/>
      </c>
      <c r="J1519" s="10" t="str">
        <f aca="false">IF($D1519="","",IFERROR(IF(VLOOKUP($F1519,Dim_Analyst!$A:$C,3,0)="Yes","Yes","No"),"No"))</f>
        <v/>
      </c>
    </row>
    <row r="1520" customFormat="false" ht="15" hidden="false" customHeight="true" outlineLevel="0" collapsed="false">
      <c r="G1520" s="4" t="str">
        <f aca="false">IF($D1520="","",$A1520&amp;"|"&amp;$B1520&amp;"|"&amp;$C1520&amp;"|"&amp;$D1520)</f>
        <v/>
      </c>
      <c r="H1520" s="4" t="str">
        <f aca="false">IF($D1520="","",$G1520&amp;"|"&amp;TEXT($E1520,"0.000000"))</f>
        <v/>
      </c>
      <c r="I1520" s="29" t="str">
        <f aca="false">IF($D1520="","",IF(ISNUMBER($E1520),FLOOR(($E1520-$B1520)*24,1),""))</f>
        <v/>
      </c>
      <c r="J1520" s="10" t="str">
        <f aca="false">IF($D1520="","",IFERROR(IF(VLOOKUP($F1520,Dim_Analyst!$A:$C,3,0)="Yes","Yes","No"),"No"))</f>
        <v/>
      </c>
    </row>
    <row r="1521" customFormat="false" ht="15" hidden="false" customHeight="true" outlineLevel="0" collapsed="false">
      <c r="G1521" s="4" t="str">
        <f aca="false">IF($D1521="","",$A1521&amp;"|"&amp;$B1521&amp;"|"&amp;$C1521&amp;"|"&amp;$D1521)</f>
        <v/>
      </c>
      <c r="H1521" s="4" t="str">
        <f aca="false">IF($D1521="","",$G1521&amp;"|"&amp;TEXT($E1521,"0.000000"))</f>
        <v/>
      </c>
      <c r="I1521" s="29" t="str">
        <f aca="false">IF($D1521="","",IF(ISNUMBER($E1521),FLOOR(($E1521-$B1521)*24,1),""))</f>
        <v/>
      </c>
      <c r="J1521" s="10" t="str">
        <f aca="false">IF($D1521="","",IFERROR(IF(VLOOKUP($F1521,Dim_Analyst!$A:$C,3,0)="Yes","Yes","No"),"No"))</f>
        <v/>
      </c>
    </row>
    <row r="1522" customFormat="false" ht="15" hidden="false" customHeight="true" outlineLevel="0" collapsed="false">
      <c r="G1522" s="4" t="str">
        <f aca="false">IF($D1522="","",$A1522&amp;"|"&amp;$B1522&amp;"|"&amp;$C1522&amp;"|"&amp;$D1522)</f>
        <v/>
      </c>
      <c r="H1522" s="4" t="str">
        <f aca="false">IF($D1522="","",$G1522&amp;"|"&amp;TEXT($E1522,"0.000000"))</f>
        <v/>
      </c>
      <c r="I1522" s="29" t="str">
        <f aca="false">IF($D1522="","",IF(ISNUMBER($E1522),FLOOR(($E1522-$B1522)*24,1),""))</f>
        <v/>
      </c>
      <c r="J1522" s="10" t="str">
        <f aca="false">IF($D1522="","",IFERROR(IF(VLOOKUP($F1522,Dim_Analyst!$A:$C,3,0)="Yes","Yes","No"),"No"))</f>
        <v/>
      </c>
    </row>
    <row r="1523" customFormat="false" ht="15" hidden="false" customHeight="true" outlineLevel="0" collapsed="false">
      <c r="G1523" s="4" t="str">
        <f aca="false">IF($D1523="","",$A1523&amp;"|"&amp;$B1523&amp;"|"&amp;$C1523&amp;"|"&amp;$D1523)</f>
        <v/>
      </c>
      <c r="H1523" s="4" t="str">
        <f aca="false">IF($D1523="","",$G1523&amp;"|"&amp;TEXT($E1523,"0.000000"))</f>
        <v/>
      </c>
      <c r="I1523" s="29" t="str">
        <f aca="false">IF($D1523="","",IF(ISNUMBER($E1523),FLOOR(($E1523-$B1523)*24,1),""))</f>
        <v/>
      </c>
      <c r="J1523" s="10" t="str">
        <f aca="false">IF($D1523="","",IFERROR(IF(VLOOKUP($F1523,Dim_Analyst!$A:$C,3,0)="Yes","Yes","No"),"No"))</f>
        <v/>
      </c>
    </row>
    <row r="1524" customFormat="false" ht="15" hidden="false" customHeight="true" outlineLevel="0" collapsed="false">
      <c r="G1524" s="4" t="str">
        <f aca="false">IF($D1524="","",$A1524&amp;"|"&amp;$B1524&amp;"|"&amp;$C1524&amp;"|"&amp;$D1524)</f>
        <v/>
      </c>
      <c r="H1524" s="4" t="str">
        <f aca="false">IF($D1524="","",$G1524&amp;"|"&amp;TEXT($E1524,"0.000000"))</f>
        <v/>
      </c>
      <c r="I1524" s="29" t="str">
        <f aca="false">IF($D1524="","",IF(ISNUMBER($E1524),FLOOR(($E1524-$B1524)*24,1),""))</f>
        <v/>
      </c>
      <c r="J1524" s="10" t="str">
        <f aca="false">IF($D1524="","",IFERROR(IF(VLOOKUP($F1524,Dim_Analyst!$A:$C,3,0)="Yes","Yes","No"),"No"))</f>
        <v/>
      </c>
    </row>
    <row r="1525" customFormat="false" ht="15" hidden="false" customHeight="true" outlineLevel="0" collapsed="false">
      <c r="G1525" s="4" t="str">
        <f aca="false">IF($D1525="","",$A1525&amp;"|"&amp;$B1525&amp;"|"&amp;$C1525&amp;"|"&amp;$D1525)</f>
        <v/>
      </c>
      <c r="H1525" s="4" t="str">
        <f aca="false">IF($D1525="","",$G1525&amp;"|"&amp;TEXT($E1525,"0.000000"))</f>
        <v/>
      </c>
      <c r="I1525" s="29" t="str">
        <f aca="false">IF($D1525="","",IF(ISNUMBER($E1525),FLOOR(($E1525-$B1525)*24,1),""))</f>
        <v/>
      </c>
      <c r="J1525" s="10" t="str">
        <f aca="false">IF($D1525="","",IFERROR(IF(VLOOKUP($F1525,Dim_Analyst!$A:$C,3,0)="Yes","Yes","No"),"No"))</f>
        <v/>
      </c>
    </row>
    <row r="1526" customFormat="false" ht="15" hidden="false" customHeight="true" outlineLevel="0" collapsed="false">
      <c r="G1526" s="4" t="str">
        <f aca="false">IF($D1526="","",$A1526&amp;"|"&amp;$B1526&amp;"|"&amp;$C1526&amp;"|"&amp;$D1526)</f>
        <v/>
      </c>
      <c r="H1526" s="4" t="str">
        <f aca="false">IF($D1526="","",$G1526&amp;"|"&amp;TEXT($E1526,"0.000000"))</f>
        <v/>
      </c>
      <c r="I1526" s="29" t="str">
        <f aca="false">IF($D1526="","",IF(ISNUMBER($E1526),FLOOR(($E1526-$B1526)*24,1),""))</f>
        <v/>
      </c>
      <c r="J1526" s="10" t="str">
        <f aca="false">IF($D1526="","",IFERROR(IF(VLOOKUP($F1526,Dim_Analyst!$A:$C,3,0)="Yes","Yes","No"),"No"))</f>
        <v/>
      </c>
    </row>
    <row r="1527" customFormat="false" ht="15" hidden="false" customHeight="true" outlineLevel="0" collapsed="false">
      <c r="G1527" s="4" t="str">
        <f aca="false">IF($D1527="","",$A1527&amp;"|"&amp;$B1527&amp;"|"&amp;$C1527&amp;"|"&amp;$D1527)</f>
        <v/>
      </c>
      <c r="H1527" s="4" t="str">
        <f aca="false">IF($D1527="","",$G1527&amp;"|"&amp;TEXT($E1527,"0.000000"))</f>
        <v/>
      </c>
      <c r="I1527" s="29" t="str">
        <f aca="false">IF($D1527="","",IF(ISNUMBER($E1527),FLOOR(($E1527-$B1527)*24,1),""))</f>
        <v/>
      </c>
      <c r="J1527" s="10" t="str">
        <f aca="false">IF($D1527="","",IFERROR(IF(VLOOKUP($F1527,Dim_Analyst!$A:$C,3,0)="Yes","Yes","No"),"No"))</f>
        <v/>
      </c>
    </row>
    <row r="1528" customFormat="false" ht="15" hidden="false" customHeight="true" outlineLevel="0" collapsed="false">
      <c r="G1528" s="4" t="str">
        <f aca="false">IF($D1528="","",$A1528&amp;"|"&amp;$B1528&amp;"|"&amp;$C1528&amp;"|"&amp;$D1528)</f>
        <v/>
      </c>
      <c r="H1528" s="4" t="str">
        <f aca="false">IF($D1528="","",$G1528&amp;"|"&amp;TEXT($E1528,"0.000000"))</f>
        <v/>
      </c>
      <c r="I1528" s="29" t="str">
        <f aca="false">IF($D1528="","",IF(ISNUMBER($E1528),FLOOR(($E1528-$B1528)*24,1),""))</f>
        <v/>
      </c>
      <c r="J1528" s="10" t="str">
        <f aca="false">IF($D1528="","",IFERROR(IF(VLOOKUP($F1528,Dim_Analyst!$A:$C,3,0)="Yes","Yes","No"),"No"))</f>
        <v/>
      </c>
    </row>
    <row r="1529" customFormat="false" ht="15" hidden="false" customHeight="true" outlineLevel="0" collapsed="false">
      <c r="G1529" s="4" t="str">
        <f aca="false">IF($D1529="","",$A1529&amp;"|"&amp;$B1529&amp;"|"&amp;$C1529&amp;"|"&amp;$D1529)</f>
        <v/>
      </c>
      <c r="H1529" s="4" t="str">
        <f aca="false">IF($D1529="","",$G1529&amp;"|"&amp;TEXT($E1529,"0.000000"))</f>
        <v/>
      </c>
      <c r="I1529" s="29" t="str">
        <f aca="false">IF($D1529="","",IF(ISNUMBER($E1529),FLOOR(($E1529-$B1529)*24,1),""))</f>
        <v/>
      </c>
      <c r="J1529" s="10" t="str">
        <f aca="false">IF($D1529="","",IFERROR(IF(VLOOKUP($F1529,Dim_Analyst!$A:$C,3,0)="Yes","Yes","No"),"No"))</f>
        <v/>
      </c>
    </row>
    <row r="1530" customFormat="false" ht="15" hidden="false" customHeight="true" outlineLevel="0" collapsed="false">
      <c r="G1530" s="4" t="str">
        <f aca="false">IF($D1530="","",$A1530&amp;"|"&amp;$B1530&amp;"|"&amp;$C1530&amp;"|"&amp;$D1530)</f>
        <v/>
      </c>
      <c r="H1530" s="4" t="str">
        <f aca="false">IF($D1530="","",$G1530&amp;"|"&amp;TEXT($E1530,"0.000000"))</f>
        <v/>
      </c>
      <c r="I1530" s="29" t="str">
        <f aca="false">IF($D1530="","",IF(ISNUMBER($E1530),FLOOR(($E1530-$B1530)*24,1),""))</f>
        <v/>
      </c>
      <c r="J1530" s="10" t="str">
        <f aca="false">IF($D1530="","",IFERROR(IF(VLOOKUP($F1530,Dim_Analyst!$A:$C,3,0)="Yes","Yes","No"),"No"))</f>
        <v/>
      </c>
    </row>
    <row r="1531" customFormat="false" ht="15" hidden="false" customHeight="true" outlineLevel="0" collapsed="false">
      <c r="G1531" s="4" t="str">
        <f aca="false">IF($D1531="","",$A1531&amp;"|"&amp;$B1531&amp;"|"&amp;$C1531&amp;"|"&amp;$D1531)</f>
        <v/>
      </c>
      <c r="H1531" s="4" t="str">
        <f aca="false">IF($D1531="","",$G1531&amp;"|"&amp;TEXT($E1531,"0.000000"))</f>
        <v/>
      </c>
      <c r="I1531" s="29" t="str">
        <f aca="false">IF($D1531="","",IF(ISNUMBER($E1531),FLOOR(($E1531-$B1531)*24,1),""))</f>
        <v/>
      </c>
      <c r="J1531" s="10" t="str">
        <f aca="false">IF($D1531="","",IFERROR(IF(VLOOKUP($F1531,Dim_Analyst!$A:$C,3,0)="Yes","Yes","No"),"No"))</f>
        <v/>
      </c>
    </row>
    <row r="1532" customFormat="false" ht="15" hidden="false" customHeight="true" outlineLevel="0" collapsed="false">
      <c r="G1532" s="4" t="str">
        <f aca="false">IF($D1532="","",$A1532&amp;"|"&amp;$B1532&amp;"|"&amp;$C1532&amp;"|"&amp;$D1532)</f>
        <v/>
      </c>
      <c r="H1532" s="4" t="str">
        <f aca="false">IF($D1532="","",$G1532&amp;"|"&amp;TEXT($E1532,"0.000000"))</f>
        <v/>
      </c>
      <c r="I1532" s="29" t="str">
        <f aca="false">IF($D1532="","",IF(ISNUMBER($E1532),FLOOR(($E1532-$B1532)*24,1),""))</f>
        <v/>
      </c>
      <c r="J1532" s="10" t="str">
        <f aca="false">IF($D1532="","",IFERROR(IF(VLOOKUP($F1532,Dim_Analyst!$A:$C,3,0)="Yes","Yes","No"),"No"))</f>
        <v/>
      </c>
    </row>
    <row r="1533" customFormat="false" ht="15" hidden="false" customHeight="true" outlineLevel="0" collapsed="false">
      <c r="G1533" s="4" t="str">
        <f aca="false">IF($D1533="","",$A1533&amp;"|"&amp;$B1533&amp;"|"&amp;$C1533&amp;"|"&amp;$D1533)</f>
        <v/>
      </c>
      <c r="H1533" s="4" t="str">
        <f aca="false">IF($D1533="","",$G1533&amp;"|"&amp;TEXT($E1533,"0.000000"))</f>
        <v/>
      </c>
      <c r="I1533" s="29" t="str">
        <f aca="false">IF($D1533="","",IF(ISNUMBER($E1533),FLOOR(($E1533-$B1533)*24,1),""))</f>
        <v/>
      </c>
      <c r="J1533" s="10" t="str">
        <f aca="false">IF($D1533="","",IFERROR(IF(VLOOKUP($F1533,Dim_Analyst!$A:$C,3,0)="Yes","Yes","No"),"No"))</f>
        <v/>
      </c>
    </row>
    <row r="1534" customFormat="false" ht="15" hidden="false" customHeight="true" outlineLevel="0" collapsed="false">
      <c r="G1534" s="4" t="str">
        <f aca="false">IF($D1534="","",$A1534&amp;"|"&amp;$B1534&amp;"|"&amp;$C1534&amp;"|"&amp;$D1534)</f>
        <v/>
      </c>
      <c r="H1534" s="4" t="str">
        <f aca="false">IF($D1534="","",$G1534&amp;"|"&amp;TEXT($E1534,"0.000000"))</f>
        <v/>
      </c>
      <c r="I1534" s="29" t="str">
        <f aca="false">IF($D1534="","",IF(ISNUMBER($E1534),FLOOR(($E1534-$B1534)*24,1),""))</f>
        <v/>
      </c>
      <c r="J1534" s="10" t="str">
        <f aca="false">IF($D1534="","",IFERROR(IF(VLOOKUP($F1534,Dim_Analyst!$A:$C,3,0)="Yes","Yes","No"),"No"))</f>
        <v/>
      </c>
    </row>
    <row r="1535" customFormat="false" ht="15" hidden="false" customHeight="true" outlineLevel="0" collapsed="false">
      <c r="G1535" s="4" t="str">
        <f aca="false">IF($D1535="","",$A1535&amp;"|"&amp;$B1535&amp;"|"&amp;$C1535&amp;"|"&amp;$D1535)</f>
        <v/>
      </c>
      <c r="H1535" s="4" t="str">
        <f aca="false">IF($D1535="","",$G1535&amp;"|"&amp;TEXT($E1535,"0.000000"))</f>
        <v/>
      </c>
      <c r="I1535" s="29" t="str">
        <f aca="false">IF($D1535="","",IF(ISNUMBER($E1535),FLOOR(($E1535-$B1535)*24,1),""))</f>
        <v/>
      </c>
      <c r="J1535" s="10" t="str">
        <f aca="false">IF($D1535="","",IFERROR(IF(VLOOKUP($F1535,Dim_Analyst!$A:$C,3,0)="Yes","Yes","No"),"No"))</f>
        <v/>
      </c>
    </row>
    <row r="1536" customFormat="false" ht="15" hidden="false" customHeight="true" outlineLevel="0" collapsed="false">
      <c r="G1536" s="4" t="str">
        <f aca="false">IF($D1536="","",$A1536&amp;"|"&amp;$B1536&amp;"|"&amp;$C1536&amp;"|"&amp;$D1536)</f>
        <v/>
      </c>
      <c r="H1536" s="4" t="str">
        <f aca="false">IF($D1536="","",$G1536&amp;"|"&amp;TEXT($E1536,"0.000000"))</f>
        <v/>
      </c>
      <c r="I1536" s="29" t="str">
        <f aca="false">IF($D1536="","",IF(ISNUMBER($E1536),FLOOR(($E1536-$B1536)*24,1),""))</f>
        <v/>
      </c>
      <c r="J1536" s="10" t="str">
        <f aca="false">IF($D1536="","",IFERROR(IF(VLOOKUP($F1536,Dim_Analyst!$A:$C,3,0)="Yes","Yes","No"),"No"))</f>
        <v/>
      </c>
    </row>
    <row r="1537" customFormat="false" ht="15" hidden="false" customHeight="true" outlineLevel="0" collapsed="false">
      <c r="G1537" s="4" t="str">
        <f aca="false">IF($D1537="","",$A1537&amp;"|"&amp;$B1537&amp;"|"&amp;$C1537&amp;"|"&amp;$D1537)</f>
        <v/>
      </c>
      <c r="H1537" s="4" t="str">
        <f aca="false">IF($D1537="","",$G1537&amp;"|"&amp;TEXT($E1537,"0.000000"))</f>
        <v/>
      </c>
      <c r="I1537" s="29" t="str">
        <f aca="false">IF($D1537="","",IF(ISNUMBER($E1537),FLOOR(($E1537-$B1537)*24,1),""))</f>
        <v/>
      </c>
      <c r="J1537" s="10" t="str">
        <f aca="false">IF($D1537="","",IFERROR(IF(VLOOKUP($F1537,Dim_Analyst!$A:$C,3,0)="Yes","Yes","No"),"No"))</f>
        <v/>
      </c>
    </row>
    <row r="1538" customFormat="false" ht="15" hidden="false" customHeight="true" outlineLevel="0" collapsed="false">
      <c r="G1538" s="4" t="str">
        <f aca="false">IF($D1538="","",$A1538&amp;"|"&amp;$B1538&amp;"|"&amp;$C1538&amp;"|"&amp;$D1538)</f>
        <v/>
      </c>
      <c r="H1538" s="4" t="str">
        <f aca="false">IF($D1538="","",$G1538&amp;"|"&amp;TEXT($E1538,"0.000000"))</f>
        <v/>
      </c>
      <c r="I1538" s="29" t="str">
        <f aca="false">IF($D1538="","",IF(ISNUMBER($E1538),FLOOR(($E1538-$B1538)*24,1),""))</f>
        <v/>
      </c>
      <c r="J1538" s="10" t="str">
        <f aca="false">IF($D1538="","",IFERROR(IF(VLOOKUP($F1538,Dim_Analyst!$A:$C,3,0)="Yes","Yes","No"),"No"))</f>
        <v/>
      </c>
    </row>
    <row r="1539" customFormat="false" ht="15" hidden="false" customHeight="true" outlineLevel="0" collapsed="false">
      <c r="G1539" s="4" t="str">
        <f aca="false">IF($D1539="","",$A1539&amp;"|"&amp;$B1539&amp;"|"&amp;$C1539&amp;"|"&amp;$D1539)</f>
        <v/>
      </c>
      <c r="H1539" s="4" t="str">
        <f aca="false">IF($D1539="","",$G1539&amp;"|"&amp;TEXT($E1539,"0.000000"))</f>
        <v/>
      </c>
      <c r="I1539" s="29" t="str">
        <f aca="false">IF($D1539="","",IF(ISNUMBER($E1539),FLOOR(($E1539-$B1539)*24,1),""))</f>
        <v/>
      </c>
      <c r="J1539" s="10" t="str">
        <f aca="false">IF($D1539="","",IFERROR(IF(VLOOKUP($F1539,Dim_Analyst!$A:$C,3,0)="Yes","Yes","No"),"No"))</f>
        <v/>
      </c>
    </row>
    <row r="1540" customFormat="false" ht="15" hidden="false" customHeight="true" outlineLevel="0" collapsed="false">
      <c r="G1540" s="4" t="str">
        <f aca="false">IF($D1540="","",$A1540&amp;"|"&amp;$B1540&amp;"|"&amp;$C1540&amp;"|"&amp;$D1540)</f>
        <v/>
      </c>
      <c r="H1540" s="4" t="str">
        <f aca="false">IF($D1540="","",$G1540&amp;"|"&amp;TEXT($E1540,"0.000000"))</f>
        <v/>
      </c>
      <c r="I1540" s="29" t="str">
        <f aca="false">IF($D1540="","",IF(ISNUMBER($E1540),FLOOR(($E1540-$B1540)*24,1),""))</f>
        <v/>
      </c>
      <c r="J1540" s="10" t="str">
        <f aca="false">IF($D1540="","",IFERROR(IF(VLOOKUP($F1540,Dim_Analyst!$A:$C,3,0)="Yes","Yes","No"),"No"))</f>
        <v/>
      </c>
    </row>
    <row r="1541" customFormat="false" ht="15" hidden="false" customHeight="true" outlineLevel="0" collapsed="false">
      <c r="G1541" s="4" t="str">
        <f aca="false">IF($D1541="","",$A1541&amp;"|"&amp;$B1541&amp;"|"&amp;$C1541&amp;"|"&amp;$D1541)</f>
        <v/>
      </c>
      <c r="H1541" s="4" t="str">
        <f aca="false">IF($D1541="","",$G1541&amp;"|"&amp;TEXT($E1541,"0.000000"))</f>
        <v/>
      </c>
      <c r="I1541" s="29" t="str">
        <f aca="false">IF($D1541="","",IF(ISNUMBER($E1541),FLOOR(($E1541-$B1541)*24,1),""))</f>
        <v/>
      </c>
      <c r="J1541" s="10" t="str">
        <f aca="false">IF($D1541="","",IFERROR(IF(VLOOKUP($F1541,Dim_Analyst!$A:$C,3,0)="Yes","Yes","No"),"No"))</f>
        <v/>
      </c>
    </row>
    <row r="1542" customFormat="false" ht="15" hidden="false" customHeight="true" outlineLevel="0" collapsed="false">
      <c r="G1542" s="4" t="str">
        <f aca="false">IF($D1542="","",$A1542&amp;"|"&amp;$B1542&amp;"|"&amp;$C1542&amp;"|"&amp;$D1542)</f>
        <v/>
      </c>
      <c r="H1542" s="4" t="str">
        <f aca="false">IF($D1542="","",$G1542&amp;"|"&amp;TEXT($E1542,"0.000000"))</f>
        <v/>
      </c>
      <c r="I1542" s="29" t="str">
        <f aca="false">IF($D1542="","",IF(ISNUMBER($E1542),FLOOR(($E1542-$B1542)*24,1),""))</f>
        <v/>
      </c>
      <c r="J1542" s="10" t="str">
        <f aca="false">IF($D1542="","",IFERROR(IF(VLOOKUP($F1542,Dim_Analyst!$A:$C,3,0)="Yes","Yes","No"),"No"))</f>
        <v/>
      </c>
    </row>
    <row r="1543" customFormat="false" ht="15" hidden="false" customHeight="true" outlineLevel="0" collapsed="false">
      <c r="G1543" s="4" t="str">
        <f aca="false">IF($D1543="","",$A1543&amp;"|"&amp;$B1543&amp;"|"&amp;$C1543&amp;"|"&amp;$D1543)</f>
        <v/>
      </c>
      <c r="H1543" s="4" t="str">
        <f aca="false">IF($D1543="","",$G1543&amp;"|"&amp;TEXT($E1543,"0.000000"))</f>
        <v/>
      </c>
      <c r="I1543" s="29" t="str">
        <f aca="false">IF($D1543="","",IF(ISNUMBER($E1543),FLOOR(($E1543-$B1543)*24,1),""))</f>
        <v/>
      </c>
      <c r="J1543" s="10" t="str">
        <f aca="false">IF($D1543="","",IFERROR(IF(VLOOKUP($F1543,Dim_Analyst!$A:$C,3,0)="Yes","Yes","No"),"No"))</f>
        <v/>
      </c>
    </row>
    <row r="1544" customFormat="false" ht="15" hidden="false" customHeight="true" outlineLevel="0" collapsed="false">
      <c r="G1544" s="4" t="str">
        <f aca="false">IF($D1544="","",$A1544&amp;"|"&amp;$B1544&amp;"|"&amp;$C1544&amp;"|"&amp;$D1544)</f>
        <v/>
      </c>
      <c r="H1544" s="4" t="str">
        <f aca="false">IF($D1544="","",$G1544&amp;"|"&amp;TEXT($E1544,"0.000000"))</f>
        <v/>
      </c>
      <c r="I1544" s="29" t="str">
        <f aca="false">IF($D1544="","",IF(ISNUMBER($E1544),FLOOR(($E1544-$B1544)*24,1),""))</f>
        <v/>
      </c>
      <c r="J1544" s="10" t="str">
        <f aca="false">IF($D1544="","",IFERROR(IF(VLOOKUP($F1544,Dim_Analyst!$A:$C,3,0)="Yes","Yes","No"),"No"))</f>
        <v/>
      </c>
    </row>
    <row r="1545" customFormat="false" ht="15" hidden="false" customHeight="true" outlineLevel="0" collapsed="false">
      <c r="G1545" s="4" t="str">
        <f aca="false">IF($D1545="","",$A1545&amp;"|"&amp;$B1545&amp;"|"&amp;$C1545&amp;"|"&amp;$D1545)</f>
        <v/>
      </c>
      <c r="H1545" s="4" t="str">
        <f aca="false">IF($D1545="","",$G1545&amp;"|"&amp;TEXT($E1545,"0.000000"))</f>
        <v/>
      </c>
      <c r="I1545" s="29" t="str">
        <f aca="false">IF($D1545="","",IF(ISNUMBER($E1545),FLOOR(($E1545-$B1545)*24,1),""))</f>
        <v/>
      </c>
      <c r="J1545" s="10" t="str">
        <f aca="false">IF($D1545="","",IFERROR(IF(VLOOKUP($F1545,Dim_Analyst!$A:$C,3,0)="Yes","Yes","No"),"No"))</f>
        <v/>
      </c>
    </row>
    <row r="1546" customFormat="false" ht="15" hidden="false" customHeight="true" outlineLevel="0" collapsed="false">
      <c r="G1546" s="4" t="str">
        <f aca="false">IF($D1546="","",$A1546&amp;"|"&amp;$B1546&amp;"|"&amp;$C1546&amp;"|"&amp;$D1546)</f>
        <v/>
      </c>
      <c r="H1546" s="4" t="str">
        <f aca="false">IF($D1546="","",$G1546&amp;"|"&amp;TEXT($E1546,"0.000000"))</f>
        <v/>
      </c>
      <c r="I1546" s="29" t="str">
        <f aca="false">IF($D1546="","",IF(ISNUMBER($E1546),FLOOR(($E1546-$B1546)*24,1),""))</f>
        <v/>
      </c>
      <c r="J1546" s="10" t="str">
        <f aca="false">IF($D1546="","",IFERROR(IF(VLOOKUP($F1546,Dim_Analyst!$A:$C,3,0)="Yes","Yes","No"),"No"))</f>
        <v/>
      </c>
    </row>
    <row r="1547" customFormat="false" ht="15" hidden="false" customHeight="true" outlineLevel="0" collapsed="false">
      <c r="G1547" s="4" t="str">
        <f aca="false">IF($D1547="","",$A1547&amp;"|"&amp;$B1547&amp;"|"&amp;$C1547&amp;"|"&amp;$D1547)</f>
        <v/>
      </c>
      <c r="H1547" s="4" t="str">
        <f aca="false">IF($D1547="","",$G1547&amp;"|"&amp;TEXT($E1547,"0.000000"))</f>
        <v/>
      </c>
      <c r="I1547" s="29" t="str">
        <f aca="false">IF($D1547="","",IF(ISNUMBER($E1547),FLOOR(($E1547-$B1547)*24,1),""))</f>
        <v/>
      </c>
      <c r="J1547" s="10" t="str">
        <f aca="false">IF($D1547="","",IFERROR(IF(VLOOKUP($F1547,Dim_Analyst!$A:$C,3,0)="Yes","Yes","No"),"No"))</f>
        <v/>
      </c>
    </row>
    <row r="1548" customFormat="false" ht="15" hidden="false" customHeight="true" outlineLevel="0" collapsed="false">
      <c r="G1548" s="4" t="str">
        <f aca="false">IF($D1548="","",$A1548&amp;"|"&amp;$B1548&amp;"|"&amp;$C1548&amp;"|"&amp;$D1548)</f>
        <v/>
      </c>
      <c r="H1548" s="4" t="str">
        <f aca="false">IF($D1548="","",$G1548&amp;"|"&amp;TEXT($E1548,"0.000000"))</f>
        <v/>
      </c>
      <c r="I1548" s="29" t="str">
        <f aca="false">IF($D1548="","",IF(ISNUMBER($E1548),FLOOR(($E1548-$B1548)*24,1),""))</f>
        <v/>
      </c>
      <c r="J1548" s="10" t="str">
        <f aca="false">IF($D1548="","",IFERROR(IF(VLOOKUP($F1548,Dim_Analyst!$A:$C,3,0)="Yes","Yes","No"),"No"))</f>
        <v/>
      </c>
    </row>
    <row r="1549" customFormat="false" ht="15" hidden="false" customHeight="true" outlineLevel="0" collapsed="false">
      <c r="G1549" s="4" t="str">
        <f aca="false">IF($D1549="","",$A1549&amp;"|"&amp;$B1549&amp;"|"&amp;$C1549&amp;"|"&amp;$D1549)</f>
        <v/>
      </c>
      <c r="H1549" s="4" t="str">
        <f aca="false">IF($D1549="","",$G1549&amp;"|"&amp;TEXT($E1549,"0.000000"))</f>
        <v/>
      </c>
      <c r="I1549" s="29" t="str">
        <f aca="false">IF($D1549="","",IF(ISNUMBER($E1549),FLOOR(($E1549-$B1549)*24,1),""))</f>
        <v/>
      </c>
      <c r="J1549" s="10" t="str">
        <f aca="false">IF($D1549="","",IFERROR(IF(VLOOKUP($F1549,Dim_Analyst!$A:$C,3,0)="Yes","Yes","No"),"No"))</f>
        <v/>
      </c>
    </row>
    <row r="1550" customFormat="false" ht="15" hidden="false" customHeight="true" outlineLevel="0" collapsed="false">
      <c r="G1550" s="4" t="str">
        <f aca="false">IF($D1550="","",$A1550&amp;"|"&amp;$B1550&amp;"|"&amp;$C1550&amp;"|"&amp;$D1550)</f>
        <v/>
      </c>
      <c r="H1550" s="4" t="str">
        <f aca="false">IF($D1550="","",$G1550&amp;"|"&amp;TEXT($E1550,"0.000000"))</f>
        <v/>
      </c>
      <c r="I1550" s="29" t="str">
        <f aca="false">IF($D1550="","",IF(ISNUMBER($E1550),FLOOR(($E1550-$B1550)*24,1),""))</f>
        <v/>
      </c>
      <c r="J1550" s="10" t="str">
        <f aca="false">IF($D1550="","",IFERROR(IF(VLOOKUP($F1550,Dim_Analyst!$A:$C,3,0)="Yes","Yes","No"),"No"))</f>
        <v/>
      </c>
    </row>
    <row r="1551" customFormat="false" ht="15" hidden="false" customHeight="true" outlineLevel="0" collapsed="false">
      <c r="G1551" s="4" t="str">
        <f aca="false">IF($D1551="","",$A1551&amp;"|"&amp;$B1551&amp;"|"&amp;$C1551&amp;"|"&amp;$D1551)</f>
        <v/>
      </c>
      <c r="H1551" s="4" t="str">
        <f aca="false">IF($D1551="","",$G1551&amp;"|"&amp;TEXT($E1551,"0.000000"))</f>
        <v/>
      </c>
      <c r="I1551" s="29" t="str">
        <f aca="false">IF($D1551="","",IF(ISNUMBER($E1551),FLOOR(($E1551-$B1551)*24,1),""))</f>
        <v/>
      </c>
      <c r="J1551" s="10" t="str">
        <f aca="false">IF($D1551="","",IFERROR(IF(VLOOKUP($F1551,Dim_Analyst!$A:$C,3,0)="Yes","Yes","No"),"No"))</f>
        <v/>
      </c>
    </row>
    <row r="1552" customFormat="false" ht="15" hidden="false" customHeight="true" outlineLevel="0" collapsed="false">
      <c r="G1552" s="4" t="str">
        <f aca="false">IF($D1552="","",$A1552&amp;"|"&amp;$B1552&amp;"|"&amp;$C1552&amp;"|"&amp;$D1552)</f>
        <v/>
      </c>
      <c r="H1552" s="4" t="str">
        <f aca="false">IF($D1552="","",$G1552&amp;"|"&amp;TEXT($E1552,"0.000000"))</f>
        <v/>
      </c>
      <c r="I1552" s="29" t="str">
        <f aca="false">IF($D1552="","",IF(ISNUMBER($E1552),FLOOR(($E1552-$B1552)*24,1),""))</f>
        <v/>
      </c>
      <c r="J1552" s="10" t="str">
        <f aca="false">IF($D1552="","",IFERROR(IF(VLOOKUP($F1552,Dim_Analyst!$A:$C,3,0)="Yes","Yes","No"),"No"))</f>
        <v/>
      </c>
    </row>
    <row r="1553" customFormat="false" ht="15" hidden="false" customHeight="true" outlineLevel="0" collapsed="false">
      <c r="G1553" s="4" t="str">
        <f aca="false">IF($D1553="","",$A1553&amp;"|"&amp;$B1553&amp;"|"&amp;$C1553&amp;"|"&amp;$D1553)</f>
        <v/>
      </c>
      <c r="H1553" s="4" t="str">
        <f aca="false">IF($D1553="","",$G1553&amp;"|"&amp;TEXT($E1553,"0.000000"))</f>
        <v/>
      </c>
      <c r="I1553" s="29" t="str">
        <f aca="false">IF($D1553="","",IF(ISNUMBER($E1553),FLOOR(($E1553-$B1553)*24,1),""))</f>
        <v/>
      </c>
      <c r="J1553" s="10" t="str">
        <f aca="false">IF($D1553="","",IFERROR(IF(VLOOKUP($F1553,Dim_Analyst!$A:$C,3,0)="Yes","Yes","No"),"No"))</f>
        <v/>
      </c>
    </row>
    <row r="1554" customFormat="false" ht="15" hidden="false" customHeight="true" outlineLevel="0" collapsed="false">
      <c r="G1554" s="4" t="str">
        <f aca="false">IF($D1554="","",$A1554&amp;"|"&amp;$B1554&amp;"|"&amp;$C1554&amp;"|"&amp;$D1554)</f>
        <v/>
      </c>
      <c r="H1554" s="4" t="str">
        <f aca="false">IF($D1554="","",$G1554&amp;"|"&amp;TEXT($E1554,"0.000000"))</f>
        <v/>
      </c>
      <c r="I1554" s="29" t="str">
        <f aca="false">IF($D1554="","",IF(ISNUMBER($E1554),FLOOR(($E1554-$B1554)*24,1),""))</f>
        <v/>
      </c>
      <c r="J1554" s="10" t="str">
        <f aca="false">IF($D1554="","",IFERROR(IF(VLOOKUP($F1554,Dim_Analyst!$A:$C,3,0)="Yes","Yes","No"),"No"))</f>
        <v/>
      </c>
    </row>
    <row r="1555" customFormat="false" ht="15" hidden="false" customHeight="true" outlineLevel="0" collapsed="false">
      <c r="G1555" s="4" t="str">
        <f aca="false">IF($D1555="","",$A1555&amp;"|"&amp;$B1555&amp;"|"&amp;$C1555&amp;"|"&amp;$D1555)</f>
        <v/>
      </c>
      <c r="H1555" s="4" t="str">
        <f aca="false">IF($D1555="","",$G1555&amp;"|"&amp;TEXT($E1555,"0.000000"))</f>
        <v/>
      </c>
      <c r="I1555" s="29" t="str">
        <f aca="false">IF($D1555="","",IF(ISNUMBER($E1555),FLOOR(($E1555-$B1555)*24,1),""))</f>
        <v/>
      </c>
      <c r="J1555" s="10" t="str">
        <f aca="false">IF($D1555="","",IFERROR(IF(VLOOKUP($F1555,Dim_Analyst!$A:$C,3,0)="Yes","Yes","No"),"No"))</f>
        <v/>
      </c>
    </row>
    <row r="1556" customFormat="false" ht="15" hidden="false" customHeight="true" outlineLevel="0" collapsed="false">
      <c r="G1556" s="4" t="str">
        <f aca="false">IF($D1556="","",$A1556&amp;"|"&amp;$B1556&amp;"|"&amp;$C1556&amp;"|"&amp;$D1556)</f>
        <v/>
      </c>
      <c r="H1556" s="4" t="str">
        <f aca="false">IF($D1556="","",$G1556&amp;"|"&amp;TEXT($E1556,"0.000000"))</f>
        <v/>
      </c>
      <c r="I1556" s="29" t="str">
        <f aca="false">IF($D1556="","",IF(ISNUMBER($E1556),FLOOR(($E1556-$B1556)*24,1),""))</f>
        <v/>
      </c>
      <c r="J1556" s="10" t="str">
        <f aca="false">IF($D1556="","",IFERROR(IF(VLOOKUP($F1556,Dim_Analyst!$A:$C,3,0)="Yes","Yes","No"),"No"))</f>
        <v/>
      </c>
    </row>
    <row r="1557" customFormat="false" ht="15" hidden="false" customHeight="true" outlineLevel="0" collapsed="false">
      <c r="G1557" s="4" t="str">
        <f aca="false">IF($D1557="","",$A1557&amp;"|"&amp;$B1557&amp;"|"&amp;$C1557&amp;"|"&amp;$D1557)</f>
        <v/>
      </c>
      <c r="H1557" s="4" t="str">
        <f aca="false">IF($D1557="","",$G1557&amp;"|"&amp;TEXT($E1557,"0.000000"))</f>
        <v/>
      </c>
      <c r="I1557" s="29" t="str">
        <f aca="false">IF($D1557="","",IF(ISNUMBER($E1557),FLOOR(($E1557-$B1557)*24,1),""))</f>
        <v/>
      </c>
      <c r="J1557" s="10" t="str">
        <f aca="false">IF($D1557="","",IFERROR(IF(VLOOKUP($F1557,Dim_Analyst!$A:$C,3,0)="Yes","Yes","No"),"No"))</f>
        <v/>
      </c>
    </row>
    <row r="1558" customFormat="false" ht="15" hidden="false" customHeight="true" outlineLevel="0" collapsed="false">
      <c r="G1558" s="4" t="str">
        <f aca="false">IF($D1558="","",$A1558&amp;"|"&amp;$B1558&amp;"|"&amp;$C1558&amp;"|"&amp;$D1558)</f>
        <v/>
      </c>
      <c r="H1558" s="4" t="str">
        <f aca="false">IF($D1558="","",$G1558&amp;"|"&amp;TEXT($E1558,"0.000000"))</f>
        <v/>
      </c>
      <c r="I1558" s="29" t="str">
        <f aca="false">IF($D1558="","",IF(ISNUMBER($E1558),FLOOR(($E1558-$B1558)*24,1),""))</f>
        <v/>
      </c>
      <c r="J1558" s="10" t="str">
        <f aca="false">IF($D1558="","",IFERROR(IF(VLOOKUP($F1558,Dim_Analyst!$A:$C,3,0)="Yes","Yes","No"),"No"))</f>
        <v/>
      </c>
    </row>
    <row r="1559" customFormat="false" ht="15" hidden="false" customHeight="true" outlineLevel="0" collapsed="false">
      <c r="G1559" s="4" t="str">
        <f aca="false">IF($D1559="","",$A1559&amp;"|"&amp;$B1559&amp;"|"&amp;$C1559&amp;"|"&amp;$D1559)</f>
        <v/>
      </c>
      <c r="H1559" s="4" t="str">
        <f aca="false">IF($D1559="","",$G1559&amp;"|"&amp;TEXT($E1559,"0.000000"))</f>
        <v/>
      </c>
      <c r="I1559" s="29" t="str">
        <f aca="false">IF($D1559="","",IF(ISNUMBER($E1559),FLOOR(($E1559-$B1559)*24,1),""))</f>
        <v/>
      </c>
      <c r="J1559" s="10" t="str">
        <f aca="false">IF($D1559="","",IFERROR(IF(VLOOKUP($F1559,Dim_Analyst!$A:$C,3,0)="Yes","Yes","No"),"No"))</f>
        <v/>
      </c>
    </row>
    <row r="1560" customFormat="false" ht="15" hidden="false" customHeight="true" outlineLevel="0" collapsed="false">
      <c r="G1560" s="4" t="str">
        <f aca="false">IF($D1560="","",$A1560&amp;"|"&amp;$B1560&amp;"|"&amp;$C1560&amp;"|"&amp;$D1560)</f>
        <v/>
      </c>
      <c r="H1560" s="4" t="str">
        <f aca="false">IF($D1560="","",$G1560&amp;"|"&amp;TEXT($E1560,"0.000000"))</f>
        <v/>
      </c>
      <c r="I1560" s="29" t="str">
        <f aca="false">IF($D1560="","",IF(ISNUMBER($E1560),FLOOR(($E1560-$B1560)*24,1),""))</f>
        <v/>
      </c>
      <c r="J1560" s="10" t="str">
        <f aca="false">IF($D1560="","",IFERROR(IF(VLOOKUP($F1560,Dim_Analyst!$A:$C,3,0)="Yes","Yes","No"),"No"))</f>
        <v/>
      </c>
    </row>
    <row r="1561" customFormat="false" ht="15" hidden="false" customHeight="true" outlineLevel="0" collapsed="false">
      <c r="G1561" s="4" t="str">
        <f aca="false">IF($D1561="","",$A1561&amp;"|"&amp;$B1561&amp;"|"&amp;$C1561&amp;"|"&amp;$D1561)</f>
        <v/>
      </c>
      <c r="H1561" s="4" t="str">
        <f aca="false">IF($D1561="","",$G1561&amp;"|"&amp;TEXT($E1561,"0.000000"))</f>
        <v/>
      </c>
      <c r="I1561" s="29" t="str">
        <f aca="false">IF($D1561="","",IF(ISNUMBER($E1561),FLOOR(($E1561-$B1561)*24,1),""))</f>
        <v/>
      </c>
      <c r="J1561" s="10" t="str">
        <f aca="false">IF($D1561="","",IFERROR(IF(VLOOKUP($F1561,Dim_Analyst!$A:$C,3,0)="Yes","Yes","No"),"No"))</f>
        <v/>
      </c>
    </row>
    <row r="1562" customFormat="false" ht="15" hidden="false" customHeight="true" outlineLevel="0" collapsed="false">
      <c r="G1562" s="4" t="str">
        <f aca="false">IF($D1562="","",$A1562&amp;"|"&amp;$B1562&amp;"|"&amp;$C1562&amp;"|"&amp;$D1562)</f>
        <v/>
      </c>
      <c r="H1562" s="4" t="str">
        <f aca="false">IF($D1562="","",$G1562&amp;"|"&amp;TEXT($E1562,"0.000000"))</f>
        <v/>
      </c>
      <c r="I1562" s="29" t="str">
        <f aca="false">IF($D1562="","",IF(ISNUMBER($E1562),FLOOR(($E1562-$B1562)*24,1),""))</f>
        <v/>
      </c>
      <c r="J1562" s="10" t="str">
        <f aca="false">IF($D1562="","",IFERROR(IF(VLOOKUP($F1562,Dim_Analyst!$A:$C,3,0)="Yes","Yes","No"),"No"))</f>
        <v/>
      </c>
    </row>
    <row r="1563" customFormat="false" ht="15" hidden="false" customHeight="true" outlineLevel="0" collapsed="false">
      <c r="G1563" s="4" t="str">
        <f aca="false">IF($D1563="","",$A1563&amp;"|"&amp;$B1563&amp;"|"&amp;$C1563&amp;"|"&amp;$D1563)</f>
        <v/>
      </c>
      <c r="H1563" s="4" t="str">
        <f aca="false">IF($D1563="","",$G1563&amp;"|"&amp;TEXT($E1563,"0.000000"))</f>
        <v/>
      </c>
      <c r="I1563" s="29" t="str">
        <f aca="false">IF($D1563="","",IF(ISNUMBER($E1563),FLOOR(($E1563-$B1563)*24,1),""))</f>
        <v/>
      </c>
      <c r="J1563" s="10" t="str">
        <f aca="false">IF($D1563="","",IFERROR(IF(VLOOKUP($F1563,Dim_Analyst!$A:$C,3,0)="Yes","Yes","No"),"No"))</f>
        <v/>
      </c>
    </row>
    <row r="1564" customFormat="false" ht="15" hidden="false" customHeight="true" outlineLevel="0" collapsed="false">
      <c r="G1564" s="4" t="str">
        <f aca="false">IF($D1564="","",$A1564&amp;"|"&amp;$B1564&amp;"|"&amp;$C1564&amp;"|"&amp;$D1564)</f>
        <v/>
      </c>
      <c r="H1564" s="4" t="str">
        <f aca="false">IF($D1564="","",$G1564&amp;"|"&amp;TEXT($E1564,"0.000000"))</f>
        <v/>
      </c>
      <c r="I1564" s="29" t="str">
        <f aca="false">IF($D1564="","",IF(ISNUMBER($E1564),FLOOR(($E1564-$B1564)*24,1),""))</f>
        <v/>
      </c>
      <c r="J1564" s="10" t="str">
        <f aca="false">IF($D1564="","",IFERROR(IF(VLOOKUP($F1564,Dim_Analyst!$A:$C,3,0)="Yes","Yes","No"),"No"))</f>
        <v/>
      </c>
    </row>
    <row r="1565" customFormat="false" ht="15" hidden="false" customHeight="true" outlineLevel="0" collapsed="false">
      <c r="G1565" s="4" t="str">
        <f aca="false">IF($D1565="","",$A1565&amp;"|"&amp;$B1565&amp;"|"&amp;$C1565&amp;"|"&amp;$D1565)</f>
        <v/>
      </c>
      <c r="H1565" s="4" t="str">
        <f aca="false">IF($D1565="","",$G1565&amp;"|"&amp;TEXT($E1565,"0.000000"))</f>
        <v/>
      </c>
      <c r="I1565" s="29" t="str">
        <f aca="false">IF($D1565="","",IF(ISNUMBER($E1565),FLOOR(($E1565-$B1565)*24,1),""))</f>
        <v/>
      </c>
      <c r="J1565" s="10" t="str">
        <f aca="false">IF($D1565="","",IFERROR(IF(VLOOKUP($F1565,Dim_Analyst!$A:$C,3,0)="Yes","Yes","No"),"No"))</f>
        <v/>
      </c>
    </row>
    <row r="1566" customFormat="false" ht="15" hidden="false" customHeight="true" outlineLevel="0" collapsed="false">
      <c r="G1566" s="4" t="str">
        <f aca="false">IF($D1566="","",$A1566&amp;"|"&amp;$B1566&amp;"|"&amp;$C1566&amp;"|"&amp;$D1566)</f>
        <v/>
      </c>
      <c r="H1566" s="4" t="str">
        <f aca="false">IF($D1566="","",$G1566&amp;"|"&amp;TEXT($E1566,"0.000000"))</f>
        <v/>
      </c>
      <c r="I1566" s="29" t="str">
        <f aca="false">IF($D1566="","",IF(ISNUMBER($E1566),FLOOR(($E1566-$B1566)*24,1),""))</f>
        <v/>
      </c>
      <c r="J1566" s="10" t="str">
        <f aca="false">IF($D1566="","",IFERROR(IF(VLOOKUP($F1566,Dim_Analyst!$A:$C,3,0)="Yes","Yes","No"),"No"))</f>
        <v/>
      </c>
    </row>
    <row r="1567" customFormat="false" ht="15" hidden="false" customHeight="true" outlineLevel="0" collapsed="false">
      <c r="G1567" s="4" t="str">
        <f aca="false">IF($D1567="","",$A1567&amp;"|"&amp;$B1567&amp;"|"&amp;$C1567&amp;"|"&amp;$D1567)</f>
        <v/>
      </c>
      <c r="H1567" s="4" t="str">
        <f aca="false">IF($D1567="","",$G1567&amp;"|"&amp;TEXT($E1567,"0.000000"))</f>
        <v/>
      </c>
      <c r="I1567" s="29" t="str">
        <f aca="false">IF($D1567="","",IF(ISNUMBER($E1567),FLOOR(($E1567-$B1567)*24,1),""))</f>
        <v/>
      </c>
      <c r="J1567" s="10" t="str">
        <f aca="false">IF($D1567="","",IFERROR(IF(VLOOKUP($F1567,Dim_Analyst!$A:$C,3,0)="Yes","Yes","No"),"No"))</f>
        <v/>
      </c>
    </row>
    <row r="1568" customFormat="false" ht="15" hidden="false" customHeight="true" outlineLevel="0" collapsed="false">
      <c r="G1568" s="4" t="str">
        <f aca="false">IF($D1568="","",$A1568&amp;"|"&amp;$B1568&amp;"|"&amp;$C1568&amp;"|"&amp;$D1568)</f>
        <v/>
      </c>
      <c r="H1568" s="4" t="str">
        <f aca="false">IF($D1568="","",$G1568&amp;"|"&amp;TEXT($E1568,"0.000000"))</f>
        <v/>
      </c>
      <c r="I1568" s="29" t="str">
        <f aca="false">IF($D1568="","",IF(ISNUMBER($E1568),FLOOR(($E1568-$B1568)*24,1),""))</f>
        <v/>
      </c>
      <c r="J1568" s="10" t="str">
        <f aca="false">IF($D1568="","",IFERROR(IF(VLOOKUP($F1568,Dim_Analyst!$A:$C,3,0)="Yes","Yes","No"),"No"))</f>
        <v/>
      </c>
    </row>
    <row r="1569" customFormat="false" ht="15" hidden="false" customHeight="true" outlineLevel="0" collapsed="false">
      <c r="G1569" s="4" t="str">
        <f aca="false">IF($D1569="","",$A1569&amp;"|"&amp;$B1569&amp;"|"&amp;$C1569&amp;"|"&amp;$D1569)</f>
        <v/>
      </c>
      <c r="H1569" s="4" t="str">
        <f aca="false">IF($D1569="","",$G1569&amp;"|"&amp;TEXT($E1569,"0.000000"))</f>
        <v/>
      </c>
      <c r="I1569" s="29" t="str">
        <f aca="false">IF($D1569="","",IF(ISNUMBER($E1569),FLOOR(($E1569-$B1569)*24,1),""))</f>
        <v/>
      </c>
      <c r="J1569" s="10" t="str">
        <f aca="false">IF($D1569="","",IFERROR(IF(VLOOKUP($F1569,Dim_Analyst!$A:$C,3,0)="Yes","Yes","No"),"No"))</f>
        <v/>
      </c>
    </row>
    <row r="1570" customFormat="false" ht="15" hidden="false" customHeight="true" outlineLevel="0" collapsed="false">
      <c r="G1570" s="4" t="str">
        <f aca="false">IF($D1570="","",$A1570&amp;"|"&amp;$B1570&amp;"|"&amp;$C1570&amp;"|"&amp;$D1570)</f>
        <v/>
      </c>
      <c r="H1570" s="4" t="str">
        <f aca="false">IF($D1570="","",$G1570&amp;"|"&amp;TEXT($E1570,"0.000000"))</f>
        <v/>
      </c>
      <c r="I1570" s="29" t="str">
        <f aca="false">IF($D1570="","",IF(ISNUMBER($E1570),FLOOR(($E1570-$B1570)*24,1),""))</f>
        <v/>
      </c>
      <c r="J1570" s="10" t="str">
        <f aca="false">IF($D1570="","",IFERROR(IF(VLOOKUP($F1570,Dim_Analyst!$A:$C,3,0)="Yes","Yes","No"),"No"))</f>
        <v/>
      </c>
    </row>
    <row r="1571" customFormat="false" ht="15" hidden="false" customHeight="true" outlineLevel="0" collapsed="false">
      <c r="G1571" s="4" t="str">
        <f aca="false">IF($D1571="","",$A1571&amp;"|"&amp;$B1571&amp;"|"&amp;$C1571&amp;"|"&amp;$D1571)</f>
        <v/>
      </c>
      <c r="H1571" s="4" t="str">
        <f aca="false">IF($D1571="","",$G1571&amp;"|"&amp;TEXT($E1571,"0.000000"))</f>
        <v/>
      </c>
      <c r="I1571" s="29" t="str">
        <f aca="false">IF($D1571="","",IF(ISNUMBER($E1571),FLOOR(($E1571-$B1571)*24,1),""))</f>
        <v/>
      </c>
      <c r="J1571" s="10" t="str">
        <f aca="false">IF($D1571="","",IFERROR(IF(VLOOKUP($F1571,Dim_Analyst!$A:$C,3,0)="Yes","Yes","No"),"No"))</f>
        <v/>
      </c>
    </row>
    <row r="1572" customFormat="false" ht="15" hidden="false" customHeight="true" outlineLevel="0" collapsed="false">
      <c r="G1572" s="4" t="str">
        <f aca="false">IF($D1572="","",$A1572&amp;"|"&amp;$B1572&amp;"|"&amp;$C1572&amp;"|"&amp;$D1572)</f>
        <v/>
      </c>
      <c r="H1572" s="4" t="str">
        <f aca="false">IF($D1572="","",$G1572&amp;"|"&amp;TEXT($E1572,"0.000000"))</f>
        <v/>
      </c>
      <c r="I1572" s="29" t="str">
        <f aca="false">IF($D1572="","",IF(ISNUMBER($E1572),FLOOR(($E1572-$B1572)*24,1),""))</f>
        <v/>
      </c>
      <c r="J1572" s="10" t="str">
        <f aca="false">IF($D1572="","",IFERROR(IF(VLOOKUP($F1572,Dim_Analyst!$A:$C,3,0)="Yes","Yes","No"),"No"))</f>
        <v/>
      </c>
    </row>
    <row r="1573" customFormat="false" ht="15" hidden="false" customHeight="true" outlineLevel="0" collapsed="false">
      <c r="G1573" s="4" t="str">
        <f aca="false">IF($D1573="","",$A1573&amp;"|"&amp;$B1573&amp;"|"&amp;$C1573&amp;"|"&amp;$D1573)</f>
        <v/>
      </c>
      <c r="H1573" s="4" t="str">
        <f aca="false">IF($D1573="","",$G1573&amp;"|"&amp;TEXT($E1573,"0.000000"))</f>
        <v/>
      </c>
      <c r="I1573" s="29" t="str">
        <f aca="false">IF($D1573="","",IF(ISNUMBER($E1573),FLOOR(($E1573-$B1573)*24,1),""))</f>
        <v/>
      </c>
      <c r="J1573" s="10" t="str">
        <f aca="false">IF($D1573="","",IFERROR(IF(VLOOKUP($F1573,Dim_Analyst!$A:$C,3,0)="Yes","Yes","No"),"No"))</f>
        <v/>
      </c>
    </row>
    <row r="1574" customFormat="false" ht="15" hidden="false" customHeight="true" outlineLevel="0" collapsed="false">
      <c r="G1574" s="4" t="str">
        <f aca="false">IF($D1574="","",$A1574&amp;"|"&amp;$B1574&amp;"|"&amp;$C1574&amp;"|"&amp;$D1574)</f>
        <v/>
      </c>
      <c r="H1574" s="4" t="str">
        <f aca="false">IF($D1574="","",$G1574&amp;"|"&amp;TEXT($E1574,"0.000000"))</f>
        <v/>
      </c>
      <c r="I1574" s="29" t="str">
        <f aca="false">IF($D1574="","",IF(ISNUMBER($E1574),FLOOR(($E1574-$B1574)*24,1),""))</f>
        <v/>
      </c>
      <c r="J1574" s="10" t="str">
        <f aca="false">IF($D1574="","",IFERROR(IF(VLOOKUP($F1574,Dim_Analyst!$A:$C,3,0)="Yes","Yes","No"),"No"))</f>
        <v/>
      </c>
    </row>
    <row r="1575" customFormat="false" ht="15" hidden="false" customHeight="true" outlineLevel="0" collapsed="false">
      <c r="G1575" s="4" t="str">
        <f aca="false">IF($D1575="","",$A1575&amp;"|"&amp;$B1575&amp;"|"&amp;$C1575&amp;"|"&amp;$D1575)</f>
        <v/>
      </c>
      <c r="H1575" s="4" t="str">
        <f aca="false">IF($D1575="","",$G1575&amp;"|"&amp;TEXT($E1575,"0.000000"))</f>
        <v/>
      </c>
      <c r="I1575" s="29" t="str">
        <f aca="false">IF($D1575="","",IF(ISNUMBER($E1575),FLOOR(($E1575-$B1575)*24,1),""))</f>
        <v/>
      </c>
      <c r="J1575" s="10" t="str">
        <f aca="false">IF($D1575="","",IFERROR(IF(VLOOKUP($F1575,Dim_Analyst!$A:$C,3,0)="Yes","Yes","No"),"No"))</f>
        <v/>
      </c>
    </row>
    <row r="1576" customFormat="false" ht="15" hidden="false" customHeight="true" outlineLevel="0" collapsed="false">
      <c r="G1576" s="4" t="str">
        <f aca="false">IF($D1576="","",$A1576&amp;"|"&amp;$B1576&amp;"|"&amp;$C1576&amp;"|"&amp;$D1576)</f>
        <v/>
      </c>
      <c r="H1576" s="4" t="str">
        <f aca="false">IF($D1576="","",$G1576&amp;"|"&amp;TEXT($E1576,"0.000000"))</f>
        <v/>
      </c>
      <c r="I1576" s="29" t="str">
        <f aca="false">IF($D1576="","",IF(ISNUMBER($E1576),FLOOR(($E1576-$B1576)*24,1),""))</f>
        <v/>
      </c>
      <c r="J1576" s="10" t="str">
        <f aca="false">IF($D1576="","",IFERROR(IF(VLOOKUP($F1576,Dim_Analyst!$A:$C,3,0)="Yes","Yes","No"),"No"))</f>
        <v/>
      </c>
    </row>
    <row r="1577" customFormat="false" ht="15" hidden="false" customHeight="true" outlineLevel="0" collapsed="false">
      <c r="G1577" s="4" t="str">
        <f aca="false">IF($D1577="","",$A1577&amp;"|"&amp;$B1577&amp;"|"&amp;$C1577&amp;"|"&amp;$D1577)</f>
        <v/>
      </c>
      <c r="H1577" s="4" t="str">
        <f aca="false">IF($D1577="","",$G1577&amp;"|"&amp;TEXT($E1577,"0.000000"))</f>
        <v/>
      </c>
      <c r="I1577" s="29" t="str">
        <f aca="false">IF($D1577="","",IF(ISNUMBER($E1577),FLOOR(($E1577-$B1577)*24,1),""))</f>
        <v/>
      </c>
      <c r="J1577" s="10" t="str">
        <f aca="false">IF($D1577="","",IFERROR(IF(VLOOKUP($F1577,Dim_Analyst!$A:$C,3,0)="Yes","Yes","No"),"No"))</f>
        <v/>
      </c>
    </row>
    <row r="1578" customFormat="false" ht="15" hidden="false" customHeight="true" outlineLevel="0" collapsed="false">
      <c r="G1578" s="4" t="str">
        <f aca="false">IF($D1578="","",$A1578&amp;"|"&amp;$B1578&amp;"|"&amp;$C1578&amp;"|"&amp;$D1578)</f>
        <v/>
      </c>
      <c r="H1578" s="4" t="str">
        <f aca="false">IF($D1578="","",$G1578&amp;"|"&amp;TEXT($E1578,"0.000000"))</f>
        <v/>
      </c>
      <c r="I1578" s="29" t="str">
        <f aca="false">IF($D1578="","",IF(ISNUMBER($E1578),FLOOR(($E1578-$B1578)*24,1),""))</f>
        <v/>
      </c>
      <c r="J1578" s="10" t="str">
        <f aca="false">IF($D1578="","",IFERROR(IF(VLOOKUP($F1578,Dim_Analyst!$A:$C,3,0)="Yes","Yes","No"),"No"))</f>
        <v/>
      </c>
    </row>
    <row r="1579" customFormat="false" ht="15" hidden="false" customHeight="true" outlineLevel="0" collapsed="false">
      <c r="G1579" s="4" t="str">
        <f aca="false">IF($D1579="","",$A1579&amp;"|"&amp;$B1579&amp;"|"&amp;$C1579&amp;"|"&amp;$D1579)</f>
        <v/>
      </c>
      <c r="H1579" s="4" t="str">
        <f aca="false">IF($D1579="","",$G1579&amp;"|"&amp;TEXT($E1579,"0.000000"))</f>
        <v/>
      </c>
      <c r="I1579" s="29" t="str">
        <f aca="false">IF($D1579="","",IF(ISNUMBER($E1579),FLOOR(($E1579-$B1579)*24,1),""))</f>
        <v/>
      </c>
      <c r="J1579" s="10" t="str">
        <f aca="false">IF($D1579="","",IFERROR(IF(VLOOKUP($F1579,Dim_Analyst!$A:$C,3,0)="Yes","Yes","No"),"No"))</f>
        <v/>
      </c>
    </row>
    <row r="1580" customFormat="false" ht="15" hidden="false" customHeight="true" outlineLevel="0" collapsed="false">
      <c r="G1580" s="4" t="str">
        <f aca="false">IF($D1580="","",$A1580&amp;"|"&amp;$B1580&amp;"|"&amp;$C1580&amp;"|"&amp;$D1580)</f>
        <v/>
      </c>
      <c r="H1580" s="4" t="str">
        <f aca="false">IF($D1580="","",$G1580&amp;"|"&amp;TEXT($E1580,"0.000000"))</f>
        <v/>
      </c>
      <c r="I1580" s="29" t="str">
        <f aca="false">IF($D1580="","",IF(ISNUMBER($E1580),FLOOR(($E1580-$B1580)*24,1),""))</f>
        <v/>
      </c>
      <c r="J1580" s="10" t="str">
        <f aca="false">IF($D1580="","",IFERROR(IF(VLOOKUP($F1580,Dim_Analyst!$A:$C,3,0)="Yes","Yes","No"),"No"))</f>
        <v/>
      </c>
    </row>
    <row r="1581" customFormat="false" ht="15" hidden="false" customHeight="true" outlineLevel="0" collapsed="false">
      <c r="G1581" s="4" t="str">
        <f aca="false">IF($D1581="","",$A1581&amp;"|"&amp;$B1581&amp;"|"&amp;$C1581&amp;"|"&amp;$D1581)</f>
        <v/>
      </c>
      <c r="H1581" s="4" t="str">
        <f aca="false">IF($D1581="","",$G1581&amp;"|"&amp;TEXT($E1581,"0.000000"))</f>
        <v/>
      </c>
      <c r="I1581" s="29" t="str">
        <f aca="false">IF($D1581="","",IF(ISNUMBER($E1581),FLOOR(($E1581-$B1581)*24,1),""))</f>
        <v/>
      </c>
      <c r="J1581" s="10" t="str">
        <f aca="false">IF($D1581="","",IFERROR(IF(VLOOKUP($F1581,Dim_Analyst!$A:$C,3,0)="Yes","Yes","No"),"No"))</f>
        <v/>
      </c>
    </row>
    <row r="1582" customFormat="false" ht="15" hidden="false" customHeight="true" outlineLevel="0" collapsed="false">
      <c r="G1582" s="4" t="str">
        <f aca="false">IF($D1582="","",$A1582&amp;"|"&amp;$B1582&amp;"|"&amp;$C1582&amp;"|"&amp;$D1582)</f>
        <v/>
      </c>
      <c r="H1582" s="4" t="str">
        <f aca="false">IF($D1582="","",$G1582&amp;"|"&amp;TEXT($E1582,"0.000000"))</f>
        <v/>
      </c>
      <c r="I1582" s="29" t="str">
        <f aca="false">IF($D1582="","",IF(ISNUMBER($E1582),FLOOR(($E1582-$B1582)*24,1),""))</f>
        <v/>
      </c>
      <c r="J1582" s="10" t="str">
        <f aca="false">IF($D1582="","",IFERROR(IF(VLOOKUP($F1582,Dim_Analyst!$A:$C,3,0)="Yes","Yes","No"),"No"))</f>
        <v/>
      </c>
    </row>
    <row r="1583" customFormat="false" ht="15" hidden="false" customHeight="true" outlineLevel="0" collapsed="false">
      <c r="G1583" s="4" t="str">
        <f aca="false">IF($D1583="","",$A1583&amp;"|"&amp;$B1583&amp;"|"&amp;$C1583&amp;"|"&amp;$D1583)</f>
        <v/>
      </c>
      <c r="H1583" s="4" t="str">
        <f aca="false">IF($D1583="","",$G1583&amp;"|"&amp;TEXT($E1583,"0.000000"))</f>
        <v/>
      </c>
      <c r="I1583" s="29" t="str">
        <f aca="false">IF($D1583="","",IF(ISNUMBER($E1583),FLOOR(($E1583-$B1583)*24,1),""))</f>
        <v/>
      </c>
      <c r="J1583" s="10" t="str">
        <f aca="false">IF($D1583="","",IFERROR(IF(VLOOKUP($F1583,Dim_Analyst!$A:$C,3,0)="Yes","Yes","No"),"No"))</f>
        <v/>
      </c>
    </row>
    <row r="1584" customFormat="false" ht="15" hidden="false" customHeight="true" outlineLevel="0" collapsed="false">
      <c r="G1584" s="4" t="str">
        <f aca="false">IF($D1584="","",$A1584&amp;"|"&amp;$B1584&amp;"|"&amp;$C1584&amp;"|"&amp;$D1584)</f>
        <v/>
      </c>
      <c r="H1584" s="4" t="str">
        <f aca="false">IF($D1584="","",$G1584&amp;"|"&amp;TEXT($E1584,"0.000000"))</f>
        <v/>
      </c>
      <c r="I1584" s="29" t="str">
        <f aca="false">IF($D1584="","",IF(ISNUMBER($E1584),FLOOR(($E1584-$B1584)*24,1),""))</f>
        <v/>
      </c>
      <c r="J1584" s="10" t="str">
        <f aca="false">IF($D1584="","",IFERROR(IF(VLOOKUP($F1584,Dim_Analyst!$A:$C,3,0)="Yes","Yes","No"),"No"))</f>
        <v/>
      </c>
    </row>
    <row r="1585" customFormat="false" ht="15" hidden="false" customHeight="true" outlineLevel="0" collapsed="false">
      <c r="G1585" s="4" t="str">
        <f aca="false">IF($D1585="","",$A1585&amp;"|"&amp;$B1585&amp;"|"&amp;$C1585&amp;"|"&amp;$D1585)</f>
        <v/>
      </c>
      <c r="H1585" s="4" t="str">
        <f aca="false">IF($D1585="","",$G1585&amp;"|"&amp;TEXT($E1585,"0.000000"))</f>
        <v/>
      </c>
      <c r="I1585" s="29" t="str">
        <f aca="false">IF($D1585="","",IF(ISNUMBER($E1585),FLOOR(($E1585-$B1585)*24,1),""))</f>
        <v/>
      </c>
      <c r="J1585" s="10" t="str">
        <f aca="false">IF($D1585="","",IFERROR(IF(VLOOKUP($F1585,Dim_Analyst!$A:$C,3,0)="Yes","Yes","No"),"No"))</f>
        <v/>
      </c>
    </row>
    <row r="1586" customFormat="false" ht="15" hidden="false" customHeight="true" outlineLevel="0" collapsed="false">
      <c r="G1586" s="4" t="str">
        <f aca="false">IF($D1586="","",$A1586&amp;"|"&amp;$B1586&amp;"|"&amp;$C1586&amp;"|"&amp;$D1586)</f>
        <v/>
      </c>
      <c r="H1586" s="4" t="str">
        <f aca="false">IF($D1586="","",$G1586&amp;"|"&amp;TEXT($E1586,"0.000000"))</f>
        <v/>
      </c>
      <c r="I1586" s="29" t="str">
        <f aca="false">IF($D1586="","",IF(ISNUMBER($E1586),FLOOR(($E1586-$B1586)*24,1),""))</f>
        <v/>
      </c>
      <c r="J1586" s="10" t="str">
        <f aca="false">IF($D1586="","",IFERROR(IF(VLOOKUP($F1586,Dim_Analyst!$A:$C,3,0)="Yes","Yes","No"),"No"))</f>
        <v/>
      </c>
    </row>
    <row r="1587" customFormat="false" ht="15" hidden="false" customHeight="true" outlineLevel="0" collapsed="false">
      <c r="G1587" s="4" t="str">
        <f aca="false">IF($D1587="","",$A1587&amp;"|"&amp;$B1587&amp;"|"&amp;$C1587&amp;"|"&amp;$D1587)</f>
        <v/>
      </c>
      <c r="H1587" s="4" t="str">
        <f aca="false">IF($D1587="","",$G1587&amp;"|"&amp;TEXT($E1587,"0.000000"))</f>
        <v/>
      </c>
      <c r="I1587" s="29" t="str">
        <f aca="false">IF($D1587="","",IF(ISNUMBER($E1587),FLOOR(($E1587-$B1587)*24,1),""))</f>
        <v/>
      </c>
      <c r="J1587" s="10" t="str">
        <f aca="false">IF($D1587="","",IFERROR(IF(VLOOKUP($F1587,Dim_Analyst!$A:$C,3,0)="Yes","Yes","No"),"No"))</f>
        <v/>
      </c>
    </row>
    <row r="1588" customFormat="false" ht="15" hidden="false" customHeight="true" outlineLevel="0" collapsed="false">
      <c r="G1588" s="4" t="str">
        <f aca="false">IF($D1588="","",$A1588&amp;"|"&amp;$B1588&amp;"|"&amp;$C1588&amp;"|"&amp;$D1588)</f>
        <v/>
      </c>
      <c r="H1588" s="4" t="str">
        <f aca="false">IF($D1588="","",$G1588&amp;"|"&amp;TEXT($E1588,"0.000000"))</f>
        <v/>
      </c>
      <c r="I1588" s="29" t="str">
        <f aca="false">IF($D1588="","",IF(ISNUMBER($E1588),FLOOR(($E1588-$B1588)*24,1),""))</f>
        <v/>
      </c>
      <c r="J1588" s="10" t="str">
        <f aca="false">IF($D1588="","",IFERROR(IF(VLOOKUP($F1588,Dim_Analyst!$A:$C,3,0)="Yes","Yes","No"),"No"))</f>
        <v/>
      </c>
    </row>
    <row r="1589" customFormat="false" ht="15" hidden="false" customHeight="true" outlineLevel="0" collapsed="false">
      <c r="G1589" s="4" t="str">
        <f aca="false">IF($D1589="","",$A1589&amp;"|"&amp;$B1589&amp;"|"&amp;$C1589&amp;"|"&amp;$D1589)</f>
        <v/>
      </c>
      <c r="H1589" s="4" t="str">
        <f aca="false">IF($D1589="","",$G1589&amp;"|"&amp;TEXT($E1589,"0.000000"))</f>
        <v/>
      </c>
      <c r="I1589" s="29" t="str">
        <f aca="false">IF($D1589="","",IF(ISNUMBER($E1589),FLOOR(($E1589-$B1589)*24,1),""))</f>
        <v/>
      </c>
      <c r="J1589" s="10" t="str">
        <f aca="false">IF($D1589="","",IFERROR(IF(VLOOKUP($F1589,Dim_Analyst!$A:$C,3,0)="Yes","Yes","No"),"No"))</f>
        <v/>
      </c>
    </row>
    <row r="1590" customFormat="false" ht="15" hidden="false" customHeight="true" outlineLevel="0" collapsed="false">
      <c r="G1590" s="4" t="str">
        <f aca="false">IF($D1590="","",$A1590&amp;"|"&amp;$B1590&amp;"|"&amp;$C1590&amp;"|"&amp;$D1590)</f>
        <v/>
      </c>
      <c r="H1590" s="4" t="str">
        <f aca="false">IF($D1590="","",$G1590&amp;"|"&amp;TEXT($E1590,"0.000000"))</f>
        <v/>
      </c>
      <c r="I1590" s="29" t="str">
        <f aca="false">IF($D1590="","",IF(ISNUMBER($E1590),FLOOR(($E1590-$B1590)*24,1),""))</f>
        <v/>
      </c>
      <c r="J1590" s="10" t="str">
        <f aca="false">IF($D1590="","",IFERROR(IF(VLOOKUP($F1590,Dim_Analyst!$A:$C,3,0)="Yes","Yes","No"),"No"))</f>
        <v/>
      </c>
    </row>
    <row r="1591" customFormat="false" ht="15" hidden="false" customHeight="true" outlineLevel="0" collapsed="false">
      <c r="G1591" s="4" t="str">
        <f aca="false">IF($D1591="","",$A1591&amp;"|"&amp;$B1591&amp;"|"&amp;$C1591&amp;"|"&amp;$D1591)</f>
        <v/>
      </c>
      <c r="H1591" s="4" t="str">
        <f aca="false">IF($D1591="","",$G1591&amp;"|"&amp;TEXT($E1591,"0.000000"))</f>
        <v/>
      </c>
      <c r="I1591" s="29" t="str">
        <f aca="false">IF($D1591="","",IF(ISNUMBER($E1591),FLOOR(($E1591-$B1591)*24,1),""))</f>
        <v/>
      </c>
      <c r="J1591" s="10" t="str">
        <f aca="false">IF($D1591="","",IFERROR(IF(VLOOKUP($F1591,Dim_Analyst!$A:$C,3,0)="Yes","Yes","No"),"No"))</f>
        <v/>
      </c>
    </row>
    <row r="1592" customFormat="false" ht="15" hidden="false" customHeight="true" outlineLevel="0" collapsed="false">
      <c r="G1592" s="4" t="str">
        <f aca="false">IF($D1592="","",$A1592&amp;"|"&amp;$B1592&amp;"|"&amp;$C1592&amp;"|"&amp;$D1592)</f>
        <v/>
      </c>
      <c r="H1592" s="4" t="str">
        <f aca="false">IF($D1592="","",$G1592&amp;"|"&amp;TEXT($E1592,"0.000000"))</f>
        <v/>
      </c>
      <c r="I1592" s="29" t="str">
        <f aca="false">IF($D1592="","",IF(ISNUMBER($E1592),FLOOR(($E1592-$B1592)*24,1),""))</f>
        <v/>
      </c>
      <c r="J1592" s="10" t="str">
        <f aca="false">IF($D1592="","",IFERROR(IF(VLOOKUP($F1592,Dim_Analyst!$A:$C,3,0)="Yes","Yes","No"),"No"))</f>
        <v/>
      </c>
    </row>
    <row r="1593" customFormat="false" ht="15" hidden="false" customHeight="true" outlineLevel="0" collapsed="false">
      <c r="G1593" s="4" t="str">
        <f aca="false">IF($D1593="","",$A1593&amp;"|"&amp;$B1593&amp;"|"&amp;$C1593&amp;"|"&amp;$D1593)</f>
        <v/>
      </c>
      <c r="H1593" s="4" t="str">
        <f aca="false">IF($D1593="","",$G1593&amp;"|"&amp;TEXT($E1593,"0.000000"))</f>
        <v/>
      </c>
      <c r="I1593" s="29" t="str">
        <f aca="false">IF($D1593="","",IF(ISNUMBER($E1593),FLOOR(($E1593-$B1593)*24,1),""))</f>
        <v/>
      </c>
      <c r="J1593" s="10" t="str">
        <f aca="false">IF($D1593="","",IFERROR(IF(VLOOKUP($F1593,Dim_Analyst!$A:$C,3,0)="Yes","Yes","No"),"No"))</f>
        <v/>
      </c>
    </row>
    <row r="1594" customFormat="false" ht="15" hidden="false" customHeight="true" outlineLevel="0" collapsed="false">
      <c r="G1594" s="4" t="str">
        <f aca="false">IF($D1594="","",$A1594&amp;"|"&amp;$B1594&amp;"|"&amp;$C1594&amp;"|"&amp;$D1594)</f>
        <v/>
      </c>
      <c r="H1594" s="4" t="str">
        <f aca="false">IF($D1594="","",$G1594&amp;"|"&amp;TEXT($E1594,"0.000000"))</f>
        <v/>
      </c>
      <c r="I1594" s="29" t="str">
        <f aca="false">IF($D1594="","",IF(ISNUMBER($E1594),FLOOR(($E1594-$B1594)*24,1),""))</f>
        <v/>
      </c>
      <c r="J1594" s="10" t="str">
        <f aca="false">IF($D1594="","",IFERROR(IF(VLOOKUP($F1594,Dim_Analyst!$A:$C,3,0)="Yes","Yes","No"),"No"))</f>
        <v/>
      </c>
    </row>
    <row r="1595" customFormat="false" ht="15" hidden="false" customHeight="true" outlineLevel="0" collapsed="false">
      <c r="G1595" s="4" t="str">
        <f aca="false">IF($D1595="","",$A1595&amp;"|"&amp;$B1595&amp;"|"&amp;$C1595&amp;"|"&amp;$D1595)</f>
        <v/>
      </c>
      <c r="H1595" s="4" t="str">
        <f aca="false">IF($D1595="","",$G1595&amp;"|"&amp;TEXT($E1595,"0.000000"))</f>
        <v/>
      </c>
      <c r="I1595" s="29" t="str">
        <f aca="false">IF($D1595="","",IF(ISNUMBER($E1595),FLOOR(($E1595-$B1595)*24,1),""))</f>
        <v/>
      </c>
      <c r="J1595" s="10" t="str">
        <f aca="false">IF($D1595="","",IFERROR(IF(VLOOKUP($F1595,Dim_Analyst!$A:$C,3,0)="Yes","Yes","No"),"No"))</f>
        <v/>
      </c>
    </row>
    <row r="1596" customFormat="false" ht="15" hidden="false" customHeight="true" outlineLevel="0" collapsed="false">
      <c r="G1596" s="4" t="str">
        <f aca="false">IF($D1596="","",$A1596&amp;"|"&amp;$B1596&amp;"|"&amp;$C1596&amp;"|"&amp;$D1596)</f>
        <v/>
      </c>
      <c r="H1596" s="4" t="str">
        <f aca="false">IF($D1596="","",$G1596&amp;"|"&amp;TEXT($E1596,"0.000000"))</f>
        <v/>
      </c>
      <c r="I1596" s="29" t="str">
        <f aca="false">IF($D1596="","",IF(ISNUMBER($E1596),FLOOR(($E1596-$B1596)*24,1),""))</f>
        <v/>
      </c>
      <c r="J1596" s="10" t="str">
        <f aca="false">IF($D1596="","",IFERROR(IF(VLOOKUP($F1596,Dim_Analyst!$A:$C,3,0)="Yes","Yes","No"),"No"))</f>
        <v/>
      </c>
    </row>
    <row r="1597" customFormat="false" ht="15" hidden="false" customHeight="true" outlineLevel="0" collapsed="false">
      <c r="G1597" s="4" t="str">
        <f aca="false">IF($D1597="","",$A1597&amp;"|"&amp;$B1597&amp;"|"&amp;$C1597&amp;"|"&amp;$D1597)</f>
        <v/>
      </c>
      <c r="H1597" s="4" t="str">
        <f aca="false">IF($D1597="","",$G1597&amp;"|"&amp;TEXT($E1597,"0.000000"))</f>
        <v/>
      </c>
      <c r="I1597" s="29" t="str">
        <f aca="false">IF($D1597="","",IF(ISNUMBER($E1597),FLOOR(($E1597-$B1597)*24,1),""))</f>
        <v/>
      </c>
      <c r="J1597" s="10" t="str">
        <f aca="false">IF($D1597="","",IFERROR(IF(VLOOKUP($F1597,Dim_Analyst!$A:$C,3,0)="Yes","Yes","No"),"No"))</f>
        <v/>
      </c>
    </row>
    <row r="1598" customFormat="false" ht="15" hidden="false" customHeight="true" outlineLevel="0" collapsed="false">
      <c r="G1598" s="4" t="str">
        <f aca="false">IF($D1598="","",$A1598&amp;"|"&amp;$B1598&amp;"|"&amp;$C1598&amp;"|"&amp;$D1598)</f>
        <v/>
      </c>
      <c r="H1598" s="4" t="str">
        <f aca="false">IF($D1598="","",$G1598&amp;"|"&amp;TEXT($E1598,"0.000000"))</f>
        <v/>
      </c>
      <c r="I1598" s="29" t="str">
        <f aca="false">IF($D1598="","",IF(ISNUMBER($E1598),FLOOR(($E1598-$B1598)*24,1),""))</f>
        <v/>
      </c>
      <c r="J1598" s="10" t="str">
        <f aca="false">IF($D1598="","",IFERROR(IF(VLOOKUP($F1598,Dim_Analyst!$A:$C,3,0)="Yes","Yes","No"),"No"))</f>
        <v/>
      </c>
    </row>
    <row r="1599" customFormat="false" ht="15" hidden="false" customHeight="true" outlineLevel="0" collapsed="false">
      <c r="G1599" s="4" t="str">
        <f aca="false">IF($D1599="","",$A1599&amp;"|"&amp;$B1599&amp;"|"&amp;$C1599&amp;"|"&amp;$D1599)</f>
        <v/>
      </c>
      <c r="H1599" s="4" t="str">
        <f aca="false">IF($D1599="","",$G1599&amp;"|"&amp;TEXT($E1599,"0.000000"))</f>
        <v/>
      </c>
      <c r="I1599" s="29" t="str">
        <f aca="false">IF($D1599="","",IF(ISNUMBER($E1599),FLOOR(($E1599-$B1599)*24,1),""))</f>
        <v/>
      </c>
      <c r="J1599" s="10" t="str">
        <f aca="false">IF($D1599="","",IFERROR(IF(VLOOKUP($F1599,Dim_Analyst!$A:$C,3,0)="Yes","Yes","No"),"No"))</f>
        <v/>
      </c>
    </row>
    <row r="1600" customFormat="false" ht="15" hidden="false" customHeight="true" outlineLevel="0" collapsed="false">
      <c r="G1600" s="4" t="str">
        <f aca="false">IF($D1600="","",$A1600&amp;"|"&amp;$B1600&amp;"|"&amp;$C1600&amp;"|"&amp;$D1600)</f>
        <v/>
      </c>
      <c r="H1600" s="4" t="str">
        <f aca="false">IF($D1600="","",$G1600&amp;"|"&amp;TEXT($E1600,"0.000000"))</f>
        <v/>
      </c>
      <c r="I1600" s="29" t="str">
        <f aca="false">IF($D1600="","",IF(ISNUMBER($E1600),FLOOR(($E1600-$B1600)*24,1),""))</f>
        <v/>
      </c>
      <c r="J1600" s="10" t="str">
        <f aca="false">IF($D1600="","",IFERROR(IF(VLOOKUP($F1600,Dim_Analyst!$A:$C,3,0)="Yes","Yes","No"),"No"))</f>
        <v/>
      </c>
    </row>
    <row r="1601" customFormat="false" ht="15" hidden="false" customHeight="true" outlineLevel="0" collapsed="false">
      <c r="G1601" s="4" t="str">
        <f aca="false">IF($D1601="","",$A1601&amp;"|"&amp;$B1601&amp;"|"&amp;$C1601&amp;"|"&amp;$D1601)</f>
        <v/>
      </c>
      <c r="H1601" s="4" t="str">
        <f aca="false">IF($D1601="","",$G1601&amp;"|"&amp;TEXT($E1601,"0.000000"))</f>
        <v/>
      </c>
      <c r="I1601" s="29" t="str">
        <f aca="false">IF($D1601="","",IF(ISNUMBER($E1601),FLOOR(($E1601-$B1601)*24,1),""))</f>
        <v/>
      </c>
      <c r="J1601" s="10" t="str">
        <f aca="false">IF($D1601="","",IFERROR(IF(VLOOKUP($F1601,Dim_Analyst!$A:$C,3,0)="Yes","Yes","No"),"No"))</f>
        <v/>
      </c>
    </row>
    <row r="1602" customFormat="false" ht="15" hidden="false" customHeight="true" outlineLevel="0" collapsed="false">
      <c r="G1602" s="4" t="str">
        <f aca="false">IF($D1602="","",$A1602&amp;"|"&amp;$B1602&amp;"|"&amp;$C1602&amp;"|"&amp;$D1602)</f>
        <v/>
      </c>
      <c r="H1602" s="4" t="str">
        <f aca="false">IF($D1602="","",$G1602&amp;"|"&amp;TEXT($E1602,"0.000000"))</f>
        <v/>
      </c>
      <c r="I1602" s="29" t="str">
        <f aca="false">IF($D1602="","",IF(ISNUMBER($E1602),FLOOR(($E1602-$B1602)*24,1),""))</f>
        <v/>
      </c>
      <c r="J1602" s="10" t="str">
        <f aca="false">IF($D1602="","",IFERROR(IF(VLOOKUP($F1602,Dim_Analyst!$A:$C,3,0)="Yes","Yes","No"),"No"))</f>
        <v/>
      </c>
    </row>
    <row r="1603" customFormat="false" ht="15" hidden="false" customHeight="true" outlineLevel="0" collapsed="false">
      <c r="G1603" s="4" t="str">
        <f aca="false">IF($D1603="","",$A1603&amp;"|"&amp;$B1603&amp;"|"&amp;$C1603&amp;"|"&amp;$D1603)</f>
        <v/>
      </c>
      <c r="H1603" s="4" t="str">
        <f aca="false">IF($D1603="","",$G1603&amp;"|"&amp;TEXT($E1603,"0.000000"))</f>
        <v/>
      </c>
      <c r="I1603" s="29" t="str">
        <f aca="false">IF($D1603="","",IF(ISNUMBER($E1603),FLOOR(($E1603-$B1603)*24,1),""))</f>
        <v/>
      </c>
      <c r="J1603" s="10" t="str">
        <f aca="false">IF($D1603="","",IFERROR(IF(VLOOKUP($F1603,Dim_Analyst!$A:$C,3,0)="Yes","Yes","No"),"No"))</f>
        <v/>
      </c>
    </row>
    <row r="1604" customFormat="false" ht="15" hidden="false" customHeight="true" outlineLevel="0" collapsed="false">
      <c r="G1604" s="4" t="str">
        <f aca="false">IF($D1604="","",$A1604&amp;"|"&amp;$B1604&amp;"|"&amp;$C1604&amp;"|"&amp;$D1604)</f>
        <v/>
      </c>
      <c r="H1604" s="4" t="str">
        <f aca="false">IF($D1604="","",$G1604&amp;"|"&amp;TEXT($E1604,"0.000000"))</f>
        <v/>
      </c>
      <c r="I1604" s="29" t="str">
        <f aca="false">IF($D1604="","",IF(ISNUMBER($E1604),FLOOR(($E1604-$B1604)*24,1),""))</f>
        <v/>
      </c>
      <c r="J1604" s="10" t="str">
        <f aca="false">IF($D1604="","",IFERROR(IF(VLOOKUP($F1604,Dim_Analyst!$A:$C,3,0)="Yes","Yes","No"),"No"))</f>
        <v/>
      </c>
    </row>
    <row r="1605" customFormat="false" ht="15" hidden="false" customHeight="true" outlineLevel="0" collapsed="false">
      <c r="G1605" s="4" t="str">
        <f aca="false">IF($D1605="","",$A1605&amp;"|"&amp;$B1605&amp;"|"&amp;$C1605&amp;"|"&amp;$D1605)</f>
        <v/>
      </c>
      <c r="H1605" s="4" t="str">
        <f aca="false">IF($D1605="","",$G1605&amp;"|"&amp;TEXT($E1605,"0.000000"))</f>
        <v/>
      </c>
      <c r="I1605" s="29" t="str">
        <f aca="false">IF($D1605="","",IF(ISNUMBER($E1605),FLOOR(($E1605-$B1605)*24,1),""))</f>
        <v/>
      </c>
      <c r="J1605" s="10" t="str">
        <f aca="false">IF($D1605="","",IFERROR(IF(VLOOKUP($F1605,Dim_Analyst!$A:$C,3,0)="Yes","Yes","No"),"No"))</f>
        <v/>
      </c>
    </row>
    <row r="1606" customFormat="false" ht="15" hidden="false" customHeight="true" outlineLevel="0" collapsed="false">
      <c r="G1606" s="4" t="str">
        <f aca="false">IF($D1606="","",$A1606&amp;"|"&amp;$B1606&amp;"|"&amp;$C1606&amp;"|"&amp;$D1606)</f>
        <v/>
      </c>
      <c r="H1606" s="4" t="str">
        <f aca="false">IF($D1606="","",$G1606&amp;"|"&amp;TEXT($E1606,"0.000000"))</f>
        <v/>
      </c>
      <c r="I1606" s="29" t="str">
        <f aca="false">IF($D1606="","",IF(ISNUMBER($E1606),FLOOR(($E1606-$B1606)*24,1),""))</f>
        <v/>
      </c>
      <c r="J1606" s="10" t="str">
        <f aca="false">IF($D1606="","",IFERROR(IF(VLOOKUP($F1606,Dim_Analyst!$A:$C,3,0)="Yes","Yes","No"),"No"))</f>
        <v/>
      </c>
    </row>
    <row r="1607" customFormat="false" ht="15" hidden="false" customHeight="true" outlineLevel="0" collapsed="false">
      <c r="G1607" s="4" t="str">
        <f aca="false">IF($D1607="","",$A1607&amp;"|"&amp;$B1607&amp;"|"&amp;$C1607&amp;"|"&amp;$D1607)</f>
        <v/>
      </c>
      <c r="H1607" s="4" t="str">
        <f aca="false">IF($D1607="","",$G1607&amp;"|"&amp;TEXT($E1607,"0.000000"))</f>
        <v/>
      </c>
      <c r="I1607" s="29" t="str">
        <f aca="false">IF($D1607="","",IF(ISNUMBER($E1607),FLOOR(($E1607-$B1607)*24,1),""))</f>
        <v/>
      </c>
      <c r="J1607" s="10" t="str">
        <f aca="false">IF($D1607="","",IFERROR(IF(VLOOKUP($F1607,Dim_Analyst!$A:$C,3,0)="Yes","Yes","No"),"No"))</f>
        <v/>
      </c>
    </row>
    <row r="1608" customFormat="false" ht="15" hidden="false" customHeight="true" outlineLevel="0" collapsed="false">
      <c r="G1608" s="4" t="str">
        <f aca="false">IF($D1608="","",$A1608&amp;"|"&amp;$B1608&amp;"|"&amp;$C1608&amp;"|"&amp;$D1608)</f>
        <v/>
      </c>
      <c r="H1608" s="4" t="str">
        <f aca="false">IF($D1608="","",$G1608&amp;"|"&amp;TEXT($E1608,"0.000000"))</f>
        <v/>
      </c>
      <c r="I1608" s="29" t="str">
        <f aca="false">IF($D1608="","",IF(ISNUMBER($E1608),FLOOR(($E1608-$B1608)*24,1),""))</f>
        <v/>
      </c>
      <c r="J1608" s="10" t="str">
        <f aca="false">IF($D1608="","",IFERROR(IF(VLOOKUP($F1608,Dim_Analyst!$A:$C,3,0)="Yes","Yes","No"),"No"))</f>
        <v/>
      </c>
    </row>
    <row r="1609" customFormat="false" ht="15" hidden="false" customHeight="true" outlineLevel="0" collapsed="false">
      <c r="G1609" s="4" t="str">
        <f aca="false">IF($D1609="","",$A1609&amp;"|"&amp;$B1609&amp;"|"&amp;$C1609&amp;"|"&amp;$D1609)</f>
        <v/>
      </c>
      <c r="H1609" s="4" t="str">
        <f aca="false">IF($D1609="","",$G1609&amp;"|"&amp;TEXT($E1609,"0.000000"))</f>
        <v/>
      </c>
      <c r="I1609" s="29" t="str">
        <f aca="false">IF($D1609="","",IF(ISNUMBER($E1609),FLOOR(($E1609-$B1609)*24,1),""))</f>
        <v/>
      </c>
      <c r="J1609" s="10" t="str">
        <f aca="false">IF($D1609="","",IFERROR(IF(VLOOKUP($F1609,Dim_Analyst!$A:$C,3,0)="Yes","Yes","No"),"No"))</f>
        <v/>
      </c>
    </row>
    <row r="1610" customFormat="false" ht="15" hidden="false" customHeight="true" outlineLevel="0" collapsed="false">
      <c r="G1610" s="4" t="str">
        <f aca="false">IF($D1610="","",$A1610&amp;"|"&amp;$B1610&amp;"|"&amp;$C1610&amp;"|"&amp;$D1610)</f>
        <v/>
      </c>
      <c r="H1610" s="4" t="str">
        <f aca="false">IF($D1610="","",$G1610&amp;"|"&amp;TEXT($E1610,"0.000000"))</f>
        <v/>
      </c>
      <c r="I1610" s="29" t="str">
        <f aca="false">IF($D1610="","",IF(ISNUMBER($E1610),FLOOR(($E1610-$B1610)*24,1),""))</f>
        <v/>
      </c>
      <c r="J1610" s="10" t="str">
        <f aca="false">IF($D1610="","",IFERROR(IF(VLOOKUP($F1610,Dim_Analyst!$A:$C,3,0)="Yes","Yes","No"),"No"))</f>
        <v/>
      </c>
    </row>
    <row r="1611" customFormat="false" ht="15" hidden="false" customHeight="true" outlineLevel="0" collapsed="false">
      <c r="G1611" s="4" t="str">
        <f aca="false">IF($D1611="","",$A1611&amp;"|"&amp;$B1611&amp;"|"&amp;$C1611&amp;"|"&amp;$D1611)</f>
        <v/>
      </c>
      <c r="H1611" s="4" t="str">
        <f aca="false">IF($D1611="","",$G1611&amp;"|"&amp;TEXT($E1611,"0.000000"))</f>
        <v/>
      </c>
      <c r="I1611" s="29" t="str">
        <f aca="false">IF($D1611="","",IF(ISNUMBER($E1611),FLOOR(($E1611-$B1611)*24,1),""))</f>
        <v/>
      </c>
      <c r="J1611" s="10" t="str">
        <f aca="false">IF($D1611="","",IFERROR(IF(VLOOKUP($F1611,Dim_Analyst!$A:$C,3,0)="Yes","Yes","No"),"No"))</f>
        <v/>
      </c>
    </row>
    <row r="1612" customFormat="false" ht="15" hidden="false" customHeight="true" outlineLevel="0" collapsed="false">
      <c r="G1612" s="4" t="str">
        <f aca="false">IF($D1612="","",$A1612&amp;"|"&amp;$B1612&amp;"|"&amp;$C1612&amp;"|"&amp;$D1612)</f>
        <v/>
      </c>
      <c r="H1612" s="4" t="str">
        <f aca="false">IF($D1612="","",$G1612&amp;"|"&amp;TEXT($E1612,"0.000000"))</f>
        <v/>
      </c>
      <c r="I1612" s="29" t="str">
        <f aca="false">IF($D1612="","",IF(ISNUMBER($E1612),FLOOR(($E1612-$B1612)*24,1),""))</f>
        <v/>
      </c>
      <c r="J1612" s="10" t="str">
        <f aca="false">IF($D1612="","",IFERROR(IF(VLOOKUP($F1612,Dim_Analyst!$A:$C,3,0)="Yes","Yes","No"),"No"))</f>
        <v/>
      </c>
    </row>
    <row r="1613" customFormat="false" ht="15" hidden="false" customHeight="true" outlineLevel="0" collapsed="false">
      <c r="G1613" s="4" t="str">
        <f aca="false">IF($D1613="","",$A1613&amp;"|"&amp;$B1613&amp;"|"&amp;$C1613&amp;"|"&amp;$D1613)</f>
        <v/>
      </c>
      <c r="H1613" s="4" t="str">
        <f aca="false">IF($D1613="","",$G1613&amp;"|"&amp;TEXT($E1613,"0.000000"))</f>
        <v/>
      </c>
      <c r="I1613" s="29" t="str">
        <f aca="false">IF($D1613="","",IF(ISNUMBER($E1613),FLOOR(($E1613-$B1613)*24,1),""))</f>
        <v/>
      </c>
      <c r="J1613" s="10" t="str">
        <f aca="false">IF($D1613="","",IFERROR(IF(VLOOKUP($F1613,Dim_Analyst!$A:$C,3,0)="Yes","Yes","No"),"No"))</f>
        <v/>
      </c>
    </row>
    <row r="1614" customFormat="false" ht="15" hidden="false" customHeight="true" outlineLevel="0" collapsed="false">
      <c r="G1614" s="4" t="str">
        <f aca="false">IF($D1614="","",$A1614&amp;"|"&amp;$B1614&amp;"|"&amp;$C1614&amp;"|"&amp;$D1614)</f>
        <v/>
      </c>
      <c r="H1614" s="4" t="str">
        <f aca="false">IF($D1614="","",$G1614&amp;"|"&amp;TEXT($E1614,"0.000000"))</f>
        <v/>
      </c>
      <c r="I1614" s="29" t="str">
        <f aca="false">IF($D1614="","",IF(ISNUMBER($E1614),FLOOR(($E1614-$B1614)*24,1),""))</f>
        <v/>
      </c>
      <c r="J1614" s="10" t="str">
        <f aca="false">IF($D1614="","",IFERROR(IF(VLOOKUP($F1614,Dim_Analyst!$A:$C,3,0)="Yes","Yes","No"),"No"))</f>
        <v/>
      </c>
    </row>
    <row r="1615" customFormat="false" ht="15" hidden="false" customHeight="true" outlineLevel="0" collapsed="false">
      <c r="G1615" s="4" t="str">
        <f aca="false">IF($D1615="","",$A1615&amp;"|"&amp;$B1615&amp;"|"&amp;$C1615&amp;"|"&amp;$D1615)</f>
        <v/>
      </c>
      <c r="H1615" s="4" t="str">
        <f aca="false">IF($D1615="","",$G1615&amp;"|"&amp;TEXT($E1615,"0.000000"))</f>
        <v/>
      </c>
      <c r="I1615" s="29" t="str">
        <f aca="false">IF($D1615="","",IF(ISNUMBER($E1615),FLOOR(($E1615-$B1615)*24,1),""))</f>
        <v/>
      </c>
      <c r="J1615" s="10" t="str">
        <f aca="false">IF($D1615="","",IFERROR(IF(VLOOKUP($F1615,Dim_Analyst!$A:$C,3,0)="Yes","Yes","No"),"No"))</f>
        <v/>
      </c>
    </row>
    <row r="1616" customFormat="false" ht="15" hidden="false" customHeight="true" outlineLevel="0" collapsed="false">
      <c r="G1616" s="4" t="str">
        <f aca="false">IF($D1616="","",$A1616&amp;"|"&amp;$B1616&amp;"|"&amp;$C1616&amp;"|"&amp;$D1616)</f>
        <v/>
      </c>
      <c r="H1616" s="4" t="str">
        <f aca="false">IF($D1616="","",$G1616&amp;"|"&amp;TEXT($E1616,"0.000000"))</f>
        <v/>
      </c>
      <c r="I1616" s="29" t="str">
        <f aca="false">IF($D1616="","",IF(ISNUMBER($E1616),FLOOR(($E1616-$B1616)*24,1),""))</f>
        <v/>
      </c>
      <c r="J1616" s="10" t="str">
        <f aca="false">IF($D1616="","",IFERROR(IF(VLOOKUP($F1616,Dim_Analyst!$A:$C,3,0)="Yes","Yes","No"),"No"))</f>
        <v/>
      </c>
    </row>
    <row r="1617" customFormat="false" ht="15" hidden="false" customHeight="true" outlineLevel="0" collapsed="false">
      <c r="G1617" s="4" t="str">
        <f aca="false">IF($D1617="","",$A1617&amp;"|"&amp;$B1617&amp;"|"&amp;$C1617&amp;"|"&amp;$D1617)</f>
        <v/>
      </c>
      <c r="H1617" s="4" t="str">
        <f aca="false">IF($D1617="","",$G1617&amp;"|"&amp;TEXT($E1617,"0.000000"))</f>
        <v/>
      </c>
      <c r="I1617" s="29" t="str">
        <f aca="false">IF($D1617="","",IF(ISNUMBER($E1617),FLOOR(($E1617-$B1617)*24,1),""))</f>
        <v/>
      </c>
      <c r="J1617" s="10" t="str">
        <f aca="false">IF($D1617="","",IFERROR(IF(VLOOKUP($F1617,Dim_Analyst!$A:$C,3,0)="Yes","Yes","No"),"No"))</f>
        <v/>
      </c>
    </row>
    <row r="1618" customFormat="false" ht="15" hidden="false" customHeight="true" outlineLevel="0" collapsed="false">
      <c r="G1618" s="4" t="str">
        <f aca="false">IF($D1618="","",$A1618&amp;"|"&amp;$B1618&amp;"|"&amp;$C1618&amp;"|"&amp;$D1618)</f>
        <v/>
      </c>
      <c r="H1618" s="4" t="str">
        <f aca="false">IF($D1618="","",$G1618&amp;"|"&amp;TEXT($E1618,"0.000000"))</f>
        <v/>
      </c>
      <c r="I1618" s="29" t="str">
        <f aca="false">IF($D1618="","",IF(ISNUMBER($E1618),FLOOR(($E1618-$B1618)*24,1),""))</f>
        <v/>
      </c>
      <c r="J1618" s="10" t="str">
        <f aca="false">IF($D1618="","",IFERROR(IF(VLOOKUP($F1618,Dim_Analyst!$A:$C,3,0)="Yes","Yes","No"),"No"))</f>
        <v/>
      </c>
    </row>
    <row r="1619" customFormat="false" ht="15" hidden="false" customHeight="true" outlineLevel="0" collapsed="false">
      <c r="G1619" s="4" t="str">
        <f aca="false">IF($D1619="","",$A1619&amp;"|"&amp;$B1619&amp;"|"&amp;$C1619&amp;"|"&amp;$D1619)</f>
        <v/>
      </c>
      <c r="H1619" s="4" t="str">
        <f aca="false">IF($D1619="","",$G1619&amp;"|"&amp;TEXT($E1619,"0.000000"))</f>
        <v/>
      </c>
      <c r="I1619" s="29" t="str">
        <f aca="false">IF($D1619="","",IF(ISNUMBER($E1619),FLOOR(($E1619-$B1619)*24,1),""))</f>
        <v/>
      </c>
      <c r="J1619" s="10" t="str">
        <f aca="false">IF($D1619="","",IFERROR(IF(VLOOKUP($F1619,Dim_Analyst!$A:$C,3,0)="Yes","Yes","No"),"No"))</f>
        <v/>
      </c>
    </row>
    <row r="1620" customFormat="false" ht="15" hidden="false" customHeight="true" outlineLevel="0" collapsed="false">
      <c r="G1620" s="4" t="str">
        <f aca="false">IF($D1620="","",$A1620&amp;"|"&amp;$B1620&amp;"|"&amp;$C1620&amp;"|"&amp;$D1620)</f>
        <v/>
      </c>
      <c r="H1620" s="4" t="str">
        <f aca="false">IF($D1620="","",$G1620&amp;"|"&amp;TEXT($E1620,"0.000000"))</f>
        <v/>
      </c>
      <c r="I1620" s="29" t="str">
        <f aca="false">IF($D1620="","",IF(ISNUMBER($E1620),FLOOR(($E1620-$B1620)*24,1),""))</f>
        <v/>
      </c>
      <c r="J1620" s="10" t="str">
        <f aca="false">IF($D1620="","",IFERROR(IF(VLOOKUP($F1620,Dim_Analyst!$A:$C,3,0)="Yes","Yes","No"),"No"))</f>
        <v/>
      </c>
    </row>
    <row r="1621" customFormat="false" ht="15" hidden="false" customHeight="true" outlineLevel="0" collapsed="false">
      <c r="G1621" s="4" t="str">
        <f aca="false">IF($D1621="","",$A1621&amp;"|"&amp;$B1621&amp;"|"&amp;$C1621&amp;"|"&amp;$D1621)</f>
        <v/>
      </c>
      <c r="H1621" s="4" t="str">
        <f aca="false">IF($D1621="","",$G1621&amp;"|"&amp;TEXT($E1621,"0.000000"))</f>
        <v/>
      </c>
      <c r="I1621" s="29" t="str">
        <f aca="false">IF($D1621="","",IF(ISNUMBER($E1621),FLOOR(($E1621-$B1621)*24,1),""))</f>
        <v/>
      </c>
      <c r="J1621" s="10" t="str">
        <f aca="false">IF($D1621="","",IFERROR(IF(VLOOKUP($F1621,Dim_Analyst!$A:$C,3,0)="Yes","Yes","No"),"No"))</f>
        <v/>
      </c>
    </row>
    <row r="1622" customFormat="false" ht="15" hidden="false" customHeight="true" outlineLevel="0" collapsed="false">
      <c r="G1622" s="4" t="str">
        <f aca="false">IF($D1622="","",$A1622&amp;"|"&amp;$B1622&amp;"|"&amp;$C1622&amp;"|"&amp;$D1622)</f>
        <v/>
      </c>
      <c r="H1622" s="4" t="str">
        <f aca="false">IF($D1622="","",$G1622&amp;"|"&amp;TEXT($E1622,"0.000000"))</f>
        <v/>
      </c>
      <c r="I1622" s="29" t="str">
        <f aca="false">IF($D1622="","",IF(ISNUMBER($E1622),FLOOR(($E1622-$B1622)*24,1),""))</f>
        <v/>
      </c>
      <c r="J1622" s="10" t="str">
        <f aca="false">IF($D1622="","",IFERROR(IF(VLOOKUP($F1622,Dim_Analyst!$A:$C,3,0)="Yes","Yes","No"),"No"))</f>
        <v/>
      </c>
    </row>
    <row r="1623" customFormat="false" ht="15" hidden="false" customHeight="true" outlineLevel="0" collapsed="false">
      <c r="G1623" s="4" t="str">
        <f aca="false">IF($D1623="","",$A1623&amp;"|"&amp;$B1623&amp;"|"&amp;$C1623&amp;"|"&amp;$D1623)</f>
        <v/>
      </c>
      <c r="H1623" s="4" t="str">
        <f aca="false">IF($D1623="","",$G1623&amp;"|"&amp;TEXT($E1623,"0.000000"))</f>
        <v/>
      </c>
      <c r="I1623" s="29" t="str">
        <f aca="false">IF($D1623="","",IF(ISNUMBER($E1623),FLOOR(($E1623-$B1623)*24,1),""))</f>
        <v/>
      </c>
      <c r="J1623" s="10" t="str">
        <f aca="false">IF($D1623="","",IFERROR(IF(VLOOKUP($F1623,Dim_Analyst!$A:$C,3,0)="Yes","Yes","No"),"No"))</f>
        <v/>
      </c>
    </row>
    <row r="1624" customFormat="false" ht="15" hidden="false" customHeight="true" outlineLevel="0" collapsed="false">
      <c r="G1624" s="4" t="str">
        <f aca="false">IF($D1624="","",$A1624&amp;"|"&amp;$B1624&amp;"|"&amp;$C1624&amp;"|"&amp;$D1624)</f>
        <v/>
      </c>
      <c r="H1624" s="4" t="str">
        <f aca="false">IF($D1624="","",$G1624&amp;"|"&amp;TEXT($E1624,"0.000000"))</f>
        <v/>
      </c>
      <c r="I1624" s="29" t="str">
        <f aca="false">IF($D1624="","",IF(ISNUMBER($E1624),FLOOR(($E1624-$B1624)*24,1),""))</f>
        <v/>
      </c>
      <c r="J1624" s="10" t="str">
        <f aca="false">IF($D1624="","",IFERROR(IF(VLOOKUP($F1624,Dim_Analyst!$A:$C,3,0)="Yes","Yes","No"),"No"))</f>
        <v/>
      </c>
    </row>
    <row r="1625" customFormat="false" ht="15" hidden="false" customHeight="true" outlineLevel="0" collapsed="false">
      <c r="G1625" s="4" t="str">
        <f aca="false">IF($D1625="","",$A1625&amp;"|"&amp;$B1625&amp;"|"&amp;$C1625&amp;"|"&amp;$D1625)</f>
        <v/>
      </c>
      <c r="H1625" s="4" t="str">
        <f aca="false">IF($D1625="","",$G1625&amp;"|"&amp;TEXT($E1625,"0.000000"))</f>
        <v/>
      </c>
      <c r="I1625" s="29" t="str">
        <f aca="false">IF($D1625="","",IF(ISNUMBER($E1625),FLOOR(($E1625-$B1625)*24,1),""))</f>
        <v/>
      </c>
      <c r="J1625" s="10" t="str">
        <f aca="false">IF($D1625="","",IFERROR(IF(VLOOKUP($F1625,Dim_Analyst!$A:$C,3,0)="Yes","Yes","No"),"No"))</f>
        <v/>
      </c>
    </row>
    <row r="1626" customFormat="false" ht="15" hidden="false" customHeight="true" outlineLevel="0" collapsed="false">
      <c r="G1626" s="4" t="str">
        <f aca="false">IF($D1626="","",$A1626&amp;"|"&amp;$B1626&amp;"|"&amp;$C1626&amp;"|"&amp;$D1626)</f>
        <v/>
      </c>
      <c r="H1626" s="4" t="str">
        <f aca="false">IF($D1626="","",$G1626&amp;"|"&amp;TEXT($E1626,"0.000000"))</f>
        <v/>
      </c>
      <c r="I1626" s="29" t="str">
        <f aca="false">IF($D1626="","",IF(ISNUMBER($E1626),FLOOR(($E1626-$B1626)*24,1),""))</f>
        <v/>
      </c>
      <c r="J1626" s="10" t="str">
        <f aca="false">IF($D1626="","",IFERROR(IF(VLOOKUP($F1626,Dim_Analyst!$A:$C,3,0)="Yes","Yes","No"),"No"))</f>
        <v/>
      </c>
    </row>
    <row r="1627" customFormat="false" ht="15" hidden="false" customHeight="true" outlineLevel="0" collapsed="false">
      <c r="G1627" s="4" t="str">
        <f aca="false">IF($D1627="","",$A1627&amp;"|"&amp;$B1627&amp;"|"&amp;$C1627&amp;"|"&amp;$D1627)</f>
        <v/>
      </c>
      <c r="H1627" s="4" t="str">
        <f aca="false">IF($D1627="","",$G1627&amp;"|"&amp;TEXT($E1627,"0.000000"))</f>
        <v/>
      </c>
      <c r="I1627" s="29" t="str">
        <f aca="false">IF($D1627="","",IF(ISNUMBER($E1627),FLOOR(($E1627-$B1627)*24,1),""))</f>
        <v/>
      </c>
      <c r="J1627" s="10" t="str">
        <f aca="false">IF($D1627="","",IFERROR(IF(VLOOKUP($F1627,Dim_Analyst!$A:$C,3,0)="Yes","Yes","No"),"No"))</f>
        <v/>
      </c>
    </row>
    <row r="1628" customFormat="false" ht="15" hidden="false" customHeight="true" outlineLevel="0" collapsed="false">
      <c r="G1628" s="4" t="str">
        <f aca="false">IF($D1628="","",$A1628&amp;"|"&amp;$B1628&amp;"|"&amp;$C1628&amp;"|"&amp;$D1628)</f>
        <v/>
      </c>
      <c r="H1628" s="4" t="str">
        <f aca="false">IF($D1628="","",$G1628&amp;"|"&amp;TEXT($E1628,"0.000000"))</f>
        <v/>
      </c>
      <c r="I1628" s="29" t="str">
        <f aca="false">IF($D1628="","",IF(ISNUMBER($E1628),FLOOR(($E1628-$B1628)*24,1),""))</f>
        <v/>
      </c>
      <c r="J1628" s="10" t="str">
        <f aca="false">IF($D1628="","",IFERROR(IF(VLOOKUP($F1628,Dim_Analyst!$A:$C,3,0)="Yes","Yes","No"),"No"))</f>
        <v/>
      </c>
    </row>
    <row r="1629" customFormat="false" ht="15" hidden="false" customHeight="true" outlineLevel="0" collapsed="false">
      <c r="G1629" s="4" t="str">
        <f aca="false">IF($D1629="","",$A1629&amp;"|"&amp;$B1629&amp;"|"&amp;$C1629&amp;"|"&amp;$D1629)</f>
        <v/>
      </c>
      <c r="H1629" s="4" t="str">
        <f aca="false">IF($D1629="","",$G1629&amp;"|"&amp;TEXT($E1629,"0.000000"))</f>
        <v/>
      </c>
      <c r="I1629" s="29" t="str">
        <f aca="false">IF($D1629="","",IF(ISNUMBER($E1629),FLOOR(($E1629-$B1629)*24,1),""))</f>
        <v/>
      </c>
      <c r="J1629" s="10" t="str">
        <f aca="false">IF($D1629="","",IFERROR(IF(VLOOKUP($F1629,Dim_Analyst!$A:$C,3,0)="Yes","Yes","No"),"No"))</f>
        <v/>
      </c>
    </row>
    <row r="1630" customFormat="false" ht="15" hidden="false" customHeight="true" outlineLevel="0" collapsed="false">
      <c r="G1630" s="4" t="str">
        <f aca="false">IF($D1630="","",$A1630&amp;"|"&amp;$B1630&amp;"|"&amp;$C1630&amp;"|"&amp;$D1630)</f>
        <v/>
      </c>
      <c r="H1630" s="4" t="str">
        <f aca="false">IF($D1630="","",$G1630&amp;"|"&amp;TEXT($E1630,"0.000000"))</f>
        <v/>
      </c>
      <c r="I1630" s="29" t="str">
        <f aca="false">IF($D1630="","",IF(ISNUMBER($E1630),FLOOR(($E1630-$B1630)*24,1),""))</f>
        <v/>
      </c>
      <c r="J1630" s="10" t="str">
        <f aca="false">IF($D1630="","",IFERROR(IF(VLOOKUP($F1630,Dim_Analyst!$A:$C,3,0)="Yes","Yes","No"),"No"))</f>
        <v/>
      </c>
    </row>
    <row r="1631" customFormat="false" ht="15" hidden="false" customHeight="true" outlineLevel="0" collapsed="false">
      <c r="G1631" s="4" t="str">
        <f aca="false">IF($D1631="","",$A1631&amp;"|"&amp;$B1631&amp;"|"&amp;$C1631&amp;"|"&amp;$D1631)</f>
        <v/>
      </c>
      <c r="H1631" s="4" t="str">
        <f aca="false">IF($D1631="","",$G1631&amp;"|"&amp;TEXT($E1631,"0.000000"))</f>
        <v/>
      </c>
      <c r="I1631" s="29" t="str">
        <f aca="false">IF($D1631="","",IF(ISNUMBER($E1631),FLOOR(($E1631-$B1631)*24,1),""))</f>
        <v/>
      </c>
      <c r="J1631" s="10" t="str">
        <f aca="false">IF($D1631="","",IFERROR(IF(VLOOKUP($F1631,Dim_Analyst!$A:$C,3,0)="Yes","Yes","No"),"No"))</f>
        <v/>
      </c>
    </row>
    <row r="1632" customFormat="false" ht="15" hidden="false" customHeight="true" outlineLevel="0" collapsed="false">
      <c r="G1632" s="4" t="str">
        <f aca="false">IF($D1632="","",$A1632&amp;"|"&amp;$B1632&amp;"|"&amp;$C1632&amp;"|"&amp;$D1632)</f>
        <v/>
      </c>
      <c r="H1632" s="4" t="str">
        <f aca="false">IF($D1632="","",$G1632&amp;"|"&amp;TEXT($E1632,"0.000000"))</f>
        <v/>
      </c>
      <c r="I1632" s="29" t="str">
        <f aca="false">IF($D1632="","",IF(ISNUMBER($E1632),FLOOR(($E1632-$B1632)*24,1),""))</f>
        <v/>
      </c>
      <c r="J1632" s="10" t="str">
        <f aca="false">IF($D1632="","",IFERROR(IF(VLOOKUP($F1632,Dim_Analyst!$A:$C,3,0)="Yes","Yes","No"),"No"))</f>
        <v/>
      </c>
    </row>
    <row r="1633" customFormat="false" ht="15" hidden="false" customHeight="true" outlineLevel="0" collapsed="false">
      <c r="G1633" s="4" t="str">
        <f aca="false">IF($D1633="","",$A1633&amp;"|"&amp;$B1633&amp;"|"&amp;$C1633&amp;"|"&amp;$D1633)</f>
        <v/>
      </c>
      <c r="H1633" s="4" t="str">
        <f aca="false">IF($D1633="","",$G1633&amp;"|"&amp;TEXT($E1633,"0.000000"))</f>
        <v/>
      </c>
      <c r="I1633" s="29" t="str">
        <f aca="false">IF($D1633="","",IF(ISNUMBER($E1633),FLOOR(($E1633-$B1633)*24,1),""))</f>
        <v/>
      </c>
      <c r="J1633" s="10" t="str">
        <f aca="false">IF($D1633="","",IFERROR(IF(VLOOKUP($F1633,Dim_Analyst!$A:$C,3,0)="Yes","Yes","No"),"No"))</f>
        <v/>
      </c>
    </row>
    <row r="1634" customFormat="false" ht="15" hidden="false" customHeight="true" outlineLevel="0" collapsed="false">
      <c r="G1634" s="4" t="str">
        <f aca="false">IF($D1634="","",$A1634&amp;"|"&amp;$B1634&amp;"|"&amp;$C1634&amp;"|"&amp;$D1634)</f>
        <v/>
      </c>
      <c r="H1634" s="4" t="str">
        <f aca="false">IF($D1634="","",$G1634&amp;"|"&amp;TEXT($E1634,"0.000000"))</f>
        <v/>
      </c>
      <c r="I1634" s="29" t="str">
        <f aca="false">IF($D1634="","",IF(ISNUMBER($E1634),FLOOR(($E1634-$B1634)*24,1),""))</f>
        <v/>
      </c>
      <c r="J1634" s="10" t="str">
        <f aca="false">IF($D1634="","",IFERROR(IF(VLOOKUP($F1634,Dim_Analyst!$A:$C,3,0)="Yes","Yes","No"),"No"))</f>
        <v/>
      </c>
    </row>
    <row r="1635" customFormat="false" ht="15" hidden="false" customHeight="true" outlineLevel="0" collapsed="false">
      <c r="G1635" s="4" t="str">
        <f aca="false">IF($D1635="","",$A1635&amp;"|"&amp;$B1635&amp;"|"&amp;$C1635&amp;"|"&amp;$D1635)</f>
        <v/>
      </c>
      <c r="H1635" s="4" t="str">
        <f aca="false">IF($D1635="","",$G1635&amp;"|"&amp;TEXT($E1635,"0.000000"))</f>
        <v/>
      </c>
      <c r="I1635" s="29" t="str">
        <f aca="false">IF($D1635="","",IF(ISNUMBER($E1635),FLOOR(($E1635-$B1635)*24,1),""))</f>
        <v/>
      </c>
      <c r="J1635" s="10" t="str">
        <f aca="false">IF($D1635="","",IFERROR(IF(VLOOKUP($F1635,Dim_Analyst!$A:$C,3,0)="Yes","Yes","No"),"No"))</f>
        <v/>
      </c>
    </row>
    <row r="1636" customFormat="false" ht="15" hidden="false" customHeight="true" outlineLevel="0" collapsed="false">
      <c r="G1636" s="4" t="str">
        <f aca="false">IF($D1636="","",$A1636&amp;"|"&amp;$B1636&amp;"|"&amp;$C1636&amp;"|"&amp;$D1636)</f>
        <v/>
      </c>
      <c r="H1636" s="4" t="str">
        <f aca="false">IF($D1636="","",$G1636&amp;"|"&amp;TEXT($E1636,"0.000000"))</f>
        <v/>
      </c>
      <c r="I1636" s="29" t="str">
        <f aca="false">IF($D1636="","",IF(ISNUMBER($E1636),FLOOR(($E1636-$B1636)*24,1),""))</f>
        <v/>
      </c>
      <c r="J1636" s="10" t="str">
        <f aca="false">IF($D1636="","",IFERROR(IF(VLOOKUP($F1636,Dim_Analyst!$A:$C,3,0)="Yes","Yes","No"),"No"))</f>
        <v/>
      </c>
    </row>
    <row r="1637" customFormat="false" ht="15" hidden="false" customHeight="true" outlineLevel="0" collapsed="false">
      <c r="G1637" s="4" t="str">
        <f aca="false">IF($D1637="","",$A1637&amp;"|"&amp;$B1637&amp;"|"&amp;$C1637&amp;"|"&amp;$D1637)</f>
        <v/>
      </c>
      <c r="H1637" s="4" t="str">
        <f aca="false">IF($D1637="","",$G1637&amp;"|"&amp;TEXT($E1637,"0.000000"))</f>
        <v/>
      </c>
      <c r="I1637" s="29" t="str">
        <f aca="false">IF($D1637="","",IF(ISNUMBER($E1637),FLOOR(($E1637-$B1637)*24,1),""))</f>
        <v/>
      </c>
      <c r="J1637" s="10" t="str">
        <f aca="false">IF($D1637="","",IFERROR(IF(VLOOKUP($F1637,Dim_Analyst!$A:$C,3,0)="Yes","Yes","No"),"No"))</f>
        <v/>
      </c>
    </row>
    <row r="1638" customFormat="false" ht="15" hidden="false" customHeight="true" outlineLevel="0" collapsed="false">
      <c r="G1638" s="4" t="str">
        <f aca="false">IF($D1638="","",$A1638&amp;"|"&amp;$B1638&amp;"|"&amp;$C1638&amp;"|"&amp;$D1638)</f>
        <v/>
      </c>
      <c r="H1638" s="4" t="str">
        <f aca="false">IF($D1638="","",$G1638&amp;"|"&amp;TEXT($E1638,"0.000000"))</f>
        <v/>
      </c>
      <c r="I1638" s="29" t="str">
        <f aca="false">IF($D1638="","",IF(ISNUMBER($E1638),FLOOR(($E1638-$B1638)*24,1),""))</f>
        <v/>
      </c>
      <c r="J1638" s="10" t="str">
        <f aca="false">IF($D1638="","",IFERROR(IF(VLOOKUP($F1638,Dim_Analyst!$A:$C,3,0)="Yes","Yes","No"),"No"))</f>
        <v/>
      </c>
    </row>
    <row r="1639" customFormat="false" ht="15" hidden="false" customHeight="true" outlineLevel="0" collapsed="false">
      <c r="G1639" s="4" t="str">
        <f aca="false">IF($D1639="","",$A1639&amp;"|"&amp;$B1639&amp;"|"&amp;$C1639&amp;"|"&amp;$D1639)</f>
        <v/>
      </c>
      <c r="H1639" s="4" t="str">
        <f aca="false">IF($D1639="","",$G1639&amp;"|"&amp;TEXT($E1639,"0.000000"))</f>
        <v/>
      </c>
      <c r="I1639" s="29" t="str">
        <f aca="false">IF($D1639="","",IF(ISNUMBER($E1639),FLOOR(($E1639-$B1639)*24,1),""))</f>
        <v/>
      </c>
      <c r="J1639" s="10" t="str">
        <f aca="false">IF($D1639="","",IFERROR(IF(VLOOKUP($F1639,Dim_Analyst!$A:$C,3,0)="Yes","Yes","No"),"No"))</f>
        <v/>
      </c>
    </row>
    <row r="1640" customFormat="false" ht="15" hidden="false" customHeight="true" outlineLevel="0" collapsed="false">
      <c r="G1640" s="4" t="str">
        <f aca="false">IF($D1640="","",$A1640&amp;"|"&amp;$B1640&amp;"|"&amp;$C1640&amp;"|"&amp;$D1640)</f>
        <v/>
      </c>
      <c r="H1640" s="4" t="str">
        <f aca="false">IF($D1640="","",$G1640&amp;"|"&amp;TEXT($E1640,"0.000000"))</f>
        <v/>
      </c>
      <c r="I1640" s="29" t="str">
        <f aca="false">IF($D1640="","",IF(ISNUMBER($E1640),FLOOR(($E1640-$B1640)*24,1),""))</f>
        <v/>
      </c>
      <c r="J1640" s="10" t="str">
        <f aca="false">IF($D1640="","",IFERROR(IF(VLOOKUP($F1640,Dim_Analyst!$A:$C,3,0)="Yes","Yes","No"),"No"))</f>
        <v/>
      </c>
    </row>
    <row r="1641" customFormat="false" ht="15" hidden="false" customHeight="true" outlineLevel="0" collapsed="false">
      <c r="G1641" s="4" t="str">
        <f aca="false">IF($D1641="","",$A1641&amp;"|"&amp;$B1641&amp;"|"&amp;$C1641&amp;"|"&amp;$D1641)</f>
        <v/>
      </c>
      <c r="H1641" s="4" t="str">
        <f aca="false">IF($D1641="","",$G1641&amp;"|"&amp;TEXT($E1641,"0.000000"))</f>
        <v/>
      </c>
      <c r="I1641" s="29" t="str">
        <f aca="false">IF($D1641="","",IF(ISNUMBER($E1641),FLOOR(($E1641-$B1641)*24,1),""))</f>
        <v/>
      </c>
      <c r="J1641" s="10" t="str">
        <f aca="false">IF($D1641="","",IFERROR(IF(VLOOKUP($F1641,Dim_Analyst!$A:$C,3,0)="Yes","Yes","No"),"No"))</f>
        <v/>
      </c>
    </row>
    <row r="1642" customFormat="false" ht="15" hidden="false" customHeight="true" outlineLevel="0" collapsed="false">
      <c r="G1642" s="4" t="str">
        <f aca="false">IF($D1642="","",$A1642&amp;"|"&amp;$B1642&amp;"|"&amp;$C1642&amp;"|"&amp;$D1642)</f>
        <v/>
      </c>
      <c r="H1642" s="4" t="str">
        <f aca="false">IF($D1642="","",$G1642&amp;"|"&amp;TEXT($E1642,"0.000000"))</f>
        <v/>
      </c>
      <c r="I1642" s="29" t="str">
        <f aca="false">IF($D1642="","",IF(ISNUMBER($E1642),FLOOR(($E1642-$B1642)*24,1),""))</f>
        <v/>
      </c>
      <c r="J1642" s="10" t="str">
        <f aca="false">IF($D1642="","",IFERROR(IF(VLOOKUP($F1642,Dim_Analyst!$A:$C,3,0)="Yes","Yes","No"),"No"))</f>
        <v/>
      </c>
    </row>
    <row r="1643" customFormat="false" ht="15" hidden="false" customHeight="true" outlineLevel="0" collapsed="false">
      <c r="G1643" s="4" t="str">
        <f aca="false">IF($D1643="","",$A1643&amp;"|"&amp;$B1643&amp;"|"&amp;$C1643&amp;"|"&amp;$D1643)</f>
        <v/>
      </c>
      <c r="H1643" s="4" t="str">
        <f aca="false">IF($D1643="","",$G1643&amp;"|"&amp;TEXT($E1643,"0.000000"))</f>
        <v/>
      </c>
      <c r="I1643" s="29" t="str">
        <f aca="false">IF($D1643="","",IF(ISNUMBER($E1643),FLOOR(($E1643-$B1643)*24,1),""))</f>
        <v/>
      </c>
      <c r="J1643" s="10" t="str">
        <f aca="false">IF($D1643="","",IFERROR(IF(VLOOKUP($F1643,Dim_Analyst!$A:$C,3,0)="Yes","Yes","No"),"No"))</f>
        <v/>
      </c>
    </row>
    <row r="1644" customFormat="false" ht="15" hidden="false" customHeight="true" outlineLevel="0" collapsed="false">
      <c r="G1644" s="4" t="str">
        <f aca="false">IF($D1644="","",$A1644&amp;"|"&amp;$B1644&amp;"|"&amp;$C1644&amp;"|"&amp;$D1644)</f>
        <v/>
      </c>
      <c r="H1644" s="4" t="str">
        <f aca="false">IF($D1644="","",$G1644&amp;"|"&amp;TEXT($E1644,"0.000000"))</f>
        <v/>
      </c>
      <c r="I1644" s="29" t="str">
        <f aca="false">IF($D1644="","",IF(ISNUMBER($E1644),FLOOR(($E1644-$B1644)*24,1),""))</f>
        <v/>
      </c>
      <c r="J1644" s="10" t="str">
        <f aca="false">IF($D1644="","",IFERROR(IF(VLOOKUP($F1644,Dim_Analyst!$A:$C,3,0)="Yes","Yes","No"),"No"))</f>
        <v/>
      </c>
    </row>
    <row r="1645" customFormat="false" ht="15" hidden="false" customHeight="true" outlineLevel="0" collapsed="false">
      <c r="G1645" s="4" t="str">
        <f aca="false">IF($D1645="","",$A1645&amp;"|"&amp;$B1645&amp;"|"&amp;$C1645&amp;"|"&amp;$D1645)</f>
        <v/>
      </c>
      <c r="H1645" s="4" t="str">
        <f aca="false">IF($D1645="","",$G1645&amp;"|"&amp;TEXT($E1645,"0.000000"))</f>
        <v/>
      </c>
      <c r="I1645" s="29" t="str">
        <f aca="false">IF($D1645="","",IF(ISNUMBER($E1645),FLOOR(($E1645-$B1645)*24,1),""))</f>
        <v/>
      </c>
      <c r="J1645" s="10" t="str">
        <f aca="false">IF($D1645="","",IFERROR(IF(VLOOKUP($F1645,Dim_Analyst!$A:$C,3,0)="Yes","Yes","No"),"No"))</f>
        <v/>
      </c>
    </row>
    <row r="1646" customFormat="false" ht="15" hidden="false" customHeight="true" outlineLevel="0" collapsed="false">
      <c r="G1646" s="4" t="str">
        <f aca="false">IF($D1646="","",$A1646&amp;"|"&amp;$B1646&amp;"|"&amp;$C1646&amp;"|"&amp;$D1646)</f>
        <v/>
      </c>
      <c r="H1646" s="4" t="str">
        <f aca="false">IF($D1646="","",$G1646&amp;"|"&amp;TEXT($E1646,"0.000000"))</f>
        <v/>
      </c>
      <c r="I1646" s="29" t="str">
        <f aca="false">IF($D1646="","",IF(ISNUMBER($E1646),FLOOR(($E1646-$B1646)*24,1),""))</f>
        <v/>
      </c>
      <c r="J1646" s="10" t="str">
        <f aca="false">IF($D1646="","",IFERROR(IF(VLOOKUP($F1646,Dim_Analyst!$A:$C,3,0)="Yes","Yes","No"),"No"))</f>
        <v/>
      </c>
    </row>
    <row r="1647" customFormat="false" ht="15" hidden="false" customHeight="true" outlineLevel="0" collapsed="false">
      <c r="G1647" s="4" t="str">
        <f aca="false">IF($D1647="","",$A1647&amp;"|"&amp;$B1647&amp;"|"&amp;$C1647&amp;"|"&amp;$D1647)</f>
        <v/>
      </c>
      <c r="H1647" s="4" t="str">
        <f aca="false">IF($D1647="","",$G1647&amp;"|"&amp;TEXT($E1647,"0.000000"))</f>
        <v/>
      </c>
      <c r="I1647" s="29" t="str">
        <f aca="false">IF($D1647="","",IF(ISNUMBER($E1647),FLOOR(($E1647-$B1647)*24,1),""))</f>
        <v/>
      </c>
      <c r="J1647" s="10" t="str">
        <f aca="false">IF($D1647="","",IFERROR(IF(VLOOKUP($F1647,Dim_Analyst!$A:$C,3,0)="Yes","Yes","No"),"No"))</f>
        <v/>
      </c>
    </row>
    <row r="1648" customFormat="false" ht="15" hidden="false" customHeight="true" outlineLevel="0" collapsed="false">
      <c r="G1648" s="4" t="str">
        <f aca="false">IF($D1648="","",$A1648&amp;"|"&amp;$B1648&amp;"|"&amp;$C1648&amp;"|"&amp;$D1648)</f>
        <v/>
      </c>
      <c r="H1648" s="4" t="str">
        <f aca="false">IF($D1648="","",$G1648&amp;"|"&amp;TEXT($E1648,"0.000000"))</f>
        <v/>
      </c>
      <c r="I1648" s="29" t="str">
        <f aca="false">IF($D1648="","",IF(ISNUMBER($E1648),FLOOR(($E1648-$B1648)*24,1),""))</f>
        <v/>
      </c>
      <c r="J1648" s="10" t="str">
        <f aca="false">IF($D1648="","",IFERROR(IF(VLOOKUP($F1648,Dim_Analyst!$A:$C,3,0)="Yes","Yes","No"),"No"))</f>
        <v/>
      </c>
    </row>
    <row r="1649" customFormat="false" ht="15" hidden="false" customHeight="true" outlineLevel="0" collapsed="false">
      <c r="G1649" s="4" t="str">
        <f aca="false">IF($D1649="","",$A1649&amp;"|"&amp;$B1649&amp;"|"&amp;$C1649&amp;"|"&amp;$D1649)</f>
        <v/>
      </c>
      <c r="H1649" s="4" t="str">
        <f aca="false">IF($D1649="","",$G1649&amp;"|"&amp;TEXT($E1649,"0.000000"))</f>
        <v/>
      </c>
      <c r="I1649" s="29" t="str">
        <f aca="false">IF($D1649="","",IF(ISNUMBER($E1649),FLOOR(($E1649-$B1649)*24,1),""))</f>
        <v/>
      </c>
      <c r="J1649" s="10" t="str">
        <f aca="false">IF($D1649="","",IFERROR(IF(VLOOKUP($F1649,Dim_Analyst!$A:$C,3,0)="Yes","Yes","No"),"No"))</f>
        <v/>
      </c>
    </row>
    <row r="1650" customFormat="false" ht="15" hidden="false" customHeight="true" outlineLevel="0" collapsed="false">
      <c r="G1650" s="4" t="str">
        <f aca="false">IF($D1650="","",$A1650&amp;"|"&amp;$B1650&amp;"|"&amp;$C1650&amp;"|"&amp;$D1650)</f>
        <v/>
      </c>
      <c r="H1650" s="4" t="str">
        <f aca="false">IF($D1650="","",$G1650&amp;"|"&amp;TEXT($E1650,"0.000000"))</f>
        <v/>
      </c>
      <c r="I1650" s="29" t="str">
        <f aca="false">IF($D1650="","",IF(ISNUMBER($E1650),FLOOR(($E1650-$B1650)*24,1),""))</f>
        <v/>
      </c>
      <c r="J1650" s="10" t="str">
        <f aca="false">IF($D1650="","",IFERROR(IF(VLOOKUP($F1650,Dim_Analyst!$A:$C,3,0)="Yes","Yes","No"),"No"))</f>
        <v/>
      </c>
    </row>
    <row r="1651" customFormat="false" ht="15" hidden="false" customHeight="true" outlineLevel="0" collapsed="false">
      <c r="G1651" s="4" t="str">
        <f aca="false">IF($D1651="","",$A1651&amp;"|"&amp;$B1651&amp;"|"&amp;$C1651&amp;"|"&amp;$D1651)</f>
        <v/>
      </c>
      <c r="H1651" s="4" t="str">
        <f aca="false">IF($D1651="","",$G1651&amp;"|"&amp;TEXT($E1651,"0.000000"))</f>
        <v/>
      </c>
      <c r="I1651" s="29" t="str">
        <f aca="false">IF($D1651="","",IF(ISNUMBER($E1651),FLOOR(($E1651-$B1651)*24,1),""))</f>
        <v/>
      </c>
      <c r="J1651" s="10" t="str">
        <f aca="false">IF($D1651="","",IFERROR(IF(VLOOKUP($F1651,Dim_Analyst!$A:$C,3,0)="Yes","Yes","No"),"No"))</f>
        <v/>
      </c>
    </row>
    <row r="1652" customFormat="false" ht="15" hidden="false" customHeight="true" outlineLevel="0" collapsed="false">
      <c r="G1652" s="4" t="str">
        <f aca="false">IF($D1652="","",$A1652&amp;"|"&amp;$B1652&amp;"|"&amp;$C1652&amp;"|"&amp;$D1652)</f>
        <v/>
      </c>
      <c r="H1652" s="4" t="str">
        <f aca="false">IF($D1652="","",$G1652&amp;"|"&amp;TEXT($E1652,"0.000000"))</f>
        <v/>
      </c>
      <c r="I1652" s="29" t="str">
        <f aca="false">IF($D1652="","",IF(ISNUMBER($E1652),FLOOR(($E1652-$B1652)*24,1),""))</f>
        <v/>
      </c>
      <c r="J1652" s="10" t="str">
        <f aca="false">IF($D1652="","",IFERROR(IF(VLOOKUP($F1652,Dim_Analyst!$A:$C,3,0)="Yes","Yes","No"),"No"))</f>
        <v/>
      </c>
    </row>
    <row r="1653" customFormat="false" ht="15" hidden="false" customHeight="true" outlineLevel="0" collapsed="false">
      <c r="G1653" s="4" t="str">
        <f aca="false">IF($D1653="","",$A1653&amp;"|"&amp;$B1653&amp;"|"&amp;$C1653&amp;"|"&amp;$D1653)</f>
        <v/>
      </c>
      <c r="H1653" s="4" t="str">
        <f aca="false">IF($D1653="","",$G1653&amp;"|"&amp;TEXT($E1653,"0.000000"))</f>
        <v/>
      </c>
      <c r="I1653" s="29" t="str">
        <f aca="false">IF($D1653="","",IF(ISNUMBER($E1653),FLOOR(($E1653-$B1653)*24,1),""))</f>
        <v/>
      </c>
      <c r="J1653" s="10" t="str">
        <f aca="false">IF($D1653="","",IFERROR(IF(VLOOKUP($F1653,Dim_Analyst!$A:$C,3,0)="Yes","Yes","No"),"No"))</f>
        <v/>
      </c>
    </row>
    <row r="1654" customFormat="false" ht="15" hidden="false" customHeight="true" outlineLevel="0" collapsed="false">
      <c r="G1654" s="4" t="str">
        <f aca="false">IF($D1654="","",$A1654&amp;"|"&amp;$B1654&amp;"|"&amp;$C1654&amp;"|"&amp;$D1654)</f>
        <v/>
      </c>
      <c r="H1654" s="4" t="str">
        <f aca="false">IF($D1654="","",$G1654&amp;"|"&amp;TEXT($E1654,"0.000000"))</f>
        <v/>
      </c>
      <c r="I1654" s="29" t="str">
        <f aca="false">IF($D1654="","",IF(ISNUMBER($E1654),FLOOR(($E1654-$B1654)*24,1),""))</f>
        <v/>
      </c>
      <c r="J1654" s="10" t="str">
        <f aca="false">IF($D1654="","",IFERROR(IF(VLOOKUP($F1654,Dim_Analyst!$A:$C,3,0)="Yes","Yes","No"),"No"))</f>
        <v/>
      </c>
    </row>
    <row r="1655" customFormat="false" ht="15" hidden="false" customHeight="true" outlineLevel="0" collapsed="false">
      <c r="G1655" s="4" t="str">
        <f aca="false">IF($D1655="","",$A1655&amp;"|"&amp;$B1655&amp;"|"&amp;$C1655&amp;"|"&amp;$D1655)</f>
        <v/>
      </c>
      <c r="H1655" s="4" t="str">
        <f aca="false">IF($D1655="","",$G1655&amp;"|"&amp;TEXT($E1655,"0.000000"))</f>
        <v/>
      </c>
      <c r="I1655" s="29" t="str">
        <f aca="false">IF($D1655="","",IF(ISNUMBER($E1655),FLOOR(($E1655-$B1655)*24,1),""))</f>
        <v/>
      </c>
      <c r="J1655" s="10" t="str">
        <f aca="false">IF($D1655="","",IFERROR(IF(VLOOKUP($F1655,Dim_Analyst!$A:$C,3,0)="Yes","Yes","No"),"No"))</f>
        <v/>
      </c>
    </row>
    <row r="1656" customFormat="false" ht="15" hidden="false" customHeight="true" outlineLevel="0" collapsed="false">
      <c r="G1656" s="4" t="str">
        <f aca="false">IF($D1656="","",$A1656&amp;"|"&amp;$B1656&amp;"|"&amp;$C1656&amp;"|"&amp;$D1656)</f>
        <v/>
      </c>
      <c r="H1656" s="4" t="str">
        <f aca="false">IF($D1656="","",$G1656&amp;"|"&amp;TEXT($E1656,"0.000000"))</f>
        <v/>
      </c>
      <c r="I1656" s="29" t="str">
        <f aca="false">IF($D1656="","",IF(ISNUMBER($E1656),FLOOR(($E1656-$B1656)*24,1),""))</f>
        <v/>
      </c>
      <c r="J1656" s="10" t="str">
        <f aca="false">IF($D1656="","",IFERROR(IF(VLOOKUP($F1656,Dim_Analyst!$A:$C,3,0)="Yes","Yes","No"),"No"))</f>
        <v/>
      </c>
    </row>
    <row r="1657" customFormat="false" ht="15" hidden="false" customHeight="true" outlineLevel="0" collapsed="false">
      <c r="G1657" s="4" t="str">
        <f aca="false">IF($D1657="","",$A1657&amp;"|"&amp;$B1657&amp;"|"&amp;$C1657&amp;"|"&amp;$D1657)</f>
        <v/>
      </c>
      <c r="H1657" s="4" t="str">
        <f aca="false">IF($D1657="","",$G1657&amp;"|"&amp;TEXT($E1657,"0.000000"))</f>
        <v/>
      </c>
      <c r="I1657" s="29" t="str">
        <f aca="false">IF($D1657="","",IF(ISNUMBER($E1657),FLOOR(($E1657-$B1657)*24,1),""))</f>
        <v/>
      </c>
      <c r="J1657" s="10" t="str">
        <f aca="false">IF($D1657="","",IFERROR(IF(VLOOKUP($F1657,Dim_Analyst!$A:$C,3,0)="Yes","Yes","No"),"No"))</f>
        <v/>
      </c>
    </row>
    <row r="1658" customFormat="false" ht="15" hidden="false" customHeight="true" outlineLevel="0" collapsed="false">
      <c r="G1658" s="4" t="str">
        <f aca="false">IF($D1658="","",$A1658&amp;"|"&amp;$B1658&amp;"|"&amp;$C1658&amp;"|"&amp;$D1658)</f>
        <v/>
      </c>
      <c r="H1658" s="4" t="str">
        <f aca="false">IF($D1658="","",$G1658&amp;"|"&amp;TEXT($E1658,"0.000000"))</f>
        <v/>
      </c>
      <c r="I1658" s="29" t="str">
        <f aca="false">IF($D1658="","",IF(ISNUMBER($E1658),FLOOR(($E1658-$B1658)*24,1),""))</f>
        <v/>
      </c>
      <c r="J1658" s="10" t="str">
        <f aca="false">IF($D1658="","",IFERROR(IF(VLOOKUP($F1658,Dim_Analyst!$A:$C,3,0)="Yes","Yes","No"),"No"))</f>
        <v/>
      </c>
    </row>
    <row r="1659" customFormat="false" ht="15" hidden="false" customHeight="true" outlineLevel="0" collapsed="false">
      <c r="G1659" s="4" t="str">
        <f aca="false">IF($D1659="","",$A1659&amp;"|"&amp;$B1659&amp;"|"&amp;$C1659&amp;"|"&amp;$D1659)</f>
        <v/>
      </c>
      <c r="H1659" s="4" t="str">
        <f aca="false">IF($D1659="","",$G1659&amp;"|"&amp;TEXT($E1659,"0.000000"))</f>
        <v/>
      </c>
      <c r="I1659" s="29" t="str">
        <f aca="false">IF($D1659="","",IF(ISNUMBER($E1659),FLOOR(($E1659-$B1659)*24,1),""))</f>
        <v/>
      </c>
      <c r="J1659" s="10" t="str">
        <f aca="false">IF($D1659="","",IFERROR(IF(VLOOKUP($F1659,Dim_Analyst!$A:$C,3,0)="Yes","Yes","No"),"No"))</f>
        <v/>
      </c>
    </row>
    <row r="1660" customFormat="false" ht="15" hidden="false" customHeight="true" outlineLevel="0" collapsed="false">
      <c r="G1660" s="4" t="str">
        <f aca="false">IF($D1660="","",$A1660&amp;"|"&amp;$B1660&amp;"|"&amp;$C1660&amp;"|"&amp;$D1660)</f>
        <v/>
      </c>
      <c r="H1660" s="4" t="str">
        <f aca="false">IF($D1660="","",$G1660&amp;"|"&amp;TEXT($E1660,"0.000000"))</f>
        <v/>
      </c>
      <c r="I1660" s="29" t="str">
        <f aca="false">IF($D1660="","",IF(ISNUMBER($E1660),FLOOR(($E1660-$B1660)*24,1),""))</f>
        <v/>
      </c>
      <c r="J1660" s="10" t="str">
        <f aca="false">IF($D1660="","",IFERROR(IF(VLOOKUP($F1660,Dim_Analyst!$A:$C,3,0)="Yes","Yes","No"),"No"))</f>
        <v/>
      </c>
    </row>
    <row r="1661" customFormat="false" ht="15" hidden="false" customHeight="true" outlineLevel="0" collapsed="false">
      <c r="G1661" s="4" t="str">
        <f aca="false">IF($D1661="","",$A1661&amp;"|"&amp;$B1661&amp;"|"&amp;$C1661&amp;"|"&amp;$D1661)</f>
        <v/>
      </c>
      <c r="H1661" s="4" t="str">
        <f aca="false">IF($D1661="","",$G1661&amp;"|"&amp;TEXT($E1661,"0.000000"))</f>
        <v/>
      </c>
      <c r="I1661" s="29" t="str">
        <f aca="false">IF($D1661="","",IF(ISNUMBER($E1661),FLOOR(($E1661-$B1661)*24,1),""))</f>
        <v/>
      </c>
      <c r="J1661" s="10" t="str">
        <f aca="false">IF($D1661="","",IFERROR(IF(VLOOKUP($F1661,Dim_Analyst!$A:$C,3,0)="Yes","Yes","No"),"No"))</f>
        <v/>
      </c>
    </row>
    <row r="1662" customFormat="false" ht="15" hidden="false" customHeight="true" outlineLevel="0" collapsed="false">
      <c r="G1662" s="4" t="str">
        <f aca="false">IF($D1662="","",$A1662&amp;"|"&amp;$B1662&amp;"|"&amp;$C1662&amp;"|"&amp;$D1662)</f>
        <v/>
      </c>
      <c r="H1662" s="4" t="str">
        <f aca="false">IF($D1662="","",$G1662&amp;"|"&amp;TEXT($E1662,"0.000000"))</f>
        <v/>
      </c>
      <c r="I1662" s="29" t="str">
        <f aca="false">IF($D1662="","",IF(ISNUMBER($E1662),FLOOR(($E1662-$B1662)*24,1),""))</f>
        <v/>
      </c>
      <c r="J1662" s="10" t="str">
        <f aca="false">IF($D1662="","",IFERROR(IF(VLOOKUP($F1662,Dim_Analyst!$A:$C,3,0)="Yes","Yes","No"),"No"))</f>
        <v/>
      </c>
    </row>
    <row r="1663" customFormat="false" ht="15" hidden="false" customHeight="true" outlineLevel="0" collapsed="false">
      <c r="G1663" s="4" t="str">
        <f aca="false">IF($D1663="","",$A1663&amp;"|"&amp;$B1663&amp;"|"&amp;$C1663&amp;"|"&amp;$D1663)</f>
        <v/>
      </c>
      <c r="H1663" s="4" t="str">
        <f aca="false">IF($D1663="","",$G1663&amp;"|"&amp;TEXT($E1663,"0.000000"))</f>
        <v/>
      </c>
      <c r="I1663" s="29" t="str">
        <f aca="false">IF($D1663="","",IF(ISNUMBER($E1663),FLOOR(($E1663-$B1663)*24,1),""))</f>
        <v/>
      </c>
      <c r="J1663" s="10" t="str">
        <f aca="false">IF($D1663="","",IFERROR(IF(VLOOKUP($F1663,Dim_Analyst!$A:$C,3,0)="Yes","Yes","No"),"No"))</f>
        <v/>
      </c>
    </row>
    <row r="1664" customFormat="false" ht="15" hidden="false" customHeight="true" outlineLevel="0" collapsed="false">
      <c r="G1664" s="4" t="str">
        <f aca="false">IF($D1664="","",$A1664&amp;"|"&amp;$B1664&amp;"|"&amp;$C1664&amp;"|"&amp;$D1664)</f>
        <v/>
      </c>
      <c r="H1664" s="4" t="str">
        <f aca="false">IF($D1664="","",$G1664&amp;"|"&amp;TEXT($E1664,"0.000000"))</f>
        <v/>
      </c>
      <c r="I1664" s="29" t="str">
        <f aca="false">IF($D1664="","",IF(ISNUMBER($E1664),FLOOR(($E1664-$B1664)*24,1),""))</f>
        <v/>
      </c>
      <c r="J1664" s="10" t="str">
        <f aca="false">IF($D1664="","",IFERROR(IF(VLOOKUP($F1664,Dim_Analyst!$A:$C,3,0)="Yes","Yes","No"),"No"))</f>
        <v/>
      </c>
    </row>
    <row r="1665" customFormat="false" ht="15" hidden="false" customHeight="true" outlineLevel="0" collapsed="false">
      <c r="G1665" s="4" t="str">
        <f aca="false">IF($D1665="","",$A1665&amp;"|"&amp;$B1665&amp;"|"&amp;$C1665&amp;"|"&amp;$D1665)</f>
        <v/>
      </c>
      <c r="H1665" s="4" t="str">
        <f aca="false">IF($D1665="","",$G1665&amp;"|"&amp;TEXT($E1665,"0.000000"))</f>
        <v/>
      </c>
      <c r="I1665" s="29" t="str">
        <f aca="false">IF($D1665="","",IF(ISNUMBER($E1665),FLOOR(($E1665-$B1665)*24,1),""))</f>
        <v/>
      </c>
      <c r="J1665" s="10" t="str">
        <f aca="false">IF($D1665="","",IFERROR(IF(VLOOKUP($F1665,Dim_Analyst!$A:$C,3,0)="Yes","Yes","No"),"No"))</f>
        <v/>
      </c>
    </row>
    <row r="1666" customFormat="false" ht="15" hidden="false" customHeight="true" outlineLevel="0" collapsed="false">
      <c r="G1666" s="4" t="str">
        <f aca="false">IF($D1666="","",$A1666&amp;"|"&amp;$B1666&amp;"|"&amp;$C1666&amp;"|"&amp;$D1666)</f>
        <v/>
      </c>
      <c r="H1666" s="4" t="str">
        <f aca="false">IF($D1666="","",$G1666&amp;"|"&amp;TEXT($E1666,"0.000000"))</f>
        <v/>
      </c>
      <c r="I1666" s="29" t="str">
        <f aca="false">IF($D1666="","",IF(ISNUMBER($E1666),FLOOR(($E1666-$B1666)*24,1),""))</f>
        <v/>
      </c>
      <c r="J1666" s="10" t="str">
        <f aca="false">IF($D1666="","",IFERROR(IF(VLOOKUP($F1666,Dim_Analyst!$A:$C,3,0)="Yes","Yes","No"),"No"))</f>
        <v/>
      </c>
    </row>
    <row r="1667" customFormat="false" ht="15" hidden="false" customHeight="true" outlineLevel="0" collapsed="false">
      <c r="G1667" s="4" t="str">
        <f aca="false">IF($D1667="","",$A1667&amp;"|"&amp;$B1667&amp;"|"&amp;$C1667&amp;"|"&amp;$D1667)</f>
        <v/>
      </c>
      <c r="H1667" s="4" t="str">
        <f aca="false">IF($D1667="","",$G1667&amp;"|"&amp;TEXT($E1667,"0.000000"))</f>
        <v/>
      </c>
      <c r="I1667" s="29" t="str">
        <f aca="false">IF($D1667="","",IF(ISNUMBER($E1667),FLOOR(($E1667-$B1667)*24,1),""))</f>
        <v/>
      </c>
      <c r="J1667" s="10" t="str">
        <f aca="false">IF($D1667="","",IFERROR(IF(VLOOKUP($F1667,Dim_Analyst!$A:$C,3,0)="Yes","Yes","No"),"No"))</f>
        <v/>
      </c>
    </row>
    <row r="1668" customFormat="false" ht="15" hidden="false" customHeight="true" outlineLevel="0" collapsed="false">
      <c r="G1668" s="4" t="str">
        <f aca="false">IF($D1668="","",$A1668&amp;"|"&amp;$B1668&amp;"|"&amp;$C1668&amp;"|"&amp;$D1668)</f>
        <v/>
      </c>
      <c r="H1668" s="4" t="str">
        <f aca="false">IF($D1668="","",$G1668&amp;"|"&amp;TEXT($E1668,"0.000000"))</f>
        <v/>
      </c>
      <c r="I1668" s="29" t="str">
        <f aca="false">IF($D1668="","",IF(ISNUMBER($E1668),FLOOR(($E1668-$B1668)*24,1),""))</f>
        <v/>
      </c>
      <c r="J1668" s="10" t="str">
        <f aca="false">IF($D1668="","",IFERROR(IF(VLOOKUP($F1668,Dim_Analyst!$A:$C,3,0)="Yes","Yes","No"),"No"))</f>
        <v/>
      </c>
    </row>
    <row r="1669" customFormat="false" ht="15" hidden="false" customHeight="true" outlineLevel="0" collapsed="false">
      <c r="G1669" s="4" t="str">
        <f aca="false">IF($D1669="","",$A1669&amp;"|"&amp;$B1669&amp;"|"&amp;$C1669&amp;"|"&amp;$D1669)</f>
        <v/>
      </c>
      <c r="H1669" s="4" t="str">
        <f aca="false">IF($D1669="","",$G1669&amp;"|"&amp;TEXT($E1669,"0.000000"))</f>
        <v/>
      </c>
      <c r="I1669" s="29" t="str">
        <f aca="false">IF($D1669="","",IF(ISNUMBER($E1669),FLOOR(($E1669-$B1669)*24,1),""))</f>
        <v/>
      </c>
      <c r="J1669" s="10" t="str">
        <f aca="false">IF($D1669="","",IFERROR(IF(VLOOKUP($F1669,Dim_Analyst!$A:$C,3,0)="Yes","Yes","No"),"No"))</f>
        <v/>
      </c>
    </row>
    <row r="1670" customFormat="false" ht="15" hidden="false" customHeight="true" outlineLevel="0" collapsed="false">
      <c r="G1670" s="4" t="str">
        <f aca="false">IF($D1670="","",$A1670&amp;"|"&amp;$B1670&amp;"|"&amp;$C1670&amp;"|"&amp;$D1670)</f>
        <v/>
      </c>
      <c r="H1670" s="4" t="str">
        <f aca="false">IF($D1670="","",$G1670&amp;"|"&amp;TEXT($E1670,"0.000000"))</f>
        <v/>
      </c>
      <c r="I1670" s="29" t="str">
        <f aca="false">IF($D1670="","",IF(ISNUMBER($E1670),FLOOR(($E1670-$B1670)*24,1),""))</f>
        <v/>
      </c>
      <c r="J1670" s="10" t="str">
        <f aca="false">IF($D1670="","",IFERROR(IF(VLOOKUP($F1670,Dim_Analyst!$A:$C,3,0)="Yes","Yes","No"),"No"))</f>
        <v/>
      </c>
    </row>
    <row r="1671" customFormat="false" ht="15" hidden="false" customHeight="true" outlineLevel="0" collapsed="false">
      <c r="G1671" s="4" t="str">
        <f aca="false">IF($D1671="","",$A1671&amp;"|"&amp;$B1671&amp;"|"&amp;$C1671&amp;"|"&amp;$D1671)</f>
        <v/>
      </c>
      <c r="H1671" s="4" t="str">
        <f aca="false">IF($D1671="","",$G1671&amp;"|"&amp;TEXT($E1671,"0.000000"))</f>
        <v/>
      </c>
      <c r="I1671" s="29" t="str">
        <f aca="false">IF($D1671="","",IF(ISNUMBER($E1671),FLOOR(($E1671-$B1671)*24,1),""))</f>
        <v/>
      </c>
      <c r="J1671" s="10" t="str">
        <f aca="false">IF($D1671="","",IFERROR(IF(VLOOKUP($F1671,Dim_Analyst!$A:$C,3,0)="Yes","Yes","No"),"No"))</f>
        <v/>
      </c>
    </row>
    <row r="1672" customFormat="false" ht="15" hidden="false" customHeight="true" outlineLevel="0" collapsed="false">
      <c r="G1672" s="4" t="str">
        <f aca="false">IF($D1672="","",$A1672&amp;"|"&amp;$B1672&amp;"|"&amp;$C1672&amp;"|"&amp;$D1672)</f>
        <v/>
      </c>
      <c r="H1672" s="4" t="str">
        <f aca="false">IF($D1672="","",$G1672&amp;"|"&amp;TEXT($E1672,"0.000000"))</f>
        <v/>
      </c>
      <c r="I1672" s="29" t="str">
        <f aca="false">IF($D1672="","",IF(ISNUMBER($E1672),FLOOR(($E1672-$B1672)*24,1),""))</f>
        <v/>
      </c>
      <c r="J1672" s="10" t="str">
        <f aca="false">IF($D1672="","",IFERROR(IF(VLOOKUP($F1672,Dim_Analyst!$A:$C,3,0)="Yes","Yes","No"),"No"))</f>
        <v/>
      </c>
    </row>
    <row r="1673" customFormat="false" ht="15" hidden="false" customHeight="true" outlineLevel="0" collapsed="false">
      <c r="G1673" s="4" t="str">
        <f aca="false">IF($D1673="","",$A1673&amp;"|"&amp;$B1673&amp;"|"&amp;$C1673&amp;"|"&amp;$D1673)</f>
        <v/>
      </c>
      <c r="H1673" s="4" t="str">
        <f aca="false">IF($D1673="","",$G1673&amp;"|"&amp;TEXT($E1673,"0.000000"))</f>
        <v/>
      </c>
      <c r="I1673" s="29" t="str">
        <f aca="false">IF($D1673="","",IF(ISNUMBER($E1673),FLOOR(($E1673-$B1673)*24,1),""))</f>
        <v/>
      </c>
      <c r="J1673" s="10" t="str">
        <f aca="false">IF($D1673="","",IFERROR(IF(VLOOKUP($F1673,Dim_Analyst!$A:$C,3,0)="Yes","Yes","No"),"No"))</f>
        <v/>
      </c>
    </row>
    <row r="1674" customFormat="false" ht="15" hidden="false" customHeight="true" outlineLevel="0" collapsed="false">
      <c r="G1674" s="4" t="str">
        <f aca="false">IF($D1674="","",$A1674&amp;"|"&amp;$B1674&amp;"|"&amp;$C1674&amp;"|"&amp;$D1674)</f>
        <v/>
      </c>
      <c r="H1674" s="4" t="str">
        <f aca="false">IF($D1674="","",$G1674&amp;"|"&amp;TEXT($E1674,"0.000000"))</f>
        <v/>
      </c>
      <c r="I1674" s="29" t="str">
        <f aca="false">IF($D1674="","",IF(ISNUMBER($E1674),FLOOR(($E1674-$B1674)*24,1),""))</f>
        <v/>
      </c>
      <c r="J1674" s="10" t="str">
        <f aca="false">IF($D1674="","",IFERROR(IF(VLOOKUP($F1674,Dim_Analyst!$A:$C,3,0)="Yes","Yes","No"),"No"))</f>
        <v/>
      </c>
    </row>
    <row r="1675" customFormat="false" ht="15" hidden="false" customHeight="true" outlineLevel="0" collapsed="false">
      <c r="G1675" s="4" t="str">
        <f aca="false">IF($D1675="","",$A1675&amp;"|"&amp;$B1675&amp;"|"&amp;$C1675&amp;"|"&amp;$D1675)</f>
        <v/>
      </c>
      <c r="H1675" s="4" t="str">
        <f aca="false">IF($D1675="","",$G1675&amp;"|"&amp;TEXT($E1675,"0.000000"))</f>
        <v/>
      </c>
      <c r="I1675" s="29" t="str">
        <f aca="false">IF($D1675="","",IF(ISNUMBER($E1675),FLOOR(($E1675-$B1675)*24,1),""))</f>
        <v/>
      </c>
      <c r="J1675" s="10" t="str">
        <f aca="false">IF($D1675="","",IFERROR(IF(VLOOKUP($F1675,Dim_Analyst!$A:$C,3,0)="Yes","Yes","No"),"No"))</f>
        <v/>
      </c>
    </row>
    <row r="1676" customFormat="false" ht="15" hidden="false" customHeight="true" outlineLevel="0" collapsed="false">
      <c r="G1676" s="4" t="str">
        <f aca="false">IF($D1676="","",$A1676&amp;"|"&amp;$B1676&amp;"|"&amp;$C1676&amp;"|"&amp;$D1676)</f>
        <v/>
      </c>
      <c r="H1676" s="4" t="str">
        <f aca="false">IF($D1676="","",$G1676&amp;"|"&amp;TEXT($E1676,"0.000000"))</f>
        <v/>
      </c>
      <c r="I1676" s="29" t="str">
        <f aca="false">IF($D1676="","",IF(ISNUMBER($E1676),FLOOR(($E1676-$B1676)*24,1),""))</f>
        <v/>
      </c>
      <c r="J1676" s="10" t="str">
        <f aca="false">IF($D1676="","",IFERROR(IF(VLOOKUP($F1676,Dim_Analyst!$A:$C,3,0)="Yes","Yes","No"),"No"))</f>
        <v/>
      </c>
    </row>
    <row r="1677" customFormat="false" ht="15" hidden="false" customHeight="true" outlineLevel="0" collapsed="false">
      <c r="G1677" s="4" t="str">
        <f aca="false">IF($D1677="","",$A1677&amp;"|"&amp;$B1677&amp;"|"&amp;$C1677&amp;"|"&amp;$D1677)</f>
        <v/>
      </c>
      <c r="H1677" s="4" t="str">
        <f aca="false">IF($D1677="","",$G1677&amp;"|"&amp;TEXT($E1677,"0.000000"))</f>
        <v/>
      </c>
      <c r="I1677" s="29" t="str">
        <f aca="false">IF($D1677="","",IF(ISNUMBER($E1677),FLOOR(($E1677-$B1677)*24,1),""))</f>
        <v/>
      </c>
      <c r="J1677" s="10" t="str">
        <f aca="false">IF($D1677="","",IFERROR(IF(VLOOKUP($F1677,Dim_Analyst!$A:$C,3,0)="Yes","Yes","No"),"No"))</f>
        <v/>
      </c>
    </row>
    <row r="1678" customFormat="false" ht="15" hidden="false" customHeight="true" outlineLevel="0" collapsed="false">
      <c r="G1678" s="4" t="str">
        <f aca="false">IF($D1678="","",$A1678&amp;"|"&amp;$B1678&amp;"|"&amp;$C1678&amp;"|"&amp;$D1678)</f>
        <v/>
      </c>
      <c r="H1678" s="4" t="str">
        <f aca="false">IF($D1678="","",$G1678&amp;"|"&amp;TEXT($E1678,"0.000000"))</f>
        <v/>
      </c>
      <c r="I1678" s="29" t="str">
        <f aca="false">IF($D1678="","",IF(ISNUMBER($E1678),FLOOR(($E1678-$B1678)*24,1),""))</f>
        <v/>
      </c>
      <c r="J1678" s="10" t="str">
        <f aca="false">IF($D1678="","",IFERROR(IF(VLOOKUP($F1678,Dim_Analyst!$A:$C,3,0)="Yes","Yes","No"),"No"))</f>
        <v/>
      </c>
    </row>
    <row r="1679" customFormat="false" ht="15" hidden="false" customHeight="true" outlineLevel="0" collapsed="false">
      <c r="G1679" s="4" t="str">
        <f aca="false">IF($D1679="","",$A1679&amp;"|"&amp;$B1679&amp;"|"&amp;$C1679&amp;"|"&amp;$D1679)</f>
        <v/>
      </c>
      <c r="H1679" s="4" t="str">
        <f aca="false">IF($D1679="","",$G1679&amp;"|"&amp;TEXT($E1679,"0.000000"))</f>
        <v/>
      </c>
      <c r="I1679" s="29" t="str">
        <f aca="false">IF($D1679="","",IF(ISNUMBER($E1679),FLOOR(($E1679-$B1679)*24,1),""))</f>
        <v/>
      </c>
      <c r="J1679" s="10" t="str">
        <f aca="false">IF($D1679="","",IFERROR(IF(VLOOKUP($F1679,Dim_Analyst!$A:$C,3,0)="Yes","Yes","No"),"No"))</f>
        <v/>
      </c>
    </row>
    <row r="1680" customFormat="false" ht="15" hidden="false" customHeight="true" outlineLevel="0" collapsed="false">
      <c r="G1680" s="4" t="str">
        <f aca="false">IF($D1680="","",$A1680&amp;"|"&amp;$B1680&amp;"|"&amp;$C1680&amp;"|"&amp;$D1680)</f>
        <v/>
      </c>
      <c r="H1680" s="4" t="str">
        <f aca="false">IF($D1680="","",$G1680&amp;"|"&amp;TEXT($E1680,"0.000000"))</f>
        <v/>
      </c>
      <c r="I1680" s="29" t="str">
        <f aca="false">IF($D1680="","",IF(ISNUMBER($E1680),FLOOR(($E1680-$B1680)*24,1),""))</f>
        <v/>
      </c>
      <c r="J1680" s="10" t="str">
        <f aca="false">IF($D1680="","",IFERROR(IF(VLOOKUP($F1680,Dim_Analyst!$A:$C,3,0)="Yes","Yes","No"),"No"))</f>
        <v/>
      </c>
    </row>
    <row r="1681" customFormat="false" ht="15" hidden="false" customHeight="true" outlineLevel="0" collapsed="false">
      <c r="G1681" s="4" t="str">
        <f aca="false">IF($D1681="","",$A1681&amp;"|"&amp;$B1681&amp;"|"&amp;$C1681&amp;"|"&amp;$D1681)</f>
        <v/>
      </c>
      <c r="H1681" s="4" t="str">
        <f aca="false">IF($D1681="","",$G1681&amp;"|"&amp;TEXT($E1681,"0.000000"))</f>
        <v/>
      </c>
      <c r="I1681" s="29" t="str">
        <f aca="false">IF($D1681="","",IF(ISNUMBER($E1681),FLOOR(($E1681-$B1681)*24,1),""))</f>
        <v/>
      </c>
      <c r="J1681" s="10" t="str">
        <f aca="false">IF($D1681="","",IFERROR(IF(VLOOKUP($F1681,Dim_Analyst!$A:$C,3,0)="Yes","Yes","No"),"No"))</f>
        <v/>
      </c>
    </row>
    <row r="1682" customFormat="false" ht="15" hidden="false" customHeight="true" outlineLevel="0" collapsed="false">
      <c r="G1682" s="4" t="str">
        <f aca="false">IF($D1682="","",$A1682&amp;"|"&amp;$B1682&amp;"|"&amp;$C1682&amp;"|"&amp;$D1682)</f>
        <v/>
      </c>
      <c r="H1682" s="4" t="str">
        <f aca="false">IF($D1682="","",$G1682&amp;"|"&amp;TEXT($E1682,"0.000000"))</f>
        <v/>
      </c>
      <c r="I1682" s="29" t="str">
        <f aca="false">IF($D1682="","",IF(ISNUMBER($E1682),FLOOR(($E1682-$B1682)*24,1),""))</f>
        <v/>
      </c>
      <c r="J1682" s="10" t="str">
        <f aca="false">IF($D1682="","",IFERROR(IF(VLOOKUP($F1682,Dim_Analyst!$A:$C,3,0)="Yes","Yes","No"),"No"))</f>
        <v/>
      </c>
    </row>
    <row r="1683" customFormat="false" ht="15" hidden="false" customHeight="true" outlineLevel="0" collapsed="false">
      <c r="G1683" s="4" t="str">
        <f aca="false">IF($D1683="","",$A1683&amp;"|"&amp;$B1683&amp;"|"&amp;$C1683&amp;"|"&amp;$D1683)</f>
        <v/>
      </c>
      <c r="H1683" s="4" t="str">
        <f aca="false">IF($D1683="","",$G1683&amp;"|"&amp;TEXT($E1683,"0.000000"))</f>
        <v/>
      </c>
      <c r="I1683" s="29" t="str">
        <f aca="false">IF($D1683="","",IF(ISNUMBER($E1683),FLOOR(($E1683-$B1683)*24,1),""))</f>
        <v/>
      </c>
      <c r="J1683" s="10" t="str">
        <f aca="false">IF($D1683="","",IFERROR(IF(VLOOKUP($F1683,Dim_Analyst!$A:$C,3,0)="Yes","Yes","No"),"No"))</f>
        <v/>
      </c>
    </row>
    <row r="1684" customFormat="false" ht="15" hidden="false" customHeight="true" outlineLevel="0" collapsed="false">
      <c r="G1684" s="4" t="str">
        <f aca="false">IF($D1684="","",$A1684&amp;"|"&amp;$B1684&amp;"|"&amp;$C1684&amp;"|"&amp;$D1684)</f>
        <v/>
      </c>
      <c r="H1684" s="4" t="str">
        <f aca="false">IF($D1684="","",$G1684&amp;"|"&amp;TEXT($E1684,"0.000000"))</f>
        <v/>
      </c>
      <c r="I1684" s="29" t="str">
        <f aca="false">IF($D1684="","",IF(ISNUMBER($E1684),FLOOR(($E1684-$B1684)*24,1),""))</f>
        <v/>
      </c>
      <c r="J1684" s="10" t="str">
        <f aca="false">IF($D1684="","",IFERROR(IF(VLOOKUP($F1684,Dim_Analyst!$A:$C,3,0)="Yes","Yes","No"),"No"))</f>
        <v/>
      </c>
    </row>
    <row r="1685" customFormat="false" ht="15" hidden="false" customHeight="true" outlineLevel="0" collapsed="false">
      <c r="G1685" s="4" t="str">
        <f aca="false">IF($D1685="","",$A1685&amp;"|"&amp;$B1685&amp;"|"&amp;$C1685&amp;"|"&amp;$D1685)</f>
        <v/>
      </c>
      <c r="H1685" s="4" t="str">
        <f aca="false">IF($D1685="","",$G1685&amp;"|"&amp;TEXT($E1685,"0.000000"))</f>
        <v/>
      </c>
      <c r="I1685" s="29" t="str">
        <f aca="false">IF($D1685="","",IF(ISNUMBER($E1685),FLOOR(($E1685-$B1685)*24,1),""))</f>
        <v/>
      </c>
      <c r="J1685" s="10" t="str">
        <f aca="false">IF($D1685="","",IFERROR(IF(VLOOKUP($F1685,Dim_Analyst!$A:$C,3,0)="Yes","Yes","No"),"No"))</f>
        <v/>
      </c>
    </row>
    <row r="1686" customFormat="false" ht="15" hidden="false" customHeight="true" outlineLevel="0" collapsed="false">
      <c r="G1686" s="4" t="str">
        <f aca="false">IF($D1686="","",$A1686&amp;"|"&amp;$B1686&amp;"|"&amp;$C1686&amp;"|"&amp;$D1686)</f>
        <v/>
      </c>
      <c r="H1686" s="4" t="str">
        <f aca="false">IF($D1686="","",$G1686&amp;"|"&amp;TEXT($E1686,"0.000000"))</f>
        <v/>
      </c>
      <c r="I1686" s="29" t="str">
        <f aca="false">IF($D1686="","",IF(ISNUMBER($E1686),FLOOR(($E1686-$B1686)*24,1),""))</f>
        <v/>
      </c>
      <c r="J1686" s="10" t="str">
        <f aca="false">IF($D1686="","",IFERROR(IF(VLOOKUP($F1686,Dim_Analyst!$A:$C,3,0)="Yes","Yes","No"),"No"))</f>
        <v/>
      </c>
    </row>
    <row r="1687" customFormat="false" ht="15" hidden="false" customHeight="true" outlineLevel="0" collapsed="false">
      <c r="G1687" s="4" t="str">
        <f aca="false">IF($D1687="","",$A1687&amp;"|"&amp;$B1687&amp;"|"&amp;$C1687&amp;"|"&amp;$D1687)</f>
        <v/>
      </c>
      <c r="H1687" s="4" t="str">
        <f aca="false">IF($D1687="","",$G1687&amp;"|"&amp;TEXT($E1687,"0.000000"))</f>
        <v/>
      </c>
      <c r="I1687" s="29" t="str">
        <f aca="false">IF($D1687="","",IF(ISNUMBER($E1687),FLOOR(($E1687-$B1687)*24,1),""))</f>
        <v/>
      </c>
      <c r="J1687" s="10" t="str">
        <f aca="false">IF($D1687="","",IFERROR(IF(VLOOKUP($F1687,Dim_Analyst!$A:$C,3,0)="Yes","Yes","No"),"No"))</f>
        <v/>
      </c>
    </row>
    <row r="1688" customFormat="false" ht="15" hidden="false" customHeight="true" outlineLevel="0" collapsed="false">
      <c r="G1688" s="4" t="str">
        <f aca="false">IF($D1688="","",$A1688&amp;"|"&amp;$B1688&amp;"|"&amp;$C1688&amp;"|"&amp;$D1688)</f>
        <v/>
      </c>
      <c r="H1688" s="4" t="str">
        <f aca="false">IF($D1688="","",$G1688&amp;"|"&amp;TEXT($E1688,"0.000000"))</f>
        <v/>
      </c>
      <c r="I1688" s="29" t="str">
        <f aca="false">IF($D1688="","",IF(ISNUMBER($E1688),FLOOR(($E1688-$B1688)*24,1),""))</f>
        <v/>
      </c>
      <c r="J1688" s="10" t="str">
        <f aca="false">IF($D1688="","",IFERROR(IF(VLOOKUP($F1688,Dim_Analyst!$A:$C,3,0)="Yes","Yes","No"),"No"))</f>
        <v/>
      </c>
    </row>
    <row r="1689" customFormat="false" ht="15" hidden="false" customHeight="true" outlineLevel="0" collapsed="false">
      <c r="G1689" s="4" t="str">
        <f aca="false">IF($D1689="","",$A1689&amp;"|"&amp;$B1689&amp;"|"&amp;$C1689&amp;"|"&amp;$D1689)</f>
        <v/>
      </c>
      <c r="H1689" s="4" t="str">
        <f aca="false">IF($D1689="","",$G1689&amp;"|"&amp;TEXT($E1689,"0.000000"))</f>
        <v/>
      </c>
      <c r="I1689" s="29" t="str">
        <f aca="false">IF($D1689="","",IF(ISNUMBER($E1689),FLOOR(($E1689-$B1689)*24,1),""))</f>
        <v/>
      </c>
      <c r="J1689" s="10" t="str">
        <f aca="false">IF($D1689="","",IFERROR(IF(VLOOKUP($F1689,Dim_Analyst!$A:$C,3,0)="Yes","Yes","No"),"No"))</f>
        <v/>
      </c>
    </row>
    <row r="1690" customFormat="false" ht="15" hidden="false" customHeight="true" outlineLevel="0" collapsed="false">
      <c r="G1690" s="4" t="str">
        <f aca="false">IF($D1690="","",$A1690&amp;"|"&amp;$B1690&amp;"|"&amp;$C1690&amp;"|"&amp;$D1690)</f>
        <v/>
      </c>
      <c r="H1690" s="4" t="str">
        <f aca="false">IF($D1690="","",$G1690&amp;"|"&amp;TEXT($E1690,"0.000000"))</f>
        <v/>
      </c>
      <c r="I1690" s="29" t="str">
        <f aca="false">IF($D1690="","",IF(ISNUMBER($E1690),FLOOR(($E1690-$B1690)*24,1),""))</f>
        <v/>
      </c>
      <c r="J1690" s="10" t="str">
        <f aca="false">IF($D1690="","",IFERROR(IF(VLOOKUP($F1690,Dim_Analyst!$A:$C,3,0)="Yes","Yes","No"),"No"))</f>
        <v/>
      </c>
    </row>
    <row r="1691" customFormat="false" ht="15" hidden="false" customHeight="true" outlineLevel="0" collapsed="false">
      <c r="G1691" s="4" t="str">
        <f aca="false">IF($D1691="","",$A1691&amp;"|"&amp;$B1691&amp;"|"&amp;$C1691&amp;"|"&amp;$D1691)</f>
        <v/>
      </c>
      <c r="H1691" s="4" t="str">
        <f aca="false">IF($D1691="","",$G1691&amp;"|"&amp;TEXT($E1691,"0.000000"))</f>
        <v/>
      </c>
      <c r="I1691" s="29" t="str">
        <f aca="false">IF($D1691="","",IF(ISNUMBER($E1691),FLOOR(($E1691-$B1691)*24,1),""))</f>
        <v/>
      </c>
      <c r="J1691" s="10" t="str">
        <f aca="false">IF($D1691="","",IFERROR(IF(VLOOKUP($F1691,Dim_Analyst!$A:$C,3,0)="Yes","Yes","No"),"No"))</f>
        <v/>
      </c>
    </row>
    <row r="1692" customFormat="false" ht="15" hidden="false" customHeight="true" outlineLevel="0" collapsed="false">
      <c r="G1692" s="4" t="str">
        <f aca="false">IF($D1692="","",$A1692&amp;"|"&amp;$B1692&amp;"|"&amp;$C1692&amp;"|"&amp;$D1692)</f>
        <v/>
      </c>
      <c r="H1692" s="4" t="str">
        <f aca="false">IF($D1692="","",$G1692&amp;"|"&amp;TEXT($E1692,"0.000000"))</f>
        <v/>
      </c>
      <c r="I1692" s="29" t="str">
        <f aca="false">IF($D1692="","",IF(ISNUMBER($E1692),FLOOR(($E1692-$B1692)*24,1),""))</f>
        <v/>
      </c>
      <c r="J1692" s="10" t="str">
        <f aca="false">IF($D1692="","",IFERROR(IF(VLOOKUP($F1692,Dim_Analyst!$A:$C,3,0)="Yes","Yes","No"),"No"))</f>
        <v/>
      </c>
    </row>
    <row r="1693" customFormat="false" ht="15" hidden="false" customHeight="true" outlineLevel="0" collapsed="false">
      <c r="G1693" s="4" t="str">
        <f aca="false">IF($D1693="","",$A1693&amp;"|"&amp;$B1693&amp;"|"&amp;$C1693&amp;"|"&amp;$D1693)</f>
        <v/>
      </c>
      <c r="H1693" s="4" t="str">
        <f aca="false">IF($D1693="","",$G1693&amp;"|"&amp;TEXT($E1693,"0.000000"))</f>
        <v/>
      </c>
      <c r="I1693" s="29" t="str">
        <f aca="false">IF($D1693="","",IF(ISNUMBER($E1693),FLOOR(($E1693-$B1693)*24,1),""))</f>
        <v/>
      </c>
      <c r="J1693" s="10" t="str">
        <f aca="false">IF($D1693="","",IFERROR(IF(VLOOKUP($F1693,Dim_Analyst!$A:$C,3,0)="Yes","Yes","No"),"No"))</f>
        <v/>
      </c>
    </row>
    <row r="1694" customFormat="false" ht="15" hidden="false" customHeight="true" outlineLevel="0" collapsed="false">
      <c r="G1694" s="4" t="str">
        <f aca="false">IF($D1694="","",$A1694&amp;"|"&amp;$B1694&amp;"|"&amp;$C1694&amp;"|"&amp;$D1694)</f>
        <v/>
      </c>
      <c r="H1694" s="4" t="str">
        <f aca="false">IF($D1694="","",$G1694&amp;"|"&amp;TEXT($E1694,"0.000000"))</f>
        <v/>
      </c>
      <c r="I1694" s="29" t="str">
        <f aca="false">IF($D1694="","",IF(ISNUMBER($E1694),FLOOR(($E1694-$B1694)*24,1),""))</f>
        <v/>
      </c>
      <c r="J1694" s="10" t="str">
        <f aca="false">IF($D1694="","",IFERROR(IF(VLOOKUP($F1694,Dim_Analyst!$A:$C,3,0)="Yes","Yes","No"),"No"))</f>
        <v/>
      </c>
    </row>
    <row r="1695" customFormat="false" ht="15" hidden="false" customHeight="true" outlineLevel="0" collapsed="false">
      <c r="G1695" s="4" t="str">
        <f aca="false">IF($D1695="","",$A1695&amp;"|"&amp;$B1695&amp;"|"&amp;$C1695&amp;"|"&amp;$D1695)</f>
        <v/>
      </c>
      <c r="H1695" s="4" t="str">
        <f aca="false">IF($D1695="","",$G1695&amp;"|"&amp;TEXT($E1695,"0.000000"))</f>
        <v/>
      </c>
      <c r="I1695" s="29" t="str">
        <f aca="false">IF($D1695="","",IF(ISNUMBER($E1695),FLOOR(($E1695-$B1695)*24,1),""))</f>
        <v/>
      </c>
      <c r="J1695" s="10" t="str">
        <f aca="false">IF($D1695="","",IFERROR(IF(VLOOKUP($F1695,Dim_Analyst!$A:$C,3,0)="Yes","Yes","No"),"No"))</f>
        <v/>
      </c>
    </row>
    <row r="1696" customFormat="false" ht="15" hidden="false" customHeight="true" outlineLevel="0" collapsed="false">
      <c r="G1696" s="4" t="str">
        <f aca="false">IF($D1696="","",$A1696&amp;"|"&amp;$B1696&amp;"|"&amp;$C1696&amp;"|"&amp;$D1696)</f>
        <v/>
      </c>
      <c r="H1696" s="4" t="str">
        <f aca="false">IF($D1696="","",$G1696&amp;"|"&amp;TEXT($E1696,"0.000000"))</f>
        <v/>
      </c>
      <c r="I1696" s="29" t="str">
        <f aca="false">IF($D1696="","",IF(ISNUMBER($E1696),FLOOR(($E1696-$B1696)*24,1),""))</f>
        <v/>
      </c>
      <c r="J1696" s="10" t="str">
        <f aca="false">IF($D1696="","",IFERROR(IF(VLOOKUP($F1696,Dim_Analyst!$A:$C,3,0)="Yes","Yes","No"),"No"))</f>
        <v/>
      </c>
    </row>
    <row r="1697" customFormat="false" ht="15" hidden="false" customHeight="true" outlineLevel="0" collapsed="false">
      <c r="G1697" s="4" t="str">
        <f aca="false">IF($D1697="","",$A1697&amp;"|"&amp;$B1697&amp;"|"&amp;$C1697&amp;"|"&amp;$D1697)</f>
        <v/>
      </c>
      <c r="H1697" s="4" t="str">
        <f aca="false">IF($D1697="","",$G1697&amp;"|"&amp;TEXT($E1697,"0.000000"))</f>
        <v/>
      </c>
      <c r="I1697" s="29" t="str">
        <f aca="false">IF($D1697="","",IF(ISNUMBER($E1697),FLOOR(($E1697-$B1697)*24,1),""))</f>
        <v/>
      </c>
      <c r="J1697" s="10" t="str">
        <f aca="false">IF($D1697="","",IFERROR(IF(VLOOKUP($F1697,Dim_Analyst!$A:$C,3,0)="Yes","Yes","No"),"No"))</f>
        <v/>
      </c>
    </row>
    <row r="1698" customFormat="false" ht="15" hidden="false" customHeight="true" outlineLevel="0" collapsed="false">
      <c r="G1698" s="4" t="str">
        <f aca="false">IF($D1698="","",$A1698&amp;"|"&amp;$B1698&amp;"|"&amp;$C1698&amp;"|"&amp;$D1698)</f>
        <v/>
      </c>
      <c r="H1698" s="4" t="str">
        <f aca="false">IF($D1698="","",$G1698&amp;"|"&amp;TEXT($E1698,"0.000000"))</f>
        <v/>
      </c>
      <c r="I1698" s="29" t="str">
        <f aca="false">IF($D1698="","",IF(ISNUMBER($E1698),FLOOR(($E1698-$B1698)*24,1),""))</f>
        <v/>
      </c>
      <c r="J1698" s="10" t="str">
        <f aca="false">IF($D1698="","",IFERROR(IF(VLOOKUP($F1698,Dim_Analyst!$A:$C,3,0)="Yes","Yes","No"),"No"))</f>
        <v/>
      </c>
    </row>
    <row r="1699" customFormat="false" ht="15" hidden="false" customHeight="true" outlineLevel="0" collapsed="false">
      <c r="G1699" s="4" t="str">
        <f aca="false">IF($D1699="","",$A1699&amp;"|"&amp;$B1699&amp;"|"&amp;$C1699&amp;"|"&amp;$D1699)</f>
        <v/>
      </c>
      <c r="H1699" s="4" t="str">
        <f aca="false">IF($D1699="","",$G1699&amp;"|"&amp;TEXT($E1699,"0.000000"))</f>
        <v/>
      </c>
      <c r="I1699" s="29" t="str">
        <f aca="false">IF($D1699="","",IF(ISNUMBER($E1699),FLOOR(($E1699-$B1699)*24,1),""))</f>
        <v/>
      </c>
      <c r="J1699" s="10" t="str">
        <f aca="false">IF($D1699="","",IFERROR(IF(VLOOKUP($F1699,Dim_Analyst!$A:$C,3,0)="Yes","Yes","No"),"No"))</f>
        <v/>
      </c>
    </row>
    <row r="1700" customFormat="false" ht="15" hidden="false" customHeight="true" outlineLevel="0" collapsed="false">
      <c r="G1700" s="4" t="str">
        <f aca="false">IF($D1700="","",$A1700&amp;"|"&amp;$B1700&amp;"|"&amp;$C1700&amp;"|"&amp;$D1700)</f>
        <v/>
      </c>
      <c r="H1700" s="4" t="str">
        <f aca="false">IF($D1700="","",$G1700&amp;"|"&amp;TEXT($E1700,"0.000000"))</f>
        <v/>
      </c>
      <c r="I1700" s="29" t="str">
        <f aca="false">IF($D1700="","",IF(ISNUMBER($E1700),FLOOR(($E1700-$B1700)*24,1),""))</f>
        <v/>
      </c>
      <c r="J1700" s="10" t="str">
        <f aca="false">IF($D1700="","",IFERROR(IF(VLOOKUP($F1700,Dim_Analyst!$A:$C,3,0)="Yes","Yes","No"),"No"))</f>
        <v/>
      </c>
    </row>
    <row r="1701" customFormat="false" ht="15" hidden="false" customHeight="true" outlineLevel="0" collapsed="false">
      <c r="G1701" s="4" t="str">
        <f aca="false">IF($D1701="","",$A1701&amp;"|"&amp;$B1701&amp;"|"&amp;$C1701&amp;"|"&amp;$D1701)</f>
        <v/>
      </c>
      <c r="H1701" s="4" t="str">
        <f aca="false">IF($D1701="","",$G1701&amp;"|"&amp;TEXT($E1701,"0.000000"))</f>
        <v/>
      </c>
      <c r="I1701" s="29" t="str">
        <f aca="false">IF($D1701="","",IF(ISNUMBER($E1701),FLOOR(($E1701-$B1701)*24,1),""))</f>
        <v/>
      </c>
      <c r="J1701" s="10" t="str">
        <f aca="false">IF($D1701="","",IFERROR(IF(VLOOKUP($F1701,Dim_Analyst!$A:$C,3,0)="Yes","Yes","No"),"No"))</f>
        <v/>
      </c>
    </row>
    <row r="1702" customFormat="false" ht="15" hidden="false" customHeight="true" outlineLevel="0" collapsed="false">
      <c r="G1702" s="4" t="str">
        <f aca="false">IF($D1702="","",$A1702&amp;"|"&amp;$B1702&amp;"|"&amp;$C1702&amp;"|"&amp;$D1702)</f>
        <v/>
      </c>
      <c r="H1702" s="4" t="str">
        <f aca="false">IF($D1702="","",$G1702&amp;"|"&amp;TEXT($E1702,"0.000000"))</f>
        <v/>
      </c>
      <c r="I1702" s="29" t="str">
        <f aca="false">IF($D1702="","",IF(ISNUMBER($E1702),FLOOR(($E1702-$B1702)*24,1),""))</f>
        <v/>
      </c>
      <c r="J1702" s="10" t="str">
        <f aca="false">IF($D1702="","",IFERROR(IF(VLOOKUP($F1702,Dim_Analyst!$A:$C,3,0)="Yes","Yes","No"),"No"))</f>
        <v/>
      </c>
    </row>
    <row r="1703" customFormat="false" ht="15" hidden="false" customHeight="true" outlineLevel="0" collapsed="false">
      <c r="G1703" s="4" t="str">
        <f aca="false">IF($D1703="","",$A1703&amp;"|"&amp;$B1703&amp;"|"&amp;$C1703&amp;"|"&amp;$D1703)</f>
        <v/>
      </c>
      <c r="H1703" s="4" t="str">
        <f aca="false">IF($D1703="","",$G1703&amp;"|"&amp;TEXT($E1703,"0.000000"))</f>
        <v/>
      </c>
      <c r="I1703" s="29" t="str">
        <f aca="false">IF($D1703="","",IF(ISNUMBER($E1703),FLOOR(($E1703-$B1703)*24,1),""))</f>
        <v/>
      </c>
      <c r="J1703" s="10" t="str">
        <f aca="false">IF($D1703="","",IFERROR(IF(VLOOKUP($F1703,Dim_Analyst!$A:$C,3,0)="Yes","Yes","No"),"No"))</f>
        <v/>
      </c>
    </row>
    <row r="1704" customFormat="false" ht="15" hidden="false" customHeight="true" outlineLevel="0" collapsed="false">
      <c r="G1704" s="4" t="str">
        <f aca="false">IF($D1704="","",$A1704&amp;"|"&amp;$B1704&amp;"|"&amp;$C1704&amp;"|"&amp;$D1704)</f>
        <v/>
      </c>
      <c r="H1704" s="4" t="str">
        <f aca="false">IF($D1704="","",$G1704&amp;"|"&amp;TEXT($E1704,"0.000000"))</f>
        <v/>
      </c>
      <c r="I1704" s="29" t="str">
        <f aca="false">IF($D1704="","",IF(ISNUMBER($E1704),FLOOR(($E1704-$B1704)*24,1),""))</f>
        <v/>
      </c>
      <c r="J1704" s="10" t="str">
        <f aca="false">IF($D1704="","",IFERROR(IF(VLOOKUP($F1704,Dim_Analyst!$A:$C,3,0)="Yes","Yes","No"),"No"))</f>
        <v/>
      </c>
    </row>
    <row r="1705" customFormat="false" ht="15" hidden="false" customHeight="true" outlineLevel="0" collapsed="false">
      <c r="G1705" s="4" t="str">
        <f aca="false">IF($D1705="","",$A1705&amp;"|"&amp;$B1705&amp;"|"&amp;$C1705&amp;"|"&amp;$D1705)</f>
        <v/>
      </c>
      <c r="H1705" s="4" t="str">
        <f aca="false">IF($D1705="","",$G1705&amp;"|"&amp;TEXT($E1705,"0.000000"))</f>
        <v/>
      </c>
      <c r="I1705" s="29" t="str">
        <f aca="false">IF($D1705="","",IF(ISNUMBER($E1705),FLOOR(($E1705-$B1705)*24,1),""))</f>
        <v/>
      </c>
      <c r="J1705" s="10" t="str">
        <f aca="false">IF($D1705="","",IFERROR(IF(VLOOKUP($F1705,Dim_Analyst!$A:$C,3,0)="Yes","Yes","No"),"No"))</f>
        <v/>
      </c>
    </row>
    <row r="1706" customFormat="false" ht="15" hidden="false" customHeight="true" outlineLevel="0" collapsed="false">
      <c r="G1706" s="4" t="str">
        <f aca="false">IF($D1706="","",$A1706&amp;"|"&amp;$B1706&amp;"|"&amp;$C1706&amp;"|"&amp;$D1706)</f>
        <v/>
      </c>
      <c r="H1706" s="4" t="str">
        <f aca="false">IF($D1706="","",$G1706&amp;"|"&amp;TEXT($E1706,"0.000000"))</f>
        <v/>
      </c>
      <c r="I1706" s="29" t="str">
        <f aca="false">IF($D1706="","",IF(ISNUMBER($E1706),FLOOR(($E1706-$B1706)*24,1),""))</f>
        <v/>
      </c>
      <c r="J1706" s="10" t="str">
        <f aca="false">IF($D1706="","",IFERROR(IF(VLOOKUP($F1706,Dim_Analyst!$A:$C,3,0)="Yes","Yes","No"),"No"))</f>
        <v/>
      </c>
    </row>
    <row r="1707" customFormat="false" ht="15" hidden="false" customHeight="true" outlineLevel="0" collapsed="false">
      <c r="G1707" s="4" t="str">
        <f aca="false">IF($D1707="","",$A1707&amp;"|"&amp;$B1707&amp;"|"&amp;$C1707&amp;"|"&amp;$D1707)</f>
        <v/>
      </c>
      <c r="H1707" s="4" t="str">
        <f aca="false">IF($D1707="","",$G1707&amp;"|"&amp;TEXT($E1707,"0.000000"))</f>
        <v/>
      </c>
      <c r="I1707" s="29" t="str">
        <f aca="false">IF($D1707="","",IF(ISNUMBER($E1707),FLOOR(($E1707-$B1707)*24,1),""))</f>
        <v/>
      </c>
      <c r="J1707" s="10" t="str">
        <f aca="false">IF($D1707="","",IFERROR(IF(VLOOKUP($F1707,Dim_Analyst!$A:$C,3,0)="Yes","Yes","No"),"No"))</f>
        <v/>
      </c>
    </row>
    <row r="1708" customFormat="false" ht="15" hidden="false" customHeight="true" outlineLevel="0" collapsed="false">
      <c r="G1708" s="4" t="str">
        <f aca="false">IF($D1708="","",$A1708&amp;"|"&amp;$B1708&amp;"|"&amp;$C1708&amp;"|"&amp;$D1708)</f>
        <v/>
      </c>
      <c r="H1708" s="4" t="str">
        <f aca="false">IF($D1708="","",$G1708&amp;"|"&amp;TEXT($E1708,"0.000000"))</f>
        <v/>
      </c>
      <c r="I1708" s="29" t="str">
        <f aca="false">IF($D1708="","",IF(ISNUMBER($E1708),FLOOR(($E1708-$B1708)*24,1),""))</f>
        <v/>
      </c>
      <c r="J1708" s="10" t="str">
        <f aca="false">IF($D1708="","",IFERROR(IF(VLOOKUP($F1708,Dim_Analyst!$A:$C,3,0)="Yes","Yes","No"),"No"))</f>
        <v/>
      </c>
    </row>
    <row r="1709" customFormat="false" ht="15" hidden="false" customHeight="true" outlineLevel="0" collapsed="false">
      <c r="G1709" s="4" t="str">
        <f aca="false">IF($D1709="","",$A1709&amp;"|"&amp;$B1709&amp;"|"&amp;$C1709&amp;"|"&amp;$D1709)</f>
        <v/>
      </c>
      <c r="H1709" s="4" t="str">
        <f aca="false">IF($D1709="","",$G1709&amp;"|"&amp;TEXT($E1709,"0.000000"))</f>
        <v/>
      </c>
      <c r="I1709" s="29" t="str">
        <f aca="false">IF($D1709="","",IF(ISNUMBER($E1709),FLOOR(($E1709-$B1709)*24,1),""))</f>
        <v/>
      </c>
      <c r="J1709" s="10" t="str">
        <f aca="false">IF($D1709="","",IFERROR(IF(VLOOKUP($F1709,Dim_Analyst!$A:$C,3,0)="Yes","Yes","No"),"No"))</f>
        <v/>
      </c>
    </row>
    <row r="1710" customFormat="false" ht="15" hidden="false" customHeight="true" outlineLevel="0" collapsed="false">
      <c r="G1710" s="4" t="str">
        <f aca="false">IF($D1710="","",$A1710&amp;"|"&amp;$B1710&amp;"|"&amp;$C1710&amp;"|"&amp;$D1710)</f>
        <v/>
      </c>
      <c r="H1710" s="4" t="str">
        <f aca="false">IF($D1710="","",$G1710&amp;"|"&amp;TEXT($E1710,"0.000000"))</f>
        <v/>
      </c>
      <c r="I1710" s="29" t="str">
        <f aca="false">IF($D1710="","",IF(ISNUMBER($E1710),FLOOR(($E1710-$B1710)*24,1),""))</f>
        <v/>
      </c>
      <c r="J1710" s="10" t="str">
        <f aca="false">IF($D1710="","",IFERROR(IF(VLOOKUP($F1710,Dim_Analyst!$A:$C,3,0)="Yes","Yes","No"),"No"))</f>
        <v/>
      </c>
    </row>
    <row r="1711" customFormat="false" ht="15" hidden="false" customHeight="true" outlineLevel="0" collapsed="false">
      <c r="G1711" s="4" t="str">
        <f aca="false">IF($D1711="","",$A1711&amp;"|"&amp;$B1711&amp;"|"&amp;$C1711&amp;"|"&amp;$D1711)</f>
        <v/>
      </c>
      <c r="H1711" s="4" t="str">
        <f aca="false">IF($D1711="","",$G1711&amp;"|"&amp;TEXT($E1711,"0.000000"))</f>
        <v/>
      </c>
      <c r="I1711" s="29" t="str">
        <f aca="false">IF($D1711="","",IF(ISNUMBER($E1711),FLOOR(($E1711-$B1711)*24,1),""))</f>
        <v/>
      </c>
      <c r="J1711" s="10" t="str">
        <f aca="false">IF($D1711="","",IFERROR(IF(VLOOKUP($F1711,Dim_Analyst!$A:$C,3,0)="Yes","Yes","No"),"No"))</f>
        <v/>
      </c>
    </row>
    <row r="1712" customFormat="false" ht="15" hidden="false" customHeight="true" outlineLevel="0" collapsed="false">
      <c r="G1712" s="4" t="str">
        <f aca="false">IF($D1712="","",$A1712&amp;"|"&amp;$B1712&amp;"|"&amp;$C1712&amp;"|"&amp;$D1712)</f>
        <v/>
      </c>
      <c r="H1712" s="4" t="str">
        <f aca="false">IF($D1712="","",$G1712&amp;"|"&amp;TEXT($E1712,"0.000000"))</f>
        <v/>
      </c>
      <c r="I1712" s="29" t="str">
        <f aca="false">IF($D1712="","",IF(ISNUMBER($E1712),FLOOR(($E1712-$B1712)*24,1),""))</f>
        <v/>
      </c>
      <c r="J1712" s="10" t="str">
        <f aca="false">IF($D1712="","",IFERROR(IF(VLOOKUP($F1712,Dim_Analyst!$A:$C,3,0)="Yes","Yes","No"),"No"))</f>
        <v/>
      </c>
    </row>
    <row r="1713" customFormat="false" ht="15" hidden="false" customHeight="true" outlineLevel="0" collapsed="false">
      <c r="G1713" s="4" t="str">
        <f aca="false">IF($D1713="","",$A1713&amp;"|"&amp;$B1713&amp;"|"&amp;$C1713&amp;"|"&amp;$D1713)</f>
        <v/>
      </c>
      <c r="H1713" s="4" t="str">
        <f aca="false">IF($D1713="","",$G1713&amp;"|"&amp;TEXT($E1713,"0.000000"))</f>
        <v/>
      </c>
      <c r="I1713" s="29" t="str">
        <f aca="false">IF($D1713="","",IF(ISNUMBER($E1713),FLOOR(($E1713-$B1713)*24,1),""))</f>
        <v/>
      </c>
      <c r="J1713" s="10" t="str">
        <f aca="false">IF($D1713="","",IFERROR(IF(VLOOKUP($F1713,Dim_Analyst!$A:$C,3,0)="Yes","Yes","No"),"No"))</f>
        <v/>
      </c>
    </row>
    <row r="1714" customFormat="false" ht="15" hidden="false" customHeight="true" outlineLevel="0" collapsed="false">
      <c r="G1714" s="4" t="str">
        <f aca="false">IF($D1714="","",$A1714&amp;"|"&amp;$B1714&amp;"|"&amp;$C1714&amp;"|"&amp;$D1714)</f>
        <v/>
      </c>
      <c r="H1714" s="4" t="str">
        <f aca="false">IF($D1714="","",$G1714&amp;"|"&amp;TEXT($E1714,"0.000000"))</f>
        <v/>
      </c>
      <c r="I1714" s="29" t="str">
        <f aca="false">IF($D1714="","",IF(ISNUMBER($E1714),FLOOR(($E1714-$B1714)*24,1),""))</f>
        <v/>
      </c>
      <c r="J1714" s="10" t="str">
        <f aca="false">IF($D1714="","",IFERROR(IF(VLOOKUP($F1714,Dim_Analyst!$A:$C,3,0)="Yes","Yes","No"),"No"))</f>
        <v/>
      </c>
    </row>
    <row r="1715" customFormat="false" ht="15" hidden="false" customHeight="true" outlineLevel="0" collapsed="false">
      <c r="G1715" s="4" t="str">
        <f aca="false">IF($D1715="","",$A1715&amp;"|"&amp;$B1715&amp;"|"&amp;$C1715&amp;"|"&amp;$D1715)</f>
        <v/>
      </c>
      <c r="H1715" s="4" t="str">
        <f aca="false">IF($D1715="","",$G1715&amp;"|"&amp;TEXT($E1715,"0.000000"))</f>
        <v/>
      </c>
      <c r="I1715" s="29" t="str">
        <f aca="false">IF($D1715="","",IF(ISNUMBER($E1715),FLOOR(($E1715-$B1715)*24,1),""))</f>
        <v/>
      </c>
      <c r="J1715" s="10" t="str">
        <f aca="false">IF($D1715="","",IFERROR(IF(VLOOKUP($F1715,Dim_Analyst!$A:$C,3,0)="Yes","Yes","No"),"No"))</f>
        <v/>
      </c>
    </row>
    <row r="1716" customFormat="false" ht="15" hidden="false" customHeight="true" outlineLevel="0" collapsed="false">
      <c r="G1716" s="4" t="str">
        <f aca="false">IF($D1716="","",$A1716&amp;"|"&amp;$B1716&amp;"|"&amp;$C1716&amp;"|"&amp;$D1716)</f>
        <v/>
      </c>
      <c r="H1716" s="4" t="str">
        <f aca="false">IF($D1716="","",$G1716&amp;"|"&amp;TEXT($E1716,"0.000000"))</f>
        <v/>
      </c>
      <c r="I1716" s="29" t="str">
        <f aca="false">IF($D1716="","",IF(ISNUMBER($E1716),FLOOR(($E1716-$B1716)*24,1),""))</f>
        <v/>
      </c>
      <c r="J1716" s="10" t="str">
        <f aca="false">IF($D1716="","",IFERROR(IF(VLOOKUP($F1716,Dim_Analyst!$A:$C,3,0)="Yes","Yes","No"),"No"))</f>
        <v/>
      </c>
    </row>
    <row r="1717" customFormat="false" ht="15" hidden="false" customHeight="true" outlineLevel="0" collapsed="false">
      <c r="G1717" s="4" t="str">
        <f aca="false">IF($D1717="","",$A1717&amp;"|"&amp;$B1717&amp;"|"&amp;$C1717&amp;"|"&amp;$D1717)</f>
        <v/>
      </c>
      <c r="H1717" s="4" t="str">
        <f aca="false">IF($D1717="","",$G1717&amp;"|"&amp;TEXT($E1717,"0.000000"))</f>
        <v/>
      </c>
      <c r="I1717" s="29" t="str">
        <f aca="false">IF($D1717="","",IF(ISNUMBER($E1717),FLOOR(($E1717-$B1717)*24,1),""))</f>
        <v/>
      </c>
      <c r="J1717" s="10" t="str">
        <f aca="false">IF($D1717="","",IFERROR(IF(VLOOKUP($F1717,Dim_Analyst!$A:$C,3,0)="Yes","Yes","No"),"No"))</f>
        <v/>
      </c>
    </row>
    <row r="1718" customFormat="false" ht="15" hidden="false" customHeight="true" outlineLevel="0" collapsed="false">
      <c r="G1718" s="4" t="str">
        <f aca="false">IF($D1718="","",$A1718&amp;"|"&amp;$B1718&amp;"|"&amp;$C1718&amp;"|"&amp;$D1718)</f>
        <v/>
      </c>
      <c r="H1718" s="4" t="str">
        <f aca="false">IF($D1718="","",$G1718&amp;"|"&amp;TEXT($E1718,"0.000000"))</f>
        <v/>
      </c>
      <c r="I1718" s="29" t="str">
        <f aca="false">IF($D1718="","",IF(ISNUMBER($E1718),FLOOR(($E1718-$B1718)*24,1),""))</f>
        <v/>
      </c>
      <c r="J1718" s="10" t="str">
        <f aca="false">IF($D1718="","",IFERROR(IF(VLOOKUP($F1718,Dim_Analyst!$A:$C,3,0)="Yes","Yes","No"),"No"))</f>
        <v/>
      </c>
    </row>
    <row r="1719" customFormat="false" ht="15" hidden="false" customHeight="true" outlineLevel="0" collapsed="false">
      <c r="G1719" s="4" t="str">
        <f aca="false">IF($D1719="","",$A1719&amp;"|"&amp;$B1719&amp;"|"&amp;$C1719&amp;"|"&amp;$D1719)</f>
        <v/>
      </c>
      <c r="H1719" s="4" t="str">
        <f aca="false">IF($D1719="","",$G1719&amp;"|"&amp;TEXT($E1719,"0.000000"))</f>
        <v/>
      </c>
      <c r="I1719" s="29" t="str">
        <f aca="false">IF($D1719="","",IF(ISNUMBER($E1719),FLOOR(($E1719-$B1719)*24,1),""))</f>
        <v/>
      </c>
      <c r="J1719" s="10" t="str">
        <f aca="false">IF($D1719="","",IFERROR(IF(VLOOKUP($F1719,Dim_Analyst!$A:$C,3,0)="Yes","Yes","No"),"No"))</f>
        <v/>
      </c>
    </row>
    <row r="1720" customFormat="false" ht="15" hidden="false" customHeight="true" outlineLevel="0" collapsed="false">
      <c r="G1720" s="4" t="str">
        <f aca="false">IF($D1720="","",$A1720&amp;"|"&amp;$B1720&amp;"|"&amp;$C1720&amp;"|"&amp;$D1720)</f>
        <v/>
      </c>
      <c r="H1720" s="4" t="str">
        <f aca="false">IF($D1720="","",$G1720&amp;"|"&amp;TEXT($E1720,"0.000000"))</f>
        <v/>
      </c>
      <c r="I1720" s="29" t="str">
        <f aca="false">IF($D1720="","",IF(ISNUMBER($E1720),FLOOR(($E1720-$B1720)*24,1),""))</f>
        <v/>
      </c>
      <c r="J1720" s="10" t="str">
        <f aca="false">IF($D1720="","",IFERROR(IF(VLOOKUP($F1720,Dim_Analyst!$A:$C,3,0)="Yes","Yes","No"),"No"))</f>
        <v/>
      </c>
    </row>
    <row r="1721" customFormat="false" ht="15" hidden="false" customHeight="true" outlineLevel="0" collapsed="false">
      <c r="G1721" s="4" t="str">
        <f aca="false">IF($D1721="","",$A1721&amp;"|"&amp;$B1721&amp;"|"&amp;$C1721&amp;"|"&amp;$D1721)</f>
        <v/>
      </c>
      <c r="H1721" s="4" t="str">
        <f aca="false">IF($D1721="","",$G1721&amp;"|"&amp;TEXT($E1721,"0.000000"))</f>
        <v/>
      </c>
      <c r="I1721" s="29" t="str">
        <f aca="false">IF($D1721="","",IF(ISNUMBER($E1721),FLOOR(($E1721-$B1721)*24,1),""))</f>
        <v/>
      </c>
      <c r="J1721" s="10" t="str">
        <f aca="false">IF($D1721="","",IFERROR(IF(VLOOKUP($F1721,Dim_Analyst!$A:$C,3,0)="Yes","Yes","No"),"No"))</f>
        <v/>
      </c>
    </row>
    <row r="1722" customFormat="false" ht="15" hidden="false" customHeight="true" outlineLevel="0" collapsed="false">
      <c r="G1722" s="4" t="str">
        <f aca="false">IF($D1722="","",$A1722&amp;"|"&amp;$B1722&amp;"|"&amp;$C1722&amp;"|"&amp;$D1722)</f>
        <v/>
      </c>
      <c r="H1722" s="4" t="str">
        <f aca="false">IF($D1722="","",$G1722&amp;"|"&amp;TEXT($E1722,"0.000000"))</f>
        <v/>
      </c>
      <c r="I1722" s="29" t="str">
        <f aca="false">IF($D1722="","",IF(ISNUMBER($E1722),FLOOR(($E1722-$B1722)*24,1),""))</f>
        <v/>
      </c>
      <c r="J1722" s="10" t="str">
        <f aca="false">IF($D1722="","",IFERROR(IF(VLOOKUP($F1722,Dim_Analyst!$A:$C,3,0)="Yes","Yes","No"),"No"))</f>
        <v/>
      </c>
    </row>
    <row r="1723" customFormat="false" ht="15" hidden="false" customHeight="true" outlineLevel="0" collapsed="false">
      <c r="G1723" s="4" t="str">
        <f aca="false">IF($D1723="","",$A1723&amp;"|"&amp;$B1723&amp;"|"&amp;$C1723&amp;"|"&amp;$D1723)</f>
        <v/>
      </c>
      <c r="H1723" s="4" t="str">
        <f aca="false">IF($D1723="","",$G1723&amp;"|"&amp;TEXT($E1723,"0.000000"))</f>
        <v/>
      </c>
      <c r="I1723" s="29" t="str">
        <f aca="false">IF($D1723="","",IF(ISNUMBER($E1723),FLOOR(($E1723-$B1723)*24,1),""))</f>
        <v/>
      </c>
      <c r="J1723" s="10" t="str">
        <f aca="false">IF($D1723="","",IFERROR(IF(VLOOKUP($F1723,Dim_Analyst!$A:$C,3,0)="Yes","Yes","No"),"No"))</f>
        <v/>
      </c>
    </row>
    <row r="1724" customFormat="false" ht="15" hidden="false" customHeight="true" outlineLevel="0" collapsed="false">
      <c r="G1724" s="4" t="str">
        <f aca="false">IF($D1724="","",$A1724&amp;"|"&amp;$B1724&amp;"|"&amp;$C1724&amp;"|"&amp;$D1724)</f>
        <v/>
      </c>
      <c r="H1724" s="4" t="str">
        <f aca="false">IF($D1724="","",$G1724&amp;"|"&amp;TEXT($E1724,"0.000000"))</f>
        <v/>
      </c>
      <c r="I1724" s="29" t="str">
        <f aca="false">IF($D1724="","",IF(ISNUMBER($E1724),FLOOR(($E1724-$B1724)*24,1),""))</f>
        <v/>
      </c>
      <c r="J1724" s="10" t="str">
        <f aca="false">IF($D1724="","",IFERROR(IF(VLOOKUP($F1724,Dim_Analyst!$A:$C,3,0)="Yes","Yes","No"),"No"))</f>
        <v/>
      </c>
    </row>
    <row r="1725" customFormat="false" ht="15" hidden="false" customHeight="true" outlineLevel="0" collapsed="false">
      <c r="G1725" s="4" t="str">
        <f aca="false">IF($D1725="","",$A1725&amp;"|"&amp;$B1725&amp;"|"&amp;$C1725&amp;"|"&amp;$D1725)</f>
        <v/>
      </c>
      <c r="H1725" s="4" t="str">
        <f aca="false">IF($D1725="","",$G1725&amp;"|"&amp;TEXT($E1725,"0.000000"))</f>
        <v/>
      </c>
      <c r="I1725" s="29" t="str">
        <f aca="false">IF($D1725="","",IF(ISNUMBER($E1725),FLOOR(($E1725-$B1725)*24,1),""))</f>
        <v/>
      </c>
      <c r="J1725" s="10" t="str">
        <f aca="false">IF($D1725="","",IFERROR(IF(VLOOKUP($F1725,Dim_Analyst!$A:$C,3,0)="Yes","Yes","No"),"No"))</f>
        <v/>
      </c>
    </row>
    <row r="1726" customFormat="false" ht="15" hidden="false" customHeight="true" outlineLevel="0" collapsed="false">
      <c r="G1726" s="4" t="str">
        <f aca="false">IF($D1726="","",$A1726&amp;"|"&amp;$B1726&amp;"|"&amp;$C1726&amp;"|"&amp;$D1726)</f>
        <v/>
      </c>
      <c r="H1726" s="4" t="str">
        <f aca="false">IF($D1726="","",$G1726&amp;"|"&amp;TEXT($E1726,"0.000000"))</f>
        <v/>
      </c>
      <c r="I1726" s="29" t="str">
        <f aca="false">IF($D1726="","",IF(ISNUMBER($E1726),FLOOR(($E1726-$B1726)*24,1),""))</f>
        <v/>
      </c>
      <c r="J1726" s="10" t="str">
        <f aca="false">IF($D1726="","",IFERROR(IF(VLOOKUP($F1726,Dim_Analyst!$A:$C,3,0)="Yes","Yes","No"),"No"))</f>
        <v/>
      </c>
    </row>
    <row r="1727" customFormat="false" ht="15" hidden="false" customHeight="true" outlineLevel="0" collapsed="false">
      <c r="G1727" s="4" t="str">
        <f aca="false">IF($D1727="","",$A1727&amp;"|"&amp;$B1727&amp;"|"&amp;$C1727&amp;"|"&amp;$D1727)</f>
        <v/>
      </c>
      <c r="H1727" s="4" t="str">
        <f aca="false">IF($D1727="","",$G1727&amp;"|"&amp;TEXT($E1727,"0.000000"))</f>
        <v/>
      </c>
      <c r="I1727" s="29" t="str">
        <f aca="false">IF($D1727="","",IF(ISNUMBER($E1727),FLOOR(($E1727-$B1727)*24,1),""))</f>
        <v/>
      </c>
      <c r="J1727" s="10" t="str">
        <f aca="false">IF($D1727="","",IFERROR(IF(VLOOKUP($F1727,Dim_Analyst!$A:$C,3,0)="Yes","Yes","No"),"No"))</f>
        <v/>
      </c>
    </row>
    <row r="1728" customFormat="false" ht="15" hidden="false" customHeight="true" outlineLevel="0" collapsed="false">
      <c r="G1728" s="4" t="str">
        <f aca="false">IF($D1728="","",$A1728&amp;"|"&amp;$B1728&amp;"|"&amp;$C1728&amp;"|"&amp;$D1728)</f>
        <v/>
      </c>
      <c r="H1728" s="4" t="str">
        <f aca="false">IF($D1728="","",$G1728&amp;"|"&amp;TEXT($E1728,"0.000000"))</f>
        <v/>
      </c>
      <c r="I1728" s="29" t="str">
        <f aca="false">IF($D1728="","",IF(ISNUMBER($E1728),FLOOR(($E1728-$B1728)*24,1),""))</f>
        <v/>
      </c>
      <c r="J1728" s="10" t="str">
        <f aca="false">IF($D1728="","",IFERROR(IF(VLOOKUP($F1728,Dim_Analyst!$A:$C,3,0)="Yes","Yes","No"),"No"))</f>
        <v/>
      </c>
    </row>
    <row r="1729" customFormat="false" ht="15" hidden="false" customHeight="true" outlineLevel="0" collapsed="false">
      <c r="G1729" s="4" t="str">
        <f aca="false">IF($D1729="","",$A1729&amp;"|"&amp;$B1729&amp;"|"&amp;$C1729&amp;"|"&amp;$D1729)</f>
        <v/>
      </c>
      <c r="H1729" s="4" t="str">
        <f aca="false">IF($D1729="","",$G1729&amp;"|"&amp;TEXT($E1729,"0.000000"))</f>
        <v/>
      </c>
      <c r="I1729" s="29" t="str">
        <f aca="false">IF($D1729="","",IF(ISNUMBER($E1729),FLOOR(($E1729-$B1729)*24,1),""))</f>
        <v/>
      </c>
      <c r="J1729" s="10" t="str">
        <f aca="false">IF($D1729="","",IFERROR(IF(VLOOKUP($F1729,Dim_Analyst!$A:$C,3,0)="Yes","Yes","No"),"No"))</f>
        <v/>
      </c>
    </row>
    <row r="1730" customFormat="false" ht="15" hidden="false" customHeight="true" outlineLevel="0" collapsed="false">
      <c r="G1730" s="4" t="str">
        <f aca="false">IF($D1730="","",$A1730&amp;"|"&amp;$B1730&amp;"|"&amp;$C1730&amp;"|"&amp;$D1730)</f>
        <v/>
      </c>
      <c r="H1730" s="4" t="str">
        <f aca="false">IF($D1730="","",$G1730&amp;"|"&amp;TEXT($E1730,"0.000000"))</f>
        <v/>
      </c>
      <c r="I1730" s="29" t="str">
        <f aca="false">IF($D1730="","",IF(ISNUMBER($E1730),FLOOR(($E1730-$B1730)*24,1),""))</f>
        <v/>
      </c>
      <c r="J1730" s="10" t="str">
        <f aca="false">IF($D1730="","",IFERROR(IF(VLOOKUP($F1730,Dim_Analyst!$A:$C,3,0)="Yes","Yes","No"),"No"))</f>
        <v/>
      </c>
    </row>
    <row r="1731" customFormat="false" ht="15" hidden="false" customHeight="true" outlineLevel="0" collapsed="false">
      <c r="G1731" s="4" t="str">
        <f aca="false">IF($D1731="","",$A1731&amp;"|"&amp;$B1731&amp;"|"&amp;$C1731&amp;"|"&amp;$D1731)</f>
        <v/>
      </c>
      <c r="H1731" s="4" t="str">
        <f aca="false">IF($D1731="","",$G1731&amp;"|"&amp;TEXT($E1731,"0.000000"))</f>
        <v/>
      </c>
      <c r="I1731" s="29" t="str">
        <f aca="false">IF($D1731="","",IF(ISNUMBER($E1731),FLOOR(($E1731-$B1731)*24,1),""))</f>
        <v/>
      </c>
      <c r="J1731" s="10" t="str">
        <f aca="false">IF($D1731="","",IFERROR(IF(VLOOKUP($F1731,Dim_Analyst!$A:$C,3,0)="Yes","Yes","No"),"No"))</f>
        <v/>
      </c>
    </row>
    <row r="1732" customFormat="false" ht="15" hidden="false" customHeight="true" outlineLevel="0" collapsed="false">
      <c r="G1732" s="4" t="str">
        <f aca="false">IF($D1732="","",$A1732&amp;"|"&amp;$B1732&amp;"|"&amp;$C1732&amp;"|"&amp;$D1732)</f>
        <v/>
      </c>
      <c r="H1732" s="4" t="str">
        <f aca="false">IF($D1732="","",$G1732&amp;"|"&amp;TEXT($E1732,"0.000000"))</f>
        <v/>
      </c>
      <c r="I1732" s="29" t="str">
        <f aca="false">IF($D1732="","",IF(ISNUMBER($E1732),FLOOR(($E1732-$B1732)*24,1),""))</f>
        <v/>
      </c>
      <c r="J1732" s="10" t="str">
        <f aca="false">IF($D1732="","",IFERROR(IF(VLOOKUP($F1732,Dim_Analyst!$A:$C,3,0)="Yes","Yes","No"),"No"))</f>
        <v/>
      </c>
    </row>
    <row r="1733" customFormat="false" ht="15" hidden="false" customHeight="true" outlineLevel="0" collapsed="false">
      <c r="G1733" s="4" t="str">
        <f aca="false">IF($D1733="","",$A1733&amp;"|"&amp;$B1733&amp;"|"&amp;$C1733&amp;"|"&amp;$D1733)</f>
        <v/>
      </c>
      <c r="H1733" s="4" t="str">
        <f aca="false">IF($D1733="","",$G1733&amp;"|"&amp;TEXT($E1733,"0.000000"))</f>
        <v/>
      </c>
      <c r="I1733" s="29" t="str">
        <f aca="false">IF($D1733="","",IF(ISNUMBER($E1733),FLOOR(($E1733-$B1733)*24,1),""))</f>
        <v/>
      </c>
      <c r="J1733" s="10" t="str">
        <f aca="false">IF($D1733="","",IFERROR(IF(VLOOKUP($F1733,Dim_Analyst!$A:$C,3,0)="Yes","Yes","No"),"No"))</f>
        <v/>
      </c>
    </row>
    <row r="1734" customFormat="false" ht="15" hidden="false" customHeight="true" outlineLevel="0" collapsed="false">
      <c r="G1734" s="4" t="str">
        <f aca="false">IF($D1734="","",$A1734&amp;"|"&amp;$B1734&amp;"|"&amp;$C1734&amp;"|"&amp;$D1734)</f>
        <v/>
      </c>
      <c r="H1734" s="4" t="str">
        <f aca="false">IF($D1734="","",$G1734&amp;"|"&amp;TEXT($E1734,"0.000000"))</f>
        <v/>
      </c>
      <c r="I1734" s="29" t="str">
        <f aca="false">IF($D1734="","",IF(ISNUMBER($E1734),FLOOR(($E1734-$B1734)*24,1),""))</f>
        <v/>
      </c>
      <c r="J1734" s="10" t="str">
        <f aca="false">IF($D1734="","",IFERROR(IF(VLOOKUP($F1734,Dim_Analyst!$A:$C,3,0)="Yes","Yes","No"),"No"))</f>
        <v/>
      </c>
    </row>
    <row r="1735" customFormat="false" ht="15" hidden="false" customHeight="true" outlineLevel="0" collapsed="false">
      <c r="G1735" s="4" t="str">
        <f aca="false">IF($D1735="","",$A1735&amp;"|"&amp;$B1735&amp;"|"&amp;$C1735&amp;"|"&amp;$D1735)</f>
        <v/>
      </c>
      <c r="H1735" s="4" t="str">
        <f aca="false">IF($D1735="","",$G1735&amp;"|"&amp;TEXT($E1735,"0.000000"))</f>
        <v/>
      </c>
      <c r="I1735" s="29" t="str">
        <f aca="false">IF($D1735="","",IF(ISNUMBER($E1735),FLOOR(($E1735-$B1735)*24,1),""))</f>
        <v/>
      </c>
      <c r="J1735" s="10" t="str">
        <f aca="false">IF($D1735="","",IFERROR(IF(VLOOKUP($F1735,Dim_Analyst!$A:$C,3,0)="Yes","Yes","No"),"No"))</f>
        <v/>
      </c>
    </row>
    <row r="1736" customFormat="false" ht="15" hidden="false" customHeight="true" outlineLevel="0" collapsed="false">
      <c r="G1736" s="4" t="str">
        <f aca="false">IF($D1736="","",$A1736&amp;"|"&amp;$B1736&amp;"|"&amp;$C1736&amp;"|"&amp;$D1736)</f>
        <v/>
      </c>
      <c r="H1736" s="4" t="str">
        <f aca="false">IF($D1736="","",$G1736&amp;"|"&amp;TEXT($E1736,"0.000000"))</f>
        <v/>
      </c>
      <c r="I1736" s="29" t="str">
        <f aca="false">IF($D1736="","",IF(ISNUMBER($E1736),FLOOR(($E1736-$B1736)*24,1),""))</f>
        <v/>
      </c>
      <c r="J1736" s="10" t="str">
        <f aca="false">IF($D1736="","",IFERROR(IF(VLOOKUP($F1736,Dim_Analyst!$A:$C,3,0)="Yes","Yes","No"),"No"))</f>
        <v/>
      </c>
    </row>
    <row r="1737" customFormat="false" ht="15" hidden="false" customHeight="true" outlineLevel="0" collapsed="false">
      <c r="G1737" s="4" t="str">
        <f aca="false">IF($D1737="","",$A1737&amp;"|"&amp;$B1737&amp;"|"&amp;$C1737&amp;"|"&amp;$D1737)</f>
        <v/>
      </c>
      <c r="H1737" s="4" t="str">
        <f aca="false">IF($D1737="","",$G1737&amp;"|"&amp;TEXT($E1737,"0.000000"))</f>
        <v/>
      </c>
      <c r="I1737" s="29" t="str">
        <f aca="false">IF($D1737="","",IF(ISNUMBER($E1737),FLOOR(($E1737-$B1737)*24,1),""))</f>
        <v/>
      </c>
      <c r="J1737" s="10" t="str">
        <f aca="false">IF($D1737="","",IFERROR(IF(VLOOKUP($F1737,Dim_Analyst!$A:$C,3,0)="Yes","Yes","No"),"No"))</f>
        <v/>
      </c>
    </row>
    <row r="1738" customFormat="false" ht="15" hidden="false" customHeight="true" outlineLevel="0" collapsed="false">
      <c r="G1738" s="4" t="str">
        <f aca="false">IF($D1738="","",$A1738&amp;"|"&amp;$B1738&amp;"|"&amp;$C1738&amp;"|"&amp;$D1738)</f>
        <v/>
      </c>
      <c r="H1738" s="4" t="str">
        <f aca="false">IF($D1738="","",$G1738&amp;"|"&amp;TEXT($E1738,"0.000000"))</f>
        <v/>
      </c>
      <c r="I1738" s="29" t="str">
        <f aca="false">IF($D1738="","",IF(ISNUMBER($E1738),FLOOR(($E1738-$B1738)*24,1),""))</f>
        <v/>
      </c>
      <c r="J1738" s="10" t="str">
        <f aca="false">IF($D1738="","",IFERROR(IF(VLOOKUP($F1738,Dim_Analyst!$A:$C,3,0)="Yes","Yes","No"),"No"))</f>
        <v/>
      </c>
    </row>
    <row r="1739" customFormat="false" ht="15" hidden="false" customHeight="true" outlineLevel="0" collapsed="false">
      <c r="G1739" s="4" t="str">
        <f aca="false">IF($D1739="","",$A1739&amp;"|"&amp;$B1739&amp;"|"&amp;$C1739&amp;"|"&amp;$D1739)</f>
        <v/>
      </c>
      <c r="H1739" s="4" t="str">
        <f aca="false">IF($D1739="","",$G1739&amp;"|"&amp;TEXT($E1739,"0.000000"))</f>
        <v/>
      </c>
      <c r="I1739" s="29" t="str">
        <f aca="false">IF($D1739="","",IF(ISNUMBER($E1739),FLOOR(($E1739-$B1739)*24,1),""))</f>
        <v/>
      </c>
      <c r="J1739" s="10" t="str">
        <f aca="false">IF($D1739="","",IFERROR(IF(VLOOKUP($F1739,Dim_Analyst!$A:$C,3,0)="Yes","Yes","No"),"No"))</f>
        <v/>
      </c>
    </row>
    <row r="1740" customFormat="false" ht="15" hidden="false" customHeight="true" outlineLevel="0" collapsed="false">
      <c r="G1740" s="4" t="str">
        <f aca="false">IF($D1740="","",$A1740&amp;"|"&amp;$B1740&amp;"|"&amp;$C1740&amp;"|"&amp;$D1740)</f>
        <v/>
      </c>
      <c r="H1740" s="4" t="str">
        <f aca="false">IF($D1740="","",$G1740&amp;"|"&amp;TEXT($E1740,"0.000000"))</f>
        <v/>
      </c>
      <c r="I1740" s="29" t="str">
        <f aca="false">IF($D1740="","",IF(ISNUMBER($E1740),FLOOR(($E1740-$B1740)*24,1),""))</f>
        <v/>
      </c>
      <c r="J1740" s="10" t="str">
        <f aca="false">IF($D1740="","",IFERROR(IF(VLOOKUP($F1740,Dim_Analyst!$A:$C,3,0)="Yes","Yes","No"),"No"))</f>
        <v/>
      </c>
    </row>
    <row r="1741" customFormat="false" ht="15" hidden="false" customHeight="true" outlineLevel="0" collapsed="false">
      <c r="G1741" s="4" t="str">
        <f aca="false">IF($D1741="","",$A1741&amp;"|"&amp;$B1741&amp;"|"&amp;$C1741&amp;"|"&amp;$D1741)</f>
        <v/>
      </c>
      <c r="H1741" s="4" t="str">
        <f aca="false">IF($D1741="","",$G1741&amp;"|"&amp;TEXT($E1741,"0.000000"))</f>
        <v/>
      </c>
      <c r="I1741" s="29" t="str">
        <f aca="false">IF($D1741="","",IF(ISNUMBER($E1741),FLOOR(($E1741-$B1741)*24,1),""))</f>
        <v/>
      </c>
      <c r="J1741" s="10" t="str">
        <f aca="false">IF($D1741="","",IFERROR(IF(VLOOKUP($F1741,Dim_Analyst!$A:$C,3,0)="Yes","Yes","No"),"No"))</f>
        <v/>
      </c>
    </row>
    <row r="1742" customFormat="false" ht="15" hidden="false" customHeight="true" outlineLevel="0" collapsed="false">
      <c r="G1742" s="4" t="str">
        <f aca="false">IF($D1742="","",$A1742&amp;"|"&amp;$B1742&amp;"|"&amp;$C1742&amp;"|"&amp;$D1742)</f>
        <v/>
      </c>
      <c r="H1742" s="4" t="str">
        <f aca="false">IF($D1742="","",$G1742&amp;"|"&amp;TEXT($E1742,"0.000000"))</f>
        <v/>
      </c>
      <c r="I1742" s="29" t="str">
        <f aca="false">IF($D1742="","",IF(ISNUMBER($E1742),FLOOR(($E1742-$B1742)*24,1),""))</f>
        <v/>
      </c>
      <c r="J1742" s="10" t="str">
        <f aca="false">IF($D1742="","",IFERROR(IF(VLOOKUP($F1742,Dim_Analyst!$A:$C,3,0)="Yes","Yes","No"),"No"))</f>
        <v/>
      </c>
    </row>
    <row r="1743" customFormat="false" ht="15" hidden="false" customHeight="true" outlineLevel="0" collapsed="false">
      <c r="G1743" s="4" t="str">
        <f aca="false">IF($D1743="","",$A1743&amp;"|"&amp;$B1743&amp;"|"&amp;$C1743&amp;"|"&amp;$D1743)</f>
        <v/>
      </c>
      <c r="H1743" s="4" t="str">
        <f aca="false">IF($D1743="","",$G1743&amp;"|"&amp;TEXT($E1743,"0.000000"))</f>
        <v/>
      </c>
      <c r="I1743" s="29" t="str">
        <f aca="false">IF($D1743="","",IF(ISNUMBER($E1743),FLOOR(($E1743-$B1743)*24,1),""))</f>
        <v/>
      </c>
      <c r="J1743" s="10" t="str">
        <f aca="false">IF($D1743="","",IFERROR(IF(VLOOKUP($F1743,Dim_Analyst!$A:$C,3,0)="Yes","Yes","No"),"No"))</f>
        <v/>
      </c>
    </row>
    <row r="1744" customFormat="false" ht="15" hidden="false" customHeight="true" outlineLevel="0" collapsed="false">
      <c r="G1744" s="4" t="str">
        <f aca="false">IF($D1744="","",$A1744&amp;"|"&amp;$B1744&amp;"|"&amp;$C1744&amp;"|"&amp;$D1744)</f>
        <v/>
      </c>
      <c r="H1744" s="4" t="str">
        <f aca="false">IF($D1744="","",$G1744&amp;"|"&amp;TEXT($E1744,"0.000000"))</f>
        <v/>
      </c>
      <c r="I1744" s="29" t="str">
        <f aca="false">IF($D1744="","",IF(ISNUMBER($E1744),FLOOR(($E1744-$B1744)*24,1),""))</f>
        <v/>
      </c>
      <c r="J1744" s="10" t="str">
        <f aca="false">IF($D1744="","",IFERROR(IF(VLOOKUP($F1744,Dim_Analyst!$A:$C,3,0)="Yes","Yes","No"),"No"))</f>
        <v/>
      </c>
    </row>
    <row r="1745" customFormat="false" ht="15" hidden="false" customHeight="true" outlineLevel="0" collapsed="false">
      <c r="G1745" s="4" t="str">
        <f aca="false">IF($D1745="","",$A1745&amp;"|"&amp;$B1745&amp;"|"&amp;$C1745&amp;"|"&amp;$D1745)</f>
        <v/>
      </c>
      <c r="H1745" s="4" t="str">
        <f aca="false">IF($D1745="","",$G1745&amp;"|"&amp;TEXT($E1745,"0.000000"))</f>
        <v/>
      </c>
      <c r="I1745" s="29" t="str">
        <f aca="false">IF($D1745="","",IF(ISNUMBER($E1745),FLOOR(($E1745-$B1745)*24,1),""))</f>
        <v/>
      </c>
      <c r="J1745" s="10" t="str">
        <f aca="false">IF($D1745="","",IFERROR(IF(VLOOKUP($F1745,Dim_Analyst!$A:$C,3,0)="Yes","Yes","No"),"No"))</f>
        <v/>
      </c>
    </row>
    <row r="1746" customFormat="false" ht="15" hidden="false" customHeight="true" outlineLevel="0" collapsed="false">
      <c r="G1746" s="4" t="str">
        <f aca="false">IF($D1746="","",$A1746&amp;"|"&amp;$B1746&amp;"|"&amp;$C1746&amp;"|"&amp;$D1746)</f>
        <v/>
      </c>
      <c r="H1746" s="4" t="str">
        <f aca="false">IF($D1746="","",$G1746&amp;"|"&amp;TEXT($E1746,"0.000000"))</f>
        <v/>
      </c>
      <c r="I1746" s="29" t="str">
        <f aca="false">IF($D1746="","",IF(ISNUMBER($E1746),FLOOR(($E1746-$B1746)*24,1),""))</f>
        <v/>
      </c>
      <c r="J1746" s="10" t="str">
        <f aca="false">IF($D1746="","",IFERROR(IF(VLOOKUP($F1746,Dim_Analyst!$A:$C,3,0)="Yes","Yes","No"),"No"))</f>
        <v/>
      </c>
    </row>
    <row r="1747" customFormat="false" ht="15" hidden="false" customHeight="true" outlineLevel="0" collapsed="false">
      <c r="G1747" s="4" t="str">
        <f aca="false">IF($D1747="","",$A1747&amp;"|"&amp;$B1747&amp;"|"&amp;$C1747&amp;"|"&amp;$D1747)</f>
        <v/>
      </c>
      <c r="H1747" s="4" t="str">
        <f aca="false">IF($D1747="","",$G1747&amp;"|"&amp;TEXT($E1747,"0.000000"))</f>
        <v/>
      </c>
      <c r="I1747" s="29" t="str">
        <f aca="false">IF($D1747="","",IF(ISNUMBER($E1747),FLOOR(($E1747-$B1747)*24,1),""))</f>
        <v/>
      </c>
      <c r="J1747" s="10" t="str">
        <f aca="false">IF($D1747="","",IFERROR(IF(VLOOKUP($F1747,Dim_Analyst!$A:$C,3,0)="Yes","Yes","No"),"No"))</f>
        <v/>
      </c>
    </row>
    <row r="1748" customFormat="false" ht="15" hidden="false" customHeight="true" outlineLevel="0" collapsed="false">
      <c r="G1748" s="4" t="str">
        <f aca="false">IF($D1748="","",$A1748&amp;"|"&amp;$B1748&amp;"|"&amp;$C1748&amp;"|"&amp;$D1748)</f>
        <v/>
      </c>
      <c r="H1748" s="4" t="str">
        <f aca="false">IF($D1748="","",$G1748&amp;"|"&amp;TEXT($E1748,"0.000000"))</f>
        <v/>
      </c>
      <c r="I1748" s="29" t="str">
        <f aca="false">IF($D1748="","",IF(ISNUMBER($E1748),FLOOR(($E1748-$B1748)*24,1),""))</f>
        <v/>
      </c>
      <c r="J1748" s="10" t="str">
        <f aca="false">IF($D1748="","",IFERROR(IF(VLOOKUP($F1748,Dim_Analyst!$A:$C,3,0)="Yes","Yes","No"),"No"))</f>
        <v/>
      </c>
    </row>
    <row r="1749" customFormat="false" ht="15" hidden="false" customHeight="true" outlineLevel="0" collapsed="false">
      <c r="G1749" s="4" t="str">
        <f aca="false">IF($D1749="","",$A1749&amp;"|"&amp;$B1749&amp;"|"&amp;$C1749&amp;"|"&amp;$D1749)</f>
        <v/>
      </c>
      <c r="H1749" s="4" t="str">
        <f aca="false">IF($D1749="","",$G1749&amp;"|"&amp;TEXT($E1749,"0.000000"))</f>
        <v/>
      </c>
      <c r="I1749" s="29" t="str">
        <f aca="false">IF($D1749="","",IF(ISNUMBER($E1749),FLOOR(($E1749-$B1749)*24,1),""))</f>
        <v/>
      </c>
      <c r="J1749" s="10" t="str">
        <f aca="false">IF($D1749="","",IFERROR(IF(VLOOKUP($F1749,Dim_Analyst!$A:$C,3,0)="Yes","Yes","No"),"No"))</f>
        <v/>
      </c>
    </row>
    <row r="1750" customFormat="false" ht="15" hidden="false" customHeight="true" outlineLevel="0" collapsed="false">
      <c r="G1750" s="4" t="str">
        <f aca="false">IF($D1750="","",$A1750&amp;"|"&amp;$B1750&amp;"|"&amp;$C1750&amp;"|"&amp;$D1750)</f>
        <v/>
      </c>
      <c r="H1750" s="4" t="str">
        <f aca="false">IF($D1750="","",$G1750&amp;"|"&amp;TEXT($E1750,"0.000000"))</f>
        <v/>
      </c>
      <c r="I1750" s="29" t="str">
        <f aca="false">IF($D1750="","",IF(ISNUMBER($E1750),FLOOR(($E1750-$B1750)*24,1),""))</f>
        <v/>
      </c>
      <c r="J1750" s="10" t="str">
        <f aca="false">IF($D1750="","",IFERROR(IF(VLOOKUP($F1750,Dim_Analyst!$A:$C,3,0)="Yes","Yes","No"),"No"))</f>
        <v/>
      </c>
    </row>
    <row r="1751" customFormat="false" ht="15" hidden="false" customHeight="true" outlineLevel="0" collapsed="false">
      <c r="G1751" s="4" t="str">
        <f aca="false">IF($D1751="","",$A1751&amp;"|"&amp;$B1751&amp;"|"&amp;$C1751&amp;"|"&amp;$D1751)</f>
        <v/>
      </c>
      <c r="H1751" s="4" t="str">
        <f aca="false">IF($D1751="","",$G1751&amp;"|"&amp;TEXT($E1751,"0.000000"))</f>
        <v/>
      </c>
      <c r="I1751" s="29" t="str">
        <f aca="false">IF($D1751="","",IF(ISNUMBER($E1751),FLOOR(($E1751-$B1751)*24,1),""))</f>
        <v/>
      </c>
      <c r="J1751" s="10" t="str">
        <f aca="false">IF($D1751="","",IFERROR(IF(VLOOKUP($F1751,Dim_Analyst!$A:$C,3,0)="Yes","Yes","No"),"No"))</f>
        <v/>
      </c>
    </row>
    <row r="1752" customFormat="false" ht="15" hidden="false" customHeight="true" outlineLevel="0" collapsed="false">
      <c r="G1752" s="4" t="str">
        <f aca="false">IF($D1752="","",$A1752&amp;"|"&amp;$B1752&amp;"|"&amp;$C1752&amp;"|"&amp;$D1752)</f>
        <v/>
      </c>
      <c r="H1752" s="4" t="str">
        <f aca="false">IF($D1752="","",$G1752&amp;"|"&amp;TEXT($E1752,"0.000000"))</f>
        <v/>
      </c>
      <c r="I1752" s="29" t="str">
        <f aca="false">IF($D1752="","",IF(ISNUMBER($E1752),FLOOR(($E1752-$B1752)*24,1),""))</f>
        <v/>
      </c>
      <c r="J1752" s="10" t="str">
        <f aca="false">IF($D1752="","",IFERROR(IF(VLOOKUP($F1752,Dim_Analyst!$A:$C,3,0)="Yes","Yes","No"),"No"))</f>
        <v/>
      </c>
    </row>
    <row r="1753" customFormat="false" ht="15" hidden="false" customHeight="true" outlineLevel="0" collapsed="false">
      <c r="G1753" s="4" t="str">
        <f aca="false">IF($D1753="","",$A1753&amp;"|"&amp;$B1753&amp;"|"&amp;$C1753&amp;"|"&amp;$D1753)</f>
        <v/>
      </c>
      <c r="H1753" s="4" t="str">
        <f aca="false">IF($D1753="","",$G1753&amp;"|"&amp;TEXT($E1753,"0.000000"))</f>
        <v/>
      </c>
      <c r="I1753" s="29" t="str">
        <f aca="false">IF($D1753="","",IF(ISNUMBER($E1753),FLOOR(($E1753-$B1753)*24,1),""))</f>
        <v/>
      </c>
      <c r="J1753" s="10" t="str">
        <f aca="false">IF($D1753="","",IFERROR(IF(VLOOKUP($F1753,Dim_Analyst!$A:$C,3,0)="Yes","Yes","No"),"No"))</f>
        <v/>
      </c>
    </row>
    <row r="1754" customFormat="false" ht="15" hidden="false" customHeight="true" outlineLevel="0" collapsed="false">
      <c r="G1754" s="4" t="str">
        <f aca="false">IF($D1754="","",$A1754&amp;"|"&amp;$B1754&amp;"|"&amp;$C1754&amp;"|"&amp;$D1754)</f>
        <v/>
      </c>
      <c r="H1754" s="4" t="str">
        <f aca="false">IF($D1754="","",$G1754&amp;"|"&amp;TEXT($E1754,"0.000000"))</f>
        <v/>
      </c>
      <c r="I1754" s="29" t="str">
        <f aca="false">IF($D1754="","",IF(ISNUMBER($E1754),FLOOR(($E1754-$B1754)*24,1),""))</f>
        <v/>
      </c>
      <c r="J1754" s="10" t="str">
        <f aca="false">IF($D1754="","",IFERROR(IF(VLOOKUP($F1754,Dim_Analyst!$A:$C,3,0)="Yes","Yes","No"),"No"))</f>
        <v/>
      </c>
    </row>
    <row r="1755" customFormat="false" ht="15" hidden="false" customHeight="true" outlineLevel="0" collapsed="false">
      <c r="G1755" s="4" t="str">
        <f aca="false">IF($D1755="","",$A1755&amp;"|"&amp;$B1755&amp;"|"&amp;$C1755&amp;"|"&amp;$D1755)</f>
        <v/>
      </c>
      <c r="H1755" s="4" t="str">
        <f aca="false">IF($D1755="","",$G1755&amp;"|"&amp;TEXT($E1755,"0.000000"))</f>
        <v/>
      </c>
      <c r="I1755" s="29" t="str">
        <f aca="false">IF($D1755="","",IF(ISNUMBER($E1755),FLOOR(($E1755-$B1755)*24,1),""))</f>
        <v/>
      </c>
      <c r="J1755" s="10" t="str">
        <f aca="false">IF($D1755="","",IFERROR(IF(VLOOKUP($F1755,Dim_Analyst!$A:$C,3,0)="Yes","Yes","No"),"No"))</f>
        <v/>
      </c>
    </row>
    <row r="1756" customFormat="false" ht="15" hidden="false" customHeight="true" outlineLevel="0" collapsed="false">
      <c r="G1756" s="4" t="str">
        <f aca="false">IF($D1756="","",$A1756&amp;"|"&amp;$B1756&amp;"|"&amp;$C1756&amp;"|"&amp;$D1756)</f>
        <v/>
      </c>
      <c r="H1756" s="4" t="str">
        <f aca="false">IF($D1756="","",$G1756&amp;"|"&amp;TEXT($E1756,"0.000000"))</f>
        <v/>
      </c>
      <c r="I1756" s="29" t="str">
        <f aca="false">IF($D1756="","",IF(ISNUMBER($E1756),FLOOR(($E1756-$B1756)*24,1),""))</f>
        <v/>
      </c>
      <c r="J1756" s="10" t="str">
        <f aca="false">IF($D1756="","",IFERROR(IF(VLOOKUP($F1756,Dim_Analyst!$A:$C,3,0)="Yes","Yes","No"),"No"))</f>
        <v/>
      </c>
    </row>
    <row r="1757" customFormat="false" ht="15" hidden="false" customHeight="true" outlineLevel="0" collapsed="false">
      <c r="G1757" s="4" t="str">
        <f aca="false">IF($D1757="","",$A1757&amp;"|"&amp;$B1757&amp;"|"&amp;$C1757&amp;"|"&amp;$D1757)</f>
        <v/>
      </c>
      <c r="H1757" s="4" t="str">
        <f aca="false">IF($D1757="","",$G1757&amp;"|"&amp;TEXT($E1757,"0.000000"))</f>
        <v/>
      </c>
      <c r="I1757" s="29" t="str">
        <f aca="false">IF($D1757="","",IF(ISNUMBER($E1757),FLOOR(($E1757-$B1757)*24,1),""))</f>
        <v/>
      </c>
      <c r="J1757" s="10" t="str">
        <f aca="false">IF($D1757="","",IFERROR(IF(VLOOKUP($F1757,Dim_Analyst!$A:$C,3,0)="Yes","Yes","No"),"No"))</f>
        <v/>
      </c>
    </row>
    <row r="1758" customFormat="false" ht="15" hidden="false" customHeight="true" outlineLevel="0" collapsed="false">
      <c r="G1758" s="4" t="str">
        <f aca="false">IF($D1758="","",$A1758&amp;"|"&amp;$B1758&amp;"|"&amp;$C1758&amp;"|"&amp;$D1758)</f>
        <v/>
      </c>
      <c r="H1758" s="4" t="str">
        <f aca="false">IF($D1758="","",$G1758&amp;"|"&amp;TEXT($E1758,"0.000000"))</f>
        <v/>
      </c>
      <c r="I1758" s="29" t="str">
        <f aca="false">IF($D1758="","",IF(ISNUMBER($E1758),FLOOR(($E1758-$B1758)*24,1),""))</f>
        <v/>
      </c>
      <c r="J1758" s="10" t="str">
        <f aca="false">IF($D1758="","",IFERROR(IF(VLOOKUP($F1758,Dim_Analyst!$A:$C,3,0)="Yes","Yes","No"),"No"))</f>
        <v/>
      </c>
    </row>
    <row r="1759" customFormat="false" ht="15" hidden="false" customHeight="true" outlineLevel="0" collapsed="false">
      <c r="G1759" s="4" t="str">
        <f aca="false">IF($D1759="","",$A1759&amp;"|"&amp;$B1759&amp;"|"&amp;$C1759&amp;"|"&amp;$D1759)</f>
        <v/>
      </c>
      <c r="H1759" s="4" t="str">
        <f aca="false">IF($D1759="","",$G1759&amp;"|"&amp;TEXT($E1759,"0.000000"))</f>
        <v/>
      </c>
      <c r="I1759" s="29" t="str">
        <f aca="false">IF($D1759="","",IF(ISNUMBER($E1759),FLOOR(($E1759-$B1759)*24,1),""))</f>
        <v/>
      </c>
      <c r="J1759" s="10" t="str">
        <f aca="false">IF($D1759="","",IFERROR(IF(VLOOKUP($F1759,Dim_Analyst!$A:$C,3,0)="Yes","Yes","No"),"No"))</f>
        <v/>
      </c>
    </row>
    <row r="1760" customFormat="false" ht="15" hidden="false" customHeight="true" outlineLevel="0" collapsed="false">
      <c r="G1760" s="4" t="str">
        <f aca="false">IF($D1760="","",$A1760&amp;"|"&amp;$B1760&amp;"|"&amp;$C1760&amp;"|"&amp;$D1760)</f>
        <v/>
      </c>
      <c r="H1760" s="4" t="str">
        <f aca="false">IF($D1760="","",$G1760&amp;"|"&amp;TEXT($E1760,"0.000000"))</f>
        <v/>
      </c>
      <c r="I1760" s="29" t="str">
        <f aca="false">IF($D1760="","",IF(ISNUMBER($E1760),FLOOR(($E1760-$B1760)*24,1),""))</f>
        <v/>
      </c>
      <c r="J1760" s="10" t="str">
        <f aca="false">IF($D1760="","",IFERROR(IF(VLOOKUP($F1760,Dim_Analyst!$A:$C,3,0)="Yes","Yes","No"),"No"))</f>
        <v/>
      </c>
    </row>
    <row r="1761" customFormat="false" ht="15" hidden="false" customHeight="true" outlineLevel="0" collapsed="false">
      <c r="G1761" s="4" t="str">
        <f aca="false">IF($D1761="","",$A1761&amp;"|"&amp;$B1761&amp;"|"&amp;$C1761&amp;"|"&amp;$D1761)</f>
        <v/>
      </c>
      <c r="H1761" s="4" t="str">
        <f aca="false">IF($D1761="","",$G1761&amp;"|"&amp;TEXT($E1761,"0.000000"))</f>
        <v/>
      </c>
      <c r="I1761" s="29" t="str">
        <f aca="false">IF($D1761="","",IF(ISNUMBER($E1761),FLOOR(($E1761-$B1761)*24,1),""))</f>
        <v/>
      </c>
      <c r="J1761" s="10" t="str">
        <f aca="false">IF($D1761="","",IFERROR(IF(VLOOKUP($F1761,Dim_Analyst!$A:$C,3,0)="Yes","Yes","No"),"No"))</f>
        <v/>
      </c>
    </row>
    <row r="1762" customFormat="false" ht="15" hidden="false" customHeight="true" outlineLevel="0" collapsed="false">
      <c r="G1762" s="4" t="str">
        <f aca="false">IF($D1762="","",$A1762&amp;"|"&amp;$B1762&amp;"|"&amp;$C1762&amp;"|"&amp;$D1762)</f>
        <v/>
      </c>
      <c r="H1762" s="4" t="str">
        <f aca="false">IF($D1762="","",$G1762&amp;"|"&amp;TEXT($E1762,"0.000000"))</f>
        <v/>
      </c>
      <c r="I1762" s="29" t="str">
        <f aca="false">IF($D1762="","",IF(ISNUMBER($E1762),FLOOR(($E1762-$B1762)*24,1),""))</f>
        <v/>
      </c>
      <c r="J1762" s="10" t="str">
        <f aca="false">IF($D1762="","",IFERROR(IF(VLOOKUP($F1762,Dim_Analyst!$A:$C,3,0)="Yes","Yes","No"),"No"))</f>
        <v/>
      </c>
    </row>
    <row r="1763" customFormat="false" ht="15" hidden="false" customHeight="true" outlineLevel="0" collapsed="false">
      <c r="G1763" s="4" t="str">
        <f aca="false">IF($D1763="","",$A1763&amp;"|"&amp;$B1763&amp;"|"&amp;$C1763&amp;"|"&amp;$D1763)</f>
        <v/>
      </c>
      <c r="H1763" s="4" t="str">
        <f aca="false">IF($D1763="","",$G1763&amp;"|"&amp;TEXT($E1763,"0.000000"))</f>
        <v/>
      </c>
      <c r="I1763" s="29" t="str">
        <f aca="false">IF($D1763="","",IF(ISNUMBER($E1763),FLOOR(($E1763-$B1763)*24,1),""))</f>
        <v/>
      </c>
      <c r="J1763" s="10" t="str">
        <f aca="false">IF($D1763="","",IFERROR(IF(VLOOKUP($F1763,Dim_Analyst!$A:$C,3,0)="Yes","Yes","No"),"No"))</f>
        <v/>
      </c>
    </row>
    <row r="1764" customFormat="false" ht="15" hidden="false" customHeight="true" outlineLevel="0" collapsed="false">
      <c r="G1764" s="4" t="str">
        <f aca="false">IF($D1764="","",$A1764&amp;"|"&amp;$B1764&amp;"|"&amp;$C1764&amp;"|"&amp;$D1764)</f>
        <v/>
      </c>
      <c r="H1764" s="4" t="str">
        <f aca="false">IF($D1764="","",$G1764&amp;"|"&amp;TEXT($E1764,"0.000000"))</f>
        <v/>
      </c>
      <c r="I1764" s="29" t="str">
        <f aca="false">IF($D1764="","",IF(ISNUMBER($E1764),FLOOR(($E1764-$B1764)*24,1),""))</f>
        <v/>
      </c>
      <c r="J1764" s="10" t="str">
        <f aca="false">IF($D1764="","",IFERROR(IF(VLOOKUP($F1764,Dim_Analyst!$A:$C,3,0)="Yes","Yes","No"),"No"))</f>
        <v/>
      </c>
    </row>
    <row r="1765" customFormat="false" ht="15" hidden="false" customHeight="true" outlineLevel="0" collapsed="false">
      <c r="G1765" s="4" t="str">
        <f aca="false">IF($D1765="","",$A1765&amp;"|"&amp;$B1765&amp;"|"&amp;$C1765&amp;"|"&amp;$D1765)</f>
        <v/>
      </c>
      <c r="H1765" s="4" t="str">
        <f aca="false">IF($D1765="","",$G1765&amp;"|"&amp;TEXT($E1765,"0.000000"))</f>
        <v/>
      </c>
      <c r="I1765" s="29" t="str">
        <f aca="false">IF($D1765="","",IF(ISNUMBER($E1765),FLOOR(($E1765-$B1765)*24,1),""))</f>
        <v/>
      </c>
      <c r="J1765" s="10" t="str">
        <f aca="false">IF($D1765="","",IFERROR(IF(VLOOKUP($F1765,Dim_Analyst!$A:$C,3,0)="Yes","Yes","No"),"No"))</f>
        <v/>
      </c>
    </row>
    <row r="1766" customFormat="false" ht="15" hidden="false" customHeight="true" outlineLevel="0" collapsed="false">
      <c r="G1766" s="4" t="str">
        <f aca="false">IF($D1766="","",$A1766&amp;"|"&amp;$B1766&amp;"|"&amp;$C1766&amp;"|"&amp;$D1766)</f>
        <v/>
      </c>
      <c r="H1766" s="4" t="str">
        <f aca="false">IF($D1766="","",$G1766&amp;"|"&amp;TEXT($E1766,"0.000000"))</f>
        <v/>
      </c>
      <c r="I1766" s="29" t="str">
        <f aca="false">IF($D1766="","",IF(ISNUMBER($E1766),FLOOR(($E1766-$B1766)*24,1),""))</f>
        <v/>
      </c>
      <c r="J1766" s="10" t="str">
        <f aca="false">IF($D1766="","",IFERROR(IF(VLOOKUP($F1766,Dim_Analyst!$A:$C,3,0)="Yes","Yes","No"),"No"))</f>
        <v/>
      </c>
    </row>
    <row r="1767" customFormat="false" ht="15" hidden="false" customHeight="true" outlineLevel="0" collapsed="false">
      <c r="G1767" s="4" t="str">
        <f aca="false">IF($D1767="","",$A1767&amp;"|"&amp;$B1767&amp;"|"&amp;$C1767&amp;"|"&amp;$D1767)</f>
        <v/>
      </c>
      <c r="H1767" s="4" t="str">
        <f aca="false">IF($D1767="","",$G1767&amp;"|"&amp;TEXT($E1767,"0.000000"))</f>
        <v/>
      </c>
      <c r="I1767" s="29" t="str">
        <f aca="false">IF($D1767="","",IF(ISNUMBER($E1767),FLOOR(($E1767-$B1767)*24,1),""))</f>
        <v/>
      </c>
      <c r="J1767" s="10" t="str">
        <f aca="false">IF($D1767="","",IFERROR(IF(VLOOKUP($F1767,Dim_Analyst!$A:$C,3,0)="Yes","Yes","No"),"No"))</f>
        <v/>
      </c>
    </row>
    <row r="1768" customFormat="false" ht="15" hidden="false" customHeight="true" outlineLevel="0" collapsed="false">
      <c r="G1768" s="4" t="str">
        <f aca="false">IF($D1768="","",$A1768&amp;"|"&amp;$B1768&amp;"|"&amp;$C1768&amp;"|"&amp;$D1768)</f>
        <v/>
      </c>
      <c r="H1768" s="4" t="str">
        <f aca="false">IF($D1768="","",$G1768&amp;"|"&amp;TEXT($E1768,"0.000000"))</f>
        <v/>
      </c>
      <c r="I1768" s="29" t="str">
        <f aca="false">IF($D1768="","",IF(ISNUMBER($E1768),FLOOR(($E1768-$B1768)*24,1),""))</f>
        <v/>
      </c>
      <c r="J1768" s="10" t="str">
        <f aca="false">IF($D1768="","",IFERROR(IF(VLOOKUP($F1768,Dim_Analyst!$A:$C,3,0)="Yes","Yes","No"),"No"))</f>
        <v/>
      </c>
    </row>
    <row r="1769" customFormat="false" ht="15" hidden="false" customHeight="true" outlineLevel="0" collapsed="false">
      <c r="G1769" s="4" t="str">
        <f aca="false">IF($D1769="","",$A1769&amp;"|"&amp;$B1769&amp;"|"&amp;$C1769&amp;"|"&amp;$D1769)</f>
        <v/>
      </c>
      <c r="H1769" s="4" t="str">
        <f aca="false">IF($D1769="","",$G1769&amp;"|"&amp;TEXT($E1769,"0.000000"))</f>
        <v/>
      </c>
      <c r="I1769" s="29" t="str">
        <f aca="false">IF($D1769="","",IF(ISNUMBER($E1769),FLOOR(($E1769-$B1769)*24,1),""))</f>
        <v/>
      </c>
      <c r="J1769" s="10" t="str">
        <f aca="false">IF($D1769="","",IFERROR(IF(VLOOKUP($F1769,Dim_Analyst!$A:$C,3,0)="Yes","Yes","No"),"No"))</f>
        <v/>
      </c>
    </row>
    <row r="1770" customFormat="false" ht="15" hidden="false" customHeight="true" outlineLevel="0" collapsed="false">
      <c r="G1770" s="4" t="str">
        <f aca="false">IF($D1770="","",$A1770&amp;"|"&amp;$B1770&amp;"|"&amp;$C1770&amp;"|"&amp;$D1770)</f>
        <v/>
      </c>
      <c r="H1770" s="4" t="str">
        <f aca="false">IF($D1770="","",$G1770&amp;"|"&amp;TEXT($E1770,"0.000000"))</f>
        <v/>
      </c>
      <c r="I1770" s="29" t="str">
        <f aca="false">IF($D1770="","",IF(ISNUMBER($E1770),FLOOR(($E1770-$B1770)*24,1),""))</f>
        <v/>
      </c>
      <c r="J1770" s="10" t="str">
        <f aca="false">IF($D1770="","",IFERROR(IF(VLOOKUP($F1770,Dim_Analyst!$A:$C,3,0)="Yes","Yes","No"),"No"))</f>
        <v/>
      </c>
    </row>
    <row r="1771" customFormat="false" ht="15" hidden="false" customHeight="true" outlineLevel="0" collapsed="false">
      <c r="G1771" s="4" t="str">
        <f aca="false">IF($D1771="","",$A1771&amp;"|"&amp;$B1771&amp;"|"&amp;$C1771&amp;"|"&amp;$D1771)</f>
        <v/>
      </c>
      <c r="H1771" s="4" t="str">
        <f aca="false">IF($D1771="","",$G1771&amp;"|"&amp;TEXT($E1771,"0.000000"))</f>
        <v/>
      </c>
      <c r="I1771" s="29" t="str">
        <f aca="false">IF($D1771="","",IF(ISNUMBER($E1771),FLOOR(($E1771-$B1771)*24,1),""))</f>
        <v/>
      </c>
      <c r="J1771" s="10" t="str">
        <f aca="false">IF($D1771="","",IFERROR(IF(VLOOKUP($F1771,Dim_Analyst!$A:$C,3,0)="Yes","Yes","No"),"No"))</f>
        <v/>
      </c>
    </row>
    <row r="1772" customFormat="false" ht="15" hidden="false" customHeight="true" outlineLevel="0" collapsed="false">
      <c r="G1772" s="4" t="str">
        <f aca="false">IF($D1772="","",$A1772&amp;"|"&amp;$B1772&amp;"|"&amp;$C1772&amp;"|"&amp;$D1772)</f>
        <v/>
      </c>
      <c r="H1772" s="4" t="str">
        <f aca="false">IF($D1772="","",$G1772&amp;"|"&amp;TEXT($E1772,"0.000000"))</f>
        <v/>
      </c>
      <c r="I1772" s="29" t="str">
        <f aca="false">IF($D1772="","",IF(ISNUMBER($E1772),FLOOR(($E1772-$B1772)*24,1),""))</f>
        <v/>
      </c>
      <c r="J1772" s="10" t="str">
        <f aca="false">IF($D1772="","",IFERROR(IF(VLOOKUP($F1772,Dim_Analyst!$A:$C,3,0)="Yes","Yes","No"),"No"))</f>
        <v/>
      </c>
    </row>
    <row r="1773" customFormat="false" ht="15" hidden="false" customHeight="true" outlineLevel="0" collapsed="false">
      <c r="G1773" s="4" t="str">
        <f aca="false">IF($D1773="","",$A1773&amp;"|"&amp;$B1773&amp;"|"&amp;$C1773&amp;"|"&amp;$D1773)</f>
        <v/>
      </c>
      <c r="H1773" s="4" t="str">
        <f aca="false">IF($D1773="","",$G1773&amp;"|"&amp;TEXT($E1773,"0.000000"))</f>
        <v/>
      </c>
      <c r="I1773" s="29" t="str">
        <f aca="false">IF($D1773="","",IF(ISNUMBER($E1773),FLOOR(($E1773-$B1773)*24,1),""))</f>
        <v/>
      </c>
      <c r="J1773" s="10" t="str">
        <f aca="false">IF($D1773="","",IFERROR(IF(VLOOKUP($F1773,Dim_Analyst!$A:$C,3,0)="Yes","Yes","No"),"No"))</f>
        <v/>
      </c>
    </row>
    <row r="1774" customFormat="false" ht="15" hidden="false" customHeight="true" outlineLevel="0" collapsed="false">
      <c r="G1774" s="4" t="str">
        <f aca="false">IF($D1774="","",$A1774&amp;"|"&amp;$B1774&amp;"|"&amp;$C1774&amp;"|"&amp;$D1774)</f>
        <v/>
      </c>
      <c r="H1774" s="4" t="str">
        <f aca="false">IF($D1774="","",$G1774&amp;"|"&amp;TEXT($E1774,"0.000000"))</f>
        <v/>
      </c>
      <c r="I1774" s="29" t="str">
        <f aca="false">IF($D1774="","",IF(ISNUMBER($E1774),FLOOR(($E1774-$B1774)*24,1),""))</f>
        <v/>
      </c>
      <c r="J1774" s="10" t="str">
        <f aca="false">IF($D1774="","",IFERROR(IF(VLOOKUP($F1774,Dim_Analyst!$A:$C,3,0)="Yes","Yes","No"),"No"))</f>
        <v/>
      </c>
    </row>
    <row r="1775" customFormat="false" ht="15" hidden="false" customHeight="true" outlineLevel="0" collapsed="false">
      <c r="G1775" s="4" t="str">
        <f aca="false">IF($D1775="","",$A1775&amp;"|"&amp;$B1775&amp;"|"&amp;$C1775&amp;"|"&amp;$D1775)</f>
        <v/>
      </c>
      <c r="H1775" s="4" t="str">
        <f aca="false">IF($D1775="","",$G1775&amp;"|"&amp;TEXT($E1775,"0.000000"))</f>
        <v/>
      </c>
      <c r="I1775" s="29" t="str">
        <f aca="false">IF($D1775="","",IF(ISNUMBER($E1775),FLOOR(($E1775-$B1775)*24,1),""))</f>
        <v/>
      </c>
      <c r="J1775" s="10" t="str">
        <f aca="false">IF($D1775="","",IFERROR(IF(VLOOKUP($F1775,Dim_Analyst!$A:$C,3,0)="Yes","Yes","No"),"No"))</f>
        <v/>
      </c>
    </row>
    <row r="1776" customFormat="false" ht="15" hidden="false" customHeight="true" outlineLevel="0" collapsed="false">
      <c r="G1776" s="4" t="str">
        <f aca="false">IF($D1776="","",$A1776&amp;"|"&amp;$B1776&amp;"|"&amp;$C1776&amp;"|"&amp;$D1776)</f>
        <v/>
      </c>
      <c r="H1776" s="4" t="str">
        <f aca="false">IF($D1776="","",$G1776&amp;"|"&amp;TEXT($E1776,"0.000000"))</f>
        <v/>
      </c>
      <c r="I1776" s="29" t="str">
        <f aca="false">IF($D1776="","",IF(ISNUMBER($E1776),FLOOR(($E1776-$B1776)*24,1),""))</f>
        <v/>
      </c>
      <c r="J1776" s="10" t="str">
        <f aca="false">IF($D1776="","",IFERROR(IF(VLOOKUP($F1776,Dim_Analyst!$A:$C,3,0)="Yes","Yes","No"),"No"))</f>
        <v/>
      </c>
    </row>
    <row r="1777" customFormat="false" ht="15" hidden="false" customHeight="true" outlineLevel="0" collapsed="false">
      <c r="G1777" s="4" t="str">
        <f aca="false">IF($D1777="","",$A1777&amp;"|"&amp;$B1777&amp;"|"&amp;$C1777&amp;"|"&amp;$D1777)</f>
        <v/>
      </c>
      <c r="H1777" s="4" t="str">
        <f aca="false">IF($D1777="","",$G1777&amp;"|"&amp;TEXT($E1777,"0.000000"))</f>
        <v/>
      </c>
      <c r="I1777" s="29" t="str">
        <f aca="false">IF($D1777="","",IF(ISNUMBER($E1777),FLOOR(($E1777-$B1777)*24,1),""))</f>
        <v/>
      </c>
      <c r="J1777" s="10" t="str">
        <f aca="false">IF($D1777="","",IFERROR(IF(VLOOKUP($F1777,Dim_Analyst!$A:$C,3,0)="Yes","Yes","No"),"No"))</f>
        <v/>
      </c>
    </row>
    <row r="1778" customFormat="false" ht="15" hidden="false" customHeight="true" outlineLevel="0" collapsed="false">
      <c r="G1778" s="4" t="str">
        <f aca="false">IF($D1778="","",$A1778&amp;"|"&amp;$B1778&amp;"|"&amp;$C1778&amp;"|"&amp;$D1778)</f>
        <v/>
      </c>
      <c r="H1778" s="4" t="str">
        <f aca="false">IF($D1778="","",$G1778&amp;"|"&amp;TEXT($E1778,"0.000000"))</f>
        <v/>
      </c>
      <c r="I1778" s="29" t="str">
        <f aca="false">IF($D1778="","",IF(ISNUMBER($E1778),FLOOR(($E1778-$B1778)*24,1),""))</f>
        <v/>
      </c>
      <c r="J1778" s="10" t="str">
        <f aca="false">IF($D1778="","",IFERROR(IF(VLOOKUP($F1778,Dim_Analyst!$A:$C,3,0)="Yes","Yes","No"),"No"))</f>
        <v/>
      </c>
    </row>
    <row r="1779" customFormat="false" ht="15" hidden="false" customHeight="true" outlineLevel="0" collapsed="false">
      <c r="G1779" s="4" t="str">
        <f aca="false">IF($D1779="","",$A1779&amp;"|"&amp;$B1779&amp;"|"&amp;$C1779&amp;"|"&amp;$D1779)</f>
        <v/>
      </c>
      <c r="H1779" s="4" t="str">
        <f aca="false">IF($D1779="","",$G1779&amp;"|"&amp;TEXT($E1779,"0.000000"))</f>
        <v/>
      </c>
      <c r="I1779" s="29" t="str">
        <f aca="false">IF($D1779="","",IF(ISNUMBER($E1779),FLOOR(($E1779-$B1779)*24,1),""))</f>
        <v/>
      </c>
      <c r="J1779" s="10" t="str">
        <f aca="false">IF($D1779="","",IFERROR(IF(VLOOKUP($F1779,Dim_Analyst!$A:$C,3,0)="Yes","Yes","No"),"No"))</f>
        <v/>
      </c>
    </row>
    <row r="1780" customFormat="false" ht="15" hidden="false" customHeight="true" outlineLevel="0" collapsed="false">
      <c r="G1780" s="4" t="str">
        <f aca="false">IF($D1780="","",$A1780&amp;"|"&amp;$B1780&amp;"|"&amp;$C1780&amp;"|"&amp;$D1780)</f>
        <v/>
      </c>
      <c r="H1780" s="4" t="str">
        <f aca="false">IF($D1780="","",$G1780&amp;"|"&amp;TEXT($E1780,"0.000000"))</f>
        <v/>
      </c>
      <c r="I1780" s="29" t="str">
        <f aca="false">IF($D1780="","",IF(ISNUMBER($E1780),FLOOR(($E1780-$B1780)*24,1),""))</f>
        <v/>
      </c>
      <c r="J1780" s="10" t="str">
        <f aca="false">IF($D1780="","",IFERROR(IF(VLOOKUP($F1780,Dim_Analyst!$A:$C,3,0)="Yes","Yes","No"),"No"))</f>
        <v/>
      </c>
    </row>
    <row r="1781" customFormat="false" ht="15" hidden="false" customHeight="true" outlineLevel="0" collapsed="false">
      <c r="G1781" s="4" t="str">
        <f aca="false">IF($D1781="","",$A1781&amp;"|"&amp;$B1781&amp;"|"&amp;$C1781&amp;"|"&amp;$D1781)</f>
        <v/>
      </c>
      <c r="H1781" s="4" t="str">
        <f aca="false">IF($D1781="","",$G1781&amp;"|"&amp;TEXT($E1781,"0.000000"))</f>
        <v/>
      </c>
      <c r="I1781" s="29" t="str">
        <f aca="false">IF($D1781="","",IF(ISNUMBER($E1781),FLOOR(($E1781-$B1781)*24,1),""))</f>
        <v/>
      </c>
      <c r="J1781" s="10" t="str">
        <f aca="false">IF($D1781="","",IFERROR(IF(VLOOKUP($F1781,Dim_Analyst!$A:$C,3,0)="Yes","Yes","No"),"No"))</f>
        <v/>
      </c>
    </row>
    <row r="1782" customFormat="false" ht="15" hidden="false" customHeight="true" outlineLevel="0" collapsed="false">
      <c r="G1782" s="4" t="str">
        <f aca="false">IF($D1782="","",$A1782&amp;"|"&amp;$B1782&amp;"|"&amp;$C1782&amp;"|"&amp;$D1782)</f>
        <v/>
      </c>
      <c r="H1782" s="4" t="str">
        <f aca="false">IF($D1782="","",$G1782&amp;"|"&amp;TEXT($E1782,"0.000000"))</f>
        <v/>
      </c>
      <c r="I1782" s="29" t="str">
        <f aca="false">IF($D1782="","",IF(ISNUMBER($E1782),FLOOR(($E1782-$B1782)*24,1),""))</f>
        <v/>
      </c>
      <c r="J1782" s="10" t="str">
        <f aca="false">IF($D1782="","",IFERROR(IF(VLOOKUP($F1782,Dim_Analyst!$A:$C,3,0)="Yes","Yes","No"),"No"))</f>
        <v/>
      </c>
    </row>
    <row r="1783" customFormat="false" ht="15" hidden="false" customHeight="true" outlineLevel="0" collapsed="false">
      <c r="G1783" s="4" t="str">
        <f aca="false">IF($D1783="","",$A1783&amp;"|"&amp;$B1783&amp;"|"&amp;$C1783&amp;"|"&amp;$D1783)</f>
        <v/>
      </c>
      <c r="H1783" s="4" t="str">
        <f aca="false">IF($D1783="","",$G1783&amp;"|"&amp;TEXT($E1783,"0.000000"))</f>
        <v/>
      </c>
      <c r="I1783" s="29" t="str">
        <f aca="false">IF($D1783="","",IF(ISNUMBER($E1783),FLOOR(($E1783-$B1783)*24,1),""))</f>
        <v/>
      </c>
      <c r="J1783" s="10" t="str">
        <f aca="false">IF($D1783="","",IFERROR(IF(VLOOKUP($F1783,Dim_Analyst!$A:$C,3,0)="Yes","Yes","No"),"No"))</f>
        <v/>
      </c>
    </row>
    <row r="1784" customFormat="false" ht="15" hidden="false" customHeight="true" outlineLevel="0" collapsed="false">
      <c r="G1784" s="4" t="str">
        <f aca="false">IF($D1784="","",$A1784&amp;"|"&amp;$B1784&amp;"|"&amp;$C1784&amp;"|"&amp;$D1784)</f>
        <v/>
      </c>
      <c r="H1784" s="4" t="str">
        <f aca="false">IF($D1784="","",$G1784&amp;"|"&amp;TEXT($E1784,"0.000000"))</f>
        <v/>
      </c>
      <c r="I1784" s="29" t="str">
        <f aca="false">IF($D1784="","",IF(ISNUMBER($E1784),FLOOR(($E1784-$B1784)*24,1),""))</f>
        <v/>
      </c>
      <c r="J1784" s="10" t="str">
        <f aca="false">IF($D1784="","",IFERROR(IF(VLOOKUP($F1784,Dim_Analyst!$A:$C,3,0)="Yes","Yes","No"),"No"))</f>
        <v/>
      </c>
    </row>
    <row r="1785" customFormat="false" ht="15" hidden="false" customHeight="true" outlineLevel="0" collapsed="false">
      <c r="G1785" s="4" t="str">
        <f aca="false">IF($D1785="","",$A1785&amp;"|"&amp;$B1785&amp;"|"&amp;$C1785&amp;"|"&amp;$D1785)</f>
        <v/>
      </c>
      <c r="H1785" s="4" t="str">
        <f aca="false">IF($D1785="","",$G1785&amp;"|"&amp;TEXT($E1785,"0.000000"))</f>
        <v/>
      </c>
      <c r="I1785" s="29" t="str">
        <f aca="false">IF($D1785="","",IF(ISNUMBER($E1785),FLOOR(($E1785-$B1785)*24,1),""))</f>
        <v/>
      </c>
      <c r="J1785" s="10" t="str">
        <f aca="false">IF($D1785="","",IFERROR(IF(VLOOKUP($F1785,Dim_Analyst!$A:$C,3,0)="Yes","Yes","No"),"No"))</f>
        <v/>
      </c>
    </row>
    <row r="1786" customFormat="false" ht="15" hidden="false" customHeight="true" outlineLevel="0" collapsed="false">
      <c r="G1786" s="4" t="str">
        <f aca="false">IF($D1786="","",$A1786&amp;"|"&amp;$B1786&amp;"|"&amp;$C1786&amp;"|"&amp;$D1786)</f>
        <v/>
      </c>
      <c r="H1786" s="4" t="str">
        <f aca="false">IF($D1786="","",$G1786&amp;"|"&amp;TEXT($E1786,"0.000000"))</f>
        <v/>
      </c>
      <c r="I1786" s="29" t="str">
        <f aca="false">IF($D1786="","",IF(ISNUMBER($E1786),FLOOR(($E1786-$B1786)*24,1),""))</f>
        <v/>
      </c>
      <c r="J1786" s="10" t="str">
        <f aca="false">IF($D1786="","",IFERROR(IF(VLOOKUP($F1786,Dim_Analyst!$A:$C,3,0)="Yes","Yes","No"),"No"))</f>
        <v/>
      </c>
    </row>
    <row r="1787" customFormat="false" ht="15" hidden="false" customHeight="true" outlineLevel="0" collapsed="false">
      <c r="G1787" s="4" t="str">
        <f aca="false">IF($D1787="","",$A1787&amp;"|"&amp;$B1787&amp;"|"&amp;$C1787&amp;"|"&amp;$D1787)</f>
        <v/>
      </c>
      <c r="H1787" s="4" t="str">
        <f aca="false">IF($D1787="","",$G1787&amp;"|"&amp;TEXT($E1787,"0.000000"))</f>
        <v/>
      </c>
      <c r="I1787" s="29" t="str">
        <f aca="false">IF($D1787="","",IF(ISNUMBER($E1787),FLOOR(($E1787-$B1787)*24,1),""))</f>
        <v/>
      </c>
      <c r="J1787" s="10" t="str">
        <f aca="false">IF($D1787="","",IFERROR(IF(VLOOKUP($F1787,Dim_Analyst!$A:$C,3,0)="Yes","Yes","No"),"No"))</f>
        <v/>
      </c>
    </row>
    <row r="1788" customFormat="false" ht="15" hidden="false" customHeight="true" outlineLevel="0" collapsed="false">
      <c r="G1788" s="4" t="str">
        <f aca="false">IF($D1788="","",$A1788&amp;"|"&amp;$B1788&amp;"|"&amp;$C1788&amp;"|"&amp;$D1788)</f>
        <v/>
      </c>
      <c r="H1788" s="4" t="str">
        <f aca="false">IF($D1788="","",$G1788&amp;"|"&amp;TEXT($E1788,"0.000000"))</f>
        <v/>
      </c>
      <c r="I1788" s="29" t="str">
        <f aca="false">IF($D1788="","",IF(ISNUMBER($E1788),FLOOR(($E1788-$B1788)*24,1),""))</f>
        <v/>
      </c>
      <c r="J1788" s="10" t="str">
        <f aca="false">IF($D1788="","",IFERROR(IF(VLOOKUP($F1788,Dim_Analyst!$A:$C,3,0)="Yes","Yes","No"),"No"))</f>
        <v/>
      </c>
    </row>
    <row r="1789" customFormat="false" ht="15" hidden="false" customHeight="true" outlineLevel="0" collapsed="false">
      <c r="G1789" s="4" t="str">
        <f aca="false">IF($D1789="","",$A1789&amp;"|"&amp;$B1789&amp;"|"&amp;$C1789&amp;"|"&amp;$D1789)</f>
        <v/>
      </c>
      <c r="H1789" s="4" t="str">
        <f aca="false">IF($D1789="","",$G1789&amp;"|"&amp;TEXT($E1789,"0.000000"))</f>
        <v/>
      </c>
      <c r="I1789" s="29" t="str">
        <f aca="false">IF($D1789="","",IF(ISNUMBER($E1789),FLOOR(($E1789-$B1789)*24,1),""))</f>
        <v/>
      </c>
      <c r="J1789" s="10" t="str">
        <f aca="false">IF($D1789="","",IFERROR(IF(VLOOKUP($F1789,Dim_Analyst!$A:$C,3,0)="Yes","Yes","No"),"No"))</f>
        <v/>
      </c>
    </row>
    <row r="1790" customFormat="false" ht="15" hidden="false" customHeight="true" outlineLevel="0" collapsed="false">
      <c r="G1790" s="4" t="str">
        <f aca="false">IF($D1790="","",$A1790&amp;"|"&amp;$B1790&amp;"|"&amp;$C1790&amp;"|"&amp;$D1790)</f>
        <v/>
      </c>
      <c r="H1790" s="4" t="str">
        <f aca="false">IF($D1790="","",$G1790&amp;"|"&amp;TEXT($E1790,"0.000000"))</f>
        <v/>
      </c>
      <c r="I1790" s="29" t="str">
        <f aca="false">IF($D1790="","",IF(ISNUMBER($E1790),FLOOR(($E1790-$B1790)*24,1),""))</f>
        <v/>
      </c>
      <c r="J1790" s="10" t="str">
        <f aca="false">IF($D1790="","",IFERROR(IF(VLOOKUP($F1790,Dim_Analyst!$A:$C,3,0)="Yes","Yes","No"),"No"))</f>
        <v/>
      </c>
    </row>
    <row r="1791" customFormat="false" ht="15" hidden="false" customHeight="true" outlineLevel="0" collapsed="false">
      <c r="G1791" s="4" t="str">
        <f aca="false">IF($D1791="","",$A1791&amp;"|"&amp;$B1791&amp;"|"&amp;$C1791&amp;"|"&amp;$D1791)</f>
        <v/>
      </c>
      <c r="H1791" s="4" t="str">
        <f aca="false">IF($D1791="","",$G1791&amp;"|"&amp;TEXT($E1791,"0.000000"))</f>
        <v/>
      </c>
      <c r="I1791" s="29" t="str">
        <f aca="false">IF($D1791="","",IF(ISNUMBER($E1791),FLOOR(($E1791-$B1791)*24,1),""))</f>
        <v/>
      </c>
      <c r="J1791" s="10" t="str">
        <f aca="false">IF($D1791="","",IFERROR(IF(VLOOKUP($F1791,Dim_Analyst!$A:$C,3,0)="Yes","Yes","No"),"No"))</f>
        <v/>
      </c>
    </row>
    <row r="1792" customFormat="false" ht="15" hidden="false" customHeight="true" outlineLevel="0" collapsed="false">
      <c r="G1792" s="4" t="str">
        <f aca="false">IF($D1792="","",$A1792&amp;"|"&amp;$B1792&amp;"|"&amp;$C1792&amp;"|"&amp;$D1792)</f>
        <v/>
      </c>
      <c r="H1792" s="4" t="str">
        <f aca="false">IF($D1792="","",$G1792&amp;"|"&amp;TEXT($E1792,"0.000000"))</f>
        <v/>
      </c>
      <c r="I1792" s="29" t="str">
        <f aca="false">IF($D1792="","",IF(ISNUMBER($E1792),FLOOR(($E1792-$B1792)*24,1),""))</f>
        <v/>
      </c>
      <c r="J1792" s="10" t="str">
        <f aca="false">IF($D1792="","",IFERROR(IF(VLOOKUP($F1792,Dim_Analyst!$A:$C,3,0)="Yes","Yes","No"),"No"))</f>
        <v/>
      </c>
    </row>
    <row r="1793" customFormat="false" ht="15" hidden="false" customHeight="true" outlineLevel="0" collapsed="false">
      <c r="G1793" s="4" t="str">
        <f aca="false">IF($D1793="","",$A1793&amp;"|"&amp;$B1793&amp;"|"&amp;$C1793&amp;"|"&amp;$D1793)</f>
        <v/>
      </c>
      <c r="H1793" s="4" t="str">
        <f aca="false">IF($D1793="","",$G1793&amp;"|"&amp;TEXT($E1793,"0.000000"))</f>
        <v/>
      </c>
      <c r="I1793" s="29" t="str">
        <f aca="false">IF($D1793="","",IF(ISNUMBER($E1793),FLOOR(($E1793-$B1793)*24,1),""))</f>
        <v/>
      </c>
      <c r="J1793" s="10" t="str">
        <f aca="false">IF($D1793="","",IFERROR(IF(VLOOKUP($F1793,Dim_Analyst!$A:$C,3,0)="Yes","Yes","No"),"No"))</f>
        <v/>
      </c>
    </row>
    <row r="1794" customFormat="false" ht="15" hidden="false" customHeight="true" outlineLevel="0" collapsed="false">
      <c r="G1794" s="4" t="str">
        <f aca="false">IF($D1794="","",$A1794&amp;"|"&amp;$B1794&amp;"|"&amp;$C1794&amp;"|"&amp;$D1794)</f>
        <v/>
      </c>
      <c r="H1794" s="4" t="str">
        <f aca="false">IF($D1794="","",$G1794&amp;"|"&amp;TEXT($E1794,"0.000000"))</f>
        <v/>
      </c>
      <c r="I1794" s="29" t="str">
        <f aca="false">IF($D1794="","",IF(ISNUMBER($E1794),FLOOR(($E1794-$B1794)*24,1),""))</f>
        <v/>
      </c>
      <c r="J1794" s="10" t="str">
        <f aca="false">IF($D1794="","",IFERROR(IF(VLOOKUP($F1794,Dim_Analyst!$A:$C,3,0)="Yes","Yes","No"),"No"))</f>
        <v/>
      </c>
    </row>
    <row r="1795" customFormat="false" ht="15" hidden="false" customHeight="true" outlineLevel="0" collapsed="false">
      <c r="G1795" s="4" t="str">
        <f aca="false">IF($D1795="","",$A1795&amp;"|"&amp;$B1795&amp;"|"&amp;$C1795&amp;"|"&amp;$D1795)</f>
        <v/>
      </c>
      <c r="H1795" s="4" t="str">
        <f aca="false">IF($D1795="","",$G1795&amp;"|"&amp;TEXT($E1795,"0.000000"))</f>
        <v/>
      </c>
      <c r="I1795" s="29" t="str">
        <f aca="false">IF($D1795="","",IF(ISNUMBER($E1795),FLOOR(($E1795-$B1795)*24,1),""))</f>
        <v/>
      </c>
      <c r="J1795" s="10" t="str">
        <f aca="false">IF($D1795="","",IFERROR(IF(VLOOKUP($F1795,Dim_Analyst!$A:$C,3,0)="Yes","Yes","No"),"No"))</f>
        <v/>
      </c>
    </row>
    <row r="1796" customFormat="false" ht="15" hidden="false" customHeight="true" outlineLevel="0" collapsed="false">
      <c r="G1796" s="4" t="str">
        <f aca="false">IF($D1796="","",$A1796&amp;"|"&amp;$B1796&amp;"|"&amp;$C1796&amp;"|"&amp;$D1796)</f>
        <v/>
      </c>
      <c r="H1796" s="4" t="str">
        <f aca="false">IF($D1796="","",$G1796&amp;"|"&amp;TEXT($E1796,"0.000000"))</f>
        <v/>
      </c>
      <c r="I1796" s="29" t="str">
        <f aca="false">IF($D1796="","",IF(ISNUMBER($E1796),FLOOR(($E1796-$B1796)*24,1),""))</f>
        <v/>
      </c>
      <c r="J1796" s="10" t="str">
        <f aca="false">IF($D1796="","",IFERROR(IF(VLOOKUP($F1796,Dim_Analyst!$A:$C,3,0)="Yes","Yes","No"),"No"))</f>
        <v/>
      </c>
    </row>
    <row r="1797" customFormat="false" ht="15" hidden="false" customHeight="true" outlineLevel="0" collapsed="false">
      <c r="G1797" s="4" t="str">
        <f aca="false">IF($D1797="","",$A1797&amp;"|"&amp;$B1797&amp;"|"&amp;$C1797&amp;"|"&amp;$D1797)</f>
        <v/>
      </c>
      <c r="H1797" s="4" t="str">
        <f aca="false">IF($D1797="","",$G1797&amp;"|"&amp;TEXT($E1797,"0.000000"))</f>
        <v/>
      </c>
      <c r="I1797" s="29" t="str">
        <f aca="false">IF($D1797="","",IF(ISNUMBER($E1797),FLOOR(($E1797-$B1797)*24,1),""))</f>
        <v/>
      </c>
      <c r="J1797" s="10" t="str">
        <f aca="false">IF($D1797="","",IFERROR(IF(VLOOKUP($F1797,Dim_Analyst!$A:$C,3,0)="Yes","Yes","No"),"No"))</f>
        <v/>
      </c>
    </row>
    <row r="1798" customFormat="false" ht="15" hidden="false" customHeight="true" outlineLevel="0" collapsed="false">
      <c r="G1798" s="4" t="str">
        <f aca="false">IF($D1798="","",$A1798&amp;"|"&amp;$B1798&amp;"|"&amp;$C1798&amp;"|"&amp;$D1798)</f>
        <v/>
      </c>
      <c r="H1798" s="4" t="str">
        <f aca="false">IF($D1798="","",$G1798&amp;"|"&amp;TEXT($E1798,"0.000000"))</f>
        <v/>
      </c>
      <c r="I1798" s="29" t="str">
        <f aca="false">IF($D1798="","",IF(ISNUMBER($E1798),FLOOR(($E1798-$B1798)*24,1),""))</f>
        <v/>
      </c>
      <c r="J1798" s="10" t="str">
        <f aca="false">IF($D1798="","",IFERROR(IF(VLOOKUP($F1798,Dim_Analyst!$A:$C,3,0)="Yes","Yes","No"),"No"))</f>
        <v/>
      </c>
    </row>
    <row r="1799" customFormat="false" ht="15" hidden="false" customHeight="true" outlineLevel="0" collapsed="false">
      <c r="G1799" s="4" t="str">
        <f aca="false">IF($D1799="","",$A1799&amp;"|"&amp;$B1799&amp;"|"&amp;$C1799&amp;"|"&amp;$D1799)</f>
        <v/>
      </c>
      <c r="H1799" s="4" t="str">
        <f aca="false">IF($D1799="","",$G1799&amp;"|"&amp;TEXT($E1799,"0.000000"))</f>
        <v/>
      </c>
      <c r="I1799" s="29" t="str">
        <f aca="false">IF($D1799="","",IF(ISNUMBER($E1799),FLOOR(($E1799-$B1799)*24,1),""))</f>
        <v/>
      </c>
      <c r="J1799" s="10" t="str">
        <f aca="false">IF($D1799="","",IFERROR(IF(VLOOKUP($F1799,Dim_Analyst!$A:$C,3,0)="Yes","Yes","No"),"No"))</f>
        <v/>
      </c>
    </row>
    <row r="1800" customFormat="false" ht="15" hidden="false" customHeight="true" outlineLevel="0" collapsed="false">
      <c r="G1800" s="4" t="str">
        <f aca="false">IF($D1800="","",$A1800&amp;"|"&amp;$B1800&amp;"|"&amp;$C1800&amp;"|"&amp;$D1800)</f>
        <v/>
      </c>
      <c r="H1800" s="4" t="str">
        <f aca="false">IF($D1800="","",$G1800&amp;"|"&amp;TEXT($E1800,"0.000000"))</f>
        <v/>
      </c>
      <c r="I1800" s="29" t="str">
        <f aca="false">IF($D1800="","",IF(ISNUMBER($E1800),FLOOR(($E1800-$B1800)*24,1),""))</f>
        <v/>
      </c>
      <c r="J1800" s="10" t="str">
        <f aca="false">IF($D1800="","",IFERROR(IF(VLOOKUP($F1800,Dim_Analyst!$A:$C,3,0)="Yes","Yes","No"),"No"))</f>
        <v/>
      </c>
    </row>
    <row r="1801" customFormat="false" ht="15" hidden="false" customHeight="true" outlineLevel="0" collapsed="false">
      <c r="G1801" s="4" t="str">
        <f aca="false">IF($D1801="","",$A1801&amp;"|"&amp;$B1801&amp;"|"&amp;$C1801&amp;"|"&amp;$D1801)</f>
        <v/>
      </c>
      <c r="H1801" s="4" t="str">
        <f aca="false">IF($D1801="","",$G1801&amp;"|"&amp;TEXT($E1801,"0.000000"))</f>
        <v/>
      </c>
      <c r="I1801" s="29" t="str">
        <f aca="false">IF($D1801="","",IF(ISNUMBER($E1801),FLOOR(($E1801-$B1801)*24,1),""))</f>
        <v/>
      </c>
      <c r="J1801" s="10" t="str">
        <f aca="false">IF($D1801="","",IFERROR(IF(VLOOKUP($F1801,Dim_Analyst!$A:$C,3,0)="Yes","Yes","No"),"No"))</f>
        <v/>
      </c>
    </row>
    <row r="1802" customFormat="false" ht="15" hidden="false" customHeight="true" outlineLevel="0" collapsed="false">
      <c r="G1802" s="4" t="str">
        <f aca="false">IF($D1802="","",$A1802&amp;"|"&amp;$B1802&amp;"|"&amp;$C1802&amp;"|"&amp;$D1802)</f>
        <v/>
      </c>
      <c r="H1802" s="4" t="str">
        <f aca="false">IF($D1802="","",$G1802&amp;"|"&amp;TEXT($E1802,"0.000000"))</f>
        <v/>
      </c>
      <c r="I1802" s="29" t="str">
        <f aca="false">IF($D1802="","",IF(ISNUMBER($E1802),FLOOR(($E1802-$B1802)*24,1),""))</f>
        <v/>
      </c>
      <c r="J1802" s="10" t="str">
        <f aca="false">IF($D1802="","",IFERROR(IF(VLOOKUP($F1802,Dim_Analyst!$A:$C,3,0)="Yes","Yes","No"),"No"))</f>
        <v/>
      </c>
    </row>
    <row r="1803" customFormat="false" ht="15" hidden="false" customHeight="true" outlineLevel="0" collapsed="false">
      <c r="G1803" s="4" t="str">
        <f aca="false">IF($D1803="","",$A1803&amp;"|"&amp;$B1803&amp;"|"&amp;$C1803&amp;"|"&amp;$D1803)</f>
        <v/>
      </c>
      <c r="H1803" s="4" t="str">
        <f aca="false">IF($D1803="","",$G1803&amp;"|"&amp;TEXT($E1803,"0.000000"))</f>
        <v/>
      </c>
      <c r="I1803" s="29" t="str">
        <f aca="false">IF($D1803="","",IF(ISNUMBER($E1803),FLOOR(($E1803-$B1803)*24,1),""))</f>
        <v/>
      </c>
      <c r="J1803" s="10" t="str">
        <f aca="false">IF($D1803="","",IFERROR(IF(VLOOKUP($F1803,Dim_Analyst!$A:$C,3,0)="Yes","Yes","No"),"No"))</f>
        <v/>
      </c>
    </row>
    <row r="1804" customFormat="false" ht="15" hidden="false" customHeight="true" outlineLevel="0" collapsed="false">
      <c r="G1804" s="4" t="str">
        <f aca="false">IF($D1804="","",$A1804&amp;"|"&amp;$B1804&amp;"|"&amp;$C1804&amp;"|"&amp;$D1804)</f>
        <v/>
      </c>
      <c r="H1804" s="4" t="str">
        <f aca="false">IF($D1804="","",$G1804&amp;"|"&amp;TEXT($E1804,"0.000000"))</f>
        <v/>
      </c>
      <c r="I1804" s="29" t="str">
        <f aca="false">IF($D1804="","",IF(ISNUMBER($E1804),FLOOR(($E1804-$B1804)*24,1),""))</f>
        <v/>
      </c>
      <c r="J1804" s="10" t="str">
        <f aca="false">IF($D1804="","",IFERROR(IF(VLOOKUP($F1804,Dim_Analyst!$A:$C,3,0)="Yes","Yes","No"),"No"))</f>
        <v/>
      </c>
    </row>
    <row r="1805" customFormat="false" ht="15" hidden="false" customHeight="true" outlineLevel="0" collapsed="false">
      <c r="G1805" s="4" t="str">
        <f aca="false">IF($D1805="","",$A1805&amp;"|"&amp;$B1805&amp;"|"&amp;$C1805&amp;"|"&amp;$D1805)</f>
        <v/>
      </c>
      <c r="H1805" s="4" t="str">
        <f aca="false">IF($D1805="","",$G1805&amp;"|"&amp;TEXT($E1805,"0.000000"))</f>
        <v/>
      </c>
      <c r="I1805" s="29" t="str">
        <f aca="false">IF($D1805="","",IF(ISNUMBER($E1805),FLOOR(($E1805-$B1805)*24,1),""))</f>
        <v/>
      </c>
      <c r="J1805" s="10" t="str">
        <f aca="false">IF($D1805="","",IFERROR(IF(VLOOKUP($F1805,Dim_Analyst!$A:$C,3,0)="Yes","Yes","No"),"No"))</f>
        <v/>
      </c>
    </row>
    <row r="1806" customFormat="false" ht="15" hidden="false" customHeight="true" outlineLevel="0" collapsed="false">
      <c r="G1806" s="4" t="str">
        <f aca="false">IF($D1806="","",$A1806&amp;"|"&amp;$B1806&amp;"|"&amp;$C1806&amp;"|"&amp;$D1806)</f>
        <v/>
      </c>
      <c r="H1806" s="4" t="str">
        <f aca="false">IF($D1806="","",$G1806&amp;"|"&amp;TEXT($E1806,"0.000000"))</f>
        <v/>
      </c>
      <c r="I1806" s="29" t="str">
        <f aca="false">IF($D1806="","",IF(ISNUMBER($E1806),FLOOR(($E1806-$B1806)*24,1),""))</f>
        <v/>
      </c>
      <c r="J1806" s="10" t="str">
        <f aca="false">IF($D1806="","",IFERROR(IF(VLOOKUP($F1806,Dim_Analyst!$A:$C,3,0)="Yes","Yes","No"),"No"))</f>
        <v/>
      </c>
    </row>
    <row r="1807" customFormat="false" ht="15" hidden="false" customHeight="true" outlineLevel="0" collapsed="false">
      <c r="G1807" s="4" t="str">
        <f aca="false">IF($D1807="","",$A1807&amp;"|"&amp;$B1807&amp;"|"&amp;$C1807&amp;"|"&amp;$D1807)</f>
        <v/>
      </c>
      <c r="H1807" s="4" t="str">
        <f aca="false">IF($D1807="","",$G1807&amp;"|"&amp;TEXT($E1807,"0.000000"))</f>
        <v/>
      </c>
      <c r="I1807" s="29" t="str">
        <f aca="false">IF($D1807="","",IF(ISNUMBER($E1807),FLOOR(($E1807-$B1807)*24,1),""))</f>
        <v/>
      </c>
      <c r="J1807" s="10" t="str">
        <f aca="false">IF($D1807="","",IFERROR(IF(VLOOKUP($F1807,Dim_Analyst!$A:$C,3,0)="Yes","Yes","No"),"No"))</f>
        <v/>
      </c>
    </row>
    <row r="1808" customFormat="false" ht="15" hidden="false" customHeight="true" outlineLevel="0" collapsed="false">
      <c r="G1808" s="4" t="str">
        <f aca="false">IF($D1808="","",$A1808&amp;"|"&amp;$B1808&amp;"|"&amp;$C1808&amp;"|"&amp;$D1808)</f>
        <v/>
      </c>
      <c r="H1808" s="4" t="str">
        <f aca="false">IF($D1808="","",$G1808&amp;"|"&amp;TEXT($E1808,"0.000000"))</f>
        <v/>
      </c>
      <c r="I1808" s="29" t="str">
        <f aca="false">IF($D1808="","",IF(ISNUMBER($E1808),FLOOR(($E1808-$B1808)*24,1),""))</f>
        <v/>
      </c>
      <c r="J1808" s="10" t="str">
        <f aca="false">IF($D1808="","",IFERROR(IF(VLOOKUP($F1808,Dim_Analyst!$A:$C,3,0)="Yes","Yes","No"),"No"))</f>
        <v/>
      </c>
    </row>
    <row r="1809" customFormat="false" ht="15" hidden="false" customHeight="true" outlineLevel="0" collapsed="false">
      <c r="G1809" s="4" t="str">
        <f aca="false">IF($D1809="","",$A1809&amp;"|"&amp;$B1809&amp;"|"&amp;$C1809&amp;"|"&amp;$D1809)</f>
        <v/>
      </c>
      <c r="H1809" s="4" t="str">
        <f aca="false">IF($D1809="","",$G1809&amp;"|"&amp;TEXT($E1809,"0.000000"))</f>
        <v/>
      </c>
      <c r="I1809" s="29" t="str">
        <f aca="false">IF($D1809="","",IF(ISNUMBER($E1809),FLOOR(($E1809-$B1809)*24,1),""))</f>
        <v/>
      </c>
      <c r="J1809" s="10" t="str">
        <f aca="false">IF($D1809="","",IFERROR(IF(VLOOKUP($F1809,Dim_Analyst!$A:$C,3,0)="Yes","Yes","No"),"No"))</f>
        <v/>
      </c>
    </row>
    <row r="1810" customFormat="false" ht="15" hidden="false" customHeight="true" outlineLevel="0" collapsed="false">
      <c r="G1810" s="4" t="str">
        <f aca="false">IF($D1810="","",$A1810&amp;"|"&amp;$B1810&amp;"|"&amp;$C1810&amp;"|"&amp;$D1810)</f>
        <v/>
      </c>
      <c r="H1810" s="4" t="str">
        <f aca="false">IF($D1810="","",$G1810&amp;"|"&amp;TEXT($E1810,"0.000000"))</f>
        <v/>
      </c>
      <c r="I1810" s="29" t="str">
        <f aca="false">IF($D1810="","",IF(ISNUMBER($E1810),FLOOR(($E1810-$B1810)*24,1),""))</f>
        <v/>
      </c>
      <c r="J1810" s="10" t="str">
        <f aca="false">IF($D1810="","",IFERROR(IF(VLOOKUP($F1810,Dim_Analyst!$A:$C,3,0)="Yes","Yes","No"),"No"))</f>
        <v/>
      </c>
    </row>
    <row r="1811" customFormat="false" ht="15" hidden="false" customHeight="true" outlineLevel="0" collapsed="false">
      <c r="G1811" s="4" t="str">
        <f aca="false">IF($D1811="","",$A1811&amp;"|"&amp;$B1811&amp;"|"&amp;$C1811&amp;"|"&amp;$D1811)</f>
        <v/>
      </c>
      <c r="H1811" s="4" t="str">
        <f aca="false">IF($D1811="","",$G1811&amp;"|"&amp;TEXT($E1811,"0.000000"))</f>
        <v/>
      </c>
      <c r="I1811" s="29" t="str">
        <f aca="false">IF($D1811="","",IF(ISNUMBER($E1811),FLOOR(($E1811-$B1811)*24,1),""))</f>
        <v/>
      </c>
      <c r="J1811" s="10" t="str">
        <f aca="false">IF($D1811="","",IFERROR(IF(VLOOKUP($F1811,Dim_Analyst!$A:$C,3,0)="Yes","Yes","No"),"No"))</f>
        <v/>
      </c>
    </row>
    <row r="1812" customFormat="false" ht="15" hidden="false" customHeight="true" outlineLevel="0" collapsed="false">
      <c r="G1812" s="4" t="str">
        <f aca="false">IF($D1812="","",$A1812&amp;"|"&amp;$B1812&amp;"|"&amp;$C1812&amp;"|"&amp;$D1812)</f>
        <v/>
      </c>
      <c r="H1812" s="4" t="str">
        <f aca="false">IF($D1812="","",$G1812&amp;"|"&amp;TEXT($E1812,"0.000000"))</f>
        <v/>
      </c>
      <c r="I1812" s="29" t="str">
        <f aca="false">IF($D1812="","",IF(ISNUMBER($E1812),FLOOR(($E1812-$B1812)*24,1),""))</f>
        <v/>
      </c>
      <c r="J1812" s="10" t="str">
        <f aca="false">IF($D1812="","",IFERROR(IF(VLOOKUP($F1812,Dim_Analyst!$A:$C,3,0)="Yes","Yes","No"),"No"))</f>
        <v/>
      </c>
    </row>
    <row r="1813" customFormat="false" ht="15" hidden="false" customHeight="true" outlineLevel="0" collapsed="false">
      <c r="G1813" s="4" t="str">
        <f aca="false">IF($D1813="","",$A1813&amp;"|"&amp;$B1813&amp;"|"&amp;$C1813&amp;"|"&amp;$D1813)</f>
        <v/>
      </c>
      <c r="H1813" s="4" t="str">
        <f aca="false">IF($D1813="","",$G1813&amp;"|"&amp;TEXT($E1813,"0.000000"))</f>
        <v/>
      </c>
      <c r="I1813" s="29" t="str">
        <f aca="false">IF($D1813="","",IF(ISNUMBER($E1813),FLOOR(($E1813-$B1813)*24,1),""))</f>
        <v/>
      </c>
      <c r="J1813" s="10" t="str">
        <f aca="false">IF($D1813="","",IFERROR(IF(VLOOKUP($F1813,Dim_Analyst!$A:$C,3,0)="Yes","Yes","No"),"No"))</f>
        <v/>
      </c>
    </row>
    <row r="1814" customFormat="false" ht="15" hidden="false" customHeight="true" outlineLevel="0" collapsed="false">
      <c r="G1814" s="4" t="str">
        <f aca="false">IF($D1814="","",$A1814&amp;"|"&amp;$B1814&amp;"|"&amp;$C1814&amp;"|"&amp;$D1814)</f>
        <v/>
      </c>
      <c r="H1814" s="4" t="str">
        <f aca="false">IF($D1814="","",$G1814&amp;"|"&amp;TEXT($E1814,"0.000000"))</f>
        <v/>
      </c>
      <c r="I1814" s="29" t="str">
        <f aca="false">IF($D1814="","",IF(ISNUMBER($E1814),FLOOR(($E1814-$B1814)*24,1),""))</f>
        <v/>
      </c>
      <c r="J1814" s="10" t="str">
        <f aca="false">IF($D1814="","",IFERROR(IF(VLOOKUP($F1814,Dim_Analyst!$A:$C,3,0)="Yes","Yes","No"),"No"))</f>
        <v/>
      </c>
    </row>
    <row r="1815" customFormat="false" ht="15" hidden="false" customHeight="true" outlineLevel="0" collapsed="false">
      <c r="G1815" s="4" t="str">
        <f aca="false">IF($D1815="","",$A1815&amp;"|"&amp;$B1815&amp;"|"&amp;$C1815&amp;"|"&amp;$D1815)</f>
        <v/>
      </c>
      <c r="H1815" s="4" t="str">
        <f aca="false">IF($D1815="","",$G1815&amp;"|"&amp;TEXT($E1815,"0.000000"))</f>
        <v/>
      </c>
      <c r="I1815" s="29" t="str">
        <f aca="false">IF($D1815="","",IF(ISNUMBER($E1815),FLOOR(($E1815-$B1815)*24,1),""))</f>
        <v/>
      </c>
      <c r="J1815" s="10" t="str">
        <f aca="false">IF($D1815="","",IFERROR(IF(VLOOKUP($F1815,Dim_Analyst!$A:$C,3,0)="Yes","Yes","No"),"No"))</f>
        <v/>
      </c>
    </row>
    <row r="1816" customFormat="false" ht="15" hidden="false" customHeight="true" outlineLevel="0" collapsed="false">
      <c r="G1816" s="4" t="str">
        <f aca="false">IF($D1816="","",$A1816&amp;"|"&amp;$B1816&amp;"|"&amp;$C1816&amp;"|"&amp;$D1816)</f>
        <v/>
      </c>
      <c r="H1816" s="4" t="str">
        <f aca="false">IF($D1816="","",$G1816&amp;"|"&amp;TEXT($E1816,"0.000000"))</f>
        <v/>
      </c>
      <c r="I1816" s="29" t="str">
        <f aca="false">IF($D1816="","",IF(ISNUMBER($E1816),FLOOR(($E1816-$B1816)*24,1),""))</f>
        <v/>
      </c>
      <c r="J1816" s="10" t="str">
        <f aca="false">IF($D1816="","",IFERROR(IF(VLOOKUP($F1816,Dim_Analyst!$A:$C,3,0)="Yes","Yes","No"),"No"))</f>
        <v/>
      </c>
    </row>
    <row r="1817" customFormat="false" ht="15" hidden="false" customHeight="true" outlineLevel="0" collapsed="false">
      <c r="G1817" s="4" t="str">
        <f aca="false">IF($D1817="","",$A1817&amp;"|"&amp;$B1817&amp;"|"&amp;$C1817&amp;"|"&amp;$D1817)</f>
        <v/>
      </c>
      <c r="H1817" s="4" t="str">
        <f aca="false">IF($D1817="","",$G1817&amp;"|"&amp;TEXT($E1817,"0.000000"))</f>
        <v/>
      </c>
      <c r="I1817" s="29" t="str">
        <f aca="false">IF($D1817="","",IF(ISNUMBER($E1817),FLOOR(($E1817-$B1817)*24,1),""))</f>
        <v/>
      </c>
      <c r="J1817" s="10" t="str">
        <f aca="false">IF($D1817="","",IFERROR(IF(VLOOKUP($F1817,Dim_Analyst!$A:$C,3,0)="Yes","Yes","No"),"No"))</f>
        <v/>
      </c>
    </row>
    <row r="1818" customFormat="false" ht="15" hidden="false" customHeight="true" outlineLevel="0" collapsed="false">
      <c r="G1818" s="4" t="str">
        <f aca="false">IF($D1818="","",$A1818&amp;"|"&amp;$B1818&amp;"|"&amp;$C1818&amp;"|"&amp;$D1818)</f>
        <v/>
      </c>
      <c r="H1818" s="4" t="str">
        <f aca="false">IF($D1818="","",$G1818&amp;"|"&amp;TEXT($E1818,"0.000000"))</f>
        <v/>
      </c>
      <c r="I1818" s="29" t="str">
        <f aca="false">IF($D1818="","",IF(ISNUMBER($E1818),FLOOR(($E1818-$B1818)*24,1),""))</f>
        <v/>
      </c>
      <c r="J1818" s="10" t="str">
        <f aca="false">IF($D1818="","",IFERROR(IF(VLOOKUP($F1818,Dim_Analyst!$A:$C,3,0)="Yes","Yes","No"),"No"))</f>
        <v/>
      </c>
    </row>
    <row r="1819" customFormat="false" ht="15" hidden="false" customHeight="true" outlineLevel="0" collapsed="false">
      <c r="G1819" s="4" t="str">
        <f aca="false">IF($D1819="","",$A1819&amp;"|"&amp;$B1819&amp;"|"&amp;$C1819&amp;"|"&amp;$D1819)</f>
        <v/>
      </c>
      <c r="H1819" s="4" t="str">
        <f aca="false">IF($D1819="","",$G1819&amp;"|"&amp;TEXT($E1819,"0.000000"))</f>
        <v/>
      </c>
      <c r="I1819" s="29" t="str">
        <f aca="false">IF($D1819="","",IF(ISNUMBER($E1819),FLOOR(($E1819-$B1819)*24,1),""))</f>
        <v/>
      </c>
      <c r="J1819" s="10" t="str">
        <f aca="false">IF($D1819="","",IFERROR(IF(VLOOKUP($F1819,Dim_Analyst!$A:$C,3,0)="Yes","Yes","No"),"No"))</f>
        <v/>
      </c>
    </row>
    <row r="1820" customFormat="false" ht="15" hidden="false" customHeight="true" outlineLevel="0" collapsed="false">
      <c r="G1820" s="4" t="str">
        <f aca="false">IF($D1820="","",$A1820&amp;"|"&amp;$B1820&amp;"|"&amp;$C1820&amp;"|"&amp;$D1820)</f>
        <v/>
      </c>
      <c r="H1820" s="4" t="str">
        <f aca="false">IF($D1820="","",$G1820&amp;"|"&amp;TEXT($E1820,"0.000000"))</f>
        <v/>
      </c>
      <c r="I1820" s="29" t="str">
        <f aca="false">IF($D1820="","",IF(ISNUMBER($E1820),FLOOR(($E1820-$B1820)*24,1),""))</f>
        <v/>
      </c>
      <c r="J1820" s="10" t="str">
        <f aca="false">IF($D1820="","",IFERROR(IF(VLOOKUP($F1820,Dim_Analyst!$A:$C,3,0)="Yes","Yes","No"),"No"))</f>
        <v/>
      </c>
    </row>
    <row r="1821" customFormat="false" ht="15" hidden="false" customHeight="true" outlineLevel="0" collapsed="false">
      <c r="G1821" s="4" t="str">
        <f aca="false">IF($D1821="","",$A1821&amp;"|"&amp;$B1821&amp;"|"&amp;$C1821&amp;"|"&amp;$D1821)</f>
        <v/>
      </c>
      <c r="H1821" s="4" t="str">
        <f aca="false">IF($D1821="","",$G1821&amp;"|"&amp;TEXT($E1821,"0.000000"))</f>
        <v/>
      </c>
      <c r="I1821" s="29" t="str">
        <f aca="false">IF($D1821="","",IF(ISNUMBER($E1821),FLOOR(($E1821-$B1821)*24,1),""))</f>
        <v/>
      </c>
      <c r="J1821" s="10" t="str">
        <f aca="false">IF($D1821="","",IFERROR(IF(VLOOKUP($F1821,Dim_Analyst!$A:$C,3,0)="Yes","Yes","No"),"No"))</f>
        <v/>
      </c>
    </row>
    <row r="1822" customFormat="false" ht="15" hidden="false" customHeight="true" outlineLevel="0" collapsed="false">
      <c r="G1822" s="4" t="str">
        <f aca="false">IF($D1822="","",$A1822&amp;"|"&amp;$B1822&amp;"|"&amp;$C1822&amp;"|"&amp;$D1822)</f>
        <v/>
      </c>
      <c r="H1822" s="4" t="str">
        <f aca="false">IF($D1822="","",$G1822&amp;"|"&amp;TEXT($E1822,"0.000000"))</f>
        <v/>
      </c>
      <c r="I1822" s="29" t="str">
        <f aca="false">IF($D1822="","",IF(ISNUMBER($E1822),FLOOR(($E1822-$B1822)*24,1),""))</f>
        <v/>
      </c>
      <c r="J1822" s="10" t="str">
        <f aca="false">IF($D1822="","",IFERROR(IF(VLOOKUP($F1822,Dim_Analyst!$A:$C,3,0)="Yes","Yes","No"),"No"))</f>
        <v/>
      </c>
    </row>
    <row r="1823" customFormat="false" ht="15" hidden="false" customHeight="true" outlineLevel="0" collapsed="false">
      <c r="G1823" s="4" t="str">
        <f aca="false">IF($D1823="","",$A1823&amp;"|"&amp;$B1823&amp;"|"&amp;$C1823&amp;"|"&amp;$D1823)</f>
        <v/>
      </c>
      <c r="H1823" s="4" t="str">
        <f aca="false">IF($D1823="","",$G1823&amp;"|"&amp;TEXT($E1823,"0.000000"))</f>
        <v/>
      </c>
      <c r="I1823" s="29" t="str">
        <f aca="false">IF($D1823="","",IF(ISNUMBER($E1823),FLOOR(($E1823-$B1823)*24,1),""))</f>
        <v/>
      </c>
      <c r="J1823" s="10" t="str">
        <f aca="false">IF($D1823="","",IFERROR(IF(VLOOKUP($F1823,Dim_Analyst!$A:$C,3,0)="Yes","Yes","No"),"No"))</f>
        <v/>
      </c>
    </row>
    <row r="1824" customFormat="false" ht="15" hidden="false" customHeight="true" outlineLevel="0" collapsed="false">
      <c r="G1824" s="4" t="str">
        <f aca="false">IF($D1824="","",$A1824&amp;"|"&amp;$B1824&amp;"|"&amp;$C1824&amp;"|"&amp;$D1824)</f>
        <v/>
      </c>
      <c r="H1824" s="4" t="str">
        <f aca="false">IF($D1824="","",$G1824&amp;"|"&amp;TEXT($E1824,"0.000000"))</f>
        <v/>
      </c>
      <c r="I1824" s="29" t="str">
        <f aca="false">IF($D1824="","",IF(ISNUMBER($E1824),FLOOR(($E1824-$B1824)*24,1),""))</f>
        <v/>
      </c>
      <c r="J1824" s="10" t="str">
        <f aca="false">IF($D1824="","",IFERROR(IF(VLOOKUP($F1824,Dim_Analyst!$A:$C,3,0)="Yes","Yes","No"),"No"))</f>
        <v/>
      </c>
    </row>
    <row r="1825" customFormat="false" ht="15" hidden="false" customHeight="true" outlineLevel="0" collapsed="false">
      <c r="G1825" s="4" t="str">
        <f aca="false">IF($D1825="","",$A1825&amp;"|"&amp;$B1825&amp;"|"&amp;$C1825&amp;"|"&amp;$D1825)</f>
        <v/>
      </c>
      <c r="H1825" s="4" t="str">
        <f aca="false">IF($D1825="","",$G1825&amp;"|"&amp;TEXT($E1825,"0.000000"))</f>
        <v/>
      </c>
      <c r="I1825" s="29" t="str">
        <f aca="false">IF($D1825="","",IF(ISNUMBER($E1825),FLOOR(($E1825-$B1825)*24,1),""))</f>
        <v/>
      </c>
      <c r="J1825" s="10" t="str">
        <f aca="false">IF($D1825="","",IFERROR(IF(VLOOKUP($F1825,Dim_Analyst!$A:$C,3,0)="Yes","Yes","No"),"No"))</f>
        <v/>
      </c>
    </row>
    <row r="1826" customFormat="false" ht="15" hidden="false" customHeight="true" outlineLevel="0" collapsed="false">
      <c r="G1826" s="4" t="str">
        <f aca="false">IF($D1826="","",$A1826&amp;"|"&amp;$B1826&amp;"|"&amp;$C1826&amp;"|"&amp;$D1826)</f>
        <v/>
      </c>
      <c r="H1826" s="4" t="str">
        <f aca="false">IF($D1826="","",$G1826&amp;"|"&amp;TEXT($E1826,"0.000000"))</f>
        <v/>
      </c>
      <c r="I1826" s="29" t="str">
        <f aca="false">IF($D1826="","",IF(ISNUMBER($E1826),FLOOR(($E1826-$B1826)*24,1),""))</f>
        <v/>
      </c>
      <c r="J1826" s="10" t="str">
        <f aca="false">IF($D1826="","",IFERROR(IF(VLOOKUP($F1826,Dim_Analyst!$A:$C,3,0)="Yes","Yes","No"),"No"))</f>
        <v/>
      </c>
    </row>
    <row r="1827" customFormat="false" ht="15" hidden="false" customHeight="true" outlineLevel="0" collapsed="false">
      <c r="G1827" s="4" t="str">
        <f aca="false">IF($D1827="","",$A1827&amp;"|"&amp;$B1827&amp;"|"&amp;$C1827&amp;"|"&amp;$D1827)</f>
        <v/>
      </c>
      <c r="H1827" s="4" t="str">
        <f aca="false">IF($D1827="","",$G1827&amp;"|"&amp;TEXT($E1827,"0.000000"))</f>
        <v/>
      </c>
      <c r="I1827" s="29" t="str">
        <f aca="false">IF($D1827="","",IF(ISNUMBER($E1827),FLOOR(($E1827-$B1827)*24,1),""))</f>
        <v/>
      </c>
      <c r="J1827" s="10" t="str">
        <f aca="false">IF($D1827="","",IFERROR(IF(VLOOKUP($F1827,Dim_Analyst!$A:$C,3,0)="Yes","Yes","No"),"No"))</f>
        <v/>
      </c>
    </row>
    <row r="1828" customFormat="false" ht="15" hidden="false" customHeight="true" outlineLevel="0" collapsed="false">
      <c r="G1828" s="4" t="str">
        <f aca="false">IF($D1828="","",$A1828&amp;"|"&amp;$B1828&amp;"|"&amp;$C1828&amp;"|"&amp;$D1828)</f>
        <v/>
      </c>
      <c r="H1828" s="4" t="str">
        <f aca="false">IF($D1828="","",$G1828&amp;"|"&amp;TEXT($E1828,"0.000000"))</f>
        <v/>
      </c>
      <c r="I1828" s="29" t="str">
        <f aca="false">IF($D1828="","",IF(ISNUMBER($E1828),FLOOR(($E1828-$B1828)*24,1),""))</f>
        <v/>
      </c>
      <c r="J1828" s="10" t="str">
        <f aca="false">IF($D1828="","",IFERROR(IF(VLOOKUP($F1828,Dim_Analyst!$A:$C,3,0)="Yes","Yes","No"),"No"))</f>
        <v/>
      </c>
    </row>
    <row r="1829" customFormat="false" ht="15" hidden="false" customHeight="true" outlineLevel="0" collapsed="false">
      <c r="G1829" s="4" t="str">
        <f aca="false">IF($D1829="","",$A1829&amp;"|"&amp;$B1829&amp;"|"&amp;$C1829&amp;"|"&amp;$D1829)</f>
        <v/>
      </c>
      <c r="H1829" s="4" t="str">
        <f aca="false">IF($D1829="","",$G1829&amp;"|"&amp;TEXT($E1829,"0.000000"))</f>
        <v/>
      </c>
      <c r="I1829" s="29" t="str">
        <f aca="false">IF($D1829="","",IF(ISNUMBER($E1829),FLOOR(($E1829-$B1829)*24,1),""))</f>
        <v/>
      </c>
      <c r="J1829" s="10" t="str">
        <f aca="false">IF($D1829="","",IFERROR(IF(VLOOKUP($F1829,Dim_Analyst!$A:$C,3,0)="Yes","Yes","No"),"No"))</f>
        <v/>
      </c>
    </row>
    <row r="1830" customFormat="false" ht="15" hidden="false" customHeight="true" outlineLevel="0" collapsed="false">
      <c r="G1830" s="4" t="str">
        <f aca="false">IF($D1830="","",$A1830&amp;"|"&amp;$B1830&amp;"|"&amp;$C1830&amp;"|"&amp;$D1830)</f>
        <v/>
      </c>
      <c r="H1830" s="4" t="str">
        <f aca="false">IF($D1830="","",$G1830&amp;"|"&amp;TEXT($E1830,"0.000000"))</f>
        <v/>
      </c>
      <c r="I1830" s="29" t="str">
        <f aca="false">IF($D1830="","",IF(ISNUMBER($E1830),FLOOR(($E1830-$B1830)*24,1),""))</f>
        <v/>
      </c>
      <c r="J1830" s="10" t="str">
        <f aca="false">IF($D1830="","",IFERROR(IF(VLOOKUP($F1830,Dim_Analyst!$A:$C,3,0)="Yes","Yes","No"),"No"))</f>
        <v/>
      </c>
    </row>
    <row r="1831" customFormat="false" ht="15" hidden="false" customHeight="true" outlineLevel="0" collapsed="false">
      <c r="G1831" s="4" t="str">
        <f aca="false">IF($D1831="","",$A1831&amp;"|"&amp;$B1831&amp;"|"&amp;$C1831&amp;"|"&amp;$D1831)</f>
        <v/>
      </c>
      <c r="H1831" s="4" t="str">
        <f aca="false">IF($D1831="","",$G1831&amp;"|"&amp;TEXT($E1831,"0.000000"))</f>
        <v/>
      </c>
      <c r="I1831" s="29" t="str">
        <f aca="false">IF($D1831="","",IF(ISNUMBER($E1831),FLOOR(($E1831-$B1831)*24,1),""))</f>
        <v/>
      </c>
      <c r="J1831" s="10" t="str">
        <f aca="false">IF($D1831="","",IFERROR(IF(VLOOKUP($F1831,Dim_Analyst!$A:$C,3,0)="Yes","Yes","No"),"No"))</f>
        <v/>
      </c>
    </row>
    <row r="1832" customFormat="false" ht="15" hidden="false" customHeight="true" outlineLevel="0" collapsed="false">
      <c r="G1832" s="4" t="str">
        <f aca="false">IF($D1832="","",$A1832&amp;"|"&amp;$B1832&amp;"|"&amp;$C1832&amp;"|"&amp;$D1832)</f>
        <v/>
      </c>
      <c r="H1832" s="4" t="str">
        <f aca="false">IF($D1832="","",$G1832&amp;"|"&amp;TEXT($E1832,"0.000000"))</f>
        <v/>
      </c>
      <c r="I1832" s="29" t="str">
        <f aca="false">IF($D1832="","",IF(ISNUMBER($E1832),FLOOR(($E1832-$B1832)*24,1),""))</f>
        <v/>
      </c>
      <c r="J1832" s="10" t="str">
        <f aca="false">IF($D1832="","",IFERROR(IF(VLOOKUP($F1832,Dim_Analyst!$A:$C,3,0)="Yes","Yes","No"),"No"))</f>
        <v/>
      </c>
    </row>
    <row r="1833" customFormat="false" ht="15" hidden="false" customHeight="true" outlineLevel="0" collapsed="false">
      <c r="G1833" s="4" t="str">
        <f aca="false">IF($D1833="","",$A1833&amp;"|"&amp;$B1833&amp;"|"&amp;$C1833&amp;"|"&amp;$D1833)</f>
        <v/>
      </c>
      <c r="H1833" s="4" t="str">
        <f aca="false">IF($D1833="","",$G1833&amp;"|"&amp;TEXT($E1833,"0.000000"))</f>
        <v/>
      </c>
      <c r="I1833" s="29" t="str">
        <f aca="false">IF($D1833="","",IF(ISNUMBER($E1833),FLOOR(($E1833-$B1833)*24,1),""))</f>
        <v/>
      </c>
      <c r="J1833" s="10" t="str">
        <f aca="false">IF($D1833="","",IFERROR(IF(VLOOKUP($F1833,Dim_Analyst!$A:$C,3,0)="Yes","Yes","No"),"No"))</f>
        <v/>
      </c>
    </row>
    <row r="1834" customFormat="false" ht="15" hidden="false" customHeight="true" outlineLevel="0" collapsed="false">
      <c r="G1834" s="4" t="str">
        <f aca="false">IF($D1834="","",$A1834&amp;"|"&amp;$B1834&amp;"|"&amp;$C1834&amp;"|"&amp;$D1834)</f>
        <v/>
      </c>
      <c r="H1834" s="4" t="str">
        <f aca="false">IF($D1834="","",$G1834&amp;"|"&amp;TEXT($E1834,"0.000000"))</f>
        <v/>
      </c>
      <c r="I1834" s="29" t="str">
        <f aca="false">IF($D1834="","",IF(ISNUMBER($E1834),FLOOR(($E1834-$B1834)*24,1),""))</f>
        <v/>
      </c>
      <c r="J1834" s="10" t="str">
        <f aca="false">IF($D1834="","",IFERROR(IF(VLOOKUP($F1834,Dim_Analyst!$A:$C,3,0)="Yes","Yes","No"),"No"))</f>
        <v/>
      </c>
    </row>
    <row r="1835" customFormat="false" ht="15" hidden="false" customHeight="true" outlineLevel="0" collapsed="false">
      <c r="G1835" s="4" t="str">
        <f aca="false">IF($D1835="","",$A1835&amp;"|"&amp;$B1835&amp;"|"&amp;$C1835&amp;"|"&amp;$D1835)</f>
        <v/>
      </c>
      <c r="H1835" s="4" t="str">
        <f aca="false">IF($D1835="","",$G1835&amp;"|"&amp;TEXT($E1835,"0.000000"))</f>
        <v/>
      </c>
      <c r="I1835" s="29" t="str">
        <f aca="false">IF($D1835="","",IF(ISNUMBER($E1835),FLOOR(($E1835-$B1835)*24,1),""))</f>
        <v/>
      </c>
      <c r="J1835" s="10" t="str">
        <f aca="false">IF($D1835="","",IFERROR(IF(VLOOKUP($F1835,Dim_Analyst!$A:$C,3,0)="Yes","Yes","No"),"No"))</f>
        <v/>
      </c>
    </row>
    <row r="1836" customFormat="false" ht="15" hidden="false" customHeight="true" outlineLevel="0" collapsed="false">
      <c r="G1836" s="4" t="str">
        <f aca="false">IF($D1836="","",$A1836&amp;"|"&amp;$B1836&amp;"|"&amp;$C1836&amp;"|"&amp;$D1836)</f>
        <v/>
      </c>
      <c r="H1836" s="4" t="str">
        <f aca="false">IF($D1836="","",$G1836&amp;"|"&amp;TEXT($E1836,"0.000000"))</f>
        <v/>
      </c>
      <c r="I1836" s="29" t="str">
        <f aca="false">IF($D1836="","",IF(ISNUMBER($E1836),FLOOR(($E1836-$B1836)*24,1),""))</f>
        <v/>
      </c>
      <c r="J1836" s="10" t="str">
        <f aca="false">IF($D1836="","",IFERROR(IF(VLOOKUP($F1836,Dim_Analyst!$A:$C,3,0)="Yes","Yes","No"),"No"))</f>
        <v/>
      </c>
    </row>
    <row r="1837" customFormat="false" ht="15" hidden="false" customHeight="true" outlineLevel="0" collapsed="false">
      <c r="G1837" s="4" t="str">
        <f aca="false">IF($D1837="","",$A1837&amp;"|"&amp;$B1837&amp;"|"&amp;$C1837&amp;"|"&amp;$D1837)</f>
        <v/>
      </c>
      <c r="H1837" s="4" t="str">
        <f aca="false">IF($D1837="","",$G1837&amp;"|"&amp;TEXT($E1837,"0.000000"))</f>
        <v/>
      </c>
      <c r="I1837" s="29" t="str">
        <f aca="false">IF($D1837="","",IF(ISNUMBER($E1837),FLOOR(($E1837-$B1837)*24,1),""))</f>
        <v/>
      </c>
      <c r="J1837" s="10" t="str">
        <f aca="false">IF($D1837="","",IFERROR(IF(VLOOKUP($F1837,Dim_Analyst!$A:$C,3,0)="Yes","Yes","No"),"No"))</f>
        <v/>
      </c>
    </row>
    <row r="1838" customFormat="false" ht="15" hidden="false" customHeight="true" outlineLevel="0" collapsed="false">
      <c r="G1838" s="4" t="str">
        <f aca="false">IF($D1838="","",$A1838&amp;"|"&amp;$B1838&amp;"|"&amp;$C1838&amp;"|"&amp;$D1838)</f>
        <v/>
      </c>
      <c r="H1838" s="4" t="str">
        <f aca="false">IF($D1838="","",$G1838&amp;"|"&amp;TEXT($E1838,"0.000000"))</f>
        <v/>
      </c>
      <c r="I1838" s="29" t="str">
        <f aca="false">IF($D1838="","",IF(ISNUMBER($E1838),FLOOR(($E1838-$B1838)*24,1),""))</f>
        <v/>
      </c>
      <c r="J1838" s="10" t="str">
        <f aca="false">IF($D1838="","",IFERROR(IF(VLOOKUP($F1838,Dim_Analyst!$A:$C,3,0)="Yes","Yes","No"),"No"))</f>
        <v/>
      </c>
    </row>
    <row r="1839" customFormat="false" ht="15" hidden="false" customHeight="true" outlineLevel="0" collapsed="false">
      <c r="G1839" s="4" t="str">
        <f aca="false">IF($D1839="","",$A1839&amp;"|"&amp;$B1839&amp;"|"&amp;$C1839&amp;"|"&amp;$D1839)</f>
        <v/>
      </c>
      <c r="H1839" s="4" t="str">
        <f aca="false">IF($D1839="","",$G1839&amp;"|"&amp;TEXT($E1839,"0.000000"))</f>
        <v/>
      </c>
      <c r="I1839" s="29" t="str">
        <f aca="false">IF($D1839="","",IF(ISNUMBER($E1839),FLOOR(($E1839-$B1839)*24,1),""))</f>
        <v/>
      </c>
      <c r="J1839" s="10" t="str">
        <f aca="false">IF($D1839="","",IFERROR(IF(VLOOKUP($F1839,Dim_Analyst!$A:$C,3,0)="Yes","Yes","No"),"No"))</f>
        <v/>
      </c>
    </row>
    <row r="1840" customFormat="false" ht="15" hidden="false" customHeight="true" outlineLevel="0" collapsed="false">
      <c r="G1840" s="4" t="str">
        <f aca="false">IF($D1840="","",$A1840&amp;"|"&amp;$B1840&amp;"|"&amp;$C1840&amp;"|"&amp;$D1840)</f>
        <v/>
      </c>
      <c r="H1840" s="4" t="str">
        <f aca="false">IF($D1840="","",$G1840&amp;"|"&amp;TEXT($E1840,"0.000000"))</f>
        <v/>
      </c>
      <c r="I1840" s="29" t="str">
        <f aca="false">IF($D1840="","",IF(ISNUMBER($E1840),FLOOR(($E1840-$B1840)*24,1),""))</f>
        <v/>
      </c>
      <c r="J1840" s="10" t="str">
        <f aca="false">IF($D1840="","",IFERROR(IF(VLOOKUP($F1840,Dim_Analyst!$A:$C,3,0)="Yes","Yes","No"),"No"))</f>
        <v/>
      </c>
    </row>
    <row r="1841" customFormat="false" ht="15" hidden="false" customHeight="true" outlineLevel="0" collapsed="false">
      <c r="G1841" s="4" t="str">
        <f aca="false">IF($D1841="","",$A1841&amp;"|"&amp;$B1841&amp;"|"&amp;$C1841&amp;"|"&amp;$D1841)</f>
        <v/>
      </c>
      <c r="H1841" s="4" t="str">
        <f aca="false">IF($D1841="","",$G1841&amp;"|"&amp;TEXT($E1841,"0.000000"))</f>
        <v/>
      </c>
      <c r="I1841" s="29" t="str">
        <f aca="false">IF($D1841="","",IF(ISNUMBER($E1841),FLOOR(($E1841-$B1841)*24,1),""))</f>
        <v/>
      </c>
      <c r="J1841" s="10" t="str">
        <f aca="false">IF($D1841="","",IFERROR(IF(VLOOKUP($F1841,Dim_Analyst!$A:$C,3,0)="Yes","Yes","No"),"No"))</f>
        <v/>
      </c>
    </row>
    <row r="1842" customFormat="false" ht="15" hidden="false" customHeight="true" outlineLevel="0" collapsed="false">
      <c r="G1842" s="4" t="str">
        <f aca="false">IF($D1842="","",$A1842&amp;"|"&amp;$B1842&amp;"|"&amp;$C1842&amp;"|"&amp;$D1842)</f>
        <v/>
      </c>
      <c r="H1842" s="4" t="str">
        <f aca="false">IF($D1842="","",$G1842&amp;"|"&amp;TEXT($E1842,"0.000000"))</f>
        <v/>
      </c>
      <c r="I1842" s="29" t="str">
        <f aca="false">IF($D1842="","",IF(ISNUMBER($E1842),FLOOR(($E1842-$B1842)*24,1),""))</f>
        <v/>
      </c>
      <c r="J1842" s="10" t="str">
        <f aca="false">IF($D1842="","",IFERROR(IF(VLOOKUP($F1842,Dim_Analyst!$A:$C,3,0)="Yes","Yes","No"),"No"))</f>
        <v/>
      </c>
    </row>
    <row r="1843" customFormat="false" ht="15" hidden="false" customHeight="true" outlineLevel="0" collapsed="false">
      <c r="G1843" s="4" t="str">
        <f aca="false">IF($D1843="","",$A1843&amp;"|"&amp;$B1843&amp;"|"&amp;$C1843&amp;"|"&amp;$D1843)</f>
        <v/>
      </c>
      <c r="H1843" s="4" t="str">
        <f aca="false">IF($D1843="","",$G1843&amp;"|"&amp;TEXT($E1843,"0.000000"))</f>
        <v/>
      </c>
      <c r="I1843" s="29" t="str">
        <f aca="false">IF($D1843="","",IF(ISNUMBER($E1843),FLOOR(($E1843-$B1843)*24,1),""))</f>
        <v/>
      </c>
      <c r="J1843" s="10" t="str">
        <f aca="false">IF($D1843="","",IFERROR(IF(VLOOKUP($F1843,Dim_Analyst!$A:$C,3,0)="Yes","Yes","No"),"No"))</f>
        <v/>
      </c>
    </row>
    <row r="1844" customFormat="false" ht="15" hidden="false" customHeight="true" outlineLevel="0" collapsed="false">
      <c r="G1844" s="4" t="str">
        <f aca="false">IF($D1844="","",$A1844&amp;"|"&amp;$B1844&amp;"|"&amp;$C1844&amp;"|"&amp;$D1844)</f>
        <v/>
      </c>
      <c r="H1844" s="4" t="str">
        <f aca="false">IF($D1844="","",$G1844&amp;"|"&amp;TEXT($E1844,"0.000000"))</f>
        <v/>
      </c>
      <c r="I1844" s="29" t="str">
        <f aca="false">IF($D1844="","",IF(ISNUMBER($E1844),FLOOR(($E1844-$B1844)*24,1),""))</f>
        <v/>
      </c>
      <c r="J1844" s="10" t="str">
        <f aca="false">IF($D1844="","",IFERROR(IF(VLOOKUP($F1844,Dim_Analyst!$A:$C,3,0)="Yes","Yes","No"),"No"))</f>
        <v/>
      </c>
    </row>
    <row r="1845" customFormat="false" ht="15" hidden="false" customHeight="true" outlineLevel="0" collapsed="false">
      <c r="G1845" s="4" t="str">
        <f aca="false">IF($D1845="","",$A1845&amp;"|"&amp;$B1845&amp;"|"&amp;$C1845&amp;"|"&amp;$D1845)</f>
        <v/>
      </c>
      <c r="H1845" s="4" t="str">
        <f aca="false">IF($D1845="","",$G1845&amp;"|"&amp;TEXT($E1845,"0.000000"))</f>
        <v/>
      </c>
      <c r="I1845" s="29" t="str">
        <f aca="false">IF($D1845="","",IF(ISNUMBER($E1845),FLOOR(($E1845-$B1845)*24,1),""))</f>
        <v/>
      </c>
      <c r="J1845" s="10" t="str">
        <f aca="false">IF($D1845="","",IFERROR(IF(VLOOKUP($F1845,Dim_Analyst!$A:$C,3,0)="Yes","Yes","No"),"No"))</f>
        <v/>
      </c>
    </row>
    <row r="1846" customFormat="false" ht="15" hidden="false" customHeight="true" outlineLevel="0" collapsed="false">
      <c r="G1846" s="4" t="str">
        <f aca="false">IF($D1846="","",$A1846&amp;"|"&amp;$B1846&amp;"|"&amp;$C1846&amp;"|"&amp;$D1846)</f>
        <v/>
      </c>
      <c r="H1846" s="4" t="str">
        <f aca="false">IF($D1846="","",$G1846&amp;"|"&amp;TEXT($E1846,"0.000000"))</f>
        <v/>
      </c>
      <c r="I1846" s="29" t="str">
        <f aca="false">IF($D1846="","",IF(ISNUMBER($E1846),FLOOR(($E1846-$B1846)*24,1),""))</f>
        <v/>
      </c>
      <c r="J1846" s="10" t="str">
        <f aca="false">IF($D1846="","",IFERROR(IF(VLOOKUP($F1846,Dim_Analyst!$A:$C,3,0)="Yes","Yes","No"),"No"))</f>
        <v/>
      </c>
    </row>
    <row r="1847" customFormat="false" ht="15" hidden="false" customHeight="true" outlineLevel="0" collapsed="false">
      <c r="G1847" s="4" t="str">
        <f aca="false">IF($D1847="","",$A1847&amp;"|"&amp;$B1847&amp;"|"&amp;$C1847&amp;"|"&amp;$D1847)</f>
        <v/>
      </c>
      <c r="H1847" s="4" t="str">
        <f aca="false">IF($D1847="","",$G1847&amp;"|"&amp;TEXT($E1847,"0.000000"))</f>
        <v/>
      </c>
      <c r="I1847" s="29" t="str">
        <f aca="false">IF($D1847="","",IF(ISNUMBER($E1847),FLOOR(($E1847-$B1847)*24,1),""))</f>
        <v/>
      </c>
      <c r="J1847" s="10" t="str">
        <f aca="false">IF($D1847="","",IFERROR(IF(VLOOKUP($F1847,Dim_Analyst!$A:$C,3,0)="Yes","Yes","No"),"No"))</f>
        <v/>
      </c>
    </row>
    <row r="1848" customFormat="false" ht="15" hidden="false" customHeight="true" outlineLevel="0" collapsed="false">
      <c r="G1848" s="4" t="str">
        <f aca="false">IF($D1848="","",$A1848&amp;"|"&amp;$B1848&amp;"|"&amp;$C1848&amp;"|"&amp;$D1848)</f>
        <v/>
      </c>
      <c r="H1848" s="4" t="str">
        <f aca="false">IF($D1848="","",$G1848&amp;"|"&amp;TEXT($E1848,"0.000000"))</f>
        <v/>
      </c>
      <c r="I1848" s="29" t="str">
        <f aca="false">IF($D1848="","",IF(ISNUMBER($E1848),FLOOR(($E1848-$B1848)*24,1),""))</f>
        <v/>
      </c>
      <c r="J1848" s="10" t="str">
        <f aca="false">IF($D1848="","",IFERROR(IF(VLOOKUP($F1848,Dim_Analyst!$A:$C,3,0)="Yes","Yes","No"),"No"))</f>
        <v/>
      </c>
    </row>
    <row r="1849" customFormat="false" ht="15" hidden="false" customHeight="true" outlineLevel="0" collapsed="false">
      <c r="G1849" s="4" t="str">
        <f aca="false">IF($D1849="","",$A1849&amp;"|"&amp;$B1849&amp;"|"&amp;$C1849&amp;"|"&amp;$D1849)</f>
        <v/>
      </c>
      <c r="H1849" s="4" t="str">
        <f aca="false">IF($D1849="","",$G1849&amp;"|"&amp;TEXT($E1849,"0.000000"))</f>
        <v/>
      </c>
      <c r="I1849" s="29" t="str">
        <f aca="false">IF($D1849="","",IF(ISNUMBER($E1849),FLOOR(($E1849-$B1849)*24,1),""))</f>
        <v/>
      </c>
      <c r="J1849" s="10" t="str">
        <f aca="false">IF($D1849="","",IFERROR(IF(VLOOKUP($F1849,Dim_Analyst!$A:$C,3,0)="Yes","Yes","No"),"No"))</f>
        <v/>
      </c>
    </row>
    <row r="1850" customFormat="false" ht="15" hidden="false" customHeight="true" outlineLevel="0" collapsed="false">
      <c r="G1850" s="4" t="str">
        <f aca="false">IF($D1850="","",$A1850&amp;"|"&amp;$B1850&amp;"|"&amp;$C1850&amp;"|"&amp;$D1850)</f>
        <v/>
      </c>
      <c r="H1850" s="4" t="str">
        <f aca="false">IF($D1850="","",$G1850&amp;"|"&amp;TEXT($E1850,"0.000000"))</f>
        <v/>
      </c>
      <c r="I1850" s="29" t="str">
        <f aca="false">IF($D1850="","",IF(ISNUMBER($E1850),FLOOR(($E1850-$B1850)*24,1),""))</f>
        <v/>
      </c>
      <c r="J1850" s="10" t="str">
        <f aca="false">IF($D1850="","",IFERROR(IF(VLOOKUP($F1850,Dim_Analyst!$A:$C,3,0)="Yes","Yes","No"),"No"))</f>
        <v/>
      </c>
    </row>
    <row r="1851" customFormat="false" ht="15" hidden="false" customHeight="true" outlineLevel="0" collapsed="false">
      <c r="G1851" s="4" t="str">
        <f aca="false">IF($D1851="","",$A1851&amp;"|"&amp;$B1851&amp;"|"&amp;$C1851&amp;"|"&amp;$D1851)</f>
        <v/>
      </c>
      <c r="H1851" s="4" t="str">
        <f aca="false">IF($D1851="","",$G1851&amp;"|"&amp;TEXT($E1851,"0.000000"))</f>
        <v/>
      </c>
      <c r="I1851" s="29" t="str">
        <f aca="false">IF($D1851="","",IF(ISNUMBER($E1851),FLOOR(($E1851-$B1851)*24,1),""))</f>
        <v/>
      </c>
      <c r="J1851" s="10" t="str">
        <f aca="false">IF($D1851="","",IFERROR(IF(VLOOKUP($F1851,Dim_Analyst!$A:$C,3,0)="Yes","Yes","No"),"No"))</f>
        <v/>
      </c>
    </row>
    <row r="1852" customFormat="false" ht="15" hidden="false" customHeight="true" outlineLevel="0" collapsed="false">
      <c r="G1852" s="4" t="str">
        <f aca="false">IF($D1852="","",$A1852&amp;"|"&amp;$B1852&amp;"|"&amp;$C1852&amp;"|"&amp;$D1852)</f>
        <v/>
      </c>
      <c r="H1852" s="4" t="str">
        <f aca="false">IF($D1852="","",$G1852&amp;"|"&amp;TEXT($E1852,"0.000000"))</f>
        <v/>
      </c>
      <c r="I1852" s="29" t="str">
        <f aca="false">IF($D1852="","",IF(ISNUMBER($E1852),FLOOR(($E1852-$B1852)*24,1),""))</f>
        <v/>
      </c>
      <c r="J1852" s="10" t="str">
        <f aca="false">IF($D1852="","",IFERROR(IF(VLOOKUP($F1852,Dim_Analyst!$A:$C,3,0)="Yes","Yes","No"),"No"))</f>
        <v/>
      </c>
    </row>
    <row r="1853" customFormat="false" ht="15" hidden="false" customHeight="true" outlineLevel="0" collapsed="false">
      <c r="G1853" s="4" t="str">
        <f aca="false">IF($D1853="","",$A1853&amp;"|"&amp;$B1853&amp;"|"&amp;$C1853&amp;"|"&amp;$D1853)</f>
        <v/>
      </c>
      <c r="H1853" s="4" t="str">
        <f aca="false">IF($D1853="","",$G1853&amp;"|"&amp;TEXT($E1853,"0.000000"))</f>
        <v/>
      </c>
      <c r="I1853" s="29" t="str">
        <f aca="false">IF($D1853="","",IF(ISNUMBER($E1853),FLOOR(($E1853-$B1853)*24,1),""))</f>
        <v/>
      </c>
      <c r="J1853" s="10" t="str">
        <f aca="false">IF($D1853="","",IFERROR(IF(VLOOKUP($F1853,Dim_Analyst!$A:$C,3,0)="Yes","Yes","No"),"No"))</f>
        <v/>
      </c>
    </row>
    <row r="1854" customFormat="false" ht="15" hidden="false" customHeight="true" outlineLevel="0" collapsed="false">
      <c r="G1854" s="4" t="str">
        <f aca="false">IF($D1854="","",$A1854&amp;"|"&amp;$B1854&amp;"|"&amp;$C1854&amp;"|"&amp;$D1854)</f>
        <v/>
      </c>
      <c r="H1854" s="4" t="str">
        <f aca="false">IF($D1854="","",$G1854&amp;"|"&amp;TEXT($E1854,"0.000000"))</f>
        <v/>
      </c>
      <c r="I1854" s="29" t="str">
        <f aca="false">IF($D1854="","",IF(ISNUMBER($E1854),FLOOR(($E1854-$B1854)*24,1),""))</f>
        <v/>
      </c>
      <c r="J1854" s="10" t="str">
        <f aca="false">IF($D1854="","",IFERROR(IF(VLOOKUP($F1854,Dim_Analyst!$A:$C,3,0)="Yes","Yes","No"),"No"))</f>
        <v/>
      </c>
    </row>
    <row r="1855" customFormat="false" ht="15" hidden="false" customHeight="true" outlineLevel="0" collapsed="false">
      <c r="G1855" s="4" t="str">
        <f aca="false">IF($D1855="","",$A1855&amp;"|"&amp;$B1855&amp;"|"&amp;$C1855&amp;"|"&amp;$D1855)</f>
        <v/>
      </c>
      <c r="H1855" s="4" t="str">
        <f aca="false">IF($D1855="","",$G1855&amp;"|"&amp;TEXT($E1855,"0.000000"))</f>
        <v/>
      </c>
      <c r="I1855" s="29" t="str">
        <f aca="false">IF($D1855="","",IF(ISNUMBER($E1855),FLOOR(($E1855-$B1855)*24,1),""))</f>
        <v/>
      </c>
      <c r="J1855" s="10" t="str">
        <f aca="false">IF($D1855="","",IFERROR(IF(VLOOKUP($F1855,Dim_Analyst!$A:$C,3,0)="Yes","Yes","No"),"No"))</f>
        <v/>
      </c>
    </row>
    <row r="1856" customFormat="false" ht="15" hidden="false" customHeight="true" outlineLevel="0" collapsed="false">
      <c r="G1856" s="4" t="str">
        <f aca="false">IF($D1856="","",$A1856&amp;"|"&amp;$B1856&amp;"|"&amp;$C1856&amp;"|"&amp;$D1856)</f>
        <v/>
      </c>
      <c r="H1856" s="4" t="str">
        <f aca="false">IF($D1856="","",$G1856&amp;"|"&amp;TEXT($E1856,"0.000000"))</f>
        <v/>
      </c>
      <c r="I1856" s="29" t="str">
        <f aca="false">IF($D1856="","",IF(ISNUMBER($E1856),FLOOR(($E1856-$B1856)*24,1),""))</f>
        <v/>
      </c>
      <c r="J1856" s="10" t="str">
        <f aca="false">IF($D1856="","",IFERROR(IF(VLOOKUP($F1856,Dim_Analyst!$A:$C,3,0)="Yes","Yes","No"),"No"))</f>
        <v/>
      </c>
    </row>
    <row r="1857" customFormat="false" ht="15" hidden="false" customHeight="true" outlineLevel="0" collapsed="false">
      <c r="G1857" s="4" t="str">
        <f aca="false">IF($D1857="","",$A1857&amp;"|"&amp;$B1857&amp;"|"&amp;$C1857&amp;"|"&amp;$D1857)</f>
        <v/>
      </c>
      <c r="H1857" s="4" t="str">
        <f aca="false">IF($D1857="","",$G1857&amp;"|"&amp;TEXT($E1857,"0.000000"))</f>
        <v/>
      </c>
      <c r="I1857" s="29" t="str">
        <f aca="false">IF($D1857="","",IF(ISNUMBER($E1857),FLOOR(($E1857-$B1857)*24,1),""))</f>
        <v/>
      </c>
      <c r="J1857" s="10" t="str">
        <f aca="false">IF($D1857="","",IFERROR(IF(VLOOKUP($F1857,Dim_Analyst!$A:$C,3,0)="Yes","Yes","No"),"No"))</f>
        <v/>
      </c>
    </row>
    <row r="1858" customFormat="false" ht="15" hidden="false" customHeight="true" outlineLevel="0" collapsed="false">
      <c r="G1858" s="4" t="str">
        <f aca="false">IF($D1858="","",$A1858&amp;"|"&amp;$B1858&amp;"|"&amp;$C1858&amp;"|"&amp;$D1858)</f>
        <v/>
      </c>
      <c r="H1858" s="4" t="str">
        <f aca="false">IF($D1858="","",$G1858&amp;"|"&amp;TEXT($E1858,"0.000000"))</f>
        <v/>
      </c>
      <c r="I1858" s="29" t="str">
        <f aca="false">IF($D1858="","",IF(ISNUMBER($E1858),FLOOR(($E1858-$B1858)*24,1),""))</f>
        <v/>
      </c>
      <c r="J1858" s="10" t="str">
        <f aca="false">IF($D1858="","",IFERROR(IF(VLOOKUP($F1858,Dim_Analyst!$A:$C,3,0)="Yes","Yes","No"),"No"))</f>
        <v/>
      </c>
    </row>
    <row r="1859" customFormat="false" ht="15" hidden="false" customHeight="true" outlineLevel="0" collapsed="false">
      <c r="G1859" s="4" t="str">
        <f aca="false">IF($D1859="","",$A1859&amp;"|"&amp;$B1859&amp;"|"&amp;$C1859&amp;"|"&amp;$D1859)</f>
        <v/>
      </c>
      <c r="H1859" s="4" t="str">
        <f aca="false">IF($D1859="","",$G1859&amp;"|"&amp;TEXT($E1859,"0.000000"))</f>
        <v/>
      </c>
      <c r="I1859" s="29" t="str">
        <f aca="false">IF($D1859="","",IF(ISNUMBER($E1859),FLOOR(($E1859-$B1859)*24,1),""))</f>
        <v/>
      </c>
      <c r="J1859" s="10" t="str">
        <f aca="false">IF($D1859="","",IFERROR(IF(VLOOKUP($F1859,Dim_Analyst!$A:$C,3,0)="Yes","Yes","No"),"No"))</f>
        <v/>
      </c>
    </row>
    <row r="1860" customFormat="false" ht="15" hidden="false" customHeight="true" outlineLevel="0" collapsed="false">
      <c r="G1860" s="4" t="str">
        <f aca="false">IF($D1860="","",$A1860&amp;"|"&amp;$B1860&amp;"|"&amp;$C1860&amp;"|"&amp;$D1860)</f>
        <v/>
      </c>
      <c r="H1860" s="4" t="str">
        <f aca="false">IF($D1860="","",$G1860&amp;"|"&amp;TEXT($E1860,"0.000000"))</f>
        <v/>
      </c>
      <c r="I1860" s="29" t="str">
        <f aca="false">IF($D1860="","",IF(ISNUMBER($E1860),FLOOR(($E1860-$B1860)*24,1),""))</f>
        <v/>
      </c>
      <c r="J1860" s="10" t="str">
        <f aca="false">IF($D1860="","",IFERROR(IF(VLOOKUP($F1860,Dim_Analyst!$A:$C,3,0)="Yes","Yes","No"),"No"))</f>
        <v/>
      </c>
    </row>
    <row r="1861" customFormat="false" ht="15" hidden="false" customHeight="true" outlineLevel="0" collapsed="false">
      <c r="G1861" s="4" t="str">
        <f aca="false">IF($D1861="","",$A1861&amp;"|"&amp;$B1861&amp;"|"&amp;$C1861&amp;"|"&amp;$D1861)</f>
        <v/>
      </c>
      <c r="H1861" s="4" t="str">
        <f aca="false">IF($D1861="","",$G1861&amp;"|"&amp;TEXT($E1861,"0.000000"))</f>
        <v/>
      </c>
      <c r="I1861" s="29" t="str">
        <f aca="false">IF($D1861="","",IF(ISNUMBER($E1861),FLOOR(($E1861-$B1861)*24,1),""))</f>
        <v/>
      </c>
      <c r="J1861" s="10" t="str">
        <f aca="false">IF($D1861="","",IFERROR(IF(VLOOKUP($F1861,Dim_Analyst!$A:$C,3,0)="Yes","Yes","No"),"No"))</f>
        <v/>
      </c>
    </row>
    <row r="1862" customFormat="false" ht="15" hidden="false" customHeight="true" outlineLevel="0" collapsed="false">
      <c r="G1862" s="4" t="str">
        <f aca="false">IF($D1862="","",$A1862&amp;"|"&amp;$B1862&amp;"|"&amp;$C1862&amp;"|"&amp;$D1862)</f>
        <v/>
      </c>
      <c r="H1862" s="4" t="str">
        <f aca="false">IF($D1862="","",$G1862&amp;"|"&amp;TEXT($E1862,"0.000000"))</f>
        <v/>
      </c>
      <c r="I1862" s="29" t="str">
        <f aca="false">IF($D1862="","",IF(ISNUMBER($E1862),FLOOR(($E1862-$B1862)*24,1),""))</f>
        <v/>
      </c>
      <c r="J1862" s="10" t="str">
        <f aca="false">IF($D1862="","",IFERROR(IF(VLOOKUP($F1862,Dim_Analyst!$A:$C,3,0)="Yes","Yes","No"),"No"))</f>
        <v/>
      </c>
    </row>
    <row r="1863" customFormat="false" ht="15" hidden="false" customHeight="true" outlineLevel="0" collapsed="false">
      <c r="G1863" s="4" t="str">
        <f aca="false">IF($D1863="","",$A1863&amp;"|"&amp;$B1863&amp;"|"&amp;$C1863&amp;"|"&amp;$D1863)</f>
        <v/>
      </c>
      <c r="H1863" s="4" t="str">
        <f aca="false">IF($D1863="","",$G1863&amp;"|"&amp;TEXT($E1863,"0.000000"))</f>
        <v/>
      </c>
      <c r="I1863" s="29" t="str">
        <f aca="false">IF($D1863="","",IF(ISNUMBER($E1863),FLOOR(($E1863-$B1863)*24,1),""))</f>
        <v/>
      </c>
      <c r="J1863" s="10" t="str">
        <f aca="false">IF($D1863="","",IFERROR(IF(VLOOKUP($F1863,Dim_Analyst!$A:$C,3,0)="Yes","Yes","No"),"No"))</f>
        <v/>
      </c>
    </row>
    <row r="1864" customFormat="false" ht="15" hidden="false" customHeight="true" outlineLevel="0" collapsed="false">
      <c r="G1864" s="4" t="str">
        <f aca="false">IF($D1864="","",$A1864&amp;"|"&amp;$B1864&amp;"|"&amp;$C1864&amp;"|"&amp;$D1864)</f>
        <v/>
      </c>
      <c r="H1864" s="4" t="str">
        <f aca="false">IF($D1864="","",$G1864&amp;"|"&amp;TEXT($E1864,"0.000000"))</f>
        <v/>
      </c>
      <c r="I1864" s="29" t="str">
        <f aca="false">IF($D1864="","",IF(ISNUMBER($E1864),FLOOR(($E1864-$B1864)*24,1),""))</f>
        <v/>
      </c>
      <c r="J1864" s="10" t="str">
        <f aca="false">IF($D1864="","",IFERROR(IF(VLOOKUP($F1864,Dim_Analyst!$A:$C,3,0)="Yes","Yes","No"),"No"))</f>
        <v/>
      </c>
    </row>
    <row r="1865" customFormat="false" ht="15" hidden="false" customHeight="true" outlineLevel="0" collapsed="false">
      <c r="G1865" s="4" t="str">
        <f aca="false">IF($D1865="","",$A1865&amp;"|"&amp;$B1865&amp;"|"&amp;$C1865&amp;"|"&amp;$D1865)</f>
        <v/>
      </c>
      <c r="H1865" s="4" t="str">
        <f aca="false">IF($D1865="","",$G1865&amp;"|"&amp;TEXT($E1865,"0.000000"))</f>
        <v/>
      </c>
      <c r="I1865" s="29" t="str">
        <f aca="false">IF($D1865="","",IF(ISNUMBER($E1865),FLOOR(($E1865-$B1865)*24,1),""))</f>
        <v/>
      </c>
      <c r="J1865" s="10" t="str">
        <f aca="false">IF($D1865="","",IFERROR(IF(VLOOKUP($F1865,Dim_Analyst!$A:$C,3,0)="Yes","Yes","No"),"No"))</f>
        <v/>
      </c>
    </row>
    <row r="1866" customFormat="false" ht="15" hidden="false" customHeight="true" outlineLevel="0" collapsed="false">
      <c r="G1866" s="4" t="str">
        <f aca="false">IF($D1866="","",$A1866&amp;"|"&amp;$B1866&amp;"|"&amp;$C1866&amp;"|"&amp;$D1866)</f>
        <v/>
      </c>
      <c r="H1866" s="4" t="str">
        <f aca="false">IF($D1866="","",$G1866&amp;"|"&amp;TEXT($E1866,"0.000000"))</f>
        <v/>
      </c>
      <c r="I1866" s="29" t="str">
        <f aca="false">IF($D1866="","",IF(ISNUMBER($E1866),FLOOR(($E1866-$B1866)*24,1),""))</f>
        <v/>
      </c>
      <c r="J1866" s="10" t="str">
        <f aca="false">IF($D1866="","",IFERROR(IF(VLOOKUP($F1866,Dim_Analyst!$A:$C,3,0)="Yes","Yes","No"),"No"))</f>
        <v/>
      </c>
    </row>
    <row r="1867" customFormat="false" ht="15" hidden="false" customHeight="true" outlineLevel="0" collapsed="false">
      <c r="G1867" s="4" t="str">
        <f aca="false">IF($D1867="","",$A1867&amp;"|"&amp;$B1867&amp;"|"&amp;$C1867&amp;"|"&amp;$D1867)</f>
        <v/>
      </c>
      <c r="H1867" s="4" t="str">
        <f aca="false">IF($D1867="","",$G1867&amp;"|"&amp;TEXT($E1867,"0.000000"))</f>
        <v/>
      </c>
      <c r="I1867" s="29" t="str">
        <f aca="false">IF($D1867="","",IF(ISNUMBER($E1867),FLOOR(($E1867-$B1867)*24,1),""))</f>
        <v/>
      </c>
      <c r="J1867" s="10" t="str">
        <f aca="false">IF($D1867="","",IFERROR(IF(VLOOKUP($F1867,Dim_Analyst!$A:$C,3,0)="Yes","Yes","No"),"No"))</f>
        <v/>
      </c>
    </row>
    <row r="1868" customFormat="false" ht="15" hidden="false" customHeight="true" outlineLevel="0" collapsed="false">
      <c r="G1868" s="4" t="str">
        <f aca="false">IF($D1868="","",$A1868&amp;"|"&amp;$B1868&amp;"|"&amp;$C1868&amp;"|"&amp;$D1868)</f>
        <v/>
      </c>
      <c r="H1868" s="4" t="str">
        <f aca="false">IF($D1868="","",$G1868&amp;"|"&amp;TEXT($E1868,"0.000000"))</f>
        <v/>
      </c>
      <c r="I1868" s="29" t="str">
        <f aca="false">IF($D1868="","",IF(ISNUMBER($E1868),FLOOR(($E1868-$B1868)*24,1),""))</f>
        <v/>
      </c>
      <c r="J1868" s="10" t="str">
        <f aca="false">IF($D1868="","",IFERROR(IF(VLOOKUP($F1868,Dim_Analyst!$A:$C,3,0)="Yes","Yes","No"),"No"))</f>
        <v/>
      </c>
    </row>
    <row r="1869" customFormat="false" ht="15" hidden="false" customHeight="true" outlineLevel="0" collapsed="false">
      <c r="G1869" s="4" t="str">
        <f aca="false">IF($D1869="","",$A1869&amp;"|"&amp;$B1869&amp;"|"&amp;$C1869&amp;"|"&amp;$D1869)</f>
        <v/>
      </c>
      <c r="H1869" s="4" t="str">
        <f aca="false">IF($D1869="","",$G1869&amp;"|"&amp;TEXT($E1869,"0.000000"))</f>
        <v/>
      </c>
      <c r="I1869" s="29" t="str">
        <f aca="false">IF($D1869="","",IF(ISNUMBER($E1869),FLOOR(($E1869-$B1869)*24,1),""))</f>
        <v/>
      </c>
      <c r="J1869" s="10" t="str">
        <f aca="false">IF($D1869="","",IFERROR(IF(VLOOKUP($F1869,Dim_Analyst!$A:$C,3,0)="Yes","Yes","No"),"No"))</f>
        <v/>
      </c>
    </row>
    <row r="1870" customFormat="false" ht="15" hidden="false" customHeight="true" outlineLevel="0" collapsed="false">
      <c r="G1870" s="4" t="str">
        <f aca="false">IF($D1870="","",$A1870&amp;"|"&amp;$B1870&amp;"|"&amp;$C1870&amp;"|"&amp;$D1870)</f>
        <v/>
      </c>
      <c r="H1870" s="4" t="str">
        <f aca="false">IF($D1870="","",$G1870&amp;"|"&amp;TEXT($E1870,"0.000000"))</f>
        <v/>
      </c>
      <c r="I1870" s="29" t="str">
        <f aca="false">IF($D1870="","",IF(ISNUMBER($E1870),FLOOR(($E1870-$B1870)*24,1),""))</f>
        <v/>
      </c>
      <c r="J1870" s="10" t="str">
        <f aca="false">IF($D1870="","",IFERROR(IF(VLOOKUP($F1870,Dim_Analyst!$A:$C,3,0)="Yes","Yes","No"),"No"))</f>
        <v/>
      </c>
    </row>
    <row r="1871" customFormat="false" ht="15" hidden="false" customHeight="true" outlineLevel="0" collapsed="false">
      <c r="G1871" s="4" t="str">
        <f aca="false">IF($D1871="","",$A1871&amp;"|"&amp;$B1871&amp;"|"&amp;$C1871&amp;"|"&amp;$D1871)</f>
        <v/>
      </c>
      <c r="H1871" s="4" t="str">
        <f aca="false">IF($D1871="","",$G1871&amp;"|"&amp;TEXT($E1871,"0.000000"))</f>
        <v/>
      </c>
      <c r="I1871" s="29" t="str">
        <f aca="false">IF($D1871="","",IF(ISNUMBER($E1871),FLOOR(($E1871-$B1871)*24,1),""))</f>
        <v/>
      </c>
      <c r="J1871" s="10" t="str">
        <f aca="false">IF($D1871="","",IFERROR(IF(VLOOKUP($F1871,Dim_Analyst!$A:$C,3,0)="Yes","Yes","No"),"No"))</f>
        <v/>
      </c>
    </row>
    <row r="1872" customFormat="false" ht="15" hidden="false" customHeight="true" outlineLevel="0" collapsed="false">
      <c r="G1872" s="4" t="str">
        <f aca="false">IF($D1872="","",$A1872&amp;"|"&amp;$B1872&amp;"|"&amp;$C1872&amp;"|"&amp;$D1872)</f>
        <v/>
      </c>
      <c r="H1872" s="4" t="str">
        <f aca="false">IF($D1872="","",$G1872&amp;"|"&amp;TEXT($E1872,"0.000000"))</f>
        <v/>
      </c>
      <c r="I1872" s="29" t="str">
        <f aca="false">IF($D1872="","",IF(ISNUMBER($E1872),FLOOR(($E1872-$B1872)*24,1),""))</f>
        <v/>
      </c>
      <c r="J1872" s="10" t="str">
        <f aca="false">IF($D1872="","",IFERROR(IF(VLOOKUP($F1872,Dim_Analyst!$A:$C,3,0)="Yes","Yes","No"),"No"))</f>
        <v/>
      </c>
    </row>
    <row r="1873" customFormat="false" ht="15" hidden="false" customHeight="true" outlineLevel="0" collapsed="false">
      <c r="G1873" s="4" t="str">
        <f aca="false">IF($D1873="","",$A1873&amp;"|"&amp;$B1873&amp;"|"&amp;$C1873&amp;"|"&amp;$D1873)</f>
        <v/>
      </c>
      <c r="H1873" s="4" t="str">
        <f aca="false">IF($D1873="","",$G1873&amp;"|"&amp;TEXT($E1873,"0.000000"))</f>
        <v/>
      </c>
      <c r="I1873" s="29" t="str">
        <f aca="false">IF($D1873="","",IF(ISNUMBER($E1873),FLOOR(($E1873-$B1873)*24,1),""))</f>
        <v/>
      </c>
      <c r="J1873" s="10" t="str">
        <f aca="false">IF($D1873="","",IFERROR(IF(VLOOKUP($F1873,Dim_Analyst!$A:$C,3,0)="Yes","Yes","No"),"No"))</f>
        <v/>
      </c>
    </row>
    <row r="1874" customFormat="false" ht="15" hidden="false" customHeight="true" outlineLevel="0" collapsed="false">
      <c r="G1874" s="4" t="str">
        <f aca="false">IF($D1874="","",$A1874&amp;"|"&amp;$B1874&amp;"|"&amp;$C1874&amp;"|"&amp;$D1874)</f>
        <v/>
      </c>
      <c r="H1874" s="4" t="str">
        <f aca="false">IF($D1874="","",$G1874&amp;"|"&amp;TEXT($E1874,"0.000000"))</f>
        <v/>
      </c>
      <c r="I1874" s="29" t="str">
        <f aca="false">IF($D1874="","",IF(ISNUMBER($E1874),FLOOR(($E1874-$B1874)*24,1),""))</f>
        <v/>
      </c>
      <c r="J1874" s="10" t="str">
        <f aca="false">IF($D1874="","",IFERROR(IF(VLOOKUP($F1874,Dim_Analyst!$A:$C,3,0)="Yes","Yes","No"),"No"))</f>
        <v/>
      </c>
    </row>
    <row r="1875" customFormat="false" ht="15" hidden="false" customHeight="true" outlineLevel="0" collapsed="false">
      <c r="G1875" s="4" t="str">
        <f aca="false">IF($D1875="","",$A1875&amp;"|"&amp;$B1875&amp;"|"&amp;$C1875&amp;"|"&amp;$D1875)</f>
        <v/>
      </c>
      <c r="H1875" s="4" t="str">
        <f aca="false">IF($D1875="","",$G1875&amp;"|"&amp;TEXT($E1875,"0.000000"))</f>
        <v/>
      </c>
      <c r="I1875" s="29" t="str">
        <f aca="false">IF($D1875="","",IF(ISNUMBER($E1875),FLOOR(($E1875-$B1875)*24,1),""))</f>
        <v/>
      </c>
      <c r="J1875" s="10" t="str">
        <f aca="false">IF($D1875="","",IFERROR(IF(VLOOKUP($F1875,Dim_Analyst!$A:$C,3,0)="Yes","Yes","No"),"No"))</f>
        <v/>
      </c>
    </row>
    <row r="1876" customFormat="false" ht="15" hidden="false" customHeight="true" outlineLevel="0" collapsed="false">
      <c r="G1876" s="4" t="str">
        <f aca="false">IF($D1876="","",$A1876&amp;"|"&amp;$B1876&amp;"|"&amp;$C1876&amp;"|"&amp;$D1876)</f>
        <v/>
      </c>
      <c r="H1876" s="4" t="str">
        <f aca="false">IF($D1876="","",$G1876&amp;"|"&amp;TEXT($E1876,"0.000000"))</f>
        <v/>
      </c>
      <c r="I1876" s="29" t="str">
        <f aca="false">IF($D1876="","",IF(ISNUMBER($E1876),FLOOR(($E1876-$B1876)*24,1),""))</f>
        <v/>
      </c>
      <c r="J1876" s="10" t="str">
        <f aca="false">IF($D1876="","",IFERROR(IF(VLOOKUP($F1876,Dim_Analyst!$A:$C,3,0)="Yes","Yes","No"),"No"))</f>
        <v/>
      </c>
    </row>
    <row r="1877" customFormat="false" ht="15" hidden="false" customHeight="true" outlineLevel="0" collapsed="false">
      <c r="G1877" s="4" t="str">
        <f aca="false">IF($D1877="","",$A1877&amp;"|"&amp;$B1877&amp;"|"&amp;$C1877&amp;"|"&amp;$D1877)</f>
        <v/>
      </c>
      <c r="H1877" s="4" t="str">
        <f aca="false">IF($D1877="","",$G1877&amp;"|"&amp;TEXT($E1877,"0.000000"))</f>
        <v/>
      </c>
      <c r="I1877" s="29" t="str">
        <f aca="false">IF($D1877="","",IF(ISNUMBER($E1877),FLOOR(($E1877-$B1877)*24,1),""))</f>
        <v/>
      </c>
      <c r="J1877" s="10" t="str">
        <f aca="false">IF($D1877="","",IFERROR(IF(VLOOKUP($F1877,Dim_Analyst!$A:$C,3,0)="Yes","Yes","No"),"No"))</f>
        <v/>
      </c>
    </row>
    <row r="1878" customFormat="false" ht="15" hidden="false" customHeight="true" outlineLevel="0" collapsed="false">
      <c r="G1878" s="4" t="str">
        <f aca="false">IF($D1878="","",$A1878&amp;"|"&amp;$B1878&amp;"|"&amp;$C1878&amp;"|"&amp;$D1878)</f>
        <v/>
      </c>
      <c r="H1878" s="4" t="str">
        <f aca="false">IF($D1878="","",$G1878&amp;"|"&amp;TEXT($E1878,"0.000000"))</f>
        <v/>
      </c>
      <c r="I1878" s="29" t="str">
        <f aca="false">IF($D1878="","",IF(ISNUMBER($E1878),FLOOR(($E1878-$B1878)*24,1),""))</f>
        <v/>
      </c>
      <c r="J1878" s="10" t="str">
        <f aca="false">IF($D1878="","",IFERROR(IF(VLOOKUP($F1878,Dim_Analyst!$A:$C,3,0)="Yes","Yes","No"),"No"))</f>
        <v/>
      </c>
    </row>
    <row r="1879" customFormat="false" ht="15" hidden="false" customHeight="true" outlineLevel="0" collapsed="false">
      <c r="G1879" s="4" t="str">
        <f aca="false">IF($D1879="","",$A1879&amp;"|"&amp;$B1879&amp;"|"&amp;$C1879&amp;"|"&amp;$D1879)</f>
        <v/>
      </c>
      <c r="H1879" s="4" t="str">
        <f aca="false">IF($D1879="","",$G1879&amp;"|"&amp;TEXT($E1879,"0.000000"))</f>
        <v/>
      </c>
      <c r="I1879" s="29" t="str">
        <f aca="false">IF($D1879="","",IF(ISNUMBER($E1879),FLOOR(($E1879-$B1879)*24,1),""))</f>
        <v/>
      </c>
      <c r="J1879" s="10" t="str">
        <f aca="false">IF($D1879="","",IFERROR(IF(VLOOKUP($F1879,Dim_Analyst!$A:$C,3,0)="Yes","Yes","No"),"No"))</f>
        <v/>
      </c>
    </row>
    <row r="1880" customFormat="false" ht="15" hidden="false" customHeight="true" outlineLevel="0" collapsed="false">
      <c r="G1880" s="4" t="str">
        <f aca="false">IF($D1880="","",$A1880&amp;"|"&amp;$B1880&amp;"|"&amp;$C1880&amp;"|"&amp;$D1880)</f>
        <v/>
      </c>
      <c r="H1880" s="4" t="str">
        <f aca="false">IF($D1880="","",$G1880&amp;"|"&amp;TEXT($E1880,"0.000000"))</f>
        <v/>
      </c>
      <c r="I1880" s="29" t="str">
        <f aca="false">IF($D1880="","",IF(ISNUMBER($E1880),FLOOR(($E1880-$B1880)*24,1),""))</f>
        <v/>
      </c>
      <c r="J1880" s="10" t="str">
        <f aca="false">IF($D1880="","",IFERROR(IF(VLOOKUP($F1880,Dim_Analyst!$A:$C,3,0)="Yes","Yes","No"),"No"))</f>
        <v/>
      </c>
    </row>
    <row r="1881" customFormat="false" ht="15" hidden="false" customHeight="true" outlineLevel="0" collapsed="false">
      <c r="G1881" s="4" t="str">
        <f aca="false">IF($D1881="","",$A1881&amp;"|"&amp;$B1881&amp;"|"&amp;$C1881&amp;"|"&amp;$D1881)</f>
        <v/>
      </c>
      <c r="H1881" s="4" t="str">
        <f aca="false">IF($D1881="","",$G1881&amp;"|"&amp;TEXT($E1881,"0.000000"))</f>
        <v/>
      </c>
      <c r="I1881" s="29" t="str">
        <f aca="false">IF($D1881="","",IF(ISNUMBER($E1881),FLOOR(($E1881-$B1881)*24,1),""))</f>
        <v/>
      </c>
      <c r="J1881" s="10" t="str">
        <f aca="false">IF($D1881="","",IFERROR(IF(VLOOKUP($F1881,Dim_Analyst!$A:$C,3,0)="Yes","Yes","No"),"No"))</f>
        <v/>
      </c>
    </row>
    <row r="1882" customFormat="false" ht="15" hidden="false" customHeight="true" outlineLevel="0" collapsed="false">
      <c r="G1882" s="4" t="str">
        <f aca="false">IF($D1882="","",$A1882&amp;"|"&amp;$B1882&amp;"|"&amp;$C1882&amp;"|"&amp;$D1882)</f>
        <v/>
      </c>
      <c r="H1882" s="4" t="str">
        <f aca="false">IF($D1882="","",$G1882&amp;"|"&amp;TEXT($E1882,"0.000000"))</f>
        <v/>
      </c>
      <c r="I1882" s="29" t="str">
        <f aca="false">IF($D1882="","",IF(ISNUMBER($E1882),FLOOR(($E1882-$B1882)*24,1),""))</f>
        <v/>
      </c>
      <c r="J1882" s="10" t="str">
        <f aca="false">IF($D1882="","",IFERROR(IF(VLOOKUP($F1882,Dim_Analyst!$A:$C,3,0)="Yes","Yes","No"),"No"))</f>
        <v/>
      </c>
    </row>
    <row r="1883" customFormat="false" ht="15" hidden="false" customHeight="true" outlineLevel="0" collapsed="false">
      <c r="G1883" s="4" t="str">
        <f aca="false">IF($D1883="","",$A1883&amp;"|"&amp;$B1883&amp;"|"&amp;$C1883&amp;"|"&amp;$D1883)</f>
        <v/>
      </c>
      <c r="H1883" s="4" t="str">
        <f aca="false">IF($D1883="","",$G1883&amp;"|"&amp;TEXT($E1883,"0.000000"))</f>
        <v/>
      </c>
      <c r="I1883" s="29" t="str">
        <f aca="false">IF($D1883="","",IF(ISNUMBER($E1883),FLOOR(($E1883-$B1883)*24,1),""))</f>
        <v/>
      </c>
      <c r="J1883" s="10" t="str">
        <f aca="false">IF($D1883="","",IFERROR(IF(VLOOKUP($F1883,Dim_Analyst!$A:$C,3,0)="Yes","Yes","No"),"No"))</f>
        <v/>
      </c>
    </row>
    <row r="1884" customFormat="false" ht="15" hidden="false" customHeight="true" outlineLevel="0" collapsed="false">
      <c r="G1884" s="4" t="str">
        <f aca="false">IF($D1884="","",$A1884&amp;"|"&amp;$B1884&amp;"|"&amp;$C1884&amp;"|"&amp;$D1884)</f>
        <v/>
      </c>
      <c r="H1884" s="4" t="str">
        <f aca="false">IF($D1884="","",$G1884&amp;"|"&amp;TEXT($E1884,"0.000000"))</f>
        <v/>
      </c>
      <c r="I1884" s="29" t="str">
        <f aca="false">IF($D1884="","",IF(ISNUMBER($E1884),FLOOR(($E1884-$B1884)*24,1),""))</f>
        <v/>
      </c>
      <c r="J1884" s="10" t="str">
        <f aca="false">IF($D1884="","",IFERROR(IF(VLOOKUP($F1884,Dim_Analyst!$A:$C,3,0)="Yes","Yes","No"),"No"))</f>
        <v/>
      </c>
    </row>
    <row r="1885" customFormat="false" ht="15" hidden="false" customHeight="true" outlineLevel="0" collapsed="false">
      <c r="G1885" s="4" t="str">
        <f aca="false">IF($D1885="","",$A1885&amp;"|"&amp;$B1885&amp;"|"&amp;$C1885&amp;"|"&amp;$D1885)</f>
        <v/>
      </c>
      <c r="H1885" s="4" t="str">
        <f aca="false">IF($D1885="","",$G1885&amp;"|"&amp;TEXT($E1885,"0.000000"))</f>
        <v/>
      </c>
      <c r="I1885" s="29" t="str">
        <f aca="false">IF($D1885="","",IF(ISNUMBER($E1885),FLOOR(($E1885-$B1885)*24,1),""))</f>
        <v/>
      </c>
      <c r="J1885" s="10" t="str">
        <f aca="false">IF($D1885="","",IFERROR(IF(VLOOKUP($F1885,Dim_Analyst!$A:$C,3,0)="Yes","Yes","No"),"No"))</f>
        <v/>
      </c>
    </row>
    <row r="1886" customFormat="false" ht="15" hidden="false" customHeight="true" outlineLevel="0" collapsed="false">
      <c r="G1886" s="4" t="str">
        <f aca="false">IF($D1886="","",$A1886&amp;"|"&amp;$B1886&amp;"|"&amp;$C1886&amp;"|"&amp;$D1886)</f>
        <v/>
      </c>
      <c r="H1886" s="4" t="str">
        <f aca="false">IF($D1886="","",$G1886&amp;"|"&amp;TEXT($E1886,"0.000000"))</f>
        <v/>
      </c>
      <c r="I1886" s="29" t="str">
        <f aca="false">IF($D1886="","",IF(ISNUMBER($E1886),FLOOR(($E1886-$B1886)*24,1),""))</f>
        <v/>
      </c>
      <c r="J1886" s="10" t="str">
        <f aca="false">IF($D1886="","",IFERROR(IF(VLOOKUP($F1886,Dim_Analyst!$A:$C,3,0)="Yes","Yes","No"),"No"))</f>
        <v/>
      </c>
    </row>
    <row r="1887" customFormat="false" ht="15" hidden="false" customHeight="true" outlineLevel="0" collapsed="false">
      <c r="G1887" s="4" t="str">
        <f aca="false">IF($D1887="","",$A1887&amp;"|"&amp;$B1887&amp;"|"&amp;$C1887&amp;"|"&amp;$D1887)</f>
        <v/>
      </c>
      <c r="H1887" s="4" t="str">
        <f aca="false">IF($D1887="","",$G1887&amp;"|"&amp;TEXT($E1887,"0.000000"))</f>
        <v/>
      </c>
      <c r="I1887" s="29" t="str">
        <f aca="false">IF($D1887="","",IF(ISNUMBER($E1887),FLOOR(($E1887-$B1887)*24,1),""))</f>
        <v/>
      </c>
      <c r="J1887" s="10" t="str">
        <f aca="false">IF($D1887="","",IFERROR(IF(VLOOKUP($F1887,Dim_Analyst!$A:$C,3,0)="Yes","Yes","No"),"No"))</f>
        <v/>
      </c>
    </row>
    <row r="1888" customFormat="false" ht="15" hidden="false" customHeight="true" outlineLevel="0" collapsed="false">
      <c r="G1888" s="4" t="str">
        <f aca="false">IF($D1888="","",$A1888&amp;"|"&amp;$B1888&amp;"|"&amp;$C1888&amp;"|"&amp;$D1888)</f>
        <v/>
      </c>
      <c r="H1888" s="4" t="str">
        <f aca="false">IF($D1888="","",$G1888&amp;"|"&amp;TEXT($E1888,"0.000000"))</f>
        <v/>
      </c>
      <c r="I1888" s="29" t="str">
        <f aca="false">IF($D1888="","",IF(ISNUMBER($E1888),FLOOR(($E1888-$B1888)*24,1),""))</f>
        <v/>
      </c>
      <c r="J1888" s="10" t="str">
        <f aca="false">IF($D1888="","",IFERROR(IF(VLOOKUP($F1888,Dim_Analyst!$A:$C,3,0)="Yes","Yes","No"),"No"))</f>
        <v/>
      </c>
    </row>
    <row r="1889" customFormat="false" ht="15" hidden="false" customHeight="true" outlineLevel="0" collapsed="false">
      <c r="G1889" s="4" t="str">
        <f aca="false">IF($D1889="","",$A1889&amp;"|"&amp;$B1889&amp;"|"&amp;$C1889&amp;"|"&amp;$D1889)</f>
        <v/>
      </c>
      <c r="H1889" s="4" t="str">
        <f aca="false">IF($D1889="","",$G1889&amp;"|"&amp;TEXT($E1889,"0.000000"))</f>
        <v/>
      </c>
      <c r="I1889" s="29" t="str">
        <f aca="false">IF($D1889="","",IF(ISNUMBER($E1889),FLOOR(($E1889-$B1889)*24,1),""))</f>
        <v/>
      </c>
      <c r="J1889" s="10" t="str">
        <f aca="false">IF($D1889="","",IFERROR(IF(VLOOKUP($F1889,Dim_Analyst!$A:$C,3,0)="Yes","Yes","No"),"No"))</f>
        <v/>
      </c>
    </row>
    <row r="1890" customFormat="false" ht="15" hidden="false" customHeight="true" outlineLevel="0" collapsed="false">
      <c r="G1890" s="4" t="str">
        <f aca="false">IF($D1890="","",$A1890&amp;"|"&amp;$B1890&amp;"|"&amp;$C1890&amp;"|"&amp;$D1890)</f>
        <v/>
      </c>
      <c r="H1890" s="4" t="str">
        <f aca="false">IF($D1890="","",$G1890&amp;"|"&amp;TEXT($E1890,"0.000000"))</f>
        <v/>
      </c>
      <c r="I1890" s="29" t="str">
        <f aca="false">IF($D1890="","",IF(ISNUMBER($E1890),FLOOR(($E1890-$B1890)*24,1),""))</f>
        <v/>
      </c>
      <c r="J1890" s="10" t="str">
        <f aca="false">IF($D1890="","",IFERROR(IF(VLOOKUP($F1890,Dim_Analyst!$A:$C,3,0)="Yes","Yes","No"),"No"))</f>
        <v/>
      </c>
    </row>
    <row r="1891" customFormat="false" ht="15" hidden="false" customHeight="true" outlineLevel="0" collapsed="false">
      <c r="G1891" s="4" t="str">
        <f aca="false">IF($D1891="","",$A1891&amp;"|"&amp;$B1891&amp;"|"&amp;$C1891&amp;"|"&amp;$D1891)</f>
        <v/>
      </c>
      <c r="H1891" s="4" t="str">
        <f aca="false">IF($D1891="","",$G1891&amp;"|"&amp;TEXT($E1891,"0.000000"))</f>
        <v/>
      </c>
      <c r="I1891" s="29" t="str">
        <f aca="false">IF($D1891="","",IF(ISNUMBER($E1891),FLOOR(($E1891-$B1891)*24,1),""))</f>
        <v/>
      </c>
      <c r="J1891" s="10" t="str">
        <f aca="false">IF($D1891="","",IFERROR(IF(VLOOKUP($F1891,Dim_Analyst!$A:$C,3,0)="Yes","Yes","No"),"No"))</f>
        <v/>
      </c>
    </row>
    <row r="1892" customFormat="false" ht="15" hidden="false" customHeight="true" outlineLevel="0" collapsed="false">
      <c r="G1892" s="4" t="str">
        <f aca="false">IF($D1892="","",$A1892&amp;"|"&amp;$B1892&amp;"|"&amp;$C1892&amp;"|"&amp;$D1892)</f>
        <v/>
      </c>
      <c r="H1892" s="4" t="str">
        <f aca="false">IF($D1892="","",$G1892&amp;"|"&amp;TEXT($E1892,"0.000000"))</f>
        <v/>
      </c>
      <c r="I1892" s="29" t="str">
        <f aca="false">IF($D1892="","",IF(ISNUMBER($E1892),FLOOR(($E1892-$B1892)*24,1),""))</f>
        <v/>
      </c>
      <c r="J1892" s="10" t="str">
        <f aca="false">IF($D1892="","",IFERROR(IF(VLOOKUP($F1892,Dim_Analyst!$A:$C,3,0)="Yes","Yes","No"),"No"))</f>
        <v/>
      </c>
    </row>
    <row r="1893" customFormat="false" ht="15" hidden="false" customHeight="true" outlineLevel="0" collapsed="false">
      <c r="G1893" s="4" t="str">
        <f aca="false">IF($D1893="","",$A1893&amp;"|"&amp;$B1893&amp;"|"&amp;$C1893&amp;"|"&amp;$D1893)</f>
        <v/>
      </c>
      <c r="H1893" s="4" t="str">
        <f aca="false">IF($D1893="","",$G1893&amp;"|"&amp;TEXT($E1893,"0.000000"))</f>
        <v/>
      </c>
      <c r="I1893" s="29" t="str">
        <f aca="false">IF($D1893="","",IF(ISNUMBER($E1893),FLOOR(($E1893-$B1893)*24,1),""))</f>
        <v/>
      </c>
      <c r="J1893" s="10" t="str">
        <f aca="false">IF($D1893="","",IFERROR(IF(VLOOKUP($F1893,Dim_Analyst!$A:$C,3,0)="Yes","Yes","No"),"No"))</f>
        <v/>
      </c>
    </row>
    <row r="1894" customFormat="false" ht="15" hidden="false" customHeight="true" outlineLevel="0" collapsed="false">
      <c r="G1894" s="4" t="str">
        <f aca="false">IF($D1894="","",$A1894&amp;"|"&amp;$B1894&amp;"|"&amp;$C1894&amp;"|"&amp;$D1894)</f>
        <v/>
      </c>
      <c r="H1894" s="4" t="str">
        <f aca="false">IF($D1894="","",$G1894&amp;"|"&amp;TEXT($E1894,"0.000000"))</f>
        <v/>
      </c>
      <c r="I1894" s="29" t="str">
        <f aca="false">IF($D1894="","",IF(ISNUMBER($E1894),FLOOR(($E1894-$B1894)*24,1),""))</f>
        <v/>
      </c>
      <c r="J1894" s="10" t="str">
        <f aca="false">IF($D1894="","",IFERROR(IF(VLOOKUP($F1894,Dim_Analyst!$A:$C,3,0)="Yes","Yes","No"),"No"))</f>
        <v/>
      </c>
    </row>
    <row r="1895" customFormat="false" ht="15" hidden="false" customHeight="true" outlineLevel="0" collapsed="false">
      <c r="G1895" s="4" t="str">
        <f aca="false">IF($D1895="","",$A1895&amp;"|"&amp;$B1895&amp;"|"&amp;$C1895&amp;"|"&amp;$D1895)</f>
        <v/>
      </c>
      <c r="H1895" s="4" t="str">
        <f aca="false">IF($D1895="","",$G1895&amp;"|"&amp;TEXT($E1895,"0.000000"))</f>
        <v/>
      </c>
      <c r="I1895" s="29" t="str">
        <f aca="false">IF($D1895="","",IF(ISNUMBER($E1895),FLOOR(($E1895-$B1895)*24,1),""))</f>
        <v/>
      </c>
      <c r="J1895" s="10" t="str">
        <f aca="false">IF($D1895="","",IFERROR(IF(VLOOKUP($F1895,Dim_Analyst!$A:$C,3,0)="Yes","Yes","No"),"No"))</f>
        <v/>
      </c>
    </row>
    <row r="1896" customFormat="false" ht="15" hidden="false" customHeight="true" outlineLevel="0" collapsed="false">
      <c r="G1896" s="4" t="str">
        <f aca="false">IF($D1896="","",$A1896&amp;"|"&amp;$B1896&amp;"|"&amp;$C1896&amp;"|"&amp;$D1896)</f>
        <v/>
      </c>
      <c r="H1896" s="4" t="str">
        <f aca="false">IF($D1896="","",$G1896&amp;"|"&amp;TEXT($E1896,"0.000000"))</f>
        <v/>
      </c>
      <c r="I1896" s="29" t="str">
        <f aca="false">IF($D1896="","",IF(ISNUMBER($E1896),FLOOR(($E1896-$B1896)*24,1),""))</f>
        <v/>
      </c>
      <c r="J1896" s="10" t="str">
        <f aca="false">IF($D1896="","",IFERROR(IF(VLOOKUP($F1896,Dim_Analyst!$A:$C,3,0)="Yes","Yes","No"),"No"))</f>
        <v/>
      </c>
    </row>
    <row r="1897" customFormat="false" ht="15" hidden="false" customHeight="true" outlineLevel="0" collapsed="false">
      <c r="G1897" s="4" t="str">
        <f aca="false">IF($D1897="","",$A1897&amp;"|"&amp;$B1897&amp;"|"&amp;$C1897&amp;"|"&amp;$D1897)</f>
        <v/>
      </c>
      <c r="H1897" s="4" t="str">
        <f aca="false">IF($D1897="","",$G1897&amp;"|"&amp;TEXT($E1897,"0.000000"))</f>
        <v/>
      </c>
      <c r="I1897" s="29" t="str">
        <f aca="false">IF($D1897="","",IF(ISNUMBER($E1897),FLOOR(($E1897-$B1897)*24,1),""))</f>
        <v/>
      </c>
      <c r="J1897" s="10" t="str">
        <f aca="false">IF($D1897="","",IFERROR(IF(VLOOKUP($F1897,Dim_Analyst!$A:$C,3,0)="Yes","Yes","No"),"No"))</f>
        <v/>
      </c>
    </row>
    <row r="1898" customFormat="false" ht="15" hidden="false" customHeight="true" outlineLevel="0" collapsed="false">
      <c r="G1898" s="4" t="str">
        <f aca="false">IF($D1898="","",$A1898&amp;"|"&amp;$B1898&amp;"|"&amp;$C1898&amp;"|"&amp;$D1898)</f>
        <v/>
      </c>
      <c r="H1898" s="4" t="str">
        <f aca="false">IF($D1898="","",$G1898&amp;"|"&amp;TEXT($E1898,"0.000000"))</f>
        <v/>
      </c>
      <c r="I1898" s="29" t="str">
        <f aca="false">IF($D1898="","",IF(ISNUMBER($E1898),FLOOR(($E1898-$B1898)*24,1),""))</f>
        <v/>
      </c>
      <c r="J1898" s="10" t="str">
        <f aca="false">IF($D1898="","",IFERROR(IF(VLOOKUP($F1898,Dim_Analyst!$A:$C,3,0)="Yes","Yes","No"),"No"))</f>
        <v/>
      </c>
    </row>
    <row r="1899" customFormat="false" ht="15" hidden="false" customHeight="true" outlineLevel="0" collapsed="false">
      <c r="G1899" s="4" t="str">
        <f aca="false">IF($D1899="","",$A1899&amp;"|"&amp;$B1899&amp;"|"&amp;$C1899&amp;"|"&amp;$D1899)</f>
        <v/>
      </c>
      <c r="H1899" s="4" t="str">
        <f aca="false">IF($D1899="","",$G1899&amp;"|"&amp;TEXT($E1899,"0.000000"))</f>
        <v/>
      </c>
      <c r="I1899" s="29" t="str">
        <f aca="false">IF($D1899="","",IF(ISNUMBER($E1899),FLOOR(($E1899-$B1899)*24,1),""))</f>
        <v/>
      </c>
      <c r="J1899" s="10" t="str">
        <f aca="false">IF($D1899="","",IFERROR(IF(VLOOKUP($F1899,Dim_Analyst!$A:$C,3,0)="Yes","Yes","No"),"No"))</f>
        <v/>
      </c>
    </row>
    <row r="1900" customFormat="false" ht="15" hidden="false" customHeight="true" outlineLevel="0" collapsed="false">
      <c r="G1900" s="4" t="str">
        <f aca="false">IF($D1900="","",$A1900&amp;"|"&amp;$B1900&amp;"|"&amp;$C1900&amp;"|"&amp;$D1900)</f>
        <v/>
      </c>
      <c r="H1900" s="4" t="str">
        <f aca="false">IF($D1900="","",$G1900&amp;"|"&amp;TEXT($E1900,"0.000000"))</f>
        <v/>
      </c>
      <c r="I1900" s="29" t="str">
        <f aca="false">IF($D1900="","",IF(ISNUMBER($E1900),FLOOR(($E1900-$B1900)*24,1),""))</f>
        <v/>
      </c>
      <c r="J1900" s="10" t="str">
        <f aca="false">IF($D1900="","",IFERROR(IF(VLOOKUP($F1900,Dim_Analyst!$A:$C,3,0)="Yes","Yes","No"),"No"))</f>
        <v/>
      </c>
    </row>
    <row r="1901" customFormat="false" ht="15" hidden="false" customHeight="true" outlineLevel="0" collapsed="false">
      <c r="G1901" s="4" t="str">
        <f aca="false">IF($D1901="","",$A1901&amp;"|"&amp;$B1901&amp;"|"&amp;$C1901&amp;"|"&amp;$D1901)</f>
        <v/>
      </c>
      <c r="H1901" s="4" t="str">
        <f aca="false">IF($D1901="","",$G1901&amp;"|"&amp;TEXT($E1901,"0.000000"))</f>
        <v/>
      </c>
      <c r="I1901" s="29" t="str">
        <f aca="false">IF($D1901="","",IF(ISNUMBER($E1901),FLOOR(($E1901-$B1901)*24,1),""))</f>
        <v/>
      </c>
      <c r="J1901" s="10" t="str">
        <f aca="false">IF($D1901="","",IFERROR(IF(VLOOKUP($F1901,Dim_Analyst!$A:$C,3,0)="Yes","Yes","No"),"No"))</f>
        <v/>
      </c>
    </row>
    <row r="1902" customFormat="false" ht="15" hidden="false" customHeight="true" outlineLevel="0" collapsed="false">
      <c r="G1902" s="4" t="str">
        <f aca="false">IF($D1902="","",$A1902&amp;"|"&amp;$B1902&amp;"|"&amp;$C1902&amp;"|"&amp;$D1902)</f>
        <v/>
      </c>
      <c r="H1902" s="4" t="str">
        <f aca="false">IF($D1902="","",$G1902&amp;"|"&amp;TEXT($E1902,"0.000000"))</f>
        <v/>
      </c>
      <c r="I1902" s="29" t="str">
        <f aca="false">IF($D1902="","",IF(ISNUMBER($E1902),FLOOR(($E1902-$B1902)*24,1),""))</f>
        <v/>
      </c>
      <c r="J1902" s="10" t="str">
        <f aca="false">IF($D1902="","",IFERROR(IF(VLOOKUP($F1902,Dim_Analyst!$A:$C,3,0)="Yes","Yes","No"),"No"))</f>
        <v/>
      </c>
    </row>
    <row r="1903" customFormat="false" ht="15" hidden="false" customHeight="true" outlineLevel="0" collapsed="false">
      <c r="G1903" s="4" t="str">
        <f aca="false">IF($D1903="","",$A1903&amp;"|"&amp;$B1903&amp;"|"&amp;$C1903&amp;"|"&amp;$D1903)</f>
        <v/>
      </c>
      <c r="H1903" s="4" t="str">
        <f aca="false">IF($D1903="","",$G1903&amp;"|"&amp;TEXT($E1903,"0.000000"))</f>
        <v/>
      </c>
      <c r="I1903" s="29" t="str">
        <f aca="false">IF($D1903="","",IF(ISNUMBER($E1903),FLOOR(($E1903-$B1903)*24,1),""))</f>
        <v/>
      </c>
      <c r="J1903" s="10" t="str">
        <f aca="false">IF($D1903="","",IFERROR(IF(VLOOKUP($F1903,Dim_Analyst!$A:$C,3,0)="Yes","Yes","No"),"No"))</f>
        <v/>
      </c>
    </row>
    <row r="1904" customFormat="false" ht="15" hidden="false" customHeight="true" outlineLevel="0" collapsed="false">
      <c r="G1904" s="4" t="str">
        <f aca="false">IF($D1904="","",$A1904&amp;"|"&amp;$B1904&amp;"|"&amp;$C1904&amp;"|"&amp;$D1904)</f>
        <v/>
      </c>
      <c r="H1904" s="4" t="str">
        <f aca="false">IF($D1904="","",$G1904&amp;"|"&amp;TEXT($E1904,"0.000000"))</f>
        <v/>
      </c>
      <c r="I1904" s="29" t="str">
        <f aca="false">IF($D1904="","",IF(ISNUMBER($E1904),FLOOR(($E1904-$B1904)*24,1),""))</f>
        <v/>
      </c>
      <c r="J1904" s="10" t="str">
        <f aca="false">IF($D1904="","",IFERROR(IF(VLOOKUP($F1904,Dim_Analyst!$A:$C,3,0)="Yes","Yes","No"),"No"))</f>
        <v/>
      </c>
    </row>
    <row r="1905" customFormat="false" ht="15" hidden="false" customHeight="true" outlineLevel="0" collapsed="false">
      <c r="G1905" s="4" t="str">
        <f aca="false">IF($D1905="","",$A1905&amp;"|"&amp;$B1905&amp;"|"&amp;$C1905&amp;"|"&amp;$D1905)</f>
        <v/>
      </c>
      <c r="H1905" s="4" t="str">
        <f aca="false">IF($D1905="","",$G1905&amp;"|"&amp;TEXT($E1905,"0.000000"))</f>
        <v/>
      </c>
      <c r="I1905" s="29" t="str">
        <f aca="false">IF($D1905="","",IF(ISNUMBER($E1905),FLOOR(($E1905-$B1905)*24,1),""))</f>
        <v/>
      </c>
      <c r="J1905" s="10" t="str">
        <f aca="false">IF($D1905="","",IFERROR(IF(VLOOKUP($F1905,Dim_Analyst!$A:$C,3,0)="Yes","Yes","No"),"No"))</f>
        <v/>
      </c>
    </row>
    <row r="1906" customFormat="false" ht="15" hidden="false" customHeight="true" outlineLevel="0" collapsed="false">
      <c r="G1906" s="4" t="str">
        <f aca="false">IF($D1906="","",$A1906&amp;"|"&amp;$B1906&amp;"|"&amp;$C1906&amp;"|"&amp;$D1906)</f>
        <v/>
      </c>
      <c r="H1906" s="4" t="str">
        <f aca="false">IF($D1906="","",$G1906&amp;"|"&amp;TEXT($E1906,"0.000000"))</f>
        <v/>
      </c>
      <c r="I1906" s="29" t="str">
        <f aca="false">IF($D1906="","",IF(ISNUMBER($E1906),FLOOR(($E1906-$B1906)*24,1),""))</f>
        <v/>
      </c>
      <c r="J1906" s="10" t="str">
        <f aca="false">IF($D1906="","",IFERROR(IF(VLOOKUP($F1906,Dim_Analyst!$A:$C,3,0)="Yes","Yes","No"),"No"))</f>
        <v/>
      </c>
    </row>
    <row r="1907" customFormat="false" ht="15" hidden="false" customHeight="true" outlineLevel="0" collapsed="false">
      <c r="G1907" s="4" t="str">
        <f aca="false">IF($D1907="","",$A1907&amp;"|"&amp;$B1907&amp;"|"&amp;$C1907&amp;"|"&amp;$D1907)</f>
        <v/>
      </c>
      <c r="H1907" s="4" t="str">
        <f aca="false">IF($D1907="","",$G1907&amp;"|"&amp;TEXT($E1907,"0.000000"))</f>
        <v/>
      </c>
      <c r="I1907" s="29" t="str">
        <f aca="false">IF($D1907="","",IF(ISNUMBER($E1907),FLOOR(($E1907-$B1907)*24,1),""))</f>
        <v/>
      </c>
      <c r="J1907" s="10" t="str">
        <f aca="false">IF($D1907="","",IFERROR(IF(VLOOKUP($F1907,Dim_Analyst!$A:$C,3,0)="Yes","Yes","No"),"No"))</f>
        <v/>
      </c>
    </row>
    <row r="1908" customFormat="false" ht="15" hidden="false" customHeight="true" outlineLevel="0" collapsed="false">
      <c r="G1908" s="4" t="str">
        <f aca="false">IF($D1908="","",$A1908&amp;"|"&amp;$B1908&amp;"|"&amp;$C1908&amp;"|"&amp;$D1908)</f>
        <v/>
      </c>
      <c r="H1908" s="4" t="str">
        <f aca="false">IF($D1908="","",$G1908&amp;"|"&amp;TEXT($E1908,"0.000000"))</f>
        <v/>
      </c>
      <c r="I1908" s="29" t="str">
        <f aca="false">IF($D1908="","",IF(ISNUMBER($E1908),FLOOR(($E1908-$B1908)*24,1),""))</f>
        <v/>
      </c>
      <c r="J1908" s="10" t="str">
        <f aca="false">IF($D1908="","",IFERROR(IF(VLOOKUP($F1908,Dim_Analyst!$A:$C,3,0)="Yes","Yes","No"),"No"))</f>
        <v/>
      </c>
    </row>
    <row r="1909" customFormat="false" ht="15" hidden="false" customHeight="true" outlineLevel="0" collapsed="false">
      <c r="G1909" s="4" t="str">
        <f aca="false">IF($D1909="","",$A1909&amp;"|"&amp;$B1909&amp;"|"&amp;$C1909&amp;"|"&amp;$D1909)</f>
        <v/>
      </c>
      <c r="H1909" s="4" t="str">
        <f aca="false">IF($D1909="","",$G1909&amp;"|"&amp;TEXT($E1909,"0.000000"))</f>
        <v/>
      </c>
      <c r="I1909" s="29" t="str">
        <f aca="false">IF($D1909="","",IF(ISNUMBER($E1909),FLOOR(($E1909-$B1909)*24,1),""))</f>
        <v/>
      </c>
      <c r="J1909" s="10" t="str">
        <f aca="false">IF($D1909="","",IFERROR(IF(VLOOKUP($F1909,Dim_Analyst!$A:$C,3,0)="Yes","Yes","No"),"No"))</f>
        <v/>
      </c>
    </row>
    <row r="1910" customFormat="false" ht="15" hidden="false" customHeight="true" outlineLevel="0" collapsed="false">
      <c r="G1910" s="4" t="str">
        <f aca="false">IF($D1910="","",$A1910&amp;"|"&amp;$B1910&amp;"|"&amp;$C1910&amp;"|"&amp;$D1910)</f>
        <v/>
      </c>
      <c r="H1910" s="4" t="str">
        <f aca="false">IF($D1910="","",$G1910&amp;"|"&amp;TEXT($E1910,"0.000000"))</f>
        <v/>
      </c>
      <c r="I1910" s="29" t="str">
        <f aca="false">IF($D1910="","",IF(ISNUMBER($E1910),FLOOR(($E1910-$B1910)*24,1),""))</f>
        <v/>
      </c>
      <c r="J1910" s="10" t="str">
        <f aca="false">IF($D1910="","",IFERROR(IF(VLOOKUP($F1910,Dim_Analyst!$A:$C,3,0)="Yes","Yes","No"),"No"))</f>
        <v/>
      </c>
    </row>
    <row r="1911" customFormat="false" ht="15" hidden="false" customHeight="true" outlineLevel="0" collapsed="false">
      <c r="G1911" s="4" t="str">
        <f aca="false">IF($D1911="","",$A1911&amp;"|"&amp;$B1911&amp;"|"&amp;$C1911&amp;"|"&amp;$D1911)</f>
        <v/>
      </c>
      <c r="H1911" s="4" t="str">
        <f aca="false">IF($D1911="","",$G1911&amp;"|"&amp;TEXT($E1911,"0.000000"))</f>
        <v/>
      </c>
      <c r="I1911" s="29" t="str">
        <f aca="false">IF($D1911="","",IF(ISNUMBER($E1911),FLOOR(($E1911-$B1911)*24,1),""))</f>
        <v/>
      </c>
      <c r="J1911" s="10" t="str">
        <f aca="false">IF($D1911="","",IFERROR(IF(VLOOKUP($F1911,Dim_Analyst!$A:$C,3,0)="Yes","Yes","No"),"No"))</f>
        <v/>
      </c>
    </row>
    <row r="1912" customFormat="false" ht="15" hidden="false" customHeight="true" outlineLevel="0" collapsed="false">
      <c r="G1912" s="4" t="str">
        <f aca="false">IF($D1912="","",$A1912&amp;"|"&amp;$B1912&amp;"|"&amp;$C1912&amp;"|"&amp;$D1912)</f>
        <v/>
      </c>
      <c r="H1912" s="4" t="str">
        <f aca="false">IF($D1912="","",$G1912&amp;"|"&amp;TEXT($E1912,"0.000000"))</f>
        <v/>
      </c>
      <c r="I1912" s="29" t="str">
        <f aca="false">IF($D1912="","",IF(ISNUMBER($E1912),FLOOR(($E1912-$B1912)*24,1),""))</f>
        <v/>
      </c>
      <c r="J1912" s="10" t="str">
        <f aca="false">IF($D1912="","",IFERROR(IF(VLOOKUP($F1912,Dim_Analyst!$A:$C,3,0)="Yes","Yes","No"),"No"))</f>
        <v/>
      </c>
    </row>
    <row r="1913" customFormat="false" ht="15" hidden="false" customHeight="true" outlineLevel="0" collapsed="false">
      <c r="G1913" s="4" t="str">
        <f aca="false">IF($D1913="","",$A1913&amp;"|"&amp;$B1913&amp;"|"&amp;$C1913&amp;"|"&amp;$D1913)</f>
        <v/>
      </c>
      <c r="H1913" s="4" t="str">
        <f aca="false">IF($D1913="","",$G1913&amp;"|"&amp;TEXT($E1913,"0.000000"))</f>
        <v/>
      </c>
      <c r="I1913" s="29" t="str">
        <f aca="false">IF($D1913="","",IF(ISNUMBER($E1913),FLOOR(($E1913-$B1913)*24,1),""))</f>
        <v/>
      </c>
      <c r="J1913" s="10" t="str">
        <f aca="false">IF($D1913="","",IFERROR(IF(VLOOKUP($F1913,Dim_Analyst!$A:$C,3,0)="Yes","Yes","No"),"No"))</f>
        <v/>
      </c>
    </row>
    <row r="1914" customFormat="false" ht="15" hidden="false" customHeight="true" outlineLevel="0" collapsed="false">
      <c r="G1914" s="4" t="str">
        <f aca="false">IF($D1914="","",$A1914&amp;"|"&amp;$B1914&amp;"|"&amp;$C1914&amp;"|"&amp;$D1914)</f>
        <v/>
      </c>
      <c r="H1914" s="4" t="str">
        <f aca="false">IF($D1914="","",$G1914&amp;"|"&amp;TEXT($E1914,"0.000000"))</f>
        <v/>
      </c>
      <c r="I1914" s="29" t="str">
        <f aca="false">IF($D1914="","",IF(ISNUMBER($E1914),FLOOR(($E1914-$B1914)*24,1),""))</f>
        <v/>
      </c>
      <c r="J1914" s="10" t="str">
        <f aca="false">IF($D1914="","",IFERROR(IF(VLOOKUP($F1914,Dim_Analyst!$A:$C,3,0)="Yes","Yes","No"),"No"))</f>
        <v/>
      </c>
    </row>
    <row r="1915" customFormat="false" ht="15" hidden="false" customHeight="true" outlineLevel="0" collapsed="false">
      <c r="G1915" s="4" t="str">
        <f aca="false">IF($D1915="","",$A1915&amp;"|"&amp;$B1915&amp;"|"&amp;$C1915&amp;"|"&amp;$D1915)</f>
        <v/>
      </c>
      <c r="H1915" s="4" t="str">
        <f aca="false">IF($D1915="","",$G1915&amp;"|"&amp;TEXT($E1915,"0.000000"))</f>
        <v/>
      </c>
      <c r="I1915" s="29" t="str">
        <f aca="false">IF($D1915="","",IF(ISNUMBER($E1915),FLOOR(($E1915-$B1915)*24,1),""))</f>
        <v/>
      </c>
      <c r="J1915" s="10" t="str">
        <f aca="false">IF($D1915="","",IFERROR(IF(VLOOKUP($F1915,Dim_Analyst!$A:$C,3,0)="Yes","Yes","No"),"No"))</f>
        <v/>
      </c>
    </row>
    <row r="1916" customFormat="false" ht="15" hidden="false" customHeight="true" outlineLevel="0" collapsed="false">
      <c r="G1916" s="4" t="str">
        <f aca="false">IF($D1916="","",$A1916&amp;"|"&amp;$B1916&amp;"|"&amp;$C1916&amp;"|"&amp;$D1916)</f>
        <v/>
      </c>
      <c r="H1916" s="4" t="str">
        <f aca="false">IF($D1916="","",$G1916&amp;"|"&amp;TEXT($E1916,"0.000000"))</f>
        <v/>
      </c>
      <c r="I1916" s="29" t="str">
        <f aca="false">IF($D1916="","",IF(ISNUMBER($E1916),FLOOR(($E1916-$B1916)*24,1),""))</f>
        <v/>
      </c>
      <c r="J1916" s="10" t="str">
        <f aca="false">IF($D1916="","",IFERROR(IF(VLOOKUP($F1916,Dim_Analyst!$A:$C,3,0)="Yes","Yes","No"),"No"))</f>
        <v/>
      </c>
    </row>
    <row r="1917" customFormat="false" ht="15" hidden="false" customHeight="true" outlineLevel="0" collapsed="false">
      <c r="G1917" s="4" t="str">
        <f aca="false">IF($D1917="","",$A1917&amp;"|"&amp;$B1917&amp;"|"&amp;$C1917&amp;"|"&amp;$D1917)</f>
        <v/>
      </c>
      <c r="H1917" s="4" t="str">
        <f aca="false">IF($D1917="","",$G1917&amp;"|"&amp;TEXT($E1917,"0.000000"))</f>
        <v/>
      </c>
      <c r="I1917" s="29" t="str">
        <f aca="false">IF($D1917="","",IF(ISNUMBER($E1917),FLOOR(($E1917-$B1917)*24,1),""))</f>
        <v/>
      </c>
      <c r="J1917" s="10" t="str">
        <f aca="false">IF($D1917="","",IFERROR(IF(VLOOKUP($F1917,Dim_Analyst!$A:$C,3,0)="Yes","Yes","No"),"No"))</f>
        <v/>
      </c>
    </row>
    <row r="1918" customFormat="false" ht="15" hidden="false" customHeight="true" outlineLevel="0" collapsed="false">
      <c r="G1918" s="4" t="str">
        <f aca="false">IF($D1918="","",$A1918&amp;"|"&amp;$B1918&amp;"|"&amp;$C1918&amp;"|"&amp;$D1918)</f>
        <v/>
      </c>
      <c r="H1918" s="4" t="str">
        <f aca="false">IF($D1918="","",$G1918&amp;"|"&amp;TEXT($E1918,"0.000000"))</f>
        <v/>
      </c>
      <c r="I1918" s="29" t="str">
        <f aca="false">IF($D1918="","",IF(ISNUMBER($E1918),FLOOR(($E1918-$B1918)*24,1),""))</f>
        <v/>
      </c>
      <c r="J1918" s="10" t="str">
        <f aca="false">IF($D1918="","",IFERROR(IF(VLOOKUP($F1918,Dim_Analyst!$A:$C,3,0)="Yes","Yes","No"),"No"))</f>
        <v/>
      </c>
    </row>
    <row r="1919" customFormat="false" ht="15" hidden="false" customHeight="true" outlineLevel="0" collapsed="false">
      <c r="G1919" s="4" t="str">
        <f aca="false">IF($D1919="","",$A1919&amp;"|"&amp;$B1919&amp;"|"&amp;$C1919&amp;"|"&amp;$D1919)</f>
        <v/>
      </c>
      <c r="H1919" s="4" t="str">
        <f aca="false">IF($D1919="","",$G1919&amp;"|"&amp;TEXT($E1919,"0.000000"))</f>
        <v/>
      </c>
      <c r="I1919" s="29" t="str">
        <f aca="false">IF($D1919="","",IF(ISNUMBER($E1919),FLOOR(($E1919-$B1919)*24,1),""))</f>
        <v/>
      </c>
      <c r="J1919" s="10" t="str">
        <f aca="false">IF($D1919="","",IFERROR(IF(VLOOKUP($F1919,Dim_Analyst!$A:$C,3,0)="Yes","Yes","No"),"No"))</f>
        <v/>
      </c>
    </row>
    <row r="1920" customFormat="false" ht="15" hidden="false" customHeight="true" outlineLevel="0" collapsed="false">
      <c r="G1920" s="4" t="str">
        <f aca="false">IF($D1920="","",$A1920&amp;"|"&amp;$B1920&amp;"|"&amp;$C1920&amp;"|"&amp;$D1920)</f>
        <v/>
      </c>
      <c r="H1920" s="4" t="str">
        <f aca="false">IF($D1920="","",$G1920&amp;"|"&amp;TEXT($E1920,"0.000000"))</f>
        <v/>
      </c>
      <c r="I1920" s="29" t="str">
        <f aca="false">IF($D1920="","",IF(ISNUMBER($E1920),FLOOR(($E1920-$B1920)*24,1),""))</f>
        <v/>
      </c>
      <c r="J1920" s="10" t="str">
        <f aca="false">IF($D1920="","",IFERROR(IF(VLOOKUP($F1920,Dim_Analyst!$A:$C,3,0)="Yes","Yes","No"),"No"))</f>
        <v/>
      </c>
    </row>
    <row r="1921" customFormat="false" ht="15" hidden="false" customHeight="true" outlineLevel="0" collapsed="false">
      <c r="G1921" s="4" t="str">
        <f aca="false">IF($D1921="","",$A1921&amp;"|"&amp;$B1921&amp;"|"&amp;$C1921&amp;"|"&amp;$D1921)</f>
        <v/>
      </c>
      <c r="H1921" s="4" t="str">
        <f aca="false">IF($D1921="","",$G1921&amp;"|"&amp;TEXT($E1921,"0.000000"))</f>
        <v/>
      </c>
      <c r="I1921" s="29" t="str">
        <f aca="false">IF($D1921="","",IF(ISNUMBER($E1921),FLOOR(($E1921-$B1921)*24,1),""))</f>
        <v/>
      </c>
      <c r="J1921" s="10" t="str">
        <f aca="false">IF($D1921="","",IFERROR(IF(VLOOKUP($F1921,Dim_Analyst!$A:$C,3,0)="Yes","Yes","No"),"No"))</f>
        <v/>
      </c>
    </row>
    <row r="1922" customFormat="false" ht="15" hidden="false" customHeight="true" outlineLevel="0" collapsed="false">
      <c r="G1922" s="4" t="str">
        <f aca="false">IF($D1922="","",$A1922&amp;"|"&amp;$B1922&amp;"|"&amp;$C1922&amp;"|"&amp;$D1922)</f>
        <v/>
      </c>
      <c r="H1922" s="4" t="str">
        <f aca="false">IF($D1922="","",$G1922&amp;"|"&amp;TEXT($E1922,"0.000000"))</f>
        <v/>
      </c>
      <c r="I1922" s="29" t="str">
        <f aca="false">IF($D1922="","",IF(ISNUMBER($E1922),FLOOR(($E1922-$B1922)*24,1),""))</f>
        <v/>
      </c>
      <c r="J1922" s="10" t="str">
        <f aca="false">IF($D1922="","",IFERROR(IF(VLOOKUP($F1922,Dim_Analyst!$A:$C,3,0)="Yes","Yes","No"),"No"))</f>
        <v/>
      </c>
    </row>
    <row r="1923" customFormat="false" ht="15" hidden="false" customHeight="true" outlineLevel="0" collapsed="false">
      <c r="G1923" s="4" t="str">
        <f aca="false">IF($D1923="","",$A1923&amp;"|"&amp;$B1923&amp;"|"&amp;$C1923&amp;"|"&amp;$D1923)</f>
        <v/>
      </c>
      <c r="H1923" s="4" t="str">
        <f aca="false">IF($D1923="","",$G1923&amp;"|"&amp;TEXT($E1923,"0.000000"))</f>
        <v/>
      </c>
      <c r="I1923" s="29" t="str">
        <f aca="false">IF($D1923="","",IF(ISNUMBER($E1923),FLOOR(($E1923-$B1923)*24,1),""))</f>
        <v/>
      </c>
      <c r="J1923" s="10" t="str">
        <f aca="false">IF($D1923="","",IFERROR(IF(VLOOKUP($F1923,Dim_Analyst!$A:$C,3,0)="Yes","Yes","No"),"No"))</f>
        <v/>
      </c>
    </row>
    <row r="1924" customFormat="false" ht="15" hidden="false" customHeight="true" outlineLevel="0" collapsed="false">
      <c r="G1924" s="4" t="str">
        <f aca="false">IF($D1924="","",$A1924&amp;"|"&amp;$B1924&amp;"|"&amp;$C1924&amp;"|"&amp;$D1924)</f>
        <v/>
      </c>
      <c r="H1924" s="4" t="str">
        <f aca="false">IF($D1924="","",$G1924&amp;"|"&amp;TEXT($E1924,"0.000000"))</f>
        <v/>
      </c>
      <c r="I1924" s="29" t="str">
        <f aca="false">IF($D1924="","",IF(ISNUMBER($E1924),FLOOR(($E1924-$B1924)*24,1),""))</f>
        <v/>
      </c>
      <c r="J1924" s="10" t="str">
        <f aca="false">IF($D1924="","",IFERROR(IF(VLOOKUP($F1924,Dim_Analyst!$A:$C,3,0)="Yes","Yes","No"),"No"))</f>
        <v/>
      </c>
    </row>
    <row r="1925" customFormat="false" ht="15" hidden="false" customHeight="true" outlineLevel="0" collapsed="false">
      <c r="G1925" s="4" t="str">
        <f aca="false">IF($D1925="","",$A1925&amp;"|"&amp;$B1925&amp;"|"&amp;$C1925&amp;"|"&amp;$D1925)</f>
        <v/>
      </c>
      <c r="H1925" s="4" t="str">
        <f aca="false">IF($D1925="","",$G1925&amp;"|"&amp;TEXT($E1925,"0.000000"))</f>
        <v/>
      </c>
      <c r="I1925" s="29" t="str">
        <f aca="false">IF($D1925="","",IF(ISNUMBER($E1925),FLOOR(($E1925-$B1925)*24,1),""))</f>
        <v/>
      </c>
      <c r="J1925" s="10" t="str">
        <f aca="false">IF($D1925="","",IFERROR(IF(VLOOKUP($F1925,Dim_Analyst!$A:$C,3,0)="Yes","Yes","No"),"No"))</f>
        <v/>
      </c>
    </row>
    <row r="1926" customFormat="false" ht="15" hidden="false" customHeight="true" outlineLevel="0" collapsed="false">
      <c r="G1926" s="4" t="str">
        <f aca="false">IF($D1926="","",$A1926&amp;"|"&amp;$B1926&amp;"|"&amp;$C1926&amp;"|"&amp;$D1926)</f>
        <v/>
      </c>
      <c r="H1926" s="4" t="str">
        <f aca="false">IF($D1926="","",$G1926&amp;"|"&amp;TEXT($E1926,"0.000000"))</f>
        <v/>
      </c>
      <c r="I1926" s="29" t="str">
        <f aca="false">IF($D1926="","",IF(ISNUMBER($E1926),FLOOR(($E1926-$B1926)*24,1),""))</f>
        <v/>
      </c>
      <c r="J1926" s="10" t="str">
        <f aca="false">IF($D1926="","",IFERROR(IF(VLOOKUP($F1926,Dim_Analyst!$A:$C,3,0)="Yes","Yes","No"),"No"))</f>
        <v/>
      </c>
    </row>
    <row r="1927" customFormat="false" ht="15" hidden="false" customHeight="true" outlineLevel="0" collapsed="false">
      <c r="G1927" s="4" t="str">
        <f aca="false">IF($D1927="","",$A1927&amp;"|"&amp;$B1927&amp;"|"&amp;$C1927&amp;"|"&amp;$D1927)</f>
        <v/>
      </c>
      <c r="H1927" s="4" t="str">
        <f aca="false">IF($D1927="","",$G1927&amp;"|"&amp;TEXT($E1927,"0.000000"))</f>
        <v/>
      </c>
      <c r="I1927" s="29" t="str">
        <f aca="false">IF($D1927="","",IF(ISNUMBER($E1927),FLOOR(($E1927-$B1927)*24,1),""))</f>
        <v/>
      </c>
      <c r="J1927" s="10" t="str">
        <f aca="false">IF($D1927="","",IFERROR(IF(VLOOKUP($F1927,Dim_Analyst!$A:$C,3,0)="Yes","Yes","No"),"No"))</f>
        <v/>
      </c>
    </row>
    <row r="1928" customFormat="false" ht="15" hidden="false" customHeight="true" outlineLevel="0" collapsed="false">
      <c r="G1928" s="4" t="str">
        <f aca="false">IF($D1928="","",$A1928&amp;"|"&amp;$B1928&amp;"|"&amp;$C1928&amp;"|"&amp;$D1928)</f>
        <v/>
      </c>
      <c r="H1928" s="4" t="str">
        <f aca="false">IF($D1928="","",$G1928&amp;"|"&amp;TEXT($E1928,"0.000000"))</f>
        <v/>
      </c>
      <c r="I1928" s="29" t="str">
        <f aca="false">IF($D1928="","",IF(ISNUMBER($E1928),FLOOR(($E1928-$B1928)*24,1),""))</f>
        <v/>
      </c>
      <c r="J1928" s="10" t="str">
        <f aca="false">IF($D1928="","",IFERROR(IF(VLOOKUP($F1928,Dim_Analyst!$A:$C,3,0)="Yes","Yes","No"),"No"))</f>
        <v/>
      </c>
    </row>
    <row r="1929" customFormat="false" ht="15" hidden="false" customHeight="true" outlineLevel="0" collapsed="false">
      <c r="G1929" s="4" t="str">
        <f aca="false">IF($D1929="","",$A1929&amp;"|"&amp;$B1929&amp;"|"&amp;$C1929&amp;"|"&amp;$D1929)</f>
        <v/>
      </c>
      <c r="H1929" s="4" t="str">
        <f aca="false">IF($D1929="","",$G1929&amp;"|"&amp;TEXT($E1929,"0.000000"))</f>
        <v/>
      </c>
      <c r="I1929" s="29" t="str">
        <f aca="false">IF($D1929="","",IF(ISNUMBER($E1929),FLOOR(($E1929-$B1929)*24,1),""))</f>
        <v/>
      </c>
      <c r="J1929" s="10" t="str">
        <f aca="false">IF($D1929="","",IFERROR(IF(VLOOKUP($F1929,Dim_Analyst!$A:$C,3,0)="Yes","Yes","No"),"No"))</f>
        <v/>
      </c>
    </row>
    <row r="1930" customFormat="false" ht="15" hidden="false" customHeight="true" outlineLevel="0" collapsed="false">
      <c r="G1930" s="4" t="str">
        <f aca="false">IF($D1930="","",$A1930&amp;"|"&amp;$B1930&amp;"|"&amp;$C1930&amp;"|"&amp;$D1930)</f>
        <v/>
      </c>
      <c r="H1930" s="4" t="str">
        <f aca="false">IF($D1930="","",$G1930&amp;"|"&amp;TEXT($E1930,"0.000000"))</f>
        <v/>
      </c>
      <c r="I1930" s="29" t="str">
        <f aca="false">IF($D1930="","",IF(ISNUMBER($E1930),FLOOR(($E1930-$B1930)*24,1),""))</f>
        <v/>
      </c>
      <c r="J1930" s="10" t="str">
        <f aca="false">IF($D1930="","",IFERROR(IF(VLOOKUP($F1930,Dim_Analyst!$A:$C,3,0)="Yes","Yes","No"),"No"))</f>
        <v/>
      </c>
    </row>
    <row r="1931" customFormat="false" ht="15" hidden="false" customHeight="true" outlineLevel="0" collapsed="false">
      <c r="G1931" s="4" t="str">
        <f aca="false">IF($D1931="","",$A1931&amp;"|"&amp;$B1931&amp;"|"&amp;$C1931&amp;"|"&amp;$D1931)</f>
        <v/>
      </c>
      <c r="H1931" s="4" t="str">
        <f aca="false">IF($D1931="","",$G1931&amp;"|"&amp;TEXT($E1931,"0.000000"))</f>
        <v/>
      </c>
      <c r="I1931" s="29" t="str">
        <f aca="false">IF($D1931="","",IF(ISNUMBER($E1931),FLOOR(($E1931-$B1931)*24,1),""))</f>
        <v/>
      </c>
      <c r="J1931" s="10" t="str">
        <f aca="false">IF($D1931="","",IFERROR(IF(VLOOKUP($F1931,Dim_Analyst!$A:$C,3,0)="Yes","Yes","No"),"No"))</f>
        <v/>
      </c>
    </row>
    <row r="1932" customFormat="false" ht="15" hidden="false" customHeight="true" outlineLevel="0" collapsed="false">
      <c r="G1932" s="4" t="str">
        <f aca="false">IF($D1932="","",$A1932&amp;"|"&amp;$B1932&amp;"|"&amp;$C1932&amp;"|"&amp;$D1932)</f>
        <v/>
      </c>
      <c r="H1932" s="4" t="str">
        <f aca="false">IF($D1932="","",$G1932&amp;"|"&amp;TEXT($E1932,"0.000000"))</f>
        <v/>
      </c>
      <c r="I1932" s="29" t="str">
        <f aca="false">IF($D1932="","",IF(ISNUMBER($E1932),FLOOR(($E1932-$B1932)*24,1),""))</f>
        <v/>
      </c>
      <c r="J1932" s="10" t="str">
        <f aca="false">IF($D1932="","",IFERROR(IF(VLOOKUP($F1932,Dim_Analyst!$A:$C,3,0)="Yes","Yes","No"),"No"))</f>
        <v/>
      </c>
    </row>
    <row r="1933" customFormat="false" ht="15" hidden="false" customHeight="true" outlineLevel="0" collapsed="false">
      <c r="G1933" s="4" t="str">
        <f aca="false">IF($D1933="","",$A1933&amp;"|"&amp;$B1933&amp;"|"&amp;$C1933&amp;"|"&amp;$D1933)</f>
        <v/>
      </c>
      <c r="H1933" s="4" t="str">
        <f aca="false">IF($D1933="","",$G1933&amp;"|"&amp;TEXT($E1933,"0.000000"))</f>
        <v/>
      </c>
      <c r="I1933" s="29" t="str">
        <f aca="false">IF($D1933="","",IF(ISNUMBER($E1933),FLOOR(($E1933-$B1933)*24,1),""))</f>
        <v/>
      </c>
      <c r="J1933" s="10" t="str">
        <f aca="false">IF($D1933="","",IFERROR(IF(VLOOKUP($F1933,Dim_Analyst!$A:$C,3,0)="Yes","Yes","No"),"No"))</f>
        <v/>
      </c>
    </row>
    <row r="1934" customFormat="false" ht="15" hidden="false" customHeight="true" outlineLevel="0" collapsed="false">
      <c r="G1934" s="4" t="str">
        <f aca="false">IF($D1934="","",$A1934&amp;"|"&amp;$B1934&amp;"|"&amp;$C1934&amp;"|"&amp;$D1934)</f>
        <v/>
      </c>
      <c r="H1934" s="4" t="str">
        <f aca="false">IF($D1934="","",$G1934&amp;"|"&amp;TEXT($E1934,"0.000000"))</f>
        <v/>
      </c>
      <c r="I1934" s="29" t="str">
        <f aca="false">IF($D1934="","",IF(ISNUMBER($E1934),FLOOR(($E1934-$B1934)*24,1),""))</f>
        <v/>
      </c>
      <c r="J1934" s="10" t="str">
        <f aca="false">IF($D1934="","",IFERROR(IF(VLOOKUP($F1934,Dim_Analyst!$A:$C,3,0)="Yes","Yes","No"),"No"))</f>
        <v/>
      </c>
    </row>
    <row r="1935" customFormat="false" ht="15" hidden="false" customHeight="true" outlineLevel="0" collapsed="false">
      <c r="G1935" s="4" t="str">
        <f aca="false">IF($D1935="","",$A1935&amp;"|"&amp;$B1935&amp;"|"&amp;$C1935&amp;"|"&amp;$D1935)</f>
        <v/>
      </c>
      <c r="H1935" s="4" t="str">
        <f aca="false">IF($D1935="","",$G1935&amp;"|"&amp;TEXT($E1935,"0.000000"))</f>
        <v/>
      </c>
      <c r="I1935" s="29" t="str">
        <f aca="false">IF($D1935="","",IF(ISNUMBER($E1935),FLOOR(($E1935-$B1935)*24,1),""))</f>
        <v/>
      </c>
      <c r="J1935" s="10" t="str">
        <f aca="false">IF($D1935="","",IFERROR(IF(VLOOKUP($F1935,Dim_Analyst!$A:$C,3,0)="Yes","Yes","No"),"No"))</f>
        <v/>
      </c>
    </row>
    <row r="1936" customFormat="false" ht="15" hidden="false" customHeight="true" outlineLevel="0" collapsed="false">
      <c r="G1936" s="4" t="str">
        <f aca="false">IF($D1936="","",$A1936&amp;"|"&amp;$B1936&amp;"|"&amp;$C1936&amp;"|"&amp;$D1936)</f>
        <v/>
      </c>
      <c r="H1936" s="4" t="str">
        <f aca="false">IF($D1936="","",$G1936&amp;"|"&amp;TEXT($E1936,"0.000000"))</f>
        <v/>
      </c>
      <c r="I1936" s="29" t="str">
        <f aca="false">IF($D1936="","",IF(ISNUMBER($E1936),FLOOR(($E1936-$B1936)*24,1),""))</f>
        <v/>
      </c>
      <c r="J1936" s="10" t="str">
        <f aca="false">IF($D1936="","",IFERROR(IF(VLOOKUP($F1936,Dim_Analyst!$A:$C,3,0)="Yes","Yes","No"),"No"))</f>
        <v/>
      </c>
    </row>
    <row r="1937" customFormat="false" ht="15" hidden="false" customHeight="true" outlineLevel="0" collapsed="false">
      <c r="G1937" s="4" t="str">
        <f aca="false">IF($D1937="","",$A1937&amp;"|"&amp;$B1937&amp;"|"&amp;$C1937&amp;"|"&amp;$D1937)</f>
        <v/>
      </c>
      <c r="H1937" s="4" t="str">
        <f aca="false">IF($D1937="","",$G1937&amp;"|"&amp;TEXT($E1937,"0.000000"))</f>
        <v/>
      </c>
      <c r="I1937" s="29" t="str">
        <f aca="false">IF($D1937="","",IF(ISNUMBER($E1937),FLOOR(($E1937-$B1937)*24,1),""))</f>
        <v/>
      </c>
      <c r="J1937" s="10" t="str">
        <f aca="false">IF($D1937="","",IFERROR(IF(VLOOKUP($F1937,Dim_Analyst!$A:$C,3,0)="Yes","Yes","No"),"No"))</f>
        <v/>
      </c>
    </row>
    <row r="1938" customFormat="false" ht="15" hidden="false" customHeight="true" outlineLevel="0" collapsed="false">
      <c r="G1938" s="4" t="str">
        <f aca="false">IF($D1938="","",$A1938&amp;"|"&amp;$B1938&amp;"|"&amp;$C1938&amp;"|"&amp;$D1938)</f>
        <v/>
      </c>
      <c r="H1938" s="4" t="str">
        <f aca="false">IF($D1938="","",$G1938&amp;"|"&amp;TEXT($E1938,"0.000000"))</f>
        <v/>
      </c>
      <c r="I1938" s="29" t="str">
        <f aca="false">IF($D1938="","",IF(ISNUMBER($E1938),FLOOR(($E1938-$B1938)*24,1),""))</f>
        <v/>
      </c>
      <c r="J1938" s="10" t="str">
        <f aca="false">IF($D1938="","",IFERROR(IF(VLOOKUP($F1938,Dim_Analyst!$A:$C,3,0)="Yes","Yes","No"),"No"))</f>
        <v/>
      </c>
    </row>
    <row r="1939" customFormat="false" ht="15" hidden="false" customHeight="true" outlineLevel="0" collapsed="false">
      <c r="G1939" s="4" t="str">
        <f aca="false">IF($D1939="","",$A1939&amp;"|"&amp;$B1939&amp;"|"&amp;$C1939&amp;"|"&amp;$D1939)</f>
        <v/>
      </c>
      <c r="H1939" s="4" t="str">
        <f aca="false">IF($D1939="","",$G1939&amp;"|"&amp;TEXT($E1939,"0.000000"))</f>
        <v/>
      </c>
      <c r="I1939" s="29" t="str">
        <f aca="false">IF($D1939="","",IF(ISNUMBER($E1939),FLOOR(($E1939-$B1939)*24,1),""))</f>
        <v/>
      </c>
      <c r="J1939" s="10" t="str">
        <f aca="false">IF($D1939="","",IFERROR(IF(VLOOKUP($F1939,Dim_Analyst!$A:$C,3,0)="Yes","Yes","No"),"No"))</f>
        <v/>
      </c>
    </row>
    <row r="1940" customFormat="false" ht="15" hidden="false" customHeight="true" outlineLevel="0" collapsed="false">
      <c r="G1940" s="4" t="str">
        <f aca="false">IF($D1940="","",$A1940&amp;"|"&amp;$B1940&amp;"|"&amp;$C1940&amp;"|"&amp;$D1940)</f>
        <v/>
      </c>
      <c r="H1940" s="4" t="str">
        <f aca="false">IF($D1940="","",$G1940&amp;"|"&amp;TEXT($E1940,"0.000000"))</f>
        <v/>
      </c>
      <c r="I1940" s="29" t="str">
        <f aca="false">IF($D1940="","",IF(ISNUMBER($E1940),FLOOR(($E1940-$B1940)*24,1),""))</f>
        <v/>
      </c>
      <c r="J1940" s="10" t="str">
        <f aca="false">IF($D1940="","",IFERROR(IF(VLOOKUP($F1940,Dim_Analyst!$A:$C,3,0)="Yes","Yes","No"),"No"))</f>
        <v/>
      </c>
    </row>
    <row r="1941" customFormat="false" ht="15" hidden="false" customHeight="true" outlineLevel="0" collapsed="false">
      <c r="G1941" s="4" t="str">
        <f aca="false">IF($D1941="","",$A1941&amp;"|"&amp;$B1941&amp;"|"&amp;$C1941&amp;"|"&amp;$D1941)</f>
        <v/>
      </c>
      <c r="H1941" s="4" t="str">
        <f aca="false">IF($D1941="","",$G1941&amp;"|"&amp;TEXT($E1941,"0.000000"))</f>
        <v/>
      </c>
      <c r="I1941" s="29" t="str">
        <f aca="false">IF($D1941="","",IF(ISNUMBER($E1941),FLOOR(($E1941-$B1941)*24,1),""))</f>
        <v/>
      </c>
      <c r="J1941" s="10" t="str">
        <f aca="false">IF($D1941="","",IFERROR(IF(VLOOKUP($F1941,Dim_Analyst!$A:$C,3,0)="Yes","Yes","No"),"No"))</f>
        <v/>
      </c>
    </row>
    <row r="1942" customFormat="false" ht="15" hidden="false" customHeight="true" outlineLevel="0" collapsed="false">
      <c r="G1942" s="4" t="str">
        <f aca="false">IF($D1942="","",$A1942&amp;"|"&amp;$B1942&amp;"|"&amp;$C1942&amp;"|"&amp;$D1942)</f>
        <v/>
      </c>
      <c r="H1942" s="4" t="str">
        <f aca="false">IF($D1942="","",$G1942&amp;"|"&amp;TEXT($E1942,"0.000000"))</f>
        <v/>
      </c>
      <c r="I1942" s="29" t="str">
        <f aca="false">IF($D1942="","",IF(ISNUMBER($E1942),FLOOR(($E1942-$B1942)*24,1),""))</f>
        <v/>
      </c>
      <c r="J1942" s="10" t="str">
        <f aca="false">IF($D1942="","",IFERROR(IF(VLOOKUP($F1942,Dim_Analyst!$A:$C,3,0)="Yes","Yes","No"),"No"))</f>
        <v/>
      </c>
    </row>
    <row r="1943" customFormat="false" ht="15" hidden="false" customHeight="true" outlineLevel="0" collapsed="false">
      <c r="G1943" s="4" t="str">
        <f aca="false">IF($D1943="","",$A1943&amp;"|"&amp;$B1943&amp;"|"&amp;$C1943&amp;"|"&amp;$D1943)</f>
        <v/>
      </c>
      <c r="H1943" s="4" t="str">
        <f aca="false">IF($D1943="","",$G1943&amp;"|"&amp;TEXT($E1943,"0.000000"))</f>
        <v/>
      </c>
      <c r="I1943" s="29" t="str">
        <f aca="false">IF($D1943="","",IF(ISNUMBER($E1943),FLOOR(($E1943-$B1943)*24,1),""))</f>
        <v/>
      </c>
      <c r="J1943" s="10" t="str">
        <f aca="false">IF($D1943="","",IFERROR(IF(VLOOKUP($F1943,Dim_Analyst!$A:$C,3,0)="Yes","Yes","No"),"No"))</f>
        <v/>
      </c>
    </row>
    <row r="1944" customFormat="false" ht="15" hidden="false" customHeight="true" outlineLevel="0" collapsed="false">
      <c r="G1944" s="4" t="str">
        <f aca="false">IF($D1944="","",$A1944&amp;"|"&amp;$B1944&amp;"|"&amp;$C1944&amp;"|"&amp;$D1944)</f>
        <v/>
      </c>
      <c r="H1944" s="4" t="str">
        <f aca="false">IF($D1944="","",$G1944&amp;"|"&amp;TEXT($E1944,"0.000000"))</f>
        <v/>
      </c>
      <c r="I1944" s="29" t="str">
        <f aca="false">IF($D1944="","",IF(ISNUMBER($E1944),FLOOR(($E1944-$B1944)*24,1),""))</f>
        <v/>
      </c>
      <c r="J1944" s="10" t="str">
        <f aca="false">IF($D1944="","",IFERROR(IF(VLOOKUP($F1944,Dim_Analyst!$A:$C,3,0)="Yes","Yes","No"),"No"))</f>
        <v/>
      </c>
    </row>
    <row r="1945" customFormat="false" ht="15" hidden="false" customHeight="true" outlineLevel="0" collapsed="false">
      <c r="G1945" s="4" t="str">
        <f aca="false">IF($D1945="","",$A1945&amp;"|"&amp;$B1945&amp;"|"&amp;$C1945&amp;"|"&amp;$D1945)</f>
        <v/>
      </c>
      <c r="H1945" s="4" t="str">
        <f aca="false">IF($D1945="","",$G1945&amp;"|"&amp;TEXT($E1945,"0.000000"))</f>
        <v/>
      </c>
      <c r="I1945" s="29" t="str">
        <f aca="false">IF($D1945="","",IF(ISNUMBER($E1945),FLOOR(($E1945-$B1945)*24,1),""))</f>
        <v/>
      </c>
      <c r="J1945" s="10" t="str">
        <f aca="false">IF($D1945="","",IFERROR(IF(VLOOKUP($F1945,Dim_Analyst!$A:$C,3,0)="Yes","Yes","No"),"No"))</f>
        <v/>
      </c>
    </row>
    <row r="1946" customFormat="false" ht="15" hidden="false" customHeight="true" outlineLevel="0" collapsed="false">
      <c r="G1946" s="4" t="str">
        <f aca="false">IF($D1946="","",$A1946&amp;"|"&amp;$B1946&amp;"|"&amp;$C1946&amp;"|"&amp;$D1946)</f>
        <v/>
      </c>
      <c r="H1946" s="4" t="str">
        <f aca="false">IF($D1946="","",$G1946&amp;"|"&amp;TEXT($E1946,"0.000000"))</f>
        <v/>
      </c>
      <c r="I1946" s="29" t="str">
        <f aca="false">IF($D1946="","",IF(ISNUMBER($E1946),FLOOR(($E1946-$B1946)*24,1),""))</f>
        <v/>
      </c>
      <c r="J1946" s="10" t="str">
        <f aca="false">IF($D1946="","",IFERROR(IF(VLOOKUP($F1946,Dim_Analyst!$A:$C,3,0)="Yes","Yes","No"),"No"))</f>
        <v/>
      </c>
    </row>
    <row r="1947" customFormat="false" ht="15" hidden="false" customHeight="true" outlineLevel="0" collapsed="false">
      <c r="G1947" s="4" t="str">
        <f aca="false">IF($D1947="","",$A1947&amp;"|"&amp;$B1947&amp;"|"&amp;$C1947&amp;"|"&amp;$D1947)</f>
        <v/>
      </c>
      <c r="H1947" s="4" t="str">
        <f aca="false">IF($D1947="","",$G1947&amp;"|"&amp;TEXT($E1947,"0.000000"))</f>
        <v/>
      </c>
      <c r="I1947" s="29" t="str">
        <f aca="false">IF($D1947="","",IF(ISNUMBER($E1947),FLOOR(($E1947-$B1947)*24,1),""))</f>
        <v/>
      </c>
      <c r="J1947" s="10" t="str">
        <f aca="false">IF($D1947="","",IFERROR(IF(VLOOKUP($F1947,Dim_Analyst!$A:$C,3,0)="Yes","Yes","No"),"No"))</f>
        <v/>
      </c>
    </row>
    <row r="1948" customFormat="false" ht="15" hidden="false" customHeight="true" outlineLevel="0" collapsed="false">
      <c r="G1948" s="4" t="str">
        <f aca="false">IF($D1948="","",$A1948&amp;"|"&amp;$B1948&amp;"|"&amp;$C1948&amp;"|"&amp;$D1948)</f>
        <v/>
      </c>
      <c r="H1948" s="4" t="str">
        <f aca="false">IF($D1948="","",$G1948&amp;"|"&amp;TEXT($E1948,"0.000000"))</f>
        <v/>
      </c>
      <c r="I1948" s="29" t="str">
        <f aca="false">IF($D1948="","",IF(ISNUMBER($E1948),FLOOR(($E1948-$B1948)*24,1),""))</f>
        <v/>
      </c>
      <c r="J1948" s="10" t="str">
        <f aca="false">IF($D1948="","",IFERROR(IF(VLOOKUP($F1948,Dim_Analyst!$A:$C,3,0)="Yes","Yes","No"),"No"))</f>
        <v/>
      </c>
    </row>
    <row r="1949" customFormat="false" ht="15" hidden="false" customHeight="true" outlineLevel="0" collapsed="false">
      <c r="G1949" s="4" t="str">
        <f aca="false">IF($D1949="","",$A1949&amp;"|"&amp;$B1949&amp;"|"&amp;$C1949&amp;"|"&amp;$D1949)</f>
        <v/>
      </c>
      <c r="H1949" s="4" t="str">
        <f aca="false">IF($D1949="","",$G1949&amp;"|"&amp;TEXT($E1949,"0.000000"))</f>
        <v/>
      </c>
      <c r="I1949" s="29" t="str">
        <f aca="false">IF($D1949="","",IF(ISNUMBER($E1949),FLOOR(($E1949-$B1949)*24,1),""))</f>
        <v/>
      </c>
      <c r="J1949" s="10" t="str">
        <f aca="false">IF($D1949="","",IFERROR(IF(VLOOKUP($F1949,Dim_Analyst!$A:$C,3,0)="Yes","Yes","No"),"No"))</f>
        <v/>
      </c>
    </row>
    <row r="1950" customFormat="false" ht="15" hidden="false" customHeight="true" outlineLevel="0" collapsed="false">
      <c r="G1950" s="4" t="str">
        <f aca="false">IF($D1950="","",$A1950&amp;"|"&amp;$B1950&amp;"|"&amp;$C1950&amp;"|"&amp;$D1950)</f>
        <v/>
      </c>
      <c r="H1950" s="4" t="str">
        <f aca="false">IF($D1950="","",$G1950&amp;"|"&amp;TEXT($E1950,"0.000000"))</f>
        <v/>
      </c>
      <c r="I1950" s="29" t="str">
        <f aca="false">IF($D1950="","",IF(ISNUMBER($E1950),FLOOR(($E1950-$B1950)*24,1),""))</f>
        <v/>
      </c>
      <c r="J1950" s="10" t="str">
        <f aca="false">IF($D1950="","",IFERROR(IF(VLOOKUP($F1950,Dim_Analyst!$A:$C,3,0)="Yes","Yes","No"),"No"))</f>
        <v/>
      </c>
    </row>
    <row r="1951" customFormat="false" ht="15" hidden="false" customHeight="true" outlineLevel="0" collapsed="false">
      <c r="G1951" s="4" t="str">
        <f aca="false">IF($D1951="","",$A1951&amp;"|"&amp;$B1951&amp;"|"&amp;$C1951&amp;"|"&amp;$D1951)</f>
        <v/>
      </c>
      <c r="H1951" s="4" t="str">
        <f aca="false">IF($D1951="","",$G1951&amp;"|"&amp;TEXT($E1951,"0.000000"))</f>
        <v/>
      </c>
      <c r="I1951" s="29" t="str">
        <f aca="false">IF($D1951="","",IF(ISNUMBER($E1951),FLOOR(($E1951-$B1951)*24,1),""))</f>
        <v/>
      </c>
      <c r="J1951" s="10" t="str">
        <f aca="false">IF($D1951="","",IFERROR(IF(VLOOKUP($F1951,Dim_Analyst!$A:$C,3,0)="Yes","Yes","No"),"No"))</f>
        <v/>
      </c>
    </row>
    <row r="1952" customFormat="false" ht="15" hidden="false" customHeight="true" outlineLevel="0" collapsed="false">
      <c r="G1952" s="4" t="str">
        <f aca="false">IF($D1952="","",$A1952&amp;"|"&amp;$B1952&amp;"|"&amp;$C1952&amp;"|"&amp;$D1952)</f>
        <v/>
      </c>
      <c r="H1952" s="4" t="str">
        <f aca="false">IF($D1952="","",$G1952&amp;"|"&amp;TEXT($E1952,"0.000000"))</f>
        <v/>
      </c>
      <c r="I1952" s="29" t="str">
        <f aca="false">IF($D1952="","",IF(ISNUMBER($E1952),FLOOR(($E1952-$B1952)*24,1),""))</f>
        <v/>
      </c>
      <c r="J1952" s="10" t="str">
        <f aca="false">IF($D1952="","",IFERROR(IF(VLOOKUP($F1952,Dim_Analyst!$A:$C,3,0)="Yes","Yes","No"),"No"))</f>
        <v/>
      </c>
    </row>
    <row r="1953" customFormat="false" ht="15" hidden="false" customHeight="true" outlineLevel="0" collapsed="false">
      <c r="G1953" s="4" t="str">
        <f aca="false">IF($D1953="","",$A1953&amp;"|"&amp;$B1953&amp;"|"&amp;$C1953&amp;"|"&amp;$D1953)</f>
        <v/>
      </c>
      <c r="H1953" s="4" t="str">
        <f aca="false">IF($D1953="","",$G1953&amp;"|"&amp;TEXT($E1953,"0.000000"))</f>
        <v/>
      </c>
      <c r="I1953" s="29" t="str">
        <f aca="false">IF($D1953="","",IF(ISNUMBER($E1953),FLOOR(($E1953-$B1953)*24,1),""))</f>
        <v/>
      </c>
      <c r="J1953" s="10" t="str">
        <f aca="false">IF($D1953="","",IFERROR(IF(VLOOKUP($F1953,Dim_Analyst!$A:$C,3,0)="Yes","Yes","No"),"No"))</f>
        <v/>
      </c>
    </row>
    <row r="1954" customFormat="false" ht="15" hidden="false" customHeight="true" outlineLevel="0" collapsed="false">
      <c r="G1954" s="4" t="str">
        <f aca="false">IF($D1954="","",$A1954&amp;"|"&amp;$B1954&amp;"|"&amp;$C1954&amp;"|"&amp;$D1954)</f>
        <v/>
      </c>
      <c r="H1954" s="4" t="str">
        <f aca="false">IF($D1954="","",$G1954&amp;"|"&amp;TEXT($E1954,"0.000000"))</f>
        <v/>
      </c>
      <c r="I1954" s="29" t="str">
        <f aca="false">IF($D1954="","",IF(ISNUMBER($E1954),FLOOR(($E1954-$B1954)*24,1),""))</f>
        <v/>
      </c>
      <c r="J1954" s="10" t="str">
        <f aca="false">IF($D1954="","",IFERROR(IF(VLOOKUP($F1954,Dim_Analyst!$A:$C,3,0)="Yes","Yes","No"),"No"))</f>
        <v/>
      </c>
    </row>
    <row r="1955" customFormat="false" ht="15" hidden="false" customHeight="true" outlineLevel="0" collapsed="false">
      <c r="G1955" s="4" t="str">
        <f aca="false">IF($D1955="","",$A1955&amp;"|"&amp;$B1955&amp;"|"&amp;$C1955&amp;"|"&amp;$D1955)</f>
        <v/>
      </c>
      <c r="H1955" s="4" t="str">
        <f aca="false">IF($D1955="","",$G1955&amp;"|"&amp;TEXT($E1955,"0.000000"))</f>
        <v/>
      </c>
      <c r="I1955" s="29" t="str">
        <f aca="false">IF($D1955="","",IF(ISNUMBER($E1955),FLOOR(($E1955-$B1955)*24,1),""))</f>
        <v/>
      </c>
      <c r="J1955" s="10" t="str">
        <f aca="false">IF($D1955="","",IFERROR(IF(VLOOKUP($F1955,Dim_Analyst!$A:$C,3,0)="Yes","Yes","No"),"No"))</f>
        <v/>
      </c>
    </row>
    <row r="1956" customFormat="false" ht="15" hidden="false" customHeight="true" outlineLevel="0" collapsed="false">
      <c r="G1956" s="4" t="str">
        <f aca="false">IF($D1956="","",$A1956&amp;"|"&amp;$B1956&amp;"|"&amp;$C1956&amp;"|"&amp;$D1956)</f>
        <v/>
      </c>
      <c r="H1956" s="4" t="str">
        <f aca="false">IF($D1956="","",$G1956&amp;"|"&amp;TEXT($E1956,"0.000000"))</f>
        <v/>
      </c>
      <c r="I1956" s="29" t="str">
        <f aca="false">IF($D1956="","",IF(ISNUMBER($E1956),FLOOR(($E1956-$B1956)*24,1),""))</f>
        <v/>
      </c>
      <c r="J1956" s="10" t="str">
        <f aca="false">IF($D1956="","",IFERROR(IF(VLOOKUP($F1956,Dim_Analyst!$A:$C,3,0)="Yes","Yes","No"),"No"))</f>
        <v/>
      </c>
    </row>
    <row r="1957" customFormat="false" ht="15" hidden="false" customHeight="true" outlineLevel="0" collapsed="false">
      <c r="G1957" s="4" t="str">
        <f aca="false">IF($D1957="","",$A1957&amp;"|"&amp;$B1957&amp;"|"&amp;$C1957&amp;"|"&amp;$D1957)</f>
        <v/>
      </c>
      <c r="H1957" s="4" t="str">
        <f aca="false">IF($D1957="","",$G1957&amp;"|"&amp;TEXT($E1957,"0.000000"))</f>
        <v/>
      </c>
      <c r="I1957" s="29" t="str">
        <f aca="false">IF($D1957="","",IF(ISNUMBER($E1957),FLOOR(($E1957-$B1957)*24,1),""))</f>
        <v/>
      </c>
      <c r="J1957" s="10" t="str">
        <f aca="false">IF($D1957="","",IFERROR(IF(VLOOKUP($F1957,Dim_Analyst!$A:$C,3,0)="Yes","Yes","No"),"No"))</f>
        <v/>
      </c>
    </row>
    <row r="1958" customFormat="false" ht="15" hidden="false" customHeight="true" outlineLevel="0" collapsed="false">
      <c r="G1958" s="4" t="str">
        <f aca="false">IF($D1958="","",$A1958&amp;"|"&amp;$B1958&amp;"|"&amp;$C1958&amp;"|"&amp;$D1958)</f>
        <v/>
      </c>
      <c r="H1958" s="4" t="str">
        <f aca="false">IF($D1958="","",$G1958&amp;"|"&amp;TEXT($E1958,"0.000000"))</f>
        <v/>
      </c>
      <c r="I1958" s="29" t="str">
        <f aca="false">IF($D1958="","",IF(ISNUMBER($E1958),FLOOR(($E1958-$B1958)*24,1),""))</f>
        <v/>
      </c>
      <c r="J1958" s="10" t="str">
        <f aca="false">IF($D1958="","",IFERROR(IF(VLOOKUP($F1958,Dim_Analyst!$A:$C,3,0)="Yes","Yes","No"),"No"))</f>
        <v/>
      </c>
    </row>
    <row r="1959" customFormat="false" ht="15" hidden="false" customHeight="true" outlineLevel="0" collapsed="false">
      <c r="G1959" s="4" t="str">
        <f aca="false">IF($D1959="","",$A1959&amp;"|"&amp;$B1959&amp;"|"&amp;$C1959&amp;"|"&amp;$D1959)</f>
        <v/>
      </c>
      <c r="H1959" s="4" t="str">
        <f aca="false">IF($D1959="","",$G1959&amp;"|"&amp;TEXT($E1959,"0.000000"))</f>
        <v/>
      </c>
      <c r="I1959" s="29" t="str">
        <f aca="false">IF($D1959="","",IF(ISNUMBER($E1959),FLOOR(($E1959-$B1959)*24,1),""))</f>
        <v/>
      </c>
      <c r="J1959" s="10" t="str">
        <f aca="false">IF($D1959="","",IFERROR(IF(VLOOKUP($F1959,Dim_Analyst!$A:$C,3,0)="Yes","Yes","No"),"No"))</f>
        <v/>
      </c>
    </row>
    <row r="1960" customFormat="false" ht="15" hidden="false" customHeight="true" outlineLevel="0" collapsed="false">
      <c r="G1960" s="4" t="str">
        <f aca="false">IF($D1960="","",$A1960&amp;"|"&amp;$B1960&amp;"|"&amp;$C1960&amp;"|"&amp;$D1960)</f>
        <v/>
      </c>
      <c r="H1960" s="4" t="str">
        <f aca="false">IF($D1960="","",$G1960&amp;"|"&amp;TEXT($E1960,"0.000000"))</f>
        <v/>
      </c>
      <c r="I1960" s="29" t="str">
        <f aca="false">IF($D1960="","",IF(ISNUMBER($E1960),FLOOR(($E1960-$B1960)*24,1),""))</f>
        <v/>
      </c>
      <c r="J1960" s="10" t="str">
        <f aca="false">IF($D1960="","",IFERROR(IF(VLOOKUP($F1960,Dim_Analyst!$A:$C,3,0)="Yes","Yes","No"),"No"))</f>
        <v/>
      </c>
    </row>
    <row r="1961" customFormat="false" ht="15" hidden="false" customHeight="true" outlineLevel="0" collapsed="false">
      <c r="G1961" s="4" t="str">
        <f aca="false">IF($D1961="","",$A1961&amp;"|"&amp;$B1961&amp;"|"&amp;$C1961&amp;"|"&amp;$D1961)</f>
        <v/>
      </c>
      <c r="H1961" s="4" t="str">
        <f aca="false">IF($D1961="","",$G1961&amp;"|"&amp;TEXT($E1961,"0.000000"))</f>
        <v/>
      </c>
      <c r="I1961" s="29" t="str">
        <f aca="false">IF($D1961="","",IF(ISNUMBER($E1961),FLOOR(($E1961-$B1961)*24,1),""))</f>
        <v/>
      </c>
      <c r="J1961" s="10" t="str">
        <f aca="false">IF($D1961="","",IFERROR(IF(VLOOKUP($F1961,Dim_Analyst!$A:$C,3,0)="Yes","Yes","No"),"No"))</f>
        <v/>
      </c>
    </row>
    <row r="1962" customFormat="false" ht="15" hidden="false" customHeight="true" outlineLevel="0" collapsed="false">
      <c r="G1962" s="4" t="str">
        <f aca="false">IF($D1962="","",$A1962&amp;"|"&amp;$B1962&amp;"|"&amp;$C1962&amp;"|"&amp;$D1962)</f>
        <v/>
      </c>
      <c r="H1962" s="4" t="str">
        <f aca="false">IF($D1962="","",$G1962&amp;"|"&amp;TEXT($E1962,"0.000000"))</f>
        <v/>
      </c>
      <c r="I1962" s="29" t="str">
        <f aca="false">IF($D1962="","",IF(ISNUMBER($E1962),FLOOR(($E1962-$B1962)*24,1),""))</f>
        <v/>
      </c>
      <c r="J1962" s="10" t="str">
        <f aca="false">IF($D1962="","",IFERROR(IF(VLOOKUP($F1962,Dim_Analyst!$A:$C,3,0)="Yes","Yes","No"),"No"))</f>
        <v/>
      </c>
    </row>
    <row r="1963" customFormat="false" ht="15" hidden="false" customHeight="true" outlineLevel="0" collapsed="false">
      <c r="G1963" s="4" t="str">
        <f aca="false">IF($D1963="","",$A1963&amp;"|"&amp;$B1963&amp;"|"&amp;$C1963&amp;"|"&amp;$D1963)</f>
        <v/>
      </c>
      <c r="H1963" s="4" t="str">
        <f aca="false">IF($D1963="","",$G1963&amp;"|"&amp;TEXT($E1963,"0.000000"))</f>
        <v/>
      </c>
      <c r="I1963" s="29" t="str">
        <f aca="false">IF($D1963="","",IF(ISNUMBER($E1963),FLOOR(($E1963-$B1963)*24,1),""))</f>
        <v/>
      </c>
      <c r="J1963" s="10" t="str">
        <f aca="false">IF($D1963="","",IFERROR(IF(VLOOKUP($F1963,Dim_Analyst!$A:$C,3,0)="Yes","Yes","No"),"No"))</f>
        <v/>
      </c>
    </row>
    <row r="1964" customFormat="false" ht="15" hidden="false" customHeight="true" outlineLevel="0" collapsed="false">
      <c r="G1964" s="4" t="str">
        <f aca="false">IF($D1964="","",$A1964&amp;"|"&amp;$B1964&amp;"|"&amp;$C1964&amp;"|"&amp;$D1964)</f>
        <v/>
      </c>
      <c r="H1964" s="4" t="str">
        <f aca="false">IF($D1964="","",$G1964&amp;"|"&amp;TEXT($E1964,"0.000000"))</f>
        <v/>
      </c>
      <c r="I1964" s="29" t="str">
        <f aca="false">IF($D1964="","",IF(ISNUMBER($E1964),FLOOR(($E1964-$B1964)*24,1),""))</f>
        <v/>
      </c>
      <c r="J1964" s="10" t="str">
        <f aca="false">IF($D1964="","",IFERROR(IF(VLOOKUP($F1964,Dim_Analyst!$A:$C,3,0)="Yes","Yes","No"),"No"))</f>
        <v/>
      </c>
    </row>
    <row r="1965" customFormat="false" ht="15" hidden="false" customHeight="true" outlineLevel="0" collapsed="false">
      <c r="G1965" s="4" t="str">
        <f aca="false">IF($D1965="","",$A1965&amp;"|"&amp;$B1965&amp;"|"&amp;$C1965&amp;"|"&amp;$D1965)</f>
        <v/>
      </c>
      <c r="H1965" s="4" t="str">
        <f aca="false">IF($D1965="","",$G1965&amp;"|"&amp;TEXT($E1965,"0.000000"))</f>
        <v/>
      </c>
      <c r="I1965" s="29" t="str">
        <f aca="false">IF($D1965="","",IF(ISNUMBER($E1965),FLOOR(($E1965-$B1965)*24,1),""))</f>
        <v/>
      </c>
      <c r="J1965" s="10" t="str">
        <f aca="false">IF($D1965="","",IFERROR(IF(VLOOKUP($F1965,Dim_Analyst!$A:$C,3,0)="Yes","Yes","No"),"No"))</f>
        <v/>
      </c>
    </row>
    <row r="1966" customFormat="false" ht="15" hidden="false" customHeight="true" outlineLevel="0" collapsed="false">
      <c r="G1966" s="4" t="str">
        <f aca="false">IF($D1966="","",$A1966&amp;"|"&amp;$B1966&amp;"|"&amp;$C1966&amp;"|"&amp;$D1966)</f>
        <v/>
      </c>
      <c r="H1966" s="4" t="str">
        <f aca="false">IF($D1966="","",$G1966&amp;"|"&amp;TEXT($E1966,"0.000000"))</f>
        <v/>
      </c>
      <c r="I1966" s="29" t="str">
        <f aca="false">IF($D1966="","",IF(ISNUMBER($E1966),FLOOR(($E1966-$B1966)*24,1),""))</f>
        <v/>
      </c>
      <c r="J1966" s="10" t="str">
        <f aca="false">IF($D1966="","",IFERROR(IF(VLOOKUP($F1966,Dim_Analyst!$A:$C,3,0)="Yes","Yes","No"),"No"))</f>
        <v/>
      </c>
    </row>
    <row r="1967" customFormat="false" ht="15" hidden="false" customHeight="true" outlineLevel="0" collapsed="false">
      <c r="G1967" s="4" t="str">
        <f aca="false">IF($D1967="","",$A1967&amp;"|"&amp;$B1967&amp;"|"&amp;$C1967&amp;"|"&amp;$D1967)</f>
        <v/>
      </c>
      <c r="H1967" s="4" t="str">
        <f aca="false">IF($D1967="","",$G1967&amp;"|"&amp;TEXT($E1967,"0.000000"))</f>
        <v/>
      </c>
      <c r="I1967" s="29" t="str">
        <f aca="false">IF($D1967="","",IF(ISNUMBER($E1967),FLOOR(($E1967-$B1967)*24,1),""))</f>
        <v/>
      </c>
      <c r="J1967" s="10" t="str">
        <f aca="false">IF($D1967="","",IFERROR(IF(VLOOKUP($F1967,Dim_Analyst!$A:$C,3,0)="Yes","Yes","No"),"No"))</f>
        <v/>
      </c>
    </row>
    <row r="1968" customFormat="false" ht="15" hidden="false" customHeight="true" outlineLevel="0" collapsed="false">
      <c r="G1968" s="4" t="str">
        <f aca="false">IF($D1968="","",$A1968&amp;"|"&amp;$B1968&amp;"|"&amp;$C1968&amp;"|"&amp;$D1968)</f>
        <v/>
      </c>
      <c r="H1968" s="4" t="str">
        <f aca="false">IF($D1968="","",$G1968&amp;"|"&amp;TEXT($E1968,"0.000000"))</f>
        <v/>
      </c>
      <c r="I1968" s="29" t="str">
        <f aca="false">IF($D1968="","",IF(ISNUMBER($E1968),FLOOR(($E1968-$B1968)*24,1),""))</f>
        <v/>
      </c>
      <c r="J1968" s="10" t="str">
        <f aca="false">IF($D1968="","",IFERROR(IF(VLOOKUP($F1968,Dim_Analyst!$A:$C,3,0)="Yes","Yes","No"),"No"))</f>
        <v/>
      </c>
    </row>
    <row r="1969" customFormat="false" ht="15" hidden="false" customHeight="true" outlineLevel="0" collapsed="false">
      <c r="G1969" s="4" t="str">
        <f aca="false">IF($D1969="","",$A1969&amp;"|"&amp;$B1969&amp;"|"&amp;$C1969&amp;"|"&amp;$D1969)</f>
        <v/>
      </c>
      <c r="H1969" s="4" t="str">
        <f aca="false">IF($D1969="","",$G1969&amp;"|"&amp;TEXT($E1969,"0.000000"))</f>
        <v/>
      </c>
      <c r="I1969" s="29" t="str">
        <f aca="false">IF($D1969="","",IF(ISNUMBER($E1969),FLOOR(($E1969-$B1969)*24,1),""))</f>
        <v/>
      </c>
      <c r="J1969" s="10" t="str">
        <f aca="false">IF($D1969="","",IFERROR(IF(VLOOKUP($F1969,Dim_Analyst!$A:$C,3,0)="Yes","Yes","No"),"No"))</f>
        <v/>
      </c>
    </row>
    <row r="1970" customFormat="false" ht="15" hidden="false" customHeight="true" outlineLevel="0" collapsed="false">
      <c r="G1970" s="4" t="str">
        <f aca="false">IF($D1970="","",$A1970&amp;"|"&amp;$B1970&amp;"|"&amp;$C1970&amp;"|"&amp;$D1970)</f>
        <v/>
      </c>
      <c r="H1970" s="4" t="str">
        <f aca="false">IF($D1970="","",$G1970&amp;"|"&amp;TEXT($E1970,"0.000000"))</f>
        <v/>
      </c>
      <c r="I1970" s="29" t="str">
        <f aca="false">IF($D1970="","",IF(ISNUMBER($E1970),FLOOR(($E1970-$B1970)*24,1),""))</f>
        <v/>
      </c>
      <c r="J1970" s="10" t="str">
        <f aca="false">IF($D1970="","",IFERROR(IF(VLOOKUP($F1970,Dim_Analyst!$A:$C,3,0)="Yes","Yes","No"),"No"))</f>
        <v/>
      </c>
    </row>
    <row r="1971" customFormat="false" ht="15" hidden="false" customHeight="true" outlineLevel="0" collapsed="false">
      <c r="G1971" s="4" t="str">
        <f aca="false">IF($D1971="","",$A1971&amp;"|"&amp;$B1971&amp;"|"&amp;$C1971&amp;"|"&amp;$D1971)</f>
        <v/>
      </c>
      <c r="H1971" s="4" t="str">
        <f aca="false">IF($D1971="","",$G1971&amp;"|"&amp;TEXT($E1971,"0.000000"))</f>
        <v/>
      </c>
      <c r="I1971" s="29" t="str">
        <f aca="false">IF($D1971="","",IF(ISNUMBER($E1971),FLOOR(($E1971-$B1971)*24,1),""))</f>
        <v/>
      </c>
      <c r="J1971" s="10" t="str">
        <f aca="false">IF($D1971="","",IFERROR(IF(VLOOKUP($F1971,Dim_Analyst!$A:$C,3,0)="Yes","Yes","No"),"No"))</f>
        <v/>
      </c>
    </row>
    <row r="1972" customFormat="false" ht="15" hidden="false" customHeight="true" outlineLevel="0" collapsed="false">
      <c r="G1972" s="4" t="str">
        <f aca="false">IF($D1972="","",$A1972&amp;"|"&amp;$B1972&amp;"|"&amp;$C1972&amp;"|"&amp;$D1972)</f>
        <v/>
      </c>
      <c r="H1972" s="4" t="str">
        <f aca="false">IF($D1972="","",$G1972&amp;"|"&amp;TEXT($E1972,"0.000000"))</f>
        <v/>
      </c>
      <c r="I1972" s="29" t="str">
        <f aca="false">IF($D1972="","",IF(ISNUMBER($E1972),FLOOR(($E1972-$B1972)*24,1),""))</f>
        <v/>
      </c>
      <c r="J1972" s="10" t="str">
        <f aca="false">IF($D1972="","",IFERROR(IF(VLOOKUP($F1972,Dim_Analyst!$A:$C,3,0)="Yes","Yes","No"),"No"))</f>
        <v/>
      </c>
    </row>
    <row r="1973" customFormat="false" ht="15" hidden="false" customHeight="true" outlineLevel="0" collapsed="false">
      <c r="G1973" s="4" t="str">
        <f aca="false">IF($D1973="","",$A1973&amp;"|"&amp;$B1973&amp;"|"&amp;$C1973&amp;"|"&amp;$D1973)</f>
        <v/>
      </c>
      <c r="H1973" s="4" t="str">
        <f aca="false">IF($D1973="","",$G1973&amp;"|"&amp;TEXT($E1973,"0.000000"))</f>
        <v/>
      </c>
      <c r="I1973" s="29" t="str">
        <f aca="false">IF($D1973="","",IF(ISNUMBER($E1973),FLOOR(($E1973-$B1973)*24,1),""))</f>
        <v/>
      </c>
      <c r="J1973" s="10" t="str">
        <f aca="false">IF($D1973="","",IFERROR(IF(VLOOKUP($F1973,Dim_Analyst!$A:$C,3,0)="Yes","Yes","No"),"No"))</f>
        <v/>
      </c>
    </row>
    <row r="1974" customFormat="false" ht="15" hidden="false" customHeight="true" outlineLevel="0" collapsed="false">
      <c r="G1974" s="4" t="str">
        <f aca="false">IF($D1974="","",$A1974&amp;"|"&amp;$B1974&amp;"|"&amp;$C1974&amp;"|"&amp;$D1974)</f>
        <v/>
      </c>
      <c r="H1974" s="4" t="str">
        <f aca="false">IF($D1974="","",$G1974&amp;"|"&amp;TEXT($E1974,"0.000000"))</f>
        <v/>
      </c>
      <c r="I1974" s="29" t="str">
        <f aca="false">IF($D1974="","",IF(ISNUMBER($E1974),FLOOR(($E1974-$B1974)*24,1),""))</f>
        <v/>
      </c>
      <c r="J1974" s="10" t="str">
        <f aca="false">IF($D1974="","",IFERROR(IF(VLOOKUP($F1974,Dim_Analyst!$A:$C,3,0)="Yes","Yes","No"),"No"))</f>
        <v/>
      </c>
    </row>
    <row r="1975" customFormat="false" ht="15" hidden="false" customHeight="true" outlineLevel="0" collapsed="false">
      <c r="G1975" s="4" t="str">
        <f aca="false">IF($D1975="","",$A1975&amp;"|"&amp;$B1975&amp;"|"&amp;$C1975&amp;"|"&amp;$D1975)</f>
        <v/>
      </c>
      <c r="H1975" s="4" t="str">
        <f aca="false">IF($D1975="","",$G1975&amp;"|"&amp;TEXT($E1975,"0.000000"))</f>
        <v/>
      </c>
      <c r="I1975" s="29" t="str">
        <f aca="false">IF($D1975="","",IF(ISNUMBER($E1975),FLOOR(($E1975-$B1975)*24,1),""))</f>
        <v/>
      </c>
      <c r="J1975" s="10" t="str">
        <f aca="false">IF($D1975="","",IFERROR(IF(VLOOKUP($F1975,Dim_Analyst!$A:$C,3,0)="Yes","Yes","No"),"No"))</f>
        <v/>
      </c>
    </row>
    <row r="1976" customFormat="false" ht="15" hidden="false" customHeight="true" outlineLevel="0" collapsed="false">
      <c r="G1976" s="4" t="str">
        <f aca="false">IF($D1976="","",$A1976&amp;"|"&amp;$B1976&amp;"|"&amp;$C1976&amp;"|"&amp;$D1976)</f>
        <v/>
      </c>
      <c r="H1976" s="4" t="str">
        <f aca="false">IF($D1976="","",$G1976&amp;"|"&amp;TEXT($E1976,"0.000000"))</f>
        <v/>
      </c>
      <c r="I1976" s="29" t="str">
        <f aca="false">IF($D1976="","",IF(ISNUMBER($E1976),FLOOR(($E1976-$B1976)*24,1),""))</f>
        <v/>
      </c>
      <c r="J1976" s="10" t="str">
        <f aca="false">IF($D1976="","",IFERROR(IF(VLOOKUP($F1976,Dim_Analyst!$A:$C,3,0)="Yes","Yes","No"),"No"))</f>
        <v/>
      </c>
    </row>
    <row r="1977" customFormat="false" ht="15" hidden="false" customHeight="true" outlineLevel="0" collapsed="false">
      <c r="G1977" s="4" t="str">
        <f aca="false">IF($D1977="","",$A1977&amp;"|"&amp;$B1977&amp;"|"&amp;$C1977&amp;"|"&amp;$D1977)</f>
        <v/>
      </c>
      <c r="H1977" s="4" t="str">
        <f aca="false">IF($D1977="","",$G1977&amp;"|"&amp;TEXT($E1977,"0.000000"))</f>
        <v/>
      </c>
      <c r="I1977" s="29" t="str">
        <f aca="false">IF($D1977="","",IF(ISNUMBER($E1977),FLOOR(($E1977-$B1977)*24,1),""))</f>
        <v/>
      </c>
      <c r="J1977" s="10" t="str">
        <f aca="false">IF($D1977="","",IFERROR(IF(VLOOKUP($F1977,Dim_Analyst!$A:$C,3,0)="Yes","Yes","No"),"No"))</f>
        <v/>
      </c>
    </row>
    <row r="1978" customFormat="false" ht="15" hidden="false" customHeight="true" outlineLevel="0" collapsed="false">
      <c r="G1978" s="4" t="str">
        <f aca="false">IF($D1978="","",$A1978&amp;"|"&amp;$B1978&amp;"|"&amp;$C1978&amp;"|"&amp;$D1978)</f>
        <v/>
      </c>
      <c r="H1978" s="4" t="str">
        <f aca="false">IF($D1978="","",$G1978&amp;"|"&amp;TEXT($E1978,"0.000000"))</f>
        <v/>
      </c>
      <c r="I1978" s="29" t="str">
        <f aca="false">IF($D1978="","",IF(ISNUMBER($E1978),FLOOR(($E1978-$B1978)*24,1),""))</f>
        <v/>
      </c>
      <c r="J1978" s="10" t="str">
        <f aca="false">IF($D1978="","",IFERROR(IF(VLOOKUP($F1978,Dim_Analyst!$A:$C,3,0)="Yes","Yes","No"),"No"))</f>
        <v/>
      </c>
    </row>
    <row r="1979" customFormat="false" ht="15" hidden="false" customHeight="true" outlineLevel="0" collapsed="false">
      <c r="G1979" s="4" t="str">
        <f aca="false">IF($D1979="","",$A1979&amp;"|"&amp;$B1979&amp;"|"&amp;$C1979&amp;"|"&amp;$D1979)</f>
        <v/>
      </c>
      <c r="H1979" s="4" t="str">
        <f aca="false">IF($D1979="","",$G1979&amp;"|"&amp;TEXT($E1979,"0.000000"))</f>
        <v/>
      </c>
      <c r="I1979" s="29" t="str">
        <f aca="false">IF($D1979="","",IF(ISNUMBER($E1979),FLOOR(($E1979-$B1979)*24,1),""))</f>
        <v/>
      </c>
      <c r="J1979" s="10" t="str">
        <f aca="false">IF($D1979="","",IFERROR(IF(VLOOKUP($F1979,Dim_Analyst!$A:$C,3,0)="Yes","Yes","No"),"No"))</f>
        <v/>
      </c>
    </row>
    <row r="1980" customFormat="false" ht="15" hidden="false" customHeight="true" outlineLevel="0" collapsed="false">
      <c r="G1980" s="4" t="str">
        <f aca="false">IF($D1980="","",$A1980&amp;"|"&amp;$B1980&amp;"|"&amp;$C1980&amp;"|"&amp;$D1980)</f>
        <v/>
      </c>
      <c r="H1980" s="4" t="str">
        <f aca="false">IF($D1980="","",$G1980&amp;"|"&amp;TEXT($E1980,"0.000000"))</f>
        <v/>
      </c>
      <c r="I1980" s="29" t="str">
        <f aca="false">IF($D1980="","",IF(ISNUMBER($E1980),FLOOR(($E1980-$B1980)*24,1),""))</f>
        <v/>
      </c>
      <c r="J1980" s="10" t="str">
        <f aca="false">IF($D1980="","",IFERROR(IF(VLOOKUP($F1980,Dim_Analyst!$A:$C,3,0)="Yes","Yes","No"),"No"))</f>
        <v/>
      </c>
    </row>
    <row r="1981" customFormat="false" ht="15" hidden="false" customHeight="true" outlineLevel="0" collapsed="false">
      <c r="G1981" s="4" t="str">
        <f aca="false">IF($D1981="","",$A1981&amp;"|"&amp;$B1981&amp;"|"&amp;$C1981&amp;"|"&amp;$D1981)</f>
        <v/>
      </c>
      <c r="H1981" s="4" t="str">
        <f aca="false">IF($D1981="","",$G1981&amp;"|"&amp;TEXT($E1981,"0.000000"))</f>
        <v/>
      </c>
      <c r="I1981" s="29" t="str">
        <f aca="false">IF($D1981="","",IF(ISNUMBER($E1981),FLOOR(($E1981-$B1981)*24,1),""))</f>
        <v/>
      </c>
      <c r="J1981" s="10" t="str">
        <f aca="false">IF($D1981="","",IFERROR(IF(VLOOKUP($F1981,Dim_Analyst!$A:$C,3,0)="Yes","Yes","No"),"No"))</f>
        <v/>
      </c>
    </row>
    <row r="1982" customFormat="false" ht="15" hidden="false" customHeight="true" outlineLevel="0" collapsed="false">
      <c r="G1982" s="4" t="str">
        <f aca="false">IF($D1982="","",$A1982&amp;"|"&amp;$B1982&amp;"|"&amp;$C1982&amp;"|"&amp;$D1982)</f>
        <v/>
      </c>
      <c r="H1982" s="4" t="str">
        <f aca="false">IF($D1982="","",$G1982&amp;"|"&amp;TEXT($E1982,"0.000000"))</f>
        <v/>
      </c>
      <c r="I1982" s="29" t="str">
        <f aca="false">IF($D1982="","",IF(ISNUMBER($E1982),FLOOR(($E1982-$B1982)*24,1),""))</f>
        <v/>
      </c>
      <c r="J1982" s="10" t="str">
        <f aca="false">IF($D1982="","",IFERROR(IF(VLOOKUP($F1982,Dim_Analyst!$A:$C,3,0)="Yes","Yes","No"),"No"))</f>
        <v/>
      </c>
    </row>
    <row r="1983" customFormat="false" ht="15" hidden="false" customHeight="true" outlineLevel="0" collapsed="false">
      <c r="G1983" s="4" t="str">
        <f aca="false">IF($D1983="","",$A1983&amp;"|"&amp;$B1983&amp;"|"&amp;$C1983&amp;"|"&amp;$D1983)</f>
        <v/>
      </c>
      <c r="H1983" s="4" t="str">
        <f aca="false">IF($D1983="","",$G1983&amp;"|"&amp;TEXT($E1983,"0.000000"))</f>
        <v/>
      </c>
      <c r="I1983" s="29" t="str">
        <f aca="false">IF($D1983="","",IF(ISNUMBER($E1983),FLOOR(($E1983-$B1983)*24,1),""))</f>
        <v/>
      </c>
      <c r="J1983" s="10" t="str">
        <f aca="false">IF($D1983="","",IFERROR(IF(VLOOKUP($F1983,Dim_Analyst!$A:$C,3,0)="Yes","Yes","No"),"No"))</f>
        <v/>
      </c>
    </row>
    <row r="1984" customFormat="false" ht="15" hidden="false" customHeight="true" outlineLevel="0" collapsed="false">
      <c r="G1984" s="4" t="str">
        <f aca="false">IF($D1984="","",$A1984&amp;"|"&amp;$B1984&amp;"|"&amp;$C1984&amp;"|"&amp;$D1984)</f>
        <v/>
      </c>
      <c r="H1984" s="4" t="str">
        <f aca="false">IF($D1984="","",$G1984&amp;"|"&amp;TEXT($E1984,"0.000000"))</f>
        <v/>
      </c>
      <c r="I1984" s="29" t="str">
        <f aca="false">IF($D1984="","",IF(ISNUMBER($E1984),FLOOR(($E1984-$B1984)*24,1),""))</f>
        <v/>
      </c>
      <c r="J1984" s="10" t="str">
        <f aca="false">IF($D1984="","",IFERROR(IF(VLOOKUP($F1984,Dim_Analyst!$A:$C,3,0)="Yes","Yes","No"),"No"))</f>
        <v/>
      </c>
    </row>
    <row r="1985" customFormat="false" ht="15" hidden="false" customHeight="true" outlineLevel="0" collapsed="false">
      <c r="G1985" s="4" t="str">
        <f aca="false">IF($D1985="","",$A1985&amp;"|"&amp;$B1985&amp;"|"&amp;$C1985&amp;"|"&amp;$D1985)</f>
        <v/>
      </c>
      <c r="H1985" s="4" t="str">
        <f aca="false">IF($D1985="","",$G1985&amp;"|"&amp;TEXT($E1985,"0.000000"))</f>
        <v/>
      </c>
      <c r="I1985" s="29" t="str">
        <f aca="false">IF($D1985="","",IF(ISNUMBER($E1985),FLOOR(($E1985-$B1985)*24,1),""))</f>
        <v/>
      </c>
      <c r="J1985" s="10" t="str">
        <f aca="false">IF($D1985="","",IFERROR(IF(VLOOKUP($F1985,Dim_Analyst!$A:$C,3,0)="Yes","Yes","No"),"No"))</f>
        <v/>
      </c>
    </row>
    <row r="1986" customFormat="false" ht="15" hidden="false" customHeight="true" outlineLevel="0" collapsed="false">
      <c r="G1986" s="4" t="str">
        <f aca="false">IF($D1986="","",$A1986&amp;"|"&amp;$B1986&amp;"|"&amp;$C1986&amp;"|"&amp;$D1986)</f>
        <v/>
      </c>
      <c r="H1986" s="4" t="str">
        <f aca="false">IF($D1986="","",$G1986&amp;"|"&amp;TEXT($E1986,"0.000000"))</f>
        <v/>
      </c>
      <c r="I1986" s="29" t="str">
        <f aca="false">IF($D1986="","",IF(ISNUMBER($E1986),FLOOR(($E1986-$B1986)*24,1),""))</f>
        <v/>
      </c>
      <c r="J1986" s="10" t="str">
        <f aca="false">IF($D1986="","",IFERROR(IF(VLOOKUP($F1986,Dim_Analyst!$A:$C,3,0)="Yes","Yes","No"),"No"))</f>
        <v/>
      </c>
    </row>
    <row r="1987" customFormat="false" ht="15" hidden="false" customHeight="true" outlineLevel="0" collapsed="false">
      <c r="G1987" s="4" t="str">
        <f aca="false">IF($D1987="","",$A1987&amp;"|"&amp;$B1987&amp;"|"&amp;$C1987&amp;"|"&amp;$D1987)</f>
        <v/>
      </c>
      <c r="H1987" s="4" t="str">
        <f aca="false">IF($D1987="","",$G1987&amp;"|"&amp;TEXT($E1987,"0.000000"))</f>
        <v/>
      </c>
      <c r="I1987" s="29" t="str">
        <f aca="false">IF($D1987="","",IF(ISNUMBER($E1987),FLOOR(($E1987-$B1987)*24,1),""))</f>
        <v/>
      </c>
      <c r="J1987" s="10" t="str">
        <f aca="false">IF($D1987="","",IFERROR(IF(VLOOKUP($F1987,Dim_Analyst!$A:$C,3,0)="Yes","Yes","No"),"No"))</f>
        <v/>
      </c>
    </row>
    <row r="1988" customFormat="false" ht="15" hidden="false" customHeight="true" outlineLevel="0" collapsed="false">
      <c r="G1988" s="4" t="str">
        <f aca="false">IF($D1988="","",$A1988&amp;"|"&amp;$B1988&amp;"|"&amp;$C1988&amp;"|"&amp;$D1988)</f>
        <v/>
      </c>
      <c r="H1988" s="4" t="str">
        <f aca="false">IF($D1988="","",$G1988&amp;"|"&amp;TEXT($E1988,"0.000000"))</f>
        <v/>
      </c>
      <c r="I1988" s="29" t="str">
        <f aca="false">IF($D1988="","",IF(ISNUMBER($E1988),FLOOR(($E1988-$B1988)*24,1),""))</f>
        <v/>
      </c>
      <c r="J1988" s="10" t="str">
        <f aca="false">IF($D1988="","",IFERROR(IF(VLOOKUP($F1988,Dim_Analyst!$A:$C,3,0)="Yes","Yes","No"),"No"))</f>
        <v/>
      </c>
    </row>
    <row r="1989" customFormat="false" ht="15" hidden="false" customHeight="true" outlineLevel="0" collapsed="false">
      <c r="G1989" s="4" t="str">
        <f aca="false">IF($D1989="","",$A1989&amp;"|"&amp;$B1989&amp;"|"&amp;$C1989&amp;"|"&amp;$D1989)</f>
        <v/>
      </c>
      <c r="H1989" s="4" t="str">
        <f aca="false">IF($D1989="","",$G1989&amp;"|"&amp;TEXT($E1989,"0.000000"))</f>
        <v/>
      </c>
      <c r="I1989" s="29" t="str">
        <f aca="false">IF($D1989="","",IF(ISNUMBER($E1989),FLOOR(($E1989-$B1989)*24,1),""))</f>
        <v/>
      </c>
      <c r="J1989" s="10" t="str">
        <f aca="false">IF($D1989="","",IFERROR(IF(VLOOKUP($F1989,Dim_Analyst!$A:$C,3,0)="Yes","Yes","No"),"No"))</f>
        <v/>
      </c>
    </row>
    <row r="1990" customFormat="false" ht="15" hidden="false" customHeight="true" outlineLevel="0" collapsed="false">
      <c r="G1990" s="4" t="str">
        <f aca="false">IF($D1990="","",$A1990&amp;"|"&amp;$B1990&amp;"|"&amp;$C1990&amp;"|"&amp;$D1990)</f>
        <v/>
      </c>
      <c r="H1990" s="4" t="str">
        <f aca="false">IF($D1990="","",$G1990&amp;"|"&amp;TEXT($E1990,"0.000000"))</f>
        <v/>
      </c>
      <c r="I1990" s="29" t="str">
        <f aca="false">IF($D1990="","",IF(ISNUMBER($E1990),FLOOR(($E1990-$B1990)*24,1),""))</f>
        <v/>
      </c>
      <c r="J1990" s="10" t="str">
        <f aca="false">IF($D1990="","",IFERROR(IF(VLOOKUP($F1990,Dim_Analyst!$A:$C,3,0)="Yes","Yes","No"),"No"))</f>
        <v/>
      </c>
    </row>
    <row r="1991" customFormat="false" ht="15" hidden="false" customHeight="true" outlineLevel="0" collapsed="false">
      <c r="G1991" s="4" t="str">
        <f aca="false">IF($D1991="","",$A1991&amp;"|"&amp;$B1991&amp;"|"&amp;$C1991&amp;"|"&amp;$D1991)</f>
        <v/>
      </c>
      <c r="H1991" s="4" t="str">
        <f aca="false">IF($D1991="","",$G1991&amp;"|"&amp;TEXT($E1991,"0.000000"))</f>
        <v/>
      </c>
      <c r="I1991" s="29" t="str">
        <f aca="false">IF($D1991="","",IF(ISNUMBER($E1991),FLOOR(($E1991-$B1991)*24,1),""))</f>
        <v/>
      </c>
      <c r="J1991" s="10" t="str">
        <f aca="false">IF($D1991="","",IFERROR(IF(VLOOKUP($F1991,Dim_Analyst!$A:$C,3,0)="Yes","Yes","No"),"No"))</f>
        <v/>
      </c>
    </row>
    <row r="1992" customFormat="false" ht="15" hidden="false" customHeight="true" outlineLevel="0" collapsed="false">
      <c r="G1992" s="4" t="str">
        <f aca="false">IF($D1992="","",$A1992&amp;"|"&amp;$B1992&amp;"|"&amp;$C1992&amp;"|"&amp;$D1992)</f>
        <v/>
      </c>
      <c r="H1992" s="4" t="str">
        <f aca="false">IF($D1992="","",$G1992&amp;"|"&amp;TEXT($E1992,"0.000000"))</f>
        <v/>
      </c>
      <c r="I1992" s="29" t="str">
        <f aca="false">IF($D1992="","",IF(ISNUMBER($E1992),FLOOR(($E1992-$B1992)*24,1),""))</f>
        <v/>
      </c>
      <c r="J1992" s="10" t="str">
        <f aca="false">IF($D1992="","",IFERROR(IF(VLOOKUP($F1992,Dim_Analyst!$A:$C,3,0)="Yes","Yes","No"),"No"))</f>
        <v/>
      </c>
    </row>
    <row r="1993" customFormat="false" ht="15" hidden="false" customHeight="true" outlineLevel="0" collapsed="false">
      <c r="G1993" s="4" t="str">
        <f aca="false">IF($D1993="","",$A1993&amp;"|"&amp;$B1993&amp;"|"&amp;$C1993&amp;"|"&amp;$D1993)</f>
        <v/>
      </c>
      <c r="H1993" s="4" t="str">
        <f aca="false">IF($D1993="","",$G1993&amp;"|"&amp;TEXT($E1993,"0.000000"))</f>
        <v/>
      </c>
      <c r="I1993" s="29" t="str">
        <f aca="false">IF($D1993="","",IF(ISNUMBER($E1993),FLOOR(($E1993-$B1993)*24,1),""))</f>
        <v/>
      </c>
      <c r="J1993" s="10" t="str">
        <f aca="false">IF($D1993="","",IFERROR(IF(VLOOKUP($F1993,Dim_Analyst!$A:$C,3,0)="Yes","Yes","No"),"No"))</f>
        <v/>
      </c>
    </row>
    <row r="1994" customFormat="false" ht="15" hidden="false" customHeight="true" outlineLevel="0" collapsed="false">
      <c r="G1994" s="4" t="str">
        <f aca="false">IF($D1994="","",$A1994&amp;"|"&amp;$B1994&amp;"|"&amp;$C1994&amp;"|"&amp;$D1994)</f>
        <v/>
      </c>
      <c r="H1994" s="4" t="str">
        <f aca="false">IF($D1994="","",$G1994&amp;"|"&amp;TEXT($E1994,"0.000000"))</f>
        <v/>
      </c>
      <c r="I1994" s="29" t="str">
        <f aca="false">IF($D1994="","",IF(ISNUMBER($E1994),FLOOR(($E1994-$B1994)*24,1),""))</f>
        <v/>
      </c>
      <c r="J1994" s="10" t="str">
        <f aca="false">IF($D1994="","",IFERROR(IF(VLOOKUP($F1994,Dim_Analyst!$A:$C,3,0)="Yes","Yes","No"),"No"))</f>
        <v/>
      </c>
    </row>
    <row r="1995" customFormat="false" ht="15" hidden="false" customHeight="true" outlineLevel="0" collapsed="false">
      <c r="G1995" s="4" t="str">
        <f aca="false">IF($D1995="","",$A1995&amp;"|"&amp;$B1995&amp;"|"&amp;$C1995&amp;"|"&amp;$D1995)</f>
        <v/>
      </c>
      <c r="H1995" s="4" t="str">
        <f aca="false">IF($D1995="","",$G1995&amp;"|"&amp;TEXT($E1995,"0.000000"))</f>
        <v/>
      </c>
      <c r="I1995" s="29" t="str">
        <f aca="false">IF($D1995="","",IF(ISNUMBER($E1995),FLOOR(($E1995-$B1995)*24,1),""))</f>
        <v/>
      </c>
      <c r="J1995" s="10" t="str">
        <f aca="false">IF($D1995="","",IFERROR(IF(VLOOKUP($F1995,Dim_Analyst!$A:$C,3,0)="Yes","Yes","No"),"No"))</f>
        <v/>
      </c>
    </row>
    <row r="1996" customFormat="false" ht="15" hidden="false" customHeight="true" outlineLevel="0" collapsed="false">
      <c r="G1996" s="4" t="str">
        <f aca="false">IF($D1996="","",$A1996&amp;"|"&amp;$B1996&amp;"|"&amp;$C1996&amp;"|"&amp;$D1996)</f>
        <v/>
      </c>
      <c r="H1996" s="4" t="str">
        <f aca="false">IF($D1996="","",$G1996&amp;"|"&amp;TEXT($E1996,"0.000000"))</f>
        <v/>
      </c>
      <c r="I1996" s="29" t="str">
        <f aca="false">IF($D1996="","",IF(ISNUMBER($E1996),FLOOR(($E1996-$B1996)*24,1),""))</f>
        <v/>
      </c>
      <c r="J1996" s="10" t="str">
        <f aca="false">IF($D1996="","",IFERROR(IF(VLOOKUP($F1996,Dim_Analyst!$A:$C,3,0)="Yes","Yes","No"),"No"))</f>
        <v/>
      </c>
    </row>
    <row r="1997" customFormat="false" ht="15" hidden="false" customHeight="true" outlineLevel="0" collapsed="false">
      <c r="G1997" s="4" t="str">
        <f aca="false">IF($D1997="","",$A1997&amp;"|"&amp;$B1997&amp;"|"&amp;$C1997&amp;"|"&amp;$D1997)</f>
        <v/>
      </c>
      <c r="H1997" s="4" t="str">
        <f aca="false">IF($D1997="","",$G1997&amp;"|"&amp;TEXT($E1997,"0.000000"))</f>
        <v/>
      </c>
      <c r="I1997" s="29" t="str">
        <f aca="false">IF($D1997="","",IF(ISNUMBER($E1997),FLOOR(($E1997-$B1997)*24,1),""))</f>
        <v/>
      </c>
      <c r="J1997" s="10" t="str">
        <f aca="false">IF($D1997="","",IFERROR(IF(VLOOKUP($F1997,Dim_Analyst!$A:$C,3,0)="Yes","Yes","No"),"No"))</f>
        <v/>
      </c>
    </row>
    <row r="1998" customFormat="false" ht="15" hidden="false" customHeight="true" outlineLevel="0" collapsed="false">
      <c r="G1998" s="4" t="str">
        <f aca="false">IF($D1998="","",$A1998&amp;"|"&amp;$B1998&amp;"|"&amp;$C1998&amp;"|"&amp;$D1998)</f>
        <v/>
      </c>
      <c r="H1998" s="4" t="str">
        <f aca="false">IF($D1998="","",$G1998&amp;"|"&amp;TEXT($E1998,"0.000000"))</f>
        <v/>
      </c>
      <c r="I1998" s="29" t="str">
        <f aca="false">IF($D1998="","",IF(ISNUMBER($E1998),FLOOR(($E1998-$B1998)*24,1),""))</f>
        <v/>
      </c>
      <c r="J1998" s="10" t="str">
        <f aca="false">IF($D1998="","",IFERROR(IF(VLOOKUP($F1998,Dim_Analyst!$A:$C,3,0)="Yes","Yes","No"),"No"))</f>
        <v/>
      </c>
    </row>
    <row r="1999" customFormat="false" ht="15" hidden="false" customHeight="true" outlineLevel="0" collapsed="false">
      <c r="G1999" s="4" t="str">
        <f aca="false">IF($D1999="","",$A1999&amp;"|"&amp;$B1999&amp;"|"&amp;$C1999&amp;"|"&amp;$D1999)</f>
        <v/>
      </c>
      <c r="H1999" s="4" t="str">
        <f aca="false">IF($D1999="","",$G1999&amp;"|"&amp;TEXT($E1999,"0.000000"))</f>
        <v/>
      </c>
      <c r="I1999" s="29" t="str">
        <f aca="false">IF($D1999="","",IF(ISNUMBER($E1999),FLOOR(($E1999-$B1999)*24,1),""))</f>
        <v/>
      </c>
      <c r="J1999" s="10" t="str">
        <f aca="false">IF($D1999="","",IFERROR(IF(VLOOKUP($F1999,Dim_Analyst!$A:$C,3,0)="Yes","Yes","No"),"No"))</f>
        <v/>
      </c>
    </row>
    <row r="2000" customFormat="false" ht="15" hidden="false" customHeight="true" outlineLevel="0" collapsed="false">
      <c r="G2000" s="4" t="str">
        <f aca="false">IF($D2000="","",$A2000&amp;"|"&amp;$B2000&amp;"|"&amp;$C2000&amp;"|"&amp;$D2000)</f>
        <v/>
      </c>
      <c r="H2000" s="4" t="str">
        <f aca="false">IF($D2000="","",$G2000&amp;"|"&amp;TEXT($E2000,"0.000000"))</f>
        <v/>
      </c>
      <c r="I2000" s="29" t="str">
        <f aca="false">IF($D2000="","",IF(ISNUMBER($E2000),FLOOR(($E2000-$B2000)*24,1),""))</f>
        <v/>
      </c>
      <c r="J2000" s="10" t="str">
        <f aca="false">IF($D2000="","",IFERROR(IF(VLOOKUP($F2000,Dim_Analyst!$A:$C,3,0)="Yes","Yes","No"),"No"))</f>
        <v/>
      </c>
    </row>
    <row r="2001" customFormat="false" ht="15" hidden="false" customHeight="true" outlineLevel="0" collapsed="false">
      <c r="G2001" s="4" t="str">
        <f aca="false">IF($D2001="","",$A2001&amp;"|"&amp;$B2001&amp;"|"&amp;$C2001&amp;"|"&amp;$D2001)</f>
        <v/>
      </c>
      <c r="H2001" s="4" t="str">
        <f aca="false">IF($D2001="","",$G2001&amp;"|"&amp;TEXT($E2001,"0.000000"))</f>
        <v/>
      </c>
      <c r="I2001" s="29" t="str">
        <f aca="false">IF($D2001="","",IF(ISNUMBER($E2001),FLOOR(($E2001-$B2001)*24,1),""))</f>
        <v/>
      </c>
      <c r="J2001" s="10" t="str">
        <f aca="false">IF($D2001="","",IFERROR(IF(VLOOKUP($F2001,Dim_Analyst!$A:$C,3,0)="Yes","Yes","No"),"No"))</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4"/>
    <col collapsed="false" customWidth="true" hidden="false" outlineLevel="0" max="3" min="3" style="1" width="13"/>
    <col collapsed="false" customWidth="true" hidden="false" outlineLevel="0" max="4" min="4" style="1" width="21"/>
    <col collapsed="false" customWidth="true" hidden="false" outlineLevel="0" max="5" min="5" style="1" width="15"/>
    <col collapsed="false" customWidth="true" hidden="false" outlineLevel="0" max="7" min="6" style="1" width="22"/>
    <col collapsed="false" customWidth="true" hidden="false" outlineLevel="0" max="8" min="8" style="1" width="23"/>
    <col collapsed="false" customWidth="true" hidden="false" outlineLevel="0" max="9" min="9" style="1" width="21"/>
    <col collapsed="false" customWidth="true" hidden="false" outlineLevel="0" max="10" min="10" style="1" width="14"/>
    <col collapsed="false" customWidth="true" hidden="false" outlineLevel="0" max="11" min="11" style="1" width="17"/>
    <col collapsed="false" customWidth="true" hidden="false" outlineLevel="0" max="12" min="12" style="1" width="13"/>
    <col collapsed="false" customWidth="true" hidden="false" outlineLevel="0" max="13" min="13" style="1" width="14"/>
    <col collapsed="false" customWidth="true" hidden="false" outlineLevel="0" max="14" min="14" style="1" width="22"/>
    <col collapsed="false" customWidth="true" hidden="false" outlineLevel="0" max="15" min="15" style="1" width="13"/>
    <col collapsed="false" customWidth="true" hidden="false" outlineLevel="0" max="16" min="16" style="1" width="14"/>
    <col collapsed="false" customWidth="true" hidden="false" outlineLevel="0" max="17" min="17" style="1" width="15"/>
    <col collapsed="false" customWidth="true" hidden="false" outlineLevel="0" max="19" min="18" style="1" width="13"/>
    <col collapsed="false" customWidth="true" hidden="false" outlineLevel="0" max="20" min="20" style="1" width="19"/>
    <col collapsed="false" customWidth="true" hidden="false" outlineLevel="0" max="21" min="21" style="1" width="20"/>
    <col collapsed="false" customWidth="true" hidden="false" outlineLevel="0" max="22" min="22" style="1" width="18"/>
    <col collapsed="false" customWidth="true" hidden="false" outlineLevel="0" max="23" min="23" style="1" width="14"/>
    <col collapsed="false" customWidth="true" hidden="false" outlineLevel="0" max="24" min="24" style="1" width="13"/>
    <col collapsed="false" customWidth="true" hidden="false" outlineLevel="0" max="25" min="25" style="1" width="14"/>
    <col collapsed="false" customWidth="true" hidden="false" outlineLevel="0" max="27" min="26" style="1" width="23"/>
    <col collapsed="false" customWidth="true" hidden="false" outlineLevel="0" max="28" min="28" style="1" width="22"/>
    <col collapsed="false" customWidth="true" hidden="false" outlineLevel="0" max="29" min="29" style="1" width="23"/>
    <col collapsed="false" customWidth="true" hidden="false" outlineLevel="0" max="30" min="30" style="1" width="15"/>
    <col collapsed="false" customWidth="true" hidden="false" outlineLevel="0" max="31" min="31" style="1" width="13"/>
    <col collapsed="false" customWidth="true" hidden="false" outlineLevel="0" max="32" min="32" style="1" width="20"/>
    <col collapsed="false" customWidth="true" hidden="false" outlineLevel="0" max="33" min="33" style="1" width="15"/>
    <col collapsed="false" customWidth="true" hidden="false" outlineLevel="0" max="35" min="34" style="1" width="13"/>
    <col collapsed="false" customWidth="true" hidden="false" outlineLevel="0" max="36" min="36" style="1" width="15"/>
    <col collapsed="false" customWidth="true" hidden="false" outlineLevel="0" max="38" min="37" style="1" width="13"/>
    <col collapsed="false" customWidth="true" hidden="false" outlineLevel="0" max="39" min="39" style="1" width="23"/>
    <col collapsed="false" customWidth="true" hidden="false" outlineLevel="0" max="40" min="40" style="1" width="24"/>
    <col collapsed="false" customWidth="true" hidden="false" outlineLevel="0" max="52" min="41" style="1" width="20"/>
    <col collapsed="false" customWidth="true" hidden="false" outlineLevel="0" max="53" min="53" style="0" width="20"/>
    <col collapsed="false" customWidth="true" hidden="false" outlineLevel="0" max="54" min="54" style="0" width="11"/>
    <col collapsed="false" customWidth="true" hidden="false" outlineLevel="0" max="55" min="55" style="0" width="17"/>
    <col collapsed="false" customWidth="true" hidden="false" outlineLevel="0" max="57" min="56" style="0" width="11"/>
    <col collapsed="false" customWidth="true" hidden="false" outlineLevel="0" max="58" min="58" style="0" width="12"/>
    <col collapsed="false" customWidth="true" hidden="false" outlineLevel="0" max="59" min="59" style="0" width="20"/>
    <col collapsed="false" customWidth="true" hidden="false" outlineLevel="0" max="60" min="60" style="0" width="18"/>
    <col collapsed="false" customWidth="true" hidden="false" outlineLevel="0" max="61" min="61" style="0" width="11"/>
    <col collapsed="false" customWidth="true" hidden="false" outlineLevel="0" max="62" min="62" style="0" width="12"/>
    <col collapsed="false" customWidth="true" hidden="false" outlineLevel="0" max="64" min="63" style="0" width="13"/>
    <col collapsed="false" customWidth="true" hidden="false" outlineLevel="0" max="69" min="65" style="0" width="11"/>
    <col collapsed="false" customWidth="true" hidden="false" outlineLevel="0" max="70" min="70" style="0" width="12"/>
    <col collapsed="false" customWidth="true" hidden="false" outlineLevel="0" max="72" min="71" style="0" width="17"/>
    <col collapsed="false" customWidth="true" hidden="false" outlineLevel="0" max="74" min="73" style="0" width="12"/>
    <col collapsed="false" customWidth="true" hidden="false" outlineLevel="0" max="75" min="75" style="0" width="16"/>
    <col collapsed="false" customWidth="true" hidden="false" outlineLevel="0" max="78" min="76" style="0" width="11"/>
  </cols>
  <sheetData>
    <row r="1" customFormat="false" ht="37.5" hidden="false" customHeight="true" outlineLevel="0" collapsed="false">
      <c r="A1" s="17" t="s">
        <v>455</v>
      </c>
      <c r="B1" s="17" t="s">
        <v>371</v>
      </c>
      <c r="C1" s="17" t="s">
        <v>249</v>
      </c>
      <c r="D1" s="18" t="s">
        <v>456</v>
      </c>
      <c r="E1" s="18" t="s">
        <v>237</v>
      </c>
      <c r="F1" s="18" t="s">
        <v>457</v>
      </c>
      <c r="G1" s="18" t="s">
        <v>458</v>
      </c>
      <c r="H1" s="18" t="s">
        <v>459</v>
      </c>
      <c r="I1" s="18" t="s">
        <v>460</v>
      </c>
      <c r="J1" s="18" t="s">
        <v>461</v>
      </c>
      <c r="K1" s="18" t="s">
        <v>462</v>
      </c>
      <c r="L1" s="18" t="s">
        <v>463</v>
      </c>
      <c r="M1" s="18" t="s">
        <v>464</v>
      </c>
      <c r="N1" s="18" t="s">
        <v>254</v>
      </c>
      <c r="O1" s="18" t="s">
        <v>465</v>
      </c>
      <c r="P1" s="18" t="s">
        <v>87</v>
      </c>
      <c r="Q1" s="18" t="s">
        <v>274</v>
      </c>
      <c r="R1" s="18" t="s">
        <v>275</v>
      </c>
      <c r="S1" s="18" t="s">
        <v>276</v>
      </c>
      <c r="T1" s="18" t="s">
        <v>239</v>
      </c>
      <c r="U1" s="18" t="s">
        <v>466</v>
      </c>
      <c r="V1" s="18" t="s">
        <v>467</v>
      </c>
      <c r="W1" s="18" t="s">
        <v>468</v>
      </c>
      <c r="X1" s="18" t="s">
        <v>469</v>
      </c>
      <c r="Y1" s="18" t="s">
        <v>470</v>
      </c>
      <c r="Z1" s="18" t="s">
        <v>471</v>
      </c>
      <c r="AA1" s="18" t="s">
        <v>472</v>
      </c>
      <c r="AB1" s="18" t="s">
        <v>473</v>
      </c>
      <c r="AC1" s="18" t="s">
        <v>474</v>
      </c>
      <c r="AD1" s="18" t="s">
        <v>475</v>
      </c>
      <c r="AE1" s="18" t="s">
        <v>476</v>
      </c>
      <c r="AF1" s="18" t="s">
        <v>477</v>
      </c>
      <c r="AG1" s="18" t="s">
        <v>478</v>
      </c>
      <c r="AH1" s="18" t="s">
        <v>479</v>
      </c>
      <c r="AI1" s="18" t="s">
        <v>480</v>
      </c>
      <c r="AJ1" s="18" t="s">
        <v>481</v>
      </c>
      <c r="AK1" s="18" t="s">
        <v>482</v>
      </c>
      <c r="AL1" s="18" t="s">
        <v>268</v>
      </c>
      <c r="AM1" s="18" t="s">
        <v>483</v>
      </c>
      <c r="AN1" s="18" t="s">
        <v>484</v>
      </c>
      <c r="AO1" s="18" t="s">
        <v>377</v>
      </c>
      <c r="AP1" s="18" t="s">
        <v>485</v>
      </c>
      <c r="AQ1" s="18" t="s">
        <v>486</v>
      </c>
      <c r="AR1" s="18" t="s">
        <v>487</v>
      </c>
      <c r="AS1" s="18" t="s">
        <v>488</v>
      </c>
      <c r="AT1" s="18" t="s">
        <v>489</v>
      </c>
      <c r="AU1" s="18" t="s">
        <v>490</v>
      </c>
      <c r="AV1" s="18" t="s">
        <v>491</v>
      </c>
      <c r="AW1" s="18" t="s">
        <v>492</v>
      </c>
      <c r="AX1" s="18" t="s">
        <v>493</v>
      </c>
      <c r="AY1" s="18" t="s">
        <v>494</v>
      </c>
      <c r="AZ1" s="18" t="s">
        <v>137</v>
      </c>
      <c r="BA1" s="19" t="s">
        <v>252</v>
      </c>
      <c r="BB1" s="19" t="s">
        <v>495</v>
      </c>
      <c r="BC1" s="19" t="s">
        <v>496</v>
      </c>
      <c r="BD1" s="19" t="s">
        <v>497</v>
      </c>
      <c r="BE1" s="19" t="s">
        <v>498</v>
      </c>
      <c r="BF1" s="19" t="s">
        <v>300</v>
      </c>
      <c r="BG1" s="19" t="s">
        <v>304</v>
      </c>
      <c r="BH1" s="19" t="s">
        <v>499</v>
      </c>
      <c r="BI1" s="19" t="s">
        <v>281</v>
      </c>
      <c r="BJ1" s="19" t="s">
        <v>500</v>
      </c>
      <c r="BK1" s="19" t="s">
        <v>501</v>
      </c>
      <c r="BL1" s="19" t="s">
        <v>502</v>
      </c>
      <c r="BM1" s="19" t="s">
        <v>503</v>
      </c>
      <c r="BN1" s="19" t="s">
        <v>504</v>
      </c>
      <c r="BO1" s="19" t="s">
        <v>505</v>
      </c>
      <c r="BP1" s="19" t="s">
        <v>506</v>
      </c>
      <c r="BQ1" s="19" t="s">
        <v>507</v>
      </c>
      <c r="BR1" s="19" t="s">
        <v>508</v>
      </c>
      <c r="BS1" s="19" t="s">
        <v>509</v>
      </c>
      <c r="BT1" s="19" t="s">
        <v>510</v>
      </c>
      <c r="BU1" s="19" t="s">
        <v>511</v>
      </c>
      <c r="BV1" s="19" t="s">
        <v>512</v>
      </c>
      <c r="BW1" s="19" t="s">
        <v>513</v>
      </c>
      <c r="BX1" s="19" t="s">
        <v>514</v>
      </c>
      <c r="BY1" s="19" t="s">
        <v>515</v>
      </c>
      <c r="BZ1" s="19" t="s">
        <v>516</v>
      </c>
    </row>
    <row r="2" customFormat="false" ht="15" hidden="false" customHeight="true" outlineLevel="0" collapsed="false">
      <c r="A2" s="34" t="n">
        <v>46264</v>
      </c>
      <c r="B2" s="34" t="n">
        <v>46265</v>
      </c>
      <c r="C2" s="13" t="s">
        <v>308</v>
      </c>
      <c r="D2" s="4" t="n">
        <f aca="false">IF($A2="","",$B2-$A2)</f>
        <v>1</v>
      </c>
      <c r="E2" s="4" t="str">
        <f aca="false">IF($A2="","",IFERROR(VLOOKUP($C2,Dim_Fund!$A:$X,24,0),""))</f>
        <v>FA</v>
      </c>
      <c r="F2" s="37" t="n">
        <f aca="false">IF($A2="","",IF(COUNTIFS(Status_Log!$A:$A,$A2,Status_Log!$B:$B,$B2,Status_Log!$C:$C,$C2,Status_Log!$D:$D,"Changed to the status of Calculated")=0,"",_xlfn.MINIFS(Status_Log!$E:$E,Status_Log!$A:$A,$A2,Status_Log!$B:$B,$B2,Status_Log!$C:$C,$C2,Status_Log!$D:$D,"Changed to the status of Calculated")))</f>
        <v>46265.5958333333</v>
      </c>
      <c r="G2" s="37" t="n">
        <f aca="false">IF($A2="","",IF(COUNTIFS(Status_Log!$A:$A,$A2,Status_Log!$B:$B,$B2,Status_Log!$C:$C,$C2,Status_Log!$D:$D,"Changed to the status of Controlled")=0,"",_xlfn.MAXIFS(Status_Log!$E:$E,Status_Log!$A:$A,$A2,Status_Log!$B:$B,$B2,Status_Log!$C:$C,$C2,Status_Log!$D:$D,"Changed to the status of Controlled")))</f>
        <v>46265.6055555556</v>
      </c>
      <c r="H2" s="37" t="n">
        <f aca="false">IF($A2="","",IF(COUNTIFS(Status_Log!$A:$A,$A2,Status_Log!$B:$B,$B2,Status_Log!$C:$C,$C2,Status_Log!$D:$D,"Changed to the status of Fund accounting signed off")=0,"",_xlfn.MAXIFS(Status_Log!$E:$E,Status_Log!$A:$A,$A2,Status_Log!$B:$B,$B2,Status_Log!$C:$C,$C2,Status_Log!$D:$D,"Changed to the status of Fund accounting signed off")))</f>
        <v>46265.6083333333</v>
      </c>
      <c r="I2" s="37" t="n">
        <f aca="false">IF($A2="","",IF(COUNTIFS(Status_Log!$A:$A,$A2,Status_Log!$B:$B,$B2,Status_Log!$C:$C,$C2,Status_Log!$D:$D,"Changed to the status of signed off")=0,"",_xlfn.MAXIFS(Status_Log!$E:$E,Status_Log!$A:$A,$A2,Status_Log!$B:$B,$B2,Status_Log!$C:$C,$C2,Status_Log!$D:$D,"Changed to the status of signed off")))</f>
        <v>46265.6215277778</v>
      </c>
      <c r="J2" s="4" t="n">
        <f aca="false">IF($A2="","",COUNTIFS(Status_Log!$A:$A,$A2,Status_Log!$B:$B,$B2,Status_Log!$C:$C,$C2,Status_Log!$D:$D,"Changed to the status of Calculated"))</f>
        <v>1</v>
      </c>
      <c r="K2" s="38" t="n">
        <f aca="false">IF($A2="","",IF(J2&lt;=1,0,ROUND((_xlfn.MAXIFS(Status_Log!$E:$E,Status_Log!$A:$A,$A2,Status_Log!$B:$B,$B2,Status_Log!$C:$C,$C2,Status_Log!$D:$D,"Changed to the status of Calculated")-F2)*1440,0)))</f>
        <v>0</v>
      </c>
      <c r="L2" s="4" t="str">
        <f aca="false">IF($A2="","",IFERROR(INDEX(Status_Log!$F:$F,MATCH($A2&amp;"|"&amp;$B2&amp;"|"&amp;$C2&amp;"|Changed to the status of Calculated|"&amp;TEXT(_xlfn.MAXIFS(Status_Log!$E:$E,Status_Log!$A:$A,$A2,Status_Log!$B:$B,$B2,Status_Log!$C:$C,$C2,Status_Log!$D:$D,"Changed to the status of Calculated"),"0.000000"),Status_Log!$H:$H,0)),""))</f>
        <v>Lim Wei Ming</v>
      </c>
      <c r="M2" s="4" t="str">
        <f aca="false">IF($A2="","",IF(E2="Client","n/a — no control step",IFERROR(INDEX(Status_Log!$F:$F,MATCH($A2&amp;"|"&amp;$B2&amp;"|"&amp;$C2&amp;"|Changed to the status of Controlled|"&amp;TEXT(_xlfn.MAXIFS(Status_Log!$E:$E,Status_Log!$A:$A,$A2,Status_Log!$B:$B,$B2,Status_Log!$C:$C,$C2,Status_Log!$D:$D,"Changed to the status of Controlled"),"0.000000"),Status_Log!$H:$H,0)),"")))</f>
        <v>Raj Kumar</v>
      </c>
      <c r="N2" s="4" t="str">
        <f aca="false">IF($A2="","",IFERROR(VLOOKUP($C2,Dim_Fund!$A:$G,7,0),""))</f>
        <v>Lim Wei Ming</v>
      </c>
      <c r="O2" s="4" t="str">
        <f aca="false">IF($A2="","",IF(L2=N2,"No","Yes"))</f>
        <v>No</v>
      </c>
      <c r="P2" s="4" t="str">
        <f aca="false">IF($A2="","",IF(E2="Client","n/a",IF(L2=M2,"YES — four-eyes breach","No")))</f>
        <v>No</v>
      </c>
      <c r="Q2" s="38" t="n">
        <f aca="false">IF($A2="","",IFERROR(VLOOKUP($C2,Dim_Fund!$A:$AB,28,0),""))</f>
        <v>47.5</v>
      </c>
      <c r="R2" s="38" t="n">
        <f aca="false">IF($A2="","",IFERROR(VLOOKUP($C2,Dim_Fund!$A:$AC,29,0),""))</f>
        <v>28.5</v>
      </c>
      <c r="S2" s="38" t="n">
        <f aca="false">IF($A2="","",IFERROR(VLOOKUP($C2,Dim_Fund!$A:$AD,30,0),""))</f>
        <v>19</v>
      </c>
      <c r="T2" s="38" t="n">
        <f aca="false">IF($A2="","",IFERROR(VLOOKUP($C2,Dim_Fund!$A:$AL,38,0),""))</f>
        <v>0</v>
      </c>
      <c r="U2" s="37" t="n">
        <f aca="false">IF($A2="","",IF(AL2="","",IFERROR(IF(COUNTIFS(Fact_Milestone!$A:$A,$B2,Fact_Milestone!$B:$B,AL2)=0,"",_xlfn.MAXIFS(Fact_Milestone!$C:$C,Fact_Milestone!$A:$A,$B2,Fact_Milestone!$B:$B,AL2)),"")))</f>
        <v>46265.4604166667</v>
      </c>
      <c r="V2" s="37" t="n">
        <f aca="false">IF($A2="","",IFERROR(IF(VLOOKUP($C2,Dim_Fund!$A:$AI,35,0)&gt;0,$B2+VLOOKUP($C2,Dim_Fund!$A:$AI,35,0)/24,""),""))</f>
        <v>46265.6965277778</v>
      </c>
      <c r="W2" s="37" t="n">
        <f aca="false">IF($A2="","",F2)</f>
        <v>46265.5958333333</v>
      </c>
      <c r="X2" s="37" t="n">
        <f aca="false">IF($A2="","",IF(E2="Client",H2,G2))</f>
        <v>46265.6055555556</v>
      </c>
      <c r="Y2" s="37" t="n">
        <f aca="false">IF($A2="","",I2)</f>
        <v>46265.6215277778</v>
      </c>
      <c r="Z2" s="37" t="n">
        <f aca="false">IF($A2="","",IFERROR(W2-R2/1440,""))</f>
        <v>46265.5760416667</v>
      </c>
      <c r="AA2" s="38" t="n">
        <f aca="false">IF($A2="","",IF(OR(U2="",V2=""),"",ROUND((V2-U2)*1440,0)))</f>
        <v>340</v>
      </c>
      <c r="AB2" s="38" t="n">
        <f aca="false">IF($A2="","",IF(U2="","",ROUND((W2-U2)*1440,0)))</f>
        <v>195</v>
      </c>
      <c r="AC2" s="38" t="n">
        <f aca="false">IF($A2="","",IF(AB2="","",MAX(0,AB2)))</f>
        <v>195</v>
      </c>
      <c r="AD2" s="38" t="n">
        <f aca="false">IF($A2="","",IFERROR(ROUND((X2-W2)*1440,0),""))</f>
        <v>14</v>
      </c>
      <c r="AE2" s="38" t="n">
        <f aca="false">IF($A2="","",IF(E2="Client","n/a",IFERROR(ROUND((H2-G2)*1440,0),"")))</f>
        <v>4</v>
      </c>
      <c r="AF2" s="38" t="n">
        <f aca="false">IF($A2="","",IFERROR(ROUND((Y2-H2)*1440,0),""))</f>
        <v>19</v>
      </c>
      <c r="AG2" s="38" t="n">
        <f aca="false">IF($A2="","",IFERROR(ROUND((H2-F2)*1440,0),""))</f>
        <v>18</v>
      </c>
      <c r="AH2" s="38" t="n">
        <f aca="false">IF($A2="","",IFERROR(ROUND((Y2-V2)*1440,0),""))</f>
        <v>-108</v>
      </c>
      <c r="AI2" s="4" t="str">
        <f aca="false">IF($A2="","",IF(AH2="","",IF(AH2&gt;0,"Yes","No")))</f>
        <v>No</v>
      </c>
      <c r="AJ2" s="4" t="str">
        <f aca="false">IF($A2="","",IF(AI2&lt;&gt;"Yes","On time",IF(N(AC2)&gt;=MAX(N(AF2),N(K2)),"Wait for analyst",IF(N(AF2)&gt;=N(K2),"External sign-off","Rework"))))</f>
        <v>On time</v>
      </c>
      <c r="AK2" s="4" t="str">
        <f aca="false">IF($A2="","",IF(OR(F2="",Y2="",ISNA(MATCH(L2,Dim_Analyst!$A:$A,0))),"CHECK","OK"))</f>
        <v>OK</v>
      </c>
      <c r="AL2" s="4" t="str">
        <f aca="false">IF($A2="","",IFERROR(VLOOKUP($C2,Dim_Fund!$A:$U,21,0),""))</f>
        <v>TOP-EQ1</v>
      </c>
      <c r="AM2" s="4" t="str">
        <f aca="false">IF($A2="","",IF($U2="","",IF($U2&gt;$B2+IFERROR(VLOOKUP($C2,Dim_Fund!$A:$AH,34,0),0)/24,"Yes","No")))</f>
        <v>No</v>
      </c>
      <c r="AN2" s="22" t="n">
        <f aca="false">IF($A2="","",IFERROR(VLOOKUP($C2,Dim_Fund!$A:$AH,34,0),""))</f>
        <v>12.4833333333333</v>
      </c>
      <c r="AO2" s="22" t="n">
        <f aca="false">IF($A2="","",IF($AL2="","",IFERROR(FLOOR(IF(COUNTIFS(Fact_Milestone!$A:$A,$B2,Fact_Milestone!$B:$B,$AL2,Fact_Milestone!$F:$F,"&gt;0")&gt;0,_xlfn.MINIFS(Fact_Milestone!$F:$F,Fact_Milestone!$A:$A,$B2,Fact_Milestone!$B:$B,$AL2,Fact_Milestone!$F:$F,"&gt;0"),VLOOKUP($AL2,Dim_TOP!$A:$E,5,0)),0.5),"")))</f>
        <v>12</v>
      </c>
      <c r="AP2" s="22" t="n">
        <f aca="false">IF($A2="","",IF($U2="","",ROUND(($U2-INT($U2))*24,4)))</f>
        <v>11.05</v>
      </c>
      <c r="AQ2" s="22" t="n">
        <f aca="false">IF($A2="","",IF($W2="","",ROUND(($W2-INT($W2))*24,4)))</f>
        <v>14.3</v>
      </c>
      <c r="AR2" s="22" t="n">
        <f aca="false">IF($A2="","",IF($X2="","",ROUND(($X2-INT($X2))*24,4)))</f>
        <v>14.5333</v>
      </c>
      <c r="AS2" s="38" t="n">
        <f aca="false">IF($A2="","",IF(OR($AN2="",$V2="",$S2="",$T2=""),"",ROUND(($V2-($B2+$AN2/24))*1440-$S2-$T2,0)))</f>
        <v>235</v>
      </c>
      <c r="AT2" s="38" t="n">
        <f aca="false">IF($A2="","",IF(OR($AN2="",$U2=""),"",ROUND(($U2-($B2+$AN2/24))*1440,0)))</f>
        <v>-86</v>
      </c>
      <c r="AU2" s="38" t="n">
        <f aca="false">IF($A2="","",IF(OR($AD2="",$S2=""),"",ROUND($AD2-$S2,0)))</f>
        <v>-5</v>
      </c>
      <c r="AV2" s="38" t="n">
        <f aca="false">IF($A2="","",N($AE2))</f>
        <v>4</v>
      </c>
      <c r="AW2" s="38" t="n">
        <f aca="false">IF($A2="","",IF(OR($AF2="",$T2=""),"",$AF2-$T2))</f>
        <v>19</v>
      </c>
      <c r="AX2" s="38" t="n">
        <f aca="false">IF($A2="","",IF(COUNT($AT2,$AB2,$AU2,$AW2,$AS2,$AH2)&lt;6,"",ROUND($AT2+$AB2+$AU2+$AV2+$AW2-$AS2-$AH2,0)))</f>
        <v>0</v>
      </c>
      <c r="AY2" s="4" t="str">
        <f aca="false">IF($A2="","",IF($AX2="","No",IF(ABS($AX2)&lt;=2,"Yes","No")))</f>
        <v>Yes</v>
      </c>
      <c r="AZ2" s="4" t="str">
        <f aca="false">IF($A2="","",IF($AI2&lt;&gt;"Yes","n/a",IF(OR($AA2="",$S2="",$T2=""),"Unknown",IF($AA2&lt;$S2+$T2,"Lost on arrival","Lost after arrival"))))</f>
        <v>n/a</v>
      </c>
      <c r="BA2" s="10" t="str">
        <f aca="false">IF($A2="","",IFERROR(VLOOKUP($C2,Dim_Fund!$A:$D,4,0),""))</f>
        <v>Meridian Pensions</v>
      </c>
      <c r="BB2" s="10" t="str">
        <f aca="false">IF($A2="","",IF($AL2="","",IF(COUNTIFS(Fact_Milestone!$A:$A,$B2,Fact_Milestone!$B:$B,$AL2,Fact_Milestone!$I:$I,"No")&gt;0,"No",IF(COUNTIFS(Fact_Milestone!$A:$A,$B2,Fact_Milestone!$B:$B,$AL2,Fact_Milestone!$I:$I,"Yes")&gt;0,"Yes",""))))</f>
        <v>Yes</v>
      </c>
      <c r="BC2" s="45" t="str">
        <f aca="false">IF($A2="","",IF(OR($L2="",$W2=""),"",IF(COUNTIFS($L:$L,$L2,$B:$B,$B2,$W:$W,"&lt;"&amp;$W2)=0,"",_xlfn.MAXIFS($W:$W,$L:$L,$L2,$B:$B,$B2,$W:$W,"&lt;"&amp;$W2))))</f>
        <v/>
      </c>
      <c r="BD2" s="39" t="n">
        <f aca="false">IF($A2="","",IF($AC2="","",IF(OR($L2="",$AC2=0),0,MIN($AC2,ROUND(ROUND(1440*SUMPRODUCT(($L$2:INDEX($L:$L,COUNTA($C:$C))=$L2)*($B$2:INDEX($B:$B,COUNTA($C:$C))=$B2)*(ROW($L$2:INDEX($L:$L,COUNTA($C:$C)))&lt;&gt;ROW())*((((($W2+$BT$2:INDEX($BT:$BT,COUNTA($C:$C))-ABS($W2-$BT$2:INDEX($BT:$BT,COUNTA($C:$C))))/2)-(($U2+$BS$2:INDEX($BS:$BS,COUNTA($C:$C))+ABS($U2-$BS$2:INDEX($BS:$BS,COUNTA($C:$C))))/2))+ABS(((($W2+$BT$2:INDEX($BT:$BT,COUNTA($C:$C))-ABS($W2-$BT$2:INDEX($BT:$BT,COUNTA($C:$C))))/2)-(($U2+$BS$2:INDEX($BS:$BS,COUNTA($C:$C))+ABS($U2-$BS$2:INDEX($BS:$BS,COUNTA($C:$C))))/2))))/2)),4),0)))))</f>
        <v>0</v>
      </c>
      <c r="BE2" s="39" t="n">
        <f aca="false">IF($A2="","",IF($AC2="","",ROUND(MIN($AC2-$BD2,N($R2)),0)))</f>
        <v>29</v>
      </c>
      <c r="BF2" s="10" t="str">
        <f aca="false">IF($A2="","",IFERROR(VLOOKUP($C2,Dim_Fund!$A:$BD,56,0),""))</f>
        <v>No</v>
      </c>
      <c r="BG2" s="10" t="str">
        <f aca="false">IF($A2="","",IFERROR(VLOOKUP($C2,Dim_Fund!$A:$BH,60,0),""))</f>
        <v>Ample custody slack</v>
      </c>
      <c r="BH2" s="10" t="str">
        <f aca="false">IF($A2="","",IF($AI2&lt;&gt;"Yes","Not breached",IF($AM2="Yes","Pricing late",IF($BG2="Thin custody slack","Thin custody slack",IF($BF2="Yes","Broker-dependent","None of these")))))</f>
        <v>Not breached</v>
      </c>
      <c r="BI2" s="23" t="n">
        <f aca="false">IF($A2="","",IFERROR(IF(VLOOKUP($C2,Dim_Fund!$A:$AI,35,0)&gt;0,VLOOKUP($C2,Dim_Fund!$A:$AI,35,0),""),""))</f>
        <v>16.7166666666667</v>
      </c>
      <c r="BJ2" s="10" t="str">
        <f aca="false">IF($A2="","",$C2&amp;IF($E2="Client","*",""))</f>
        <v>FD-1001</v>
      </c>
      <c r="BK2" s="39" t="n">
        <f aca="false">IF($A2="","",IFERROR(ROUND(($Y2-$X2)*1440,0),""))</f>
        <v>23</v>
      </c>
      <c r="BL2" s="39" t="n">
        <f aca="false">IF($A2="","",IF($AH2="","",-$AH2))</f>
        <v>108</v>
      </c>
      <c r="BM2" s="46" t="n">
        <f aca="false">IF($A2="","",IF($AQ2="","",IF($AP2="",$AQ2,MIN($AP2,$AQ2))))</f>
        <v>11.05</v>
      </c>
      <c r="BN2" s="46" t="n">
        <f aca="false">IF($A2="","",IF($BM2="","",ROUND(N($AC2)/60,4)))</f>
        <v>3.25</v>
      </c>
      <c r="BO2" s="46" t="n">
        <f aca="false">IF($A2="","",IF(OR($BM2="",$AD2=""),"",ROUND($AD2/60,4)))</f>
        <v>0.2333</v>
      </c>
      <c r="BP2" s="46" t="n">
        <f aca="false">IF($A2="","",IF($BM2="","",ROUND(N($AE2)/60,4)))</f>
        <v>0.0667</v>
      </c>
      <c r="BQ2" s="46" t="n">
        <f aca="false">IF($A2="","",IF(OR($BM2="",$AF2=""),"",ROUND($AF2/60,4)))</f>
        <v>0.3167</v>
      </c>
      <c r="BR2" s="39" t="n">
        <f aca="false">IF($A2="","",IF($AC2="","",$AC2-$BD2-$BE2))</f>
        <v>166</v>
      </c>
      <c r="BS2" s="45" t="n">
        <f aca="false">IF($A2="","",IF(AND(ISNUMBER($Z2),ISNUMBER($W2)),$Z2,0))</f>
        <v>46265.5760416667</v>
      </c>
      <c r="BT2" s="45" t="n">
        <f aca="false">IF($A2="","",IF(ISNUMBER($W2),$W2,0))</f>
        <v>46265.5958333333</v>
      </c>
      <c r="BU2" s="23" t="n">
        <f aca="false">IF($A2="","",IF(ISNUMBER($W2),ROUND(($W2-$B2)*24,4),""))</f>
        <v>14.3</v>
      </c>
      <c r="BV2" s="23" t="n">
        <f aca="false">IF($A2="","",IF(ISNUMBER($X2),ROUND(($X2-$B2)*24,4),""))</f>
        <v>14.5333</v>
      </c>
      <c r="BW2" s="10" t="str">
        <f aca="false">IF($A2="","",IF(NOT(ISNUMBER($W2)),"Missing Calculated",IF(NOT(ISNUMBER($X2)),IF($E2="Client","Missing FA signed off","Missing Controlled"),IF($X2&lt;$W2,"End before start","OK"))))</f>
        <v>OK</v>
      </c>
      <c r="BX2" s="23" t="n">
        <f aca="false">IF($A2="","",IF(NOT(ISNUMBER($Z2)),"",ROUND((IF(ISNUMBER($U2),MIN($U2,$Z2),$Z2)-$B2)*24,4)))</f>
        <v>11.05</v>
      </c>
      <c r="BY2" s="23" t="n">
        <f aca="false">IF($A2="","",IF(ISNUMBER($Z2),ROUND(($Z2-$B2)*24,4),""))</f>
        <v>13.825</v>
      </c>
      <c r="BZ2" s="23" t="n">
        <f aca="false">IF($A2="","",IF(AND(ISNUMBER($W2),ISNUMBER($S2)),ROUND(($W2+$S2/1440-$B2)*24,4),""))</f>
        <v>14.6167</v>
      </c>
    </row>
    <row r="3" customFormat="false" ht="15" hidden="false" customHeight="true" outlineLevel="0" collapsed="false">
      <c r="A3" s="34" t="n">
        <v>46264</v>
      </c>
      <c r="B3" s="34" t="n">
        <v>46265</v>
      </c>
      <c r="C3" s="13" t="s">
        <v>317</v>
      </c>
      <c r="D3" s="4" t="n">
        <f aca="false">IF($A3="","",$B3-$A3)</f>
        <v>1</v>
      </c>
      <c r="E3" s="4" t="str">
        <f aca="false">IF($A3="","",IFERROR(VLOOKUP($C3,Dim_Fund!$A:$X,24,0),""))</f>
        <v>FA</v>
      </c>
      <c r="F3" s="37" t="n">
        <f aca="false">IF($A3="","",IF(COUNTIFS(Status_Log!$A:$A,$A3,Status_Log!$B:$B,$B3,Status_Log!$C:$C,$C3,Status_Log!$D:$D,"Changed to the status of Calculated")=0,"",_xlfn.MINIFS(Status_Log!$E:$E,Status_Log!$A:$A,$A3,Status_Log!$B:$B,$B3,Status_Log!$C:$C,$C3,Status_Log!$D:$D,"Changed to the status of Calculated")))</f>
        <v>46265.6090277778</v>
      </c>
      <c r="G3" s="37" t="n">
        <f aca="false">IF($A3="","",IF(COUNTIFS(Status_Log!$A:$A,$A3,Status_Log!$B:$B,$B3,Status_Log!$C:$C,$C3,Status_Log!$D:$D,"Changed to the status of Controlled")=0,"",_xlfn.MAXIFS(Status_Log!$E:$E,Status_Log!$A:$A,$A3,Status_Log!$B:$B,$B3,Status_Log!$C:$C,$C3,Status_Log!$D:$D,"Changed to the status of Controlled")))</f>
        <v>46265.6166666667</v>
      </c>
      <c r="H3" s="37" t="n">
        <f aca="false">IF($A3="","",IF(COUNTIFS(Status_Log!$A:$A,$A3,Status_Log!$B:$B,$B3,Status_Log!$C:$C,$C3,Status_Log!$D:$D,"Changed to the status of Fund accounting signed off")=0,"",_xlfn.MAXIFS(Status_Log!$E:$E,Status_Log!$A:$A,$A3,Status_Log!$B:$B,$B3,Status_Log!$C:$C,$C3,Status_Log!$D:$D,"Changed to the status of Fund accounting signed off")))</f>
        <v>46265.6208333333</v>
      </c>
      <c r="I3" s="37" t="n">
        <f aca="false">IF($A3="","",IF(COUNTIFS(Status_Log!$A:$A,$A3,Status_Log!$B:$B,$B3,Status_Log!$C:$C,$C3,Status_Log!$D:$D,"Changed to the status of signed off")=0,"",_xlfn.MAXIFS(Status_Log!$E:$E,Status_Log!$A:$A,$A3,Status_Log!$B:$B,$B3,Status_Log!$C:$C,$C3,Status_Log!$D:$D,"Changed to the status of signed off")))</f>
        <v>46265.6361111111</v>
      </c>
      <c r="J3" s="4" t="n">
        <f aca="false">IF($A3="","",COUNTIFS(Status_Log!$A:$A,$A3,Status_Log!$B:$B,$B3,Status_Log!$C:$C,$C3,Status_Log!$D:$D,"Changed to the status of Calculated"))</f>
        <v>1</v>
      </c>
      <c r="K3" s="38" t="n">
        <f aca="false">IF($A3="","",IF(J3&lt;=1,0,ROUND((_xlfn.MAXIFS(Status_Log!$E:$E,Status_Log!$A:$A,$A3,Status_Log!$B:$B,$B3,Status_Log!$C:$C,$C3,Status_Log!$D:$D,"Changed to the status of Calculated")-F3)*1440,0)))</f>
        <v>0</v>
      </c>
      <c r="L3" s="4" t="str">
        <f aca="false">IF($A3="","",IFERROR(INDEX(Status_Log!$F:$F,MATCH($A3&amp;"|"&amp;$B3&amp;"|"&amp;$C3&amp;"|Changed to the status of Calculated|"&amp;TEXT(_xlfn.MAXIFS(Status_Log!$E:$E,Status_Log!$A:$A,$A3,Status_Log!$B:$B,$B3,Status_Log!$C:$C,$C3,Status_Log!$D:$D,"Changed to the status of Calculated"),"0.000000"),Status_Log!$H:$H,0)),""))</f>
        <v>Siti Noraini</v>
      </c>
      <c r="M3" s="4" t="str">
        <f aca="false">IF($A3="","",IF(E3="Client","n/a — no control step",IFERROR(INDEX(Status_Log!$F:$F,MATCH($A3&amp;"|"&amp;$B3&amp;"|"&amp;$C3&amp;"|Changed to the status of Controlled|"&amp;TEXT(_xlfn.MAXIFS(Status_Log!$E:$E,Status_Log!$A:$A,$A3,Status_Log!$B:$B,$B3,Status_Log!$C:$C,$C3,Status_Log!$D:$D,"Changed to the status of Controlled"),"0.000000"),Status_Log!$H:$H,0)),"")))</f>
        <v>Lim Wei Ming</v>
      </c>
      <c r="N3" s="4" t="str">
        <f aca="false">IF($A3="","",IFERROR(VLOOKUP($C3,Dim_Fund!$A:$G,7,0),""))</f>
        <v>Siti Noraini</v>
      </c>
      <c r="O3" s="4" t="str">
        <f aca="false">IF($A3="","",IF(L3=N3,"No","Yes"))</f>
        <v>No</v>
      </c>
      <c r="P3" s="4" t="str">
        <f aca="false">IF($A3="","",IF(E3="Client","n/a",IF(L3=M3,"YES — four-eyes breach","No")))</f>
        <v>No</v>
      </c>
      <c r="Q3" s="38" t="n">
        <f aca="false">IF($A3="","",IFERROR(VLOOKUP($C3,Dim_Fund!$A:$AB,28,0),""))</f>
        <v>26.8</v>
      </c>
      <c r="R3" s="38" t="n">
        <f aca="false">IF($A3="","",IFERROR(VLOOKUP($C3,Dim_Fund!$A:$AC,29,0),""))</f>
        <v>17.4</v>
      </c>
      <c r="S3" s="38" t="n">
        <f aca="false">IF($A3="","",IFERROR(VLOOKUP($C3,Dim_Fund!$A:$AD,30,0),""))</f>
        <v>9.4</v>
      </c>
      <c r="T3" s="38" t="n">
        <f aca="false">IF($A3="","",IFERROR(VLOOKUP($C3,Dim_Fund!$A:$AL,38,0),""))</f>
        <v>0</v>
      </c>
      <c r="U3" s="37" t="n">
        <f aca="false">IF($A3="","",IF(AL3="","",IFERROR(IF(COUNTIFS(Fact_Milestone!$A:$A,$B3,Fact_Milestone!$B:$B,AL3)=0,"",_xlfn.MAXIFS(Fact_Milestone!$C:$C,Fact_Milestone!$A:$A,$B3,Fact_Milestone!$B:$B,AL3)),"")))</f>
        <v>46265.4840277778</v>
      </c>
      <c r="V3" s="37" t="n">
        <f aca="false">IF($A3="","",IFERROR(IF(VLOOKUP($C3,Dim_Fund!$A:$AI,35,0)&gt;0,$B3+VLOOKUP($C3,Dim_Fund!$A:$AI,35,0)/24,""),""))</f>
        <v>46265.6840277778</v>
      </c>
      <c r="W3" s="37" t="n">
        <f aca="false">IF($A3="","",F3)</f>
        <v>46265.6090277778</v>
      </c>
      <c r="X3" s="37" t="n">
        <f aca="false">IF($A3="","",IF(E3="Client",H3,G3))</f>
        <v>46265.6166666667</v>
      </c>
      <c r="Y3" s="37" t="n">
        <f aca="false">IF($A3="","",I3)</f>
        <v>46265.6361111111</v>
      </c>
      <c r="Z3" s="37" t="n">
        <f aca="false">IF($A3="","",IFERROR(W3-R3/1440,""))</f>
        <v>46265.5969444444</v>
      </c>
      <c r="AA3" s="38" t="n">
        <f aca="false">IF($A3="","",IF(OR(U3="",V3=""),"",ROUND((V3-U3)*1440,0)))</f>
        <v>288</v>
      </c>
      <c r="AB3" s="38" t="n">
        <f aca="false">IF($A3="","",IF(U3="","",ROUND((W3-U3)*1440,0)))</f>
        <v>180</v>
      </c>
      <c r="AC3" s="38" t="n">
        <f aca="false">IF($A3="","",IF(AB3="","",MAX(0,AB3)))</f>
        <v>180</v>
      </c>
      <c r="AD3" s="38" t="n">
        <f aca="false">IF($A3="","",IFERROR(ROUND((X3-W3)*1440,0),""))</f>
        <v>11</v>
      </c>
      <c r="AE3" s="38" t="n">
        <f aca="false">IF($A3="","",IF(E3="Client","n/a",IFERROR(ROUND((H3-G3)*1440,0),"")))</f>
        <v>6</v>
      </c>
      <c r="AF3" s="38" t="n">
        <f aca="false">IF($A3="","",IFERROR(ROUND((Y3-H3)*1440,0),""))</f>
        <v>22</v>
      </c>
      <c r="AG3" s="38" t="n">
        <f aca="false">IF($A3="","",IFERROR(ROUND((H3-F3)*1440,0),""))</f>
        <v>17</v>
      </c>
      <c r="AH3" s="38" t="n">
        <f aca="false">IF($A3="","",IFERROR(ROUND((Y3-V3)*1440,0),""))</f>
        <v>-69</v>
      </c>
      <c r="AI3" s="4" t="str">
        <f aca="false">IF($A3="","",IF(AH3="","",IF(AH3&gt;0,"Yes","No")))</f>
        <v>No</v>
      </c>
      <c r="AJ3" s="4" t="str">
        <f aca="false">IF($A3="","",IF(AI3&lt;&gt;"Yes","On time",IF(N(AC3)&gt;=MAX(N(AF3),N(K3)),"Wait for analyst",IF(N(AF3)&gt;=N(K3),"External sign-off","Rework"))))</f>
        <v>On time</v>
      </c>
      <c r="AK3" s="4" t="str">
        <f aca="false">IF($A3="","",IF(OR(F3="",Y3="",ISNA(MATCH(L3,Dim_Analyst!$A:$A,0))),"CHECK","OK"))</f>
        <v>OK</v>
      </c>
      <c r="AL3" s="4" t="str">
        <f aca="false">IF($A3="","",IFERROR(VLOOKUP($C3,Dim_Fund!$A:$U,21,0),""))</f>
        <v>TOP-FI1</v>
      </c>
      <c r="AM3" s="4" t="str">
        <f aca="false">IF($A3="","",IF($U3="","",IF($U3&gt;$B3+IFERROR(VLOOKUP($C3,Dim_Fund!$A:$AH,34,0),0)/24,"Yes","No")))</f>
        <v>No</v>
      </c>
      <c r="AN3" s="22" t="n">
        <f aca="false">IF($A3="","",IFERROR(VLOOKUP($C3,Dim_Fund!$A:$AH,34,0),""))</f>
        <v>12.45</v>
      </c>
      <c r="AO3" s="22" t="n">
        <f aca="false">IF($A3="","",IF($AL3="","",IFERROR(FLOOR(IF(COUNTIFS(Fact_Milestone!$A:$A,$B3,Fact_Milestone!$B:$B,$AL3,Fact_Milestone!$F:$F,"&gt;0")&gt;0,_xlfn.MINIFS(Fact_Milestone!$F:$F,Fact_Milestone!$A:$A,$B3,Fact_Milestone!$B:$B,$AL3,Fact_Milestone!$F:$F,"&gt;0"),VLOOKUP($AL3,Dim_TOP!$A:$E,5,0)),0.5),"")))</f>
        <v>12</v>
      </c>
      <c r="AP3" s="22" t="n">
        <f aca="false">IF($A3="","",IF($U3="","",ROUND(($U3-INT($U3))*24,4)))</f>
        <v>11.6167</v>
      </c>
      <c r="AQ3" s="22" t="n">
        <f aca="false">IF($A3="","",IF($W3="","",ROUND(($W3-INT($W3))*24,4)))</f>
        <v>14.6167</v>
      </c>
      <c r="AR3" s="22" t="n">
        <f aca="false">IF($A3="","",IF($X3="","",ROUND(($X3-INT($X3))*24,4)))</f>
        <v>14.8</v>
      </c>
      <c r="AS3" s="38" t="n">
        <f aca="false">IF($A3="","",IF(OR($AN3="",$V3="",$S3="",$T3=""),"",ROUND(($V3-($B3+$AN3/24))*1440-$S3-$T3,0)))</f>
        <v>229</v>
      </c>
      <c r="AT3" s="38" t="n">
        <f aca="false">IF($A3="","",IF(OR($AN3="",$U3=""),"",ROUND(($U3-($B3+$AN3/24))*1440,0)))</f>
        <v>-50</v>
      </c>
      <c r="AU3" s="38" t="n">
        <f aca="false">IF($A3="","",IF(OR($AD3="",$S3=""),"",ROUND($AD3-$S3,0)))</f>
        <v>2</v>
      </c>
      <c r="AV3" s="38" t="n">
        <f aca="false">IF($A3="","",N($AE3))</f>
        <v>6</v>
      </c>
      <c r="AW3" s="38" t="n">
        <f aca="false">IF($A3="","",IF(OR($AF3="",$T3=""),"",$AF3-$T3))</f>
        <v>22</v>
      </c>
      <c r="AX3" s="38" t="n">
        <f aca="false">IF($A3="","",IF(COUNT($AT3,$AB3,$AU3,$AW3,$AS3,$AH3)&lt;6,"",ROUND($AT3+$AB3+$AU3+$AV3+$AW3-$AS3-$AH3,0)))</f>
        <v>0</v>
      </c>
      <c r="AY3" s="4" t="str">
        <f aca="false">IF($A3="","",IF($AX3="","No",IF(ABS($AX3)&lt;=2,"Yes","No")))</f>
        <v>Yes</v>
      </c>
      <c r="AZ3" s="4" t="str">
        <f aca="false">IF($A3="","",IF($AI3&lt;&gt;"Yes","n/a",IF(OR($AA3="",$S3="",$T3=""),"Unknown",IF($AA3&lt;$S3+$T3,"Lost on arrival","Lost after arrival"))))</f>
        <v>n/a</v>
      </c>
      <c r="BA3" s="10" t="str">
        <f aca="false">IF($A3="","",IFERROR(VLOOKUP($C3,Dim_Fund!$A:$D,4,0),""))</f>
        <v>Northgate Insurance</v>
      </c>
      <c r="BB3" s="10" t="str">
        <f aca="false">IF($A3="","",IF($AL3="","",IF(COUNTIFS(Fact_Milestone!$A:$A,$B3,Fact_Milestone!$B:$B,$AL3,Fact_Milestone!$I:$I,"No")&gt;0,"No",IF(COUNTIFS(Fact_Milestone!$A:$A,$B3,Fact_Milestone!$B:$B,$AL3,Fact_Milestone!$I:$I,"Yes")&gt;0,"Yes",""))))</f>
        <v>Yes</v>
      </c>
      <c r="BC3" s="45" t="str">
        <f aca="false">IF($A3="","",IF(OR($L3="",$W3=""),"",IF(COUNTIFS($L:$L,$L3,$B:$B,$B3,$W:$W,"&lt;"&amp;$W3)=0,"",_xlfn.MAXIFS($W:$W,$L:$L,$L3,$B:$B,$B3,$W:$W,"&lt;"&amp;$W3))))</f>
        <v/>
      </c>
      <c r="BD3" s="39" t="n">
        <f aca="false">IF($A3="","",IF($AC3="","",IF(OR($L3="",$AC3=0),0,MIN($AC3,ROUND(ROUND(1440*SUMPRODUCT(($L$2:INDEX($L:$L,COUNTA($C:$C))=$L3)*($B$2:INDEX($B:$B,COUNTA($C:$C))=$B3)*(ROW($L$2:INDEX($L:$L,COUNTA($C:$C)))&lt;&gt;ROW())*((((($W3+$BT$2:INDEX($BT:$BT,COUNTA($C:$C))-ABS($W3-$BT$2:INDEX($BT:$BT,COUNTA($C:$C))))/2)-(($U3+$BS$2:INDEX($BS:$BS,COUNTA($C:$C))+ABS($U3-$BS$2:INDEX($BS:$BS,COUNTA($C:$C))))/2))+ABS(((($W3+$BT$2:INDEX($BT:$BT,COUNTA($C:$C))-ABS($W3-$BT$2:INDEX($BT:$BT,COUNTA($C:$C))))/2)-(($U3+$BS$2:INDEX($BS:$BS,COUNTA($C:$C))+ABS($U3-$BS$2:INDEX($BS:$BS,COUNTA($C:$C))))/2))))/2)),4),0)))))</f>
        <v>0</v>
      </c>
      <c r="BE3" s="39" t="n">
        <f aca="false">IF($A3="","",IF($AC3="","",ROUND(MIN($AC3-$BD3,N($R3)),0)))</f>
        <v>17</v>
      </c>
      <c r="BF3" s="10" t="str">
        <f aca="false">IF($A3="","",IFERROR(VLOOKUP($C3,Dim_Fund!$A:$BD,56,0),""))</f>
        <v>Yes</v>
      </c>
      <c r="BG3" s="10" t="str">
        <f aca="false">IF($A3="","",IFERROR(VLOOKUP($C3,Dim_Fund!$A:$BH,60,0),""))</f>
        <v>Ample custody slack</v>
      </c>
      <c r="BH3" s="10" t="str">
        <f aca="false">IF($A3="","",IF($AI3&lt;&gt;"Yes","Not breached",IF($AM3="Yes","Pricing late",IF($BG3="Thin custody slack","Thin custody slack",IF($BF3="Yes","Broker-dependent","None of these")))))</f>
        <v>Not breached</v>
      </c>
      <c r="BI3" s="23" t="n">
        <f aca="false">IF($A3="","",IFERROR(IF(VLOOKUP($C3,Dim_Fund!$A:$AI,35,0)&gt;0,VLOOKUP($C3,Dim_Fund!$A:$AI,35,0),""),""))</f>
        <v>16.4166666666667</v>
      </c>
      <c r="BJ3" s="10" t="str">
        <f aca="false">IF($A3="","",$C3&amp;IF($E3="Client","*",""))</f>
        <v>FD-1002</v>
      </c>
      <c r="BK3" s="39" t="n">
        <f aca="false">IF($A3="","",IFERROR(ROUND(($Y3-$X3)*1440,0),""))</f>
        <v>28</v>
      </c>
      <c r="BL3" s="39" t="n">
        <f aca="false">IF($A3="","",IF($AH3="","",-$AH3))</f>
        <v>69</v>
      </c>
      <c r="BM3" s="46" t="n">
        <f aca="false">IF($A3="","",IF($AQ3="","",IF($AP3="",$AQ3,MIN($AP3,$AQ3))))</f>
        <v>11.6167</v>
      </c>
      <c r="BN3" s="46" t="n">
        <f aca="false">IF($A3="","",IF($BM3="","",ROUND(N($AC3)/60,4)))</f>
        <v>3</v>
      </c>
      <c r="BO3" s="46" t="n">
        <f aca="false">IF($A3="","",IF(OR($BM3="",$AD3=""),"",ROUND($AD3/60,4)))</f>
        <v>0.1833</v>
      </c>
      <c r="BP3" s="46" t="n">
        <f aca="false">IF($A3="","",IF($BM3="","",ROUND(N($AE3)/60,4)))</f>
        <v>0.1</v>
      </c>
      <c r="BQ3" s="46" t="n">
        <f aca="false">IF($A3="","",IF(OR($BM3="",$AF3=""),"",ROUND($AF3/60,4)))</f>
        <v>0.3667</v>
      </c>
      <c r="BR3" s="39" t="n">
        <f aca="false">IF($A3="","",IF($AC3="","",$AC3-$BD3-$BE3))</f>
        <v>163</v>
      </c>
      <c r="BS3" s="45" t="n">
        <f aca="false">IF($A3="","",IF(AND(ISNUMBER($Z3),ISNUMBER($W3)),$Z3,0))</f>
        <v>46265.5969444444</v>
      </c>
      <c r="BT3" s="45" t="n">
        <f aca="false">IF($A3="","",IF(ISNUMBER($W3),$W3,0))</f>
        <v>46265.6090277778</v>
      </c>
      <c r="BU3" s="23" t="n">
        <f aca="false">IF($A3="","",IF(ISNUMBER($W3),ROUND(($W3-$B3)*24,4),""))</f>
        <v>14.6167</v>
      </c>
      <c r="BV3" s="23" t="n">
        <f aca="false">IF($A3="","",IF(ISNUMBER($X3),ROUND(($X3-$B3)*24,4),""))</f>
        <v>14.8</v>
      </c>
      <c r="BW3" s="10" t="str">
        <f aca="false">IF($A3="","",IF(NOT(ISNUMBER($W3)),"Missing Calculated",IF(NOT(ISNUMBER($X3)),IF($E3="Client","Missing FA signed off","Missing Controlled"),IF($X3&lt;$W3,"End before start","OK"))))</f>
        <v>OK</v>
      </c>
      <c r="BX3" s="23" t="n">
        <f aca="false">IF($A3="","",IF(NOT(ISNUMBER($Z3)),"",ROUND((IF(ISNUMBER($U3),MIN($U3,$Z3),$Z3)-$B3)*24,4)))</f>
        <v>11.6167</v>
      </c>
      <c r="BY3" s="23" t="n">
        <f aca="false">IF($A3="","",IF(ISNUMBER($Z3),ROUND(($Z3-$B3)*24,4),""))</f>
        <v>14.3267</v>
      </c>
      <c r="BZ3" s="23" t="n">
        <f aca="false">IF($A3="","",IF(AND(ISNUMBER($W3),ISNUMBER($S3)),ROUND(($W3+$S3/1440-$B3)*24,4),""))</f>
        <v>14.7733</v>
      </c>
    </row>
    <row r="4" customFormat="false" ht="15" hidden="false" customHeight="true" outlineLevel="0" collapsed="false">
      <c r="A4" s="34" t="n">
        <v>46264</v>
      </c>
      <c r="B4" s="34" t="n">
        <v>46265</v>
      </c>
      <c r="C4" s="13" t="s">
        <v>324</v>
      </c>
      <c r="D4" s="4" t="n">
        <f aca="false">IF($A4="","",$B4-$A4)</f>
        <v>1</v>
      </c>
      <c r="E4" s="4" t="str">
        <f aca="false">IF($A4="","",IFERROR(VLOOKUP($C4,Dim_Fund!$A:$X,24,0),""))</f>
        <v>FA</v>
      </c>
      <c r="F4" s="37" t="n">
        <f aca="false">IF($A4="","",IF(COUNTIFS(Status_Log!$A:$A,$A4,Status_Log!$B:$B,$B4,Status_Log!$C:$C,$C4,Status_Log!$D:$D,"Changed to the status of Calculated")=0,"",_xlfn.MINIFS(Status_Log!$E:$E,Status_Log!$A:$A,$A4,Status_Log!$B:$B,$B4,Status_Log!$C:$C,$C4,Status_Log!$D:$D,"Changed to the status of Calculated")))</f>
        <v>46265.5069444445</v>
      </c>
      <c r="G4" s="37" t="n">
        <f aca="false">IF($A4="","",IF(COUNTIFS(Status_Log!$A:$A,$A4,Status_Log!$B:$B,$B4,Status_Log!$C:$C,$C4,Status_Log!$D:$D,"Changed to the status of Controlled")=0,"",_xlfn.MAXIFS(Status_Log!$E:$E,Status_Log!$A:$A,$A4,Status_Log!$B:$B,$B4,Status_Log!$C:$C,$C4,Status_Log!$D:$D,"Changed to the status of Controlled")))</f>
        <v>46265.5152777778</v>
      </c>
      <c r="H4" s="37" t="n">
        <f aca="false">IF($A4="","",IF(COUNTIFS(Status_Log!$A:$A,$A4,Status_Log!$B:$B,$B4,Status_Log!$C:$C,$C4,Status_Log!$D:$D,"Changed to the status of Fund accounting signed off")=0,"",_xlfn.MAXIFS(Status_Log!$E:$E,Status_Log!$A:$A,$A4,Status_Log!$B:$B,$B4,Status_Log!$C:$C,$C4,Status_Log!$D:$D,"Changed to the status of Fund accounting signed off")))</f>
        <v>46265.5222222222</v>
      </c>
      <c r="I4" s="37" t="n">
        <f aca="false">IF($A4="","",IF(COUNTIFS(Status_Log!$A:$A,$A4,Status_Log!$B:$B,$B4,Status_Log!$C:$C,$C4,Status_Log!$D:$D,"Changed to the status of signed off")=0,"",_xlfn.MAXIFS(Status_Log!$E:$E,Status_Log!$A:$A,$A4,Status_Log!$B:$B,$B4,Status_Log!$C:$C,$C4,Status_Log!$D:$D,"Changed to the status of signed off")))</f>
        <v>46265.5381944445</v>
      </c>
      <c r="J4" s="4" t="n">
        <f aca="false">IF($A4="","",COUNTIFS(Status_Log!$A:$A,$A4,Status_Log!$B:$B,$B4,Status_Log!$C:$C,$C4,Status_Log!$D:$D,"Changed to the status of Calculated"))</f>
        <v>1</v>
      </c>
      <c r="K4" s="38" t="n">
        <f aca="false">IF($A4="","",IF(J4&lt;=1,0,ROUND((_xlfn.MAXIFS(Status_Log!$E:$E,Status_Log!$A:$A,$A4,Status_Log!$B:$B,$B4,Status_Log!$C:$C,$C4,Status_Log!$D:$D,"Changed to the status of Calculated")-F4)*1440,0)))</f>
        <v>0</v>
      </c>
      <c r="L4" s="4" t="str">
        <f aca="false">IF($A4="","",IFERROR(INDEX(Status_Log!$F:$F,MATCH($A4&amp;"|"&amp;$B4&amp;"|"&amp;$C4&amp;"|Changed to the status of Calculated|"&amp;TEXT(_xlfn.MAXIFS(Status_Log!$E:$E,Status_Log!$A:$A,$A4,Status_Log!$B:$B,$B4,Status_Log!$C:$C,$C4,Status_Log!$D:$D,"Changed to the status of Calculated"),"0.000000"),Status_Log!$H:$H,0)),""))</f>
        <v>Chen Xiao</v>
      </c>
      <c r="M4" s="4" t="str">
        <f aca="false">IF($A4="","",IF(E4="Client","n/a — no control step",IFERROR(INDEX(Status_Log!$F:$F,MATCH($A4&amp;"|"&amp;$B4&amp;"|"&amp;$C4&amp;"|Changed to the status of Controlled|"&amp;TEXT(_xlfn.MAXIFS(Status_Log!$E:$E,Status_Log!$A:$A,$A4,Status_Log!$B:$B,$B4,Status_Log!$C:$C,$C4,Status_Log!$D:$D,"Changed to the status of Controlled"),"0.000000"),Status_Log!$H:$H,0)),"")))</f>
        <v>Siti Noraini</v>
      </c>
      <c r="N4" s="4" t="str">
        <f aca="false">IF($A4="","",IFERROR(VLOOKUP($C4,Dim_Fund!$A:$G,7,0),""))</f>
        <v>Raj Kumar</v>
      </c>
      <c r="O4" s="4" t="str">
        <f aca="false">IF($A4="","",IF(L4=N4,"No","Yes"))</f>
        <v>Yes</v>
      </c>
      <c r="P4" s="4" t="str">
        <f aca="false">IF($A4="","",IF(E4="Client","n/a",IF(L4=M4,"YES — four-eyes breach","No")))</f>
        <v>No</v>
      </c>
      <c r="Q4" s="38" t="n">
        <f aca="false">IF($A4="","",IFERROR(VLOOKUP($C4,Dim_Fund!$A:$AB,28,0),""))</f>
        <v>45.8</v>
      </c>
      <c r="R4" s="38" t="n">
        <f aca="false">IF($A4="","",IFERROR(VLOOKUP($C4,Dim_Fund!$A:$AC,29,0),""))</f>
        <v>27.5</v>
      </c>
      <c r="S4" s="38" t="n">
        <f aca="false">IF($A4="","",IFERROR(VLOOKUP($C4,Dim_Fund!$A:$AD,30,0),""))</f>
        <v>18.3</v>
      </c>
      <c r="T4" s="38" t="n">
        <f aca="false">IF($A4="","",IFERROR(VLOOKUP($C4,Dim_Fund!$A:$AL,38,0),""))</f>
        <v>0</v>
      </c>
      <c r="U4" s="37" t="n">
        <f aca="false">IF($A4="","",IF(AL4="","",IFERROR(IF(COUNTIFS(Fact_Milestone!$A:$A,$B4,Fact_Milestone!$B:$B,AL4)=0,"",_xlfn.MAXIFS(Fact_Milestone!$C:$C,Fact_Milestone!$A:$A,$B4,Fact_Milestone!$B:$B,AL4)),"")))</f>
        <v>46265.4986111111</v>
      </c>
      <c r="V4" s="37" t="n">
        <f aca="false">IF($A4="","",IFERROR(IF(VLOOKUP($C4,Dim_Fund!$A:$AI,35,0)&gt;0,$B4+VLOOKUP($C4,Dim_Fund!$A:$AI,35,0)/24,""),""))</f>
        <v>46265.6631944444</v>
      </c>
      <c r="W4" s="37" t="n">
        <f aca="false">IF($A4="","",F4)</f>
        <v>46265.5069444445</v>
      </c>
      <c r="X4" s="37" t="n">
        <f aca="false">IF($A4="","",IF(E4="Client",H4,G4))</f>
        <v>46265.5152777778</v>
      </c>
      <c r="Y4" s="37" t="n">
        <f aca="false">IF($A4="","",I4)</f>
        <v>46265.5381944445</v>
      </c>
      <c r="Z4" s="37" t="n">
        <f aca="false">IF($A4="","",IFERROR(W4-R4/1440,""))</f>
        <v>46265.4878472222</v>
      </c>
      <c r="AA4" s="38" t="n">
        <f aca="false">IF($A4="","",IF(OR(U4="",V4=""),"",ROUND((V4-U4)*1440,0)))</f>
        <v>237</v>
      </c>
      <c r="AB4" s="38" t="n">
        <f aca="false">IF($A4="","",IF(U4="","",ROUND((W4-U4)*1440,0)))</f>
        <v>12</v>
      </c>
      <c r="AC4" s="38" t="n">
        <f aca="false">IF($A4="","",IF(AB4="","",MAX(0,AB4)))</f>
        <v>12</v>
      </c>
      <c r="AD4" s="38" t="n">
        <f aca="false">IF($A4="","",IFERROR(ROUND((X4-W4)*1440,0),""))</f>
        <v>12</v>
      </c>
      <c r="AE4" s="38" t="n">
        <f aca="false">IF($A4="","",IF(E4="Client","n/a",IFERROR(ROUND((H4-G4)*1440,0),"")))</f>
        <v>10</v>
      </c>
      <c r="AF4" s="38" t="n">
        <f aca="false">IF($A4="","",IFERROR(ROUND((Y4-H4)*1440,0),""))</f>
        <v>23</v>
      </c>
      <c r="AG4" s="38" t="n">
        <f aca="false">IF($A4="","",IFERROR(ROUND((H4-F4)*1440,0),""))</f>
        <v>22</v>
      </c>
      <c r="AH4" s="38" t="n">
        <f aca="false">IF($A4="","",IFERROR(ROUND((Y4-V4)*1440,0),""))</f>
        <v>-180</v>
      </c>
      <c r="AI4" s="4" t="str">
        <f aca="false">IF($A4="","",IF(AH4="","",IF(AH4&gt;0,"Yes","No")))</f>
        <v>No</v>
      </c>
      <c r="AJ4" s="4" t="str">
        <f aca="false">IF($A4="","",IF(AI4&lt;&gt;"Yes","On time",IF(N(AC4)&gt;=MAX(N(AF4),N(K4)),"Wait for analyst",IF(N(AF4)&gt;=N(K4),"External sign-off","Rework"))))</f>
        <v>On time</v>
      </c>
      <c r="AK4" s="4" t="str">
        <f aca="false">IF($A4="","",IF(OR(F4="",Y4="",ISNA(MATCH(L4,Dim_Analyst!$A:$A,0))),"CHECK","OK"))</f>
        <v>OK</v>
      </c>
      <c r="AL4" s="4" t="str">
        <f aca="false">IF($A4="","",IFERROR(VLOOKUP($C4,Dim_Fund!$A:$U,21,0),""))</f>
        <v>TOP-MA1</v>
      </c>
      <c r="AM4" s="4" t="str">
        <f aca="false">IF($A4="","",IF($U4="","",IF($U4&gt;$B4+IFERROR(VLOOKUP($C4,Dim_Fund!$A:$AH,34,0),0)/24,"Yes","No")))</f>
        <v>Yes</v>
      </c>
      <c r="AN4" s="22" t="n">
        <f aca="false">IF($A4="","",IFERROR(VLOOKUP($C4,Dim_Fund!$A:$AH,34,0),""))</f>
        <v>11.7166666666667</v>
      </c>
      <c r="AO4" s="22" t="n">
        <f aca="false">IF($A4="","",IF($AL4="","",IFERROR(FLOOR(IF(COUNTIFS(Fact_Milestone!$A:$A,$B4,Fact_Milestone!$B:$B,$AL4,Fact_Milestone!$F:$F,"&gt;0")&gt;0,_xlfn.MINIFS(Fact_Milestone!$F:$F,Fact_Milestone!$A:$A,$B4,Fact_Milestone!$B:$B,$AL4,Fact_Milestone!$F:$F,"&gt;0"),VLOOKUP($AL4,Dim_TOP!$A:$E,5,0)),0.5),"")))</f>
        <v>11.5</v>
      </c>
      <c r="AP4" s="22" t="n">
        <f aca="false">IF($A4="","",IF($U4="","",ROUND(($U4-INT($U4))*24,4)))</f>
        <v>11.9667</v>
      </c>
      <c r="AQ4" s="22" t="n">
        <f aca="false">IF($A4="","",IF($W4="","",ROUND(($W4-INT($W4))*24,4)))</f>
        <v>12.1667</v>
      </c>
      <c r="AR4" s="22" t="n">
        <f aca="false">IF($A4="","",IF($X4="","",ROUND(($X4-INT($X4))*24,4)))</f>
        <v>12.3667</v>
      </c>
      <c r="AS4" s="38" t="n">
        <f aca="false">IF($A4="","",IF(OR($AN4="",$V4="",$S4="",$T4=""),"",ROUND(($V4-($B4+$AN4/24))*1440-$S4-$T4,0)))</f>
        <v>234</v>
      </c>
      <c r="AT4" s="38" t="n">
        <f aca="false">IF($A4="","",IF(OR($AN4="",$U4=""),"",ROUND(($U4-($B4+$AN4/24))*1440,0)))</f>
        <v>15</v>
      </c>
      <c r="AU4" s="38" t="n">
        <f aca="false">IF($A4="","",IF(OR($AD4="",$S4=""),"",ROUND($AD4-$S4,0)))</f>
        <v>-6</v>
      </c>
      <c r="AV4" s="38" t="n">
        <f aca="false">IF($A4="","",N($AE4))</f>
        <v>10</v>
      </c>
      <c r="AW4" s="38" t="n">
        <f aca="false">IF($A4="","",IF(OR($AF4="",$T4=""),"",$AF4-$T4))</f>
        <v>23</v>
      </c>
      <c r="AX4" s="38" t="n">
        <f aca="false">IF($A4="","",IF(COUNT($AT4,$AB4,$AU4,$AW4,$AS4,$AH4)&lt;6,"",ROUND($AT4+$AB4+$AU4+$AV4+$AW4-$AS4-$AH4,0)))</f>
        <v>0</v>
      </c>
      <c r="AY4" s="4" t="str">
        <f aca="false">IF($A4="","",IF($AX4="","No",IF(ABS($AX4)&lt;=2,"Yes","No")))</f>
        <v>Yes</v>
      </c>
      <c r="AZ4" s="4" t="str">
        <f aca="false">IF($A4="","",IF($AI4&lt;&gt;"Yes","n/a",IF(OR($AA4="",$S4="",$T4=""),"Unknown",IF($AA4&lt;$S4+$T4,"Lost on arrival","Lost after arrival"))))</f>
        <v>n/a</v>
      </c>
      <c r="BA4" s="10" t="str">
        <f aca="false">IF($A4="","",IFERROR(VLOOKUP($C4,Dim_Fund!$A:$D,4,0),""))</f>
        <v>Halvern Wealth</v>
      </c>
      <c r="BB4" s="10" t="str">
        <f aca="false">IF($A4="","",IF($AL4="","",IF(COUNTIFS(Fact_Milestone!$A:$A,$B4,Fact_Milestone!$B:$B,$AL4,Fact_Milestone!$I:$I,"No")&gt;0,"No",IF(COUNTIFS(Fact_Milestone!$A:$A,$B4,Fact_Milestone!$B:$B,$AL4,Fact_Milestone!$I:$I,"Yes")&gt;0,"Yes",""))))</f>
        <v>No</v>
      </c>
      <c r="BC4" s="45" t="str">
        <f aca="false">IF($A4="","",IF(OR($L4="",$W4=""),"",IF(COUNTIFS($L:$L,$L4,$B:$B,$B4,$W:$W,"&lt;"&amp;$W4)=0,"",_xlfn.MAXIFS($W:$W,$L:$L,$L4,$B:$B,$B4,$W:$W,"&lt;"&amp;$W4))))</f>
        <v/>
      </c>
      <c r="BD4" s="39" t="n">
        <f aca="false">IF($A4="","",IF($AC4="","",IF(OR($L4="",$AC4=0),0,MIN($AC4,ROUND(ROUND(1440*SUMPRODUCT(($L$2:INDEX($L:$L,COUNTA($C:$C))=$L4)*($B$2:INDEX($B:$B,COUNTA($C:$C))=$B4)*(ROW($L$2:INDEX($L:$L,COUNTA($C:$C)))&lt;&gt;ROW())*((((($W4+$BT$2:INDEX($BT:$BT,COUNTA($C:$C))-ABS($W4-$BT$2:INDEX($BT:$BT,COUNTA($C:$C))))/2)-(($U4+$BS$2:INDEX($BS:$BS,COUNTA($C:$C))+ABS($U4-$BS$2:INDEX($BS:$BS,COUNTA($C:$C))))/2))+ABS(((($W4+$BT$2:INDEX($BT:$BT,COUNTA($C:$C))-ABS($W4-$BT$2:INDEX($BT:$BT,COUNTA($C:$C))))/2)-(($U4+$BS$2:INDEX($BS:$BS,COUNTA($C:$C))+ABS($U4-$BS$2:INDEX($BS:$BS,COUNTA($C:$C))))/2))))/2)),4),0)))))</f>
        <v>0</v>
      </c>
      <c r="BE4" s="39" t="n">
        <f aca="false">IF($A4="","",IF($AC4="","",ROUND(MIN($AC4-$BD4,N($R4)),0)))</f>
        <v>12</v>
      </c>
      <c r="BF4" s="10" t="str">
        <f aca="false">IF($A4="","",IFERROR(VLOOKUP($C4,Dim_Fund!$A:$BD,56,0),""))</f>
        <v>Yes</v>
      </c>
      <c r="BG4" s="10" t="str">
        <f aca="false">IF($A4="","",IFERROR(VLOOKUP($C4,Dim_Fund!$A:$BH,60,0),""))</f>
        <v>Ample custody slack</v>
      </c>
      <c r="BH4" s="10" t="str">
        <f aca="false">IF($A4="","",IF($AI4&lt;&gt;"Yes","Not breached",IF($AM4="Yes","Pricing late",IF($BG4="Thin custody slack","Thin custody slack",IF($BF4="Yes","Broker-dependent","None of these")))))</f>
        <v>Not breached</v>
      </c>
      <c r="BI4" s="23" t="n">
        <f aca="false">IF($A4="","",IFERROR(IF(VLOOKUP($C4,Dim_Fund!$A:$AI,35,0)&gt;0,VLOOKUP($C4,Dim_Fund!$A:$AI,35,0),""),""))</f>
        <v>15.9166666666667</v>
      </c>
      <c r="BJ4" s="10" t="str">
        <f aca="false">IF($A4="","",$C4&amp;IF($E4="Client","*",""))</f>
        <v>FD-1003</v>
      </c>
      <c r="BK4" s="39" t="n">
        <f aca="false">IF($A4="","",IFERROR(ROUND(($Y4-$X4)*1440,0),""))</f>
        <v>33</v>
      </c>
      <c r="BL4" s="39" t="n">
        <f aca="false">IF($A4="","",IF($AH4="","",-$AH4))</f>
        <v>180</v>
      </c>
      <c r="BM4" s="46" t="n">
        <f aca="false">IF($A4="","",IF($AQ4="","",IF($AP4="",$AQ4,MIN($AP4,$AQ4))))</f>
        <v>11.9667</v>
      </c>
      <c r="BN4" s="46" t="n">
        <f aca="false">IF($A4="","",IF($BM4="","",ROUND(N($AC4)/60,4)))</f>
        <v>0.2</v>
      </c>
      <c r="BO4" s="46" t="n">
        <f aca="false">IF($A4="","",IF(OR($BM4="",$AD4=""),"",ROUND($AD4/60,4)))</f>
        <v>0.2</v>
      </c>
      <c r="BP4" s="46" t="n">
        <f aca="false">IF($A4="","",IF($BM4="","",ROUND(N($AE4)/60,4)))</f>
        <v>0.1667</v>
      </c>
      <c r="BQ4" s="46" t="n">
        <f aca="false">IF($A4="","",IF(OR($BM4="",$AF4=""),"",ROUND($AF4/60,4)))</f>
        <v>0.3833</v>
      </c>
      <c r="BR4" s="39" t="n">
        <f aca="false">IF($A4="","",IF($AC4="","",$AC4-$BD4-$BE4))</f>
        <v>0</v>
      </c>
      <c r="BS4" s="45" t="n">
        <f aca="false">IF($A4="","",IF(AND(ISNUMBER($Z4),ISNUMBER($W4)),$Z4,0))</f>
        <v>46265.4878472222</v>
      </c>
      <c r="BT4" s="45" t="n">
        <f aca="false">IF($A4="","",IF(ISNUMBER($W4),$W4,0))</f>
        <v>46265.5069444445</v>
      </c>
      <c r="BU4" s="23" t="n">
        <f aca="false">IF($A4="","",IF(ISNUMBER($W4),ROUND(($W4-$B4)*24,4),""))</f>
        <v>12.1667</v>
      </c>
      <c r="BV4" s="23" t="n">
        <f aca="false">IF($A4="","",IF(ISNUMBER($X4),ROUND(($X4-$B4)*24,4),""))</f>
        <v>12.3667</v>
      </c>
      <c r="BW4" s="10" t="str">
        <f aca="false">IF($A4="","",IF(NOT(ISNUMBER($W4)),"Missing Calculated",IF(NOT(ISNUMBER($X4)),IF($E4="Client","Missing FA signed off","Missing Controlled"),IF($X4&lt;$W4,"End before start","OK"))))</f>
        <v>OK</v>
      </c>
      <c r="BX4" s="23" t="n">
        <f aca="false">IF($A4="","",IF(NOT(ISNUMBER($Z4)),"",ROUND((IF(ISNUMBER($U4),MIN($U4,$Z4),$Z4)-$B4)*24,4)))</f>
        <v>11.7083</v>
      </c>
      <c r="BY4" s="23" t="n">
        <f aca="false">IF($A4="","",IF(ISNUMBER($Z4),ROUND(($Z4-$B4)*24,4),""))</f>
        <v>11.7083</v>
      </c>
      <c r="BZ4" s="23" t="n">
        <f aca="false">IF($A4="","",IF(AND(ISNUMBER($W4),ISNUMBER($S4)),ROUND(($W4+$S4/1440-$B4)*24,4),""))</f>
        <v>12.4717</v>
      </c>
    </row>
    <row r="5" customFormat="false" ht="15" hidden="false" customHeight="true" outlineLevel="0" collapsed="false">
      <c r="A5" s="34" t="n">
        <v>46264</v>
      </c>
      <c r="B5" s="34" t="n">
        <v>46265</v>
      </c>
      <c r="C5" s="13" t="s">
        <v>330</v>
      </c>
      <c r="D5" s="4" t="n">
        <f aca="false">IF($A5="","",$B5-$A5)</f>
        <v>1</v>
      </c>
      <c r="E5" s="4" t="str">
        <f aca="false">IF($A5="","",IFERROR(VLOOKUP($C5,Dim_Fund!$A:$X,24,0),""))</f>
        <v>Oversight</v>
      </c>
      <c r="F5" s="37" t="n">
        <f aca="false">IF($A5="","",IF(COUNTIFS(Status_Log!$A:$A,$A5,Status_Log!$B:$B,$B5,Status_Log!$C:$C,$C5,Status_Log!$D:$D,"Changed to the status of Calculated")=0,"",_xlfn.MINIFS(Status_Log!$E:$E,Status_Log!$A:$A,$A5,Status_Log!$B:$B,$B5,Status_Log!$C:$C,$C5,Status_Log!$D:$D,"Changed to the status of Calculated")))</f>
        <v>46265.63125</v>
      </c>
      <c r="G5" s="37" t="n">
        <f aca="false">IF($A5="","",IF(COUNTIFS(Status_Log!$A:$A,$A5,Status_Log!$B:$B,$B5,Status_Log!$C:$C,$C5,Status_Log!$D:$D,"Changed to the status of Controlled")=0,"",_xlfn.MAXIFS(Status_Log!$E:$E,Status_Log!$A:$A,$A5,Status_Log!$B:$B,$B5,Status_Log!$C:$C,$C5,Status_Log!$D:$D,"Changed to the status of Controlled")))</f>
        <v>46265.6381944444</v>
      </c>
      <c r="H5" s="37" t="n">
        <f aca="false">IF($A5="","",IF(COUNTIFS(Status_Log!$A:$A,$A5,Status_Log!$B:$B,$B5,Status_Log!$C:$C,$C5,Status_Log!$D:$D,"Changed to the status of Fund accounting signed off")=0,"",_xlfn.MAXIFS(Status_Log!$E:$E,Status_Log!$A:$A,$A5,Status_Log!$B:$B,$B5,Status_Log!$C:$C,$C5,Status_Log!$D:$D,"Changed to the status of Fund accounting signed off")))</f>
        <v>46265.6472222222</v>
      </c>
      <c r="I5" s="37" t="n">
        <f aca="false">IF($A5="","",IF(COUNTIFS(Status_Log!$A:$A,$A5,Status_Log!$B:$B,$B5,Status_Log!$C:$C,$C5,Status_Log!$D:$D,"Changed to the status of signed off")=0,"",_xlfn.MAXIFS(Status_Log!$E:$E,Status_Log!$A:$A,$A5,Status_Log!$B:$B,$B5,Status_Log!$C:$C,$C5,Status_Log!$D:$D,"Changed to the status of signed off")))</f>
        <v>46265.66875</v>
      </c>
      <c r="J5" s="4" t="n">
        <f aca="false">IF($A5="","",COUNTIFS(Status_Log!$A:$A,$A5,Status_Log!$B:$B,$B5,Status_Log!$C:$C,$C5,Status_Log!$D:$D,"Changed to the status of Calculated"))</f>
        <v>1</v>
      </c>
      <c r="K5" s="38" t="n">
        <f aca="false">IF($A5="","",IF(J5&lt;=1,0,ROUND((_xlfn.MAXIFS(Status_Log!$E:$E,Status_Log!$A:$A,$A5,Status_Log!$B:$B,$B5,Status_Log!$C:$C,$C5,Status_Log!$D:$D,"Changed to the status of Calculated")-F5)*1440,0)))</f>
        <v>0</v>
      </c>
      <c r="L5" s="4" t="str">
        <f aca="false">IF($A5="","",IFERROR(INDEX(Status_Log!$F:$F,MATCH($A5&amp;"|"&amp;$B5&amp;"|"&amp;$C5&amp;"|Changed to the status of Calculated|"&amp;TEXT(_xlfn.MAXIFS(Status_Log!$E:$E,Status_Log!$A:$A,$A5,Status_Log!$B:$B,$B5,Status_Log!$C:$C,$C5,Status_Log!$D:$D,"Changed to the status of Calculated"),"0.000000"),Status_Log!$H:$H,0)),""))</f>
        <v>Chen Xiao</v>
      </c>
      <c r="M5" s="4" t="str">
        <f aca="false">IF($A5="","",IF(E5="Client","n/a — no control step",IFERROR(INDEX(Status_Log!$F:$F,MATCH($A5&amp;"|"&amp;$B5&amp;"|"&amp;$C5&amp;"|Changed to the status of Controlled|"&amp;TEXT(_xlfn.MAXIFS(Status_Log!$E:$E,Status_Log!$A:$A,$A5,Status_Log!$B:$B,$B5,Status_Log!$C:$C,$C5,Status_Log!$D:$D,"Changed to the status of Controlled"),"0.000000"),Status_Log!$H:$H,0)),"")))</f>
        <v>Raj Kumar</v>
      </c>
      <c r="N5" s="4" t="str">
        <f aca="false">IF($A5="","",IFERROR(VLOOKUP($C5,Dim_Fund!$A:$G,7,0),""))</f>
        <v>Chen Xiao</v>
      </c>
      <c r="O5" s="4" t="str">
        <f aca="false">IF($A5="","",IF(L5=N5,"No","Yes"))</f>
        <v>No</v>
      </c>
      <c r="P5" s="4" t="str">
        <f aca="false">IF($A5="","",IF(E5="Client","n/a",IF(L5=M5,"YES — four-eyes breach","No")))</f>
        <v>No</v>
      </c>
      <c r="Q5" s="38" t="n">
        <f aca="false">IF($A5="","",IFERROR(VLOOKUP($C5,Dim_Fund!$A:$AB,28,0),""))</f>
        <v>46.3</v>
      </c>
      <c r="R5" s="38" t="n">
        <f aca="false">IF($A5="","",IFERROR(VLOOKUP($C5,Dim_Fund!$A:$AC,29,0),""))</f>
        <v>27.8</v>
      </c>
      <c r="S5" s="38" t="n">
        <f aca="false">IF($A5="","",IFERROR(VLOOKUP($C5,Dim_Fund!$A:$AD,30,0),""))</f>
        <v>18.5</v>
      </c>
      <c r="T5" s="38" t="n">
        <f aca="false">IF($A5="","",IFERROR(VLOOKUP($C5,Dim_Fund!$A:$AL,38,0),""))</f>
        <v>25</v>
      </c>
      <c r="U5" s="37" t="n">
        <f aca="false">IF($A5="","",IF(AL5="","",IFERROR(IF(COUNTIFS(Fact_Milestone!$A:$A,$B5,Fact_Milestone!$B:$B,AL5)=0,"",_xlfn.MAXIFS(Fact_Milestone!$C:$C,Fact_Milestone!$A:$A,$B5,Fact_Milestone!$B:$B,AL5)),"")))</f>
        <v>46265.4715277778</v>
      </c>
      <c r="V5" s="37" t="n">
        <f aca="false">IF($A5="","",IFERROR(IF(VLOOKUP($C5,Dim_Fund!$A:$AI,35,0)&gt;0,$B5+VLOOKUP($C5,Dim_Fund!$A:$AI,35,0)/24,""),""))</f>
        <v>46265.7069444444</v>
      </c>
      <c r="W5" s="37" t="n">
        <f aca="false">IF($A5="","",F5)</f>
        <v>46265.63125</v>
      </c>
      <c r="X5" s="37" t="n">
        <f aca="false">IF($A5="","",IF(E5="Client",H5,G5))</f>
        <v>46265.6381944444</v>
      </c>
      <c r="Y5" s="37" t="n">
        <f aca="false">IF($A5="","",I5)</f>
        <v>46265.66875</v>
      </c>
      <c r="Z5" s="37" t="n">
        <f aca="false">IF($A5="","",IFERROR(W5-R5/1440,""))</f>
        <v>46265.6119444444</v>
      </c>
      <c r="AA5" s="38" t="n">
        <f aca="false">IF($A5="","",IF(OR(U5="",V5=""),"",ROUND((V5-U5)*1440,0)))</f>
        <v>339</v>
      </c>
      <c r="AB5" s="38" t="n">
        <f aca="false">IF($A5="","",IF(U5="","",ROUND((W5-U5)*1440,0)))</f>
        <v>230</v>
      </c>
      <c r="AC5" s="38" t="n">
        <f aca="false">IF($A5="","",IF(AB5="","",MAX(0,AB5)))</f>
        <v>230</v>
      </c>
      <c r="AD5" s="38" t="n">
        <f aca="false">IF($A5="","",IFERROR(ROUND((X5-W5)*1440,0),""))</f>
        <v>10</v>
      </c>
      <c r="AE5" s="38" t="n">
        <f aca="false">IF($A5="","",IF(E5="Client","n/a",IFERROR(ROUND((H5-G5)*1440,0),"")))</f>
        <v>13</v>
      </c>
      <c r="AF5" s="38" t="n">
        <f aca="false">IF($A5="","",IFERROR(ROUND((Y5-H5)*1440,0),""))</f>
        <v>31</v>
      </c>
      <c r="AG5" s="38" t="n">
        <f aca="false">IF($A5="","",IFERROR(ROUND((H5-F5)*1440,0),""))</f>
        <v>23</v>
      </c>
      <c r="AH5" s="38" t="n">
        <f aca="false">IF($A5="","",IFERROR(ROUND((Y5-V5)*1440,0),""))</f>
        <v>-55</v>
      </c>
      <c r="AI5" s="4" t="str">
        <f aca="false">IF($A5="","",IF(AH5="","",IF(AH5&gt;0,"Yes","No")))</f>
        <v>No</v>
      </c>
      <c r="AJ5" s="4" t="str">
        <f aca="false">IF($A5="","",IF(AI5&lt;&gt;"Yes","On time",IF(N(AC5)&gt;=MAX(N(AF5),N(K5)),"Wait for analyst",IF(N(AF5)&gt;=N(K5),"External sign-off","Rework"))))</f>
        <v>On time</v>
      </c>
      <c r="AK5" s="4" t="str">
        <f aca="false">IF($A5="","",IF(OR(F5="",Y5="",ISNA(MATCH(L5,Dim_Analyst!$A:$A,0))),"CHECK","OK"))</f>
        <v>OK</v>
      </c>
      <c r="AL5" s="4" t="str">
        <f aca="false">IF($A5="","",IFERROR(VLOOKUP($C5,Dim_Fund!$A:$U,21,0),""))</f>
        <v>TOP-ALT</v>
      </c>
      <c r="AM5" s="4" t="str">
        <f aca="false">IF($A5="","",IF($U5="","",IF($U5&gt;$B5+IFERROR(VLOOKUP($C5,Dim_Fund!$A:$AH,34,0),0)/24,"Yes","No")))</f>
        <v>No</v>
      </c>
      <c r="AN5" s="22" t="n">
        <f aca="false">IF($A5="","",IFERROR(VLOOKUP($C5,Dim_Fund!$A:$AH,34,0),""))</f>
        <v>12.6666666666667</v>
      </c>
      <c r="AO5" s="22" t="n">
        <f aca="false">IF($A5="","",IF($AL5="","",IFERROR(FLOOR(IF(COUNTIFS(Fact_Milestone!$A:$A,$B5,Fact_Milestone!$B:$B,$AL5,Fact_Milestone!$F:$F,"&gt;0")&gt;0,_xlfn.MINIFS(Fact_Milestone!$F:$F,Fact_Milestone!$A:$A,$B5,Fact_Milestone!$B:$B,$AL5,Fact_Milestone!$F:$F,"&gt;0"),VLOOKUP($AL5,Dim_TOP!$A:$E,5,0)),0.5),"")))</f>
        <v>11.5</v>
      </c>
      <c r="AP5" s="22" t="n">
        <f aca="false">IF($A5="","",IF($U5="","",ROUND(($U5-INT($U5))*24,4)))</f>
        <v>11.3167</v>
      </c>
      <c r="AQ5" s="22" t="n">
        <f aca="false">IF($A5="","",IF($W5="","",ROUND(($W5-INT($W5))*24,4)))</f>
        <v>15.15</v>
      </c>
      <c r="AR5" s="22" t="n">
        <f aca="false">IF($A5="","",IF($X5="","",ROUND(($X5-INT($X5))*24,4)))</f>
        <v>15.3167</v>
      </c>
      <c r="AS5" s="38" t="n">
        <f aca="false">IF($A5="","",IF(OR($AN5="",$V5="",$S5="",$T5=""),"",ROUND(($V5-($B5+$AN5/24))*1440-$S5-$T5,0)))</f>
        <v>215</v>
      </c>
      <c r="AT5" s="38" t="n">
        <f aca="false">IF($A5="","",IF(OR($AN5="",$U5=""),"",ROUND(($U5-($B5+$AN5/24))*1440,0)))</f>
        <v>-81</v>
      </c>
      <c r="AU5" s="38" t="n">
        <f aca="false">IF($A5="","",IF(OR($AD5="",$S5=""),"",ROUND($AD5-$S5,0)))</f>
        <v>-9</v>
      </c>
      <c r="AV5" s="38" t="n">
        <f aca="false">IF($A5="","",N($AE5))</f>
        <v>13</v>
      </c>
      <c r="AW5" s="38" t="n">
        <f aca="false">IF($A5="","",IF(OR($AF5="",$T5=""),"",$AF5-$T5))</f>
        <v>6</v>
      </c>
      <c r="AX5" s="38" t="n">
        <f aca="false">IF($A5="","",IF(COUNT($AT5,$AB5,$AU5,$AW5,$AS5,$AH5)&lt;6,"",ROUND($AT5+$AB5+$AU5+$AV5+$AW5-$AS5-$AH5,0)))</f>
        <v>-1</v>
      </c>
      <c r="AY5" s="4" t="str">
        <f aca="false">IF($A5="","",IF($AX5="","No",IF(ABS($AX5)&lt;=2,"Yes","No")))</f>
        <v>Yes</v>
      </c>
      <c r="AZ5" s="4" t="str">
        <f aca="false">IF($A5="","",IF($AI5&lt;&gt;"Yes","n/a",IF(OR($AA5="",$S5="",$T5=""),"Unknown",IF($AA5&lt;$S5+$T5,"Lost on arrival","Lost after arrival"))))</f>
        <v>n/a</v>
      </c>
      <c r="BA5" s="10" t="str">
        <f aca="false">IF($A5="","",IFERROR(VLOOKUP($C5,Dim_Fund!$A:$D,4,0),""))</f>
        <v>Meridian Pensions</v>
      </c>
      <c r="BB5" s="10" t="str">
        <f aca="false">IF($A5="","",IF($AL5="","",IF(COUNTIFS(Fact_Milestone!$A:$A,$B5,Fact_Milestone!$B:$B,$AL5,Fact_Milestone!$I:$I,"No")&gt;0,"No",IF(COUNTIFS(Fact_Milestone!$A:$A,$B5,Fact_Milestone!$B:$B,$AL5,Fact_Milestone!$I:$I,"Yes")&gt;0,"Yes",""))))</f>
        <v>Yes</v>
      </c>
      <c r="BC5" s="45" t="n">
        <f aca="false">IF($A5="","",IF(OR($L5="",$W5=""),"",IF(COUNTIFS($L:$L,$L5,$B:$B,$B5,$W:$W,"&lt;"&amp;$W5)=0,"",_xlfn.MAXIFS($W:$W,$L:$L,$L5,$B:$B,$B5,$W:$W,"&lt;"&amp;$W5))))</f>
        <v>46265.5069444445</v>
      </c>
      <c r="BD5" s="39" t="n">
        <f aca="false">IF($A5="","",IF($AC5="","",IF(OR($L5="",$AC5=0),0,MIN($AC5,ROUND(ROUND(1440*SUMPRODUCT(($L$2:INDEX($L:$L,COUNTA($C:$C))=$L5)*($B$2:INDEX($B:$B,COUNTA($C:$C))=$B5)*(ROW($L$2:INDEX($L:$L,COUNTA($C:$C)))&lt;&gt;ROW())*((((($W5+$BT$2:INDEX($BT:$BT,COUNTA($C:$C))-ABS($W5-$BT$2:INDEX($BT:$BT,COUNTA($C:$C))))/2)-(($U5+$BS$2:INDEX($BS:$BS,COUNTA($C:$C))+ABS($U5-$BS$2:INDEX($BS:$BS,COUNTA($C:$C))))/2))+ABS(((($W5+$BT$2:INDEX($BT:$BT,COUNTA($C:$C))-ABS($W5-$BT$2:INDEX($BT:$BT,COUNTA($C:$C))))/2)-(($U5+$BS$2:INDEX($BS:$BS,COUNTA($C:$C))+ABS($U5-$BS$2:INDEX($BS:$BS,COUNTA($C:$C))))/2))))/2)),4),0)))))</f>
        <v>28</v>
      </c>
      <c r="BE5" s="39" t="n">
        <f aca="false">IF($A5="","",IF($AC5="","",ROUND(MIN($AC5-$BD5,N($R5)),0)))</f>
        <v>28</v>
      </c>
      <c r="BF5" s="10" t="str">
        <f aca="false">IF($A5="","",IFERROR(VLOOKUP($C5,Dim_Fund!$A:$BD,56,0),""))</f>
        <v>Yes</v>
      </c>
      <c r="BG5" s="10" t="str">
        <f aca="false">IF($A5="","",IFERROR(VLOOKUP($C5,Dim_Fund!$A:$BH,60,0),""))</f>
        <v>Ample custody slack</v>
      </c>
      <c r="BH5" s="10" t="str">
        <f aca="false">IF($A5="","",IF($AI5&lt;&gt;"Yes","Not breached",IF($AM5="Yes","Pricing late",IF($BG5="Thin custody slack","Thin custody slack",IF($BF5="Yes","Broker-dependent","None of these")))))</f>
        <v>Not breached</v>
      </c>
      <c r="BI5" s="23" t="n">
        <f aca="false">IF($A5="","",IFERROR(IF(VLOOKUP($C5,Dim_Fund!$A:$AI,35,0)&gt;0,VLOOKUP($C5,Dim_Fund!$A:$AI,35,0),""),""))</f>
        <v>16.9666666666667</v>
      </c>
      <c r="BJ5" s="10" t="str">
        <f aca="false">IF($A5="","",$C5&amp;IF($E5="Client","*",""))</f>
        <v>FD-1004</v>
      </c>
      <c r="BK5" s="39" t="n">
        <f aca="false">IF($A5="","",IFERROR(ROUND(($Y5-$X5)*1440,0),""))</f>
        <v>44</v>
      </c>
      <c r="BL5" s="39" t="n">
        <f aca="false">IF($A5="","",IF($AH5="","",-$AH5))</f>
        <v>55</v>
      </c>
      <c r="BM5" s="46" t="n">
        <f aca="false">IF($A5="","",IF($AQ5="","",IF($AP5="",$AQ5,MIN($AP5,$AQ5))))</f>
        <v>11.3167</v>
      </c>
      <c r="BN5" s="46" t="n">
        <f aca="false">IF($A5="","",IF($BM5="","",ROUND(N($AC5)/60,4)))</f>
        <v>3.8333</v>
      </c>
      <c r="BO5" s="46" t="n">
        <f aca="false">IF($A5="","",IF(OR($BM5="",$AD5=""),"",ROUND($AD5/60,4)))</f>
        <v>0.1667</v>
      </c>
      <c r="BP5" s="46" t="n">
        <f aca="false">IF($A5="","",IF($BM5="","",ROUND(N($AE5)/60,4)))</f>
        <v>0.2167</v>
      </c>
      <c r="BQ5" s="46" t="n">
        <f aca="false">IF($A5="","",IF(OR($BM5="",$AF5=""),"",ROUND($AF5/60,4)))</f>
        <v>0.5167</v>
      </c>
      <c r="BR5" s="39" t="n">
        <f aca="false">IF($A5="","",IF($AC5="","",$AC5-$BD5-$BE5))</f>
        <v>174</v>
      </c>
      <c r="BS5" s="45" t="n">
        <f aca="false">IF($A5="","",IF(AND(ISNUMBER($Z5),ISNUMBER($W5)),$Z5,0))</f>
        <v>46265.6119444444</v>
      </c>
      <c r="BT5" s="45" t="n">
        <f aca="false">IF($A5="","",IF(ISNUMBER($W5),$W5,0))</f>
        <v>46265.63125</v>
      </c>
      <c r="BU5" s="23" t="n">
        <f aca="false">IF($A5="","",IF(ISNUMBER($W5),ROUND(($W5-$B5)*24,4),""))</f>
        <v>15.15</v>
      </c>
      <c r="BV5" s="23" t="n">
        <f aca="false">IF($A5="","",IF(ISNUMBER($X5),ROUND(($X5-$B5)*24,4),""))</f>
        <v>15.3167</v>
      </c>
      <c r="BW5" s="10" t="str">
        <f aca="false">IF($A5="","",IF(NOT(ISNUMBER($W5)),"Missing Calculated",IF(NOT(ISNUMBER($X5)),IF($E5="Client","Missing FA signed off","Missing Controlled"),IF($X5&lt;$W5,"End before start","OK"))))</f>
        <v>OK</v>
      </c>
      <c r="BX5" s="23" t="n">
        <f aca="false">IF($A5="","",IF(NOT(ISNUMBER($Z5)),"",ROUND((IF(ISNUMBER($U5),MIN($U5,$Z5),$Z5)-$B5)*24,4)))</f>
        <v>11.3167</v>
      </c>
      <c r="BY5" s="23" t="n">
        <f aca="false">IF($A5="","",IF(ISNUMBER($Z5),ROUND(($Z5-$B5)*24,4),""))</f>
        <v>14.6867</v>
      </c>
      <c r="BZ5" s="23" t="n">
        <f aca="false">IF($A5="","",IF(AND(ISNUMBER($W5),ISNUMBER($S5)),ROUND(($W5+$S5/1440-$B5)*24,4),""))</f>
        <v>15.4583</v>
      </c>
    </row>
    <row r="6" customFormat="false" ht="15" hidden="false" customHeight="true" outlineLevel="0" collapsed="false">
      <c r="A6" s="34" t="n">
        <v>46264</v>
      </c>
      <c r="B6" s="34" t="n">
        <v>46265</v>
      </c>
      <c r="C6" s="13" t="s">
        <v>334</v>
      </c>
      <c r="D6" s="4" t="n">
        <f aca="false">IF($A6="","",$B6-$A6)</f>
        <v>1</v>
      </c>
      <c r="E6" s="4" t="str">
        <f aca="false">IF($A6="","",IFERROR(VLOOKUP($C6,Dim_Fund!$A:$X,24,0),""))</f>
        <v>Client</v>
      </c>
      <c r="F6" s="37" t="n">
        <f aca="false">IF($A6="","",IF(COUNTIFS(Status_Log!$A:$A,$A6,Status_Log!$B:$B,$B6,Status_Log!$C:$C,$C6,Status_Log!$D:$D,"Changed to the status of Calculated")=0,"",_xlfn.MINIFS(Status_Log!$E:$E,Status_Log!$A:$A,$A6,Status_Log!$B:$B,$B6,Status_Log!$C:$C,$C6,Status_Log!$D:$D,"Changed to the status of Calculated")))</f>
        <v>46265.6506944444</v>
      </c>
      <c r="G6" s="37" t="str">
        <f aca="false">IF($A6="","",IF(COUNTIFS(Status_Log!$A:$A,$A6,Status_Log!$B:$B,$B6,Status_Log!$C:$C,$C6,Status_Log!$D:$D,"Changed to the status of Controlled")=0,"",_xlfn.MAXIFS(Status_Log!$E:$E,Status_Log!$A:$A,$A6,Status_Log!$B:$B,$B6,Status_Log!$C:$C,$C6,Status_Log!$D:$D,"Changed to the status of Controlled")))</f>
        <v/>
      </c>
      <c r="H6" s="37" t="n">
        <f aca="false">IF($A6="","",IF(COUNTIFS(Status_Log!$A:$A,$A6,Status_Log!$B:$B,$B6,Status_Log!$C:$C,$C6,Status_Log!$D:$D,"Changed to the status of Fund accounting signed off")=0,"",_xlfn.MAXIFS(Status_Log!$E:$E,Status_Log!$A:$A,$A6,Status_Log!$B:$B,$B6,Status_Log!$C:$C,$C6,Status_Log!$D:$D,"Changed to the status of Fund accounting signed off")))</f>
        <v>46265.66875</v>
      </c>
      <c r="I6" s="37" t="n">
        <f aca="false">IF($A6="","",IF(COUNTIFS(Status_Log!$A:$A,$A6,Status_Log!$B:$B,$B6,Status_Log!$C:$C,$C6,Status_Log!$D:$D,"Changed to the status of signed off")=0,"",_xlfn.MAXIFS(Status_Log!$E:$E,Status_Log!$A:$A,$A6,Status_Log!$B:$B,$B6,Status_Log!$C:$C,$C6,Status_Log!$D:$D,"Changed to the status of signed off")))</f>
        <v>46265.7208333333</v>
      </c>
      <c r="J6" s="4" t="n">
        <f aca="false">IF($A6="","",COUNTIFS(Status_Log!$A:$A,$A6,Status_Log!$B:$B,$B6,Status_Log!$C:$C,$C6,Status_Log!$D:$D,"Changed to the status of Calculated"))</f>
        <v>1</v>
      </c>
      <c r="K6" s="38" t="n">
        <f aca="false">IF($A6="","",IF(J6&lt;=1,0,ROUND((_xlfn.MAXIFS(Status_Log!$E:$E,Status_Log!$A:$A,$A6,Status_Log!$B:$B,$B6,Status_Log!$C:$C,$C6,Status_Log!$D:$D,"Changed to the status of Calculated")-F6)*1440,0)))</f>
        <v>0</v>
      </c>
      <c r="L6" s="4" t="str">
        <f aca="false">IF($A6="","",IFERROR(INDEX(Status_Log!$F:$F,MATCH($A6&amp;"|"&amp;$B6&amp;"|"&amp;$C6&amp;"|Changed to the status of Calculated|"&amp;TEXT(_xlfn.MAXIFS(Status_Log!$E:$E,Status_Log!$A:$A,$A6,Status_Log!$B:$B,$B6,Status_Log!$C:$C,$C6,Status_Log!$D:$D,"Changed to the status of Calculated"),"0.000000"),Status_Log!$H:$H,0)),""))</f>
        <v>Lim Wei Ming</v>
      </c>
      <c r="M6" s="4" t="str">
        <f aca="false">IF($A6="","",IF(E6="Client","n/a — no control step",IFERROR(INDEX(Status_Log!$F:$F,MATCH($A6&amp;"|"&amp;$B6&amp;"|"&amp;$C6&amp;"|Changed to the status of Controlled|"&amp;TEXT(_xlfn.MAXIFS(Status_Log!$E:$E,Status_Log!$A:$A,$A6,Status_Log!$B:$B,$B6,Status_Log!$C:$C,$C6,Status_Log!$D:$D,"Changed to the status of Controlled"),"0.000000"),Status_Log!$H:$H,0)),"")))</f>
        <v>n/a — no control step</v>
      </c>
      <c r="N6" s="4" t="str">
        <f aca="false">IF($A6="","",IFERROR(VLOOKUP($C6,Dim_Fund!$A:$G,7,0),""))</f>
        <v>Aisha Rahman</v>
      </c>
      <c r="O6" s="4" t="str">
        <f aca="false">IF($A6="","",IF(L6=N6,"No","Yes"))</f>
        <v>Yes</v>
      </c>
      <c r="P6" s="4" t="str">
        <f aca="false">IF($A6="","",IF(E6="Client","n/a",IF(L6=M6,"YES — four-eyes breach","No")))</f>
        <v>n/a</v>
      </c>
      <c r="Q6" s="38" t="n">
        <f aca="false">IF($A6="","",IFERROR(VLOOKUP($C6,Dim_Fund!$A:$AB,28,0),""))</f>
        <v>35.3</v>
      </c>
      <c r="R6" s="38" t="n">
        <f aca="false">IF($A6="","",IFERROR(VLOOKUP($C6,Dim_Fund!$A:$AC,29,0),""))</f>
        <v>22.9</v>
      </c>
      <c r="S6" s="38" t="n">
        <f aca="false">IF($A6="","",IFERROR(VLOOKUP($C6,Dim_Fund!$A:$AD,30,0),""))</f>
        <v>12.4</v>
      </c>
      <c r="T6" s="38" t="n">
        <f aca="false">IF($A6="","",IFERROR(VLOOKUP($C6,Dim_Fund!$A:$AL,38,0),""))</f>
        <v>46</v>
      </c>
      <c r="U6" s="37" t="n">
        <f aca="false">IF($A6="","",IF(AL6="","",IFERROR(IF(COUNTIFS(Fact_Milestone!$A:$A,$B6,Fact_Milestone!$B:$B,AL6)=0,"",_xlfn.MAXIFS(Fact_Milestone!$C:$C,Fact_Milestone!$A:$A,$B6,Fact_Milestone!$B:$B,AL6)),"")))</f>
        <v>46265.4604166667</v>
      </c>
      <c r="V6" s="37" t="n">
        <f aca="false">IF($A6="","",IFERROR(IF(VLOOKUP($C6,Dim_Fund!$A:$AI,35,0)&gt;0,$B6+VLOOKUP($C6,Dim_Fund!$A:$AI,35,0)/24,""),""))</f>
        <v>46265.6833333333</v>
      </c>
      <c r="W6" s="37" t="n">
        <f aca="false">IF($A6="","",F6)</f>
        <v>46265.6506944444</v>
      </c>
      <c r="X6" s="37" t="n">
        <f aca="false">IF($A6="","",IF(E6="Client",H6,G6))</f>
        <v>46265.66875</v>
      </c>
      <c r="Y6" s="37" t="n">
        <f aca="false">IF($A6="","",I6)</f>
        <v>46265.7208333333</v>
      </c>
      <c r="Z6" s="37" t="n">
        <f aca="false">IF($A6="","",IFERROR(W6-R6/1440,""))</f>
        <v>46265.6347916667</v>
      </c>
      <c r="AA6" s="38" t="n">
        <f aca="false">IF($A6="","",IF(OR(U6="",V6=""),"",ROUND((V6-U6)*1440,0)))</f>
        <v>321</v>
      </c>
      <c r="AB6" s="38" t="n">
        <f aca="false">IF($A6="","",IF(U6="","",ROUND((W6-U6)*1440,0)))</f>
        <v>274</v>
      </c>
      <c r="AC6" s="38" t="n">
        <f aca="false">IF($A6="","",IF(AB6="","",MAX(0,AB6)))</f>
        <v>274</v>
      </c>
      <c r="AD6" s="38" t="n">
        <f aca="false">IF($A6="","",IFERROR(ROUND((X6-W6)*1440,0),""))</f>
        <v>26</v>
      </c>
      <c r="AE6" s="38" t="str">
        <f aca="false">IF($A6="","",IF(E6="Client","n/a",IFERROR(ROUND((H6-G6)*1440,0),"")))</f>
        <v>n/a</v>
      </c>
      <c r="AF6" s="38" t="n">
        <f aca="false">IF($A6="","",IFERROR(ROUND((Y6-H6)*1440,0),""))</f>
        <v>75</v>
      </c>
      <c r="AG6" s="38" t="n">
        <f aca="false">IF($A6="","",IFERROR(ROUND((H6-F6)*1440,0),""))</f>
        <v>26</v>
      </c>
      <c r="AH6" s="38" t="n">
        <f aca="false">IF($A6="","",IFERROR(ROUND((Y6-V6)*1440,0),""))</f>
        <v>54</v>
      </c>
      <c r="AI6" s="4" t="str">
        <f aca="false">IF($A6="","",IF(AH6="","",IF(AH6&gt;0,"Yes","No")))</f>
        <v>Yes</v>
      </c>
      <c r="AJ6" s="4" t="str">
        <f aca="false">IF($A6="","",IF(AI6&lt;&gt;"Yes","On time",IF(N(AC6)&gt;=MAX(N(AF6),N(K6)),"Wait for analyst",IF(N(AF6)&gt;=N(K6),"External sign-off","Rework"))))</f>
        <v>Wait for analyst</v>
      </c>
      <c r="AK6" s="4" t="str">
        <f aca="false">IF($A6="","",IF(OR(F6="",Y6="",ISNA(MATCH(L6,Dim_Analyst!$A:$A,0))),"CHECK","OK"))</f>
        <v>OK</v>
      </c>
      <c r="AL6" s="4" t="str">
        <f aca="false">IF($A6="","",IFERROR(VLOOKUP($C6,Dim_Fund!$A:$U,21,0),""))</f>
        <v>TOP-EQ1</v>
      </c>
      <c r="AM6" s="4" t="str">
        <f aca="false">IF($A6="","",IF($U6="","",IF($U6&gt;$B6+IFERROR(VLOOKUP($C6,Dim_Fund!$A:$AH,34,0),0)/24,"Yes","No")))</f>
        <v>No</v>
      </c>
      <c r="AN6" s="22" t="n">
        <f aca="false">IF($A6="","",IFERROR(VLOOKUP($C6,Dim_Fund!$A:$AH,34,0),""))</f>
        <v>13.0166666666667</v>
      </c>
      <c r="AO6" s="22" t="n">
        <f aca="false">IF($A6="","",IF($AL6="","",IFERROR(FLOOR(IF(COUNTIFS(Fact_Milestone!$A:$A,$B6,Fact_Milestone!$B:$B,$AL6,Fact_Milestone!$F:$F,"&gt;0")&gt;0,_xlfn.MINIFS(Fact_Milestone!$F:$F,Fact_Milestone!$A:$A,$B6,Fact_Milestone!$B:$B,$AL6,Fact_Milestone!$F:$F,"&gt;0"),VLOOKUP($AL6,Dim_TOP!$A:$E,5,0)),0.5),"")))</f>
        <v>12</v>
      </c>
      <c r="AP6" s="22" t="n">
        <f aca="false">IF($A6="","",IF($U6="","",ROUND(($U6-INT($U6))*24,4)))</f>
        <v>11.05</v>
      </c>
      <c r="AQ6" s="22" t="n">
        <f aca="false">IF($A6="","",IF($W6="","",ROUND(($W6-INT($W6))*24,4)))</f>
        <v>15.6167</v>
      </c>
      <c r="AR6" s="22" t="n">
        <f aca="false">IF($A6="","",IF($X6="","",ROUND(($X6-INT($X6))*24,4)))</f>
        <v>16.05</v>
      </c>
      <c r="AS6" s="38" t="n">
        <f aca="false">IF($A6="","",IF(OR($AN6="",$V6="",$S6="",$T6=""),"",ROUND(($V6-($B6+$AN6/24))*1440-$S6-$T6,0)))</f>
        <v>145</v>
      </c>
      <c r="AT6" s="38" t="n">
        <f aca="false">IF($A6="","",IF(OR($AN6="",$U6=""),"",ROUND(($U6-($B6+$AN6/24))*1440,0)))</f>
        <v>-118</v>
      </c>
      <c r="AU6" s="38" t="n">
        <f aca="false">IF($A6="","",IF(OR($AD6="",$S6=""),"",ROUND($AD6-$S6,0)))</f>
        <v>14</v>
      </c>
      <c r="AV6" s="38" t="n">
        <f aca="false">IF($A6="","",N($AE6))</f>
        <v>0</v>
      </c>
      <c r="AW6" s="38" t="n">
        <f aca="false">IF($A6="","",IF(OR($AF6="",$T6=""),"",$AF6-$T6))</f>
        <v>29</v>
      </c>
      <c r="AX6" s="38" t="n">
        <f aca="false">IF($A6="","",IF(COUNT($AT6,$AB6,$AU6,$AW6,$AS6,$AH6)&lt;6,"",ROUND($AT6+$AB6+$AU6+$AV6+$AW6-$AS6-$AH6,0)))</f>
        <v>0</v>
      </c>
      <c r="AY6" s="4" t="str">
        <f aca="false">IF($A6="","",IF($AX6="","No",IF(ABS($AX6)&lt;=2,"Yes","No")))</f>
        <v>Yes</v>
      </c>
      <c r="AZ6" s="4" t="str">
        <f aca="false">IF($A6="","",IF($AI6&lt;&gt;"Yes","n/a",IF(OR($AA6="",$S6="",$T6=""),"Unknown",IF($AA6&lt;$S6+$T6,"Lost on arrival","Lost after arrival"))))</f>
        <v>Lost after arrival</v>
      </c>
      <c r="BA6" s="10" t="str">
        <f aca="false">IF($A6="","",IFERROR(VLOOKUP($C6,Dim_Fund!$A:$D,4,0),""))</f>
        <v>Northgate Insurance</v>
      </c>
      <c r="BB6" s="10" t="str">
        <f aca="false">IF($A6="","",IF($AL6="","",IF(COUNTIFS(Fact_Milestone!$A:$A,$B6,Fact_Milestone!$B:$B,$AL6,Fact_Milestone!$I:$I,"No")&gt;0,"No",IF(COUNTIFS(Fact_Milestone!$A:$A,$B6,Fact_Milestone!$B:$B,$AL6,Fact_Milestone!$I:$I,"Yes")&gt;0,"Yes",""))))</f>
        <v>Yes</v>
      </c>
      <c r="BC6" s="45" t="n">
        <f aca="false">IF($A6="","",IF(OR($L6="",$W6=""),"",IF(COUNTIFS($L:$L,$L6,$B:$B,$B6,$W:$W,"&lt;"&amp;$W6)=0,"",_xlfn.MAXIFS($W:$W,$L:$L,$L6,$B:$B,$B6,$W:$W,"&lt;"&amp;$W6))))</f>
        <v>46265.6402777778</v>
      </c>
      <c r="BD6" s="39" t="n">
        <f aca="false">IF($A6="","",IF($AC6="","",IF(OR($L6="",$AC6=0),0,MIN($AC6,ROUND(ROUND(1440*SUMPRODUCT(($L$2:INDEX($L:$L,COUNTA($C:$C))=$L6)*($B$2:INDEX($B:$B,COUNTA($C:$C))=$B6)*(ROW($L$2:INDEX($L:$L,COUNTA($C:$C)))&lt;&gt;ROW())*((((($W6+$BT$2:INDEX($BT:$BT,COUNTA($C:$C))-ABS($W6-$BT$2:INDEX($BT:$BT,COUNTA($C:$C))))/2)-(($U6+$BS$2:INDEX($BS:$BS,COUNTA($C:$C))+ABS($U6-$BS$2:INDEX($BS:$BS,COUNTA($C:$C))))/2))+ABS(((($W6+$BT$2:INDEX($BT:$BT,COUNTA($C:$C))-ABS($W6-$BT$2:INDEX($BT:$BT,COUNTA($C:$C))))/2)-(($U6+$BS$2:INDEX($BS:$BS,COUNTA($C:$C))+ABS($U6-$BS$2:INDEX($BS:$BS,COUNTA($C:$C))))/2))))/2)),4),0)))))</f>
        <v>49</v>
      </c>
      <c r="BE6" s="39" t="n">
        <f aca="false">IF($A6="","",IF($AC6="","",ROUND(MIN($AC6-$BD6,N($R6)),0)))</f>
        <v>23</v>
      </c>
      <c r="BF6" s="10" t="str">
        <f aca="false">IF($A6="","",IFERROR(VLOOKUP($C6,Dim_Fund!$A:$BD,56,0),""))</f>
        <v>Yes</v>
      </c>
      <c r="BG6" s="10" t="str">
        <f aca="false">IF($A6="","",IFERROR(VLOOKUP($C6,Dim_Fund!$A:$BH,60,0),""))</f>
        <v>Ample custody slack</v>
      </c>
      <c r="BH6" s="10" t="str">
        <f aca="false">IF($A6="","",IF($AI6&lt;&gt;"Yes","Not breached",IF($AM6="Yes","Pricing late",IF($BG6="Thin custody slack","Thin custody slack",IF($BF6="Yes","Broker-dependent","None of these")))))</f>
        <v>Broker-dependent</v>
      </c>
      <c r="BI6" s="23" t="n">
        <f aca="false">IF($A6="","",IFERROR(IF(VLOOKUP($C6,Dim_Fund!$A:$AI,35,0)&gt;0,VLOOKUP($C6,Dim_Fund!$A:$AI,35,0),""),""))</f>
        <v>16.4</v>
      </c>
      <c r="BJ6" s="10" t="str">
        <f aca="false">IF($A6="","",$C6&amp;IF($E6="Client","*",""))</f>
        <v>FD-1005*</v>
      </c>
      <c r="BK6" s="39" t="n">
        <f aca="false">IF($A6="","",IFERROR(ROUND(($Y6-$X6)*1440,0),""))</f>
        <v>75</v>
      </c>
      <c r="BL6" s="39" t="n">
        <f aca="false">IF($A6="","",IF($AH6="","",-$AH6))</f>
        <v>-54</v>
      </c>
      <c r="BM6" s="46" t="n">
        <f aca="false">IF($A6="","",IF($AQ6="","",IF($AP6="",$AQ6,MIN($AP6,$AQ6))))</f>
        <v>11.05</v>
      </c>
      <c r="BN6" s="46" t="n">
        <f aca="false">IF($A6="","",IF($BM6="","",ROUND(N($AC6)/60,4)))</f>
        <v>4.5667</v>
      </c>
      <c r="BO6" s="46" t="n">
        <f aca="false">IF($A6="","",IF(OR($BM6="",$AD6=""),"",ROUND($AD6/60,4)))</f>
        <v>0.4333</v>
      </c>
      <c r="BP6" s="46" t="n">
        <f aca="false">IF($A6="","",IF($BM6="","",ROUND(N($AE6)/60,4)))</f>
        <v>0</v>
      </c>
      <c r="BQ6" s="46" t="n">
        <f aca="false">IF($A6="","",IF(OR($BM6="",$AF6=""),"",ROUND($AF6/60,4)))</f>
        <v>1.25</v>
      </c>
      <c r="BR6" s="39" t="n">
        <f aca="false">IF($A6="","",IF($AC6="","",$AC6-$BD6-$BE6))</f>
        <v>202</v>
      </c>
      <c r="BS6" s="45" t="n">
        <f aca="false">IF($A6="","",IF(AND(ISNUMBER($Z6),ISNUMBER($W6)),$Z6,0))</f>
        <v>46265.6347916667</v>
      </c>
      <c r="BT6" s="45" t="n">
        <f aca="false">IF($A6="","",IF(ISNUMBER($W6),$W6,0))</f>
        <v>46265.6506944444</v>
      </c>
      <c r="BU6" s="23" t="n">
        <f aca="false">IF($A6="","",IF(ISNUMBER($W6),ROUND(($W6-$B6)*24,4),""))</f>
        <v>15.6167</v>
      </c>
      <c r="BV6" s="23" t="n">
        <f aca="false">IF($A6="","",IF(ISNUMBER($X6),ROUND(($X6-$B6)*24,4),""))</f>
        <v>16.05</v>
      </c>
      <c r="BW6" s="10" t="str">
        <f aca="false">IF($A6="","",IF(NOT(ISNUMBER($W6)),"Missing Calculated",IF(NOT(ISNUMBER($X6)),IF($E6="Client","Missing FA signed off","Missing Controlled"),IF($X6&lt;$W6,"End before start","OK"))))</f>
        <v>OK</v>
      </c>
      <c r="BX6" s="23" t="n">
        <f aca="false">IF($A6="","",IF(NOT(ISNUMBER($Z6)),"",ROUND((IF(ISNUMBER($U6),MIN($U6,$Z6),$Z6)-$B6)*24,4)))</f>
        <v>11.05</v>
      </c>
      <c r="BY6" s="23" t="n">
        <f aca="false">IF($A6="","",IF(ISNUMBER($Z6),ROUND(($Z6-$B6)*24,4),""))</f>
        <v>15.235</v>
      </c>
      <c r="BZ6" s="23" t="n">
        <f aca="false">IF($A6="","",IF(AND(ISNUMBER($W6),ISNUMBER($S6)),ROUND(($W6+$S6/1440-$B6)*24,4),""))</f>
        <v>15.8233</v>
      </c>
    </row>
    <row r="7" customFormat="false" ht="15" hidden="false" customHeight="true" outlineLevel="0" collapsed="false">
      <c r="A7" s="34" t="n">
        <v>46264</v>
      </c>
      <c r="B7" s="34" t="n">
        <v>46265</v>
      </c>
      <c r="C7" s="13" t="s">
        <v>337</v>
      </c>
      <c r="D7" s="4" t="n">
        <f aca="false">IF($A7="","",$B7-$A7)</f>
        <v>1</v>
      </c>
      <c r="E7" s="4" t="str">
        <f aca="false">IF($A7="","",IFERROR(VLOOKUP($C7,Dim_Fund!$A:$X,24,0),""))</f>
        <v>FA</v>
      </c>
      <c r="F7" s="37" t="n">
        <f aca="false">IF($A7="","",IF(COUNTIFS(Status_Log!$A:$A,$A7,Status_Log!$B:$B,$B7,Status_Log!$C:$C,$C7,Status_Log!$D:$D,"Changed to the status of Calculated")=0,"",_xlfn.MINIFS(Status_Log!$E:$E,Status_Log!$A:$A,$A7,Status_Log!$B:$B,$B7,Status_Log!$C:$C,$C7,Status_Log!$D:$D,"Changed to the status of Calculated")))</f>
        <v>46265.6215277778</v>
      </c>
      <c r="G7" s="37" t="n">
        <f aca="false">IF($A7="","",IF(COUNTIFS(Status_Log!$A:$A,$A7,Status_Log!$B:$B,$B7,Status_Log!$C:$C,$C7,Status_Log!$D:$D,"Changed to the status of Controlled")=0,"",_xlfn.MAXIFS(Status_Log!$E:$E,Status_Log!$A:$A,$A7,Status_Log!$B:$B,$B7,Status_Log!$C:$C,$C7,Status_Log!$D:$D,"Changed to the status of Controlled")))</f>
        <v>46265.6916666667</v>
      </c>
      <c r="H7" s="37" t="n">
        <f aca="false">IF($A7="","",IF(COUNTIFS(Status_Log!$A:$A,$A7,Status_Log!$B:$B,$B7,Status_Log!$C:$C,$C7,Status_Log!$D:$D,"Changed to the status of Fund accounting signed off")=0,"",_xlfn.MAXIFS(Status_Log!$E:$E,Status_Log!$A:$A,$A7,Status_Log!$B:$B,$B7,Status_Log!$C:$C,$C7,Status_Log!$D:$D,"Changed to the status of Fund accounting signed off")))</f>
        <v>46265.7034722222</v>
      </c>
      <c r="I7" s="37" t="n">
        <f aca="false">IF($A7="","",IF(COUNTIFS(Status_Log!$A:$A,$A7,Status_Log!$B:$B,$B7,Status_Log!$C:$C,$C7,Status_Log!$D:$D,"Changed to the status of signed off")=0,"",_xlfn.MAXIFS(Status_Log!$E:$E,Status_Log!$A:$A,$A7,Status_Log!$B:$B,$B7,Status_Log!$C:$C,$C7,Status_Log!$D:$D,"Changed to the status of signed off")))</f>
        <v>46265.7173611111</v>
      </c>
      <c r="J7" s="4" t="n">
        <f aca="false">IF($A7="","",COUNTIFS(Status_Log!$A:$A,$A7,Status_Log!$B:$B,$B7,Status_Log!$C:$C,$C7,Status_Log!$D:$D,"Changed to the status of Calculated"))</f>
        <v>2</v>
      </c>
      <c r="K7" s="38" t="n">
        <f aca="false">IF($A7="","",IF(J7&lt;=1,0,ROUND((_xlfn.MAXIFS(Status_Log!$E:$E,Status_Log!$A:$A,$A7,Status_Log!$B:$B,$B7,Status_Log!$C:$C,$C7,Status_Log!$D:$D,"Changed to the status of Calculated")-F7)*1440,0)))</f>
        <v>93</v>
      </c>
      <c r="L7" s="4" t="str">
        <f aca="false">IF($A7="","",IFERROR(INDEX(Status_Log!$F:$F,MATCH($A7&amp;"|"&amp;$B7&amp;"|"&amp;$C7&amp;"|Changed to the status of Calculated|"&amp;TEXT(_xlfn.MAXIFS(Status_Log!$E:$E,Status_Log!$A:$A,$A7,Status_Log!$B:$B,$B7,Status_Log!$C:$C,$C7,Status_Log!$D:$D,"Changed to the status of Calculated"),"0.000000"),Status_Log!$H:$H,0)),""))</f>
        <v>Daniel Tan</v>
      </c>
      <c r="M7" s="4" t="str">
        <f aca="false">IF($A7="","",IF(E7="Client","n/a — no control step",IFERROR(INDEX(Status_Log!$F:$F,MATCH($A7&amp;"|"&amp;$B7&amp;"|"&amp;$C7&amp;"|Changed to the status of Controlled|"&amp;TEXT(_xlfn.MAXIFS(Status_Log!$E:$E,Status_Log!$A:$A,$A7,Status_Log!$B:$B,$B7,Status_Log!$C:$C,$C7,Status_Log!$D:$D,"Changed to the status of Controlled"),"0.000000"),Status_Log!$H:$H,0)),"")))</f>
        <v>Raj Kumar</v>
      </c>
      <c r="N7" s="4" t="str">
        <f aca="false">IF($A7="","",IFERROR(VLOOKUP($C7,Dim_Fund!$A:$G,7,0),""))</f>
        <v>Daniel Tan</v>
      </c>
      <c r="O7" s="4" t="str">
        <f aca="false">IF($A7="","",IF(L7=N7,"No","Yes"))</f>
        <v>No</v>
      </c>
      <c r="P7" s="4" t="str">
        <f aca="false">IF($A7="","",IF(E7="Client","n/a",IF(L7=M7,"YES — four-eyes breach","No")))</f>
        <v>No</v>
      </c>
      <c r="Q7" s="38" t="n">
        <f aca="false">IF($A7="","",IFERROR(VLOOKUP($C7,Dim_Fund!$A:$AB,28,0),""))</f>
        <v>25.3</v>
      </c>
      <c r="R7" s="38" t="n">
        <f aca="false">IF($A7="","",IFERROR(VLOOKUP($C7,Dim_Fund!$A:$AC,29,0),""))</f>
        <v>15.2</v>
      </c>
      <c r="S7" s="38" t="n">
        <f aca="false">IF($A7="","",IFERROR(VLOOKUP($C7,Dim_Fund!$A:$AD,30,0),""))</f>
        <v>10.1</v>
      </c>
      <c r="T7" s="38" t="n">
        <f aca="false">IF($A7="","",IFERROR(VLOOKUP($C7,Dim_Fund!$A:$AL,38,0),""))</f>
        <v>0</v>
      </c>
      <c r="U7" s="37" t="n">
        <f aca="false">IF($A7="","",IF(AL7="","",IFERROR(IF(COUNTIFS(Fact_Milestone!$A:$A,$B7,Fact_Milestone!$B:$B,AL7)=0,"",_xlfn.MAXIFS(Fact_Milestone!$C:$C,Fact_Milestone!$A:$A,$B7,Fact_Milestone!$B:$B,AL7)),"")))</f>
        <v>46265.4840277778</v>
      </c>
      <c r="V7" s="37" t="n">
        <f aca="false">IF($A7="","",IFERROR(IF(VLOOKUP($C7,Dim_Fund!$A:$AI,35,0)&gt;0,$B7+VLOOKUP($C7,Dim_Fund!$A:$AI,35,0)/24,""),""))</f>
        <v>46265.7388888889</v>
      </c>
      <c r="W7" s="37" t="n">
        <f aca="false">IF($A7="","",F7)</f>
        <v>46265.6215277778</v>
      </c>
      <c r="X7" s="37" t="n">
        <f aca="false">IF($A7="","",IF(E7="Client",H7,G7))</f>
        <v>46265.6916666667</v>
      </c>
      <c r="Y7" s="37" t="n">
        <f aca="false">IF($A7="","",I7)</f>
        <v>46265.7173611111</v>
      </c>
      <c r="Z7" s="37" t="n">
        <f aca="false">IF($A7="","",IFERROR(W7-R7/1440,""))</f>
        <v>46265.6109722222</v>
      </c>
      <c r="AA7" s="38" t="n">
        <f aca="false">IF($A7="","",IF(OR(U7="",V7=""),"",ROUND((V7-U7)*1440,0)))</f>
        <v>367</v>
      </c>
      <c r="AB7" s="38" t="n">
        <f aca="false">IF($A7="","",IF(U7="","",ROUND((W7-U7)*1440,0)))</f>
        <v>198</v>
      </c>
      <c r="AC7" s="38" t="n">
        <f aca="false">IF($A7="","",IF(AB7="","",MAX(0,AB7)))</f>
        <v>198</v>
      </c>
      <c r="AD7" s="38" t="n">
        <f aca="false">IF($A7="","",IFERROR(ROUND((X7-W7)*1440,0),""))</f>
        <v>101</v>
      </c>
      <c r="AE7" s="38" t="n">
        <f aca="false">IF($A7="","",IF(E7="Client","n/a",IFERROR(ROUND((H7-G7)*1440,0),"")))</f>
        <v>17</v>
      </c>
      <c r="AF7" s="38" t="n">
        <f aca="false">IF($A7="","",IFERROR(ROUND((Y7-H7)*1440,0),""))</f>
        <v>20</v>
      </c>
      <c r="AG7" s="38" t="n">
        <f aca="false">IF($A7="","",IFERROR(ROUND((H7-F7)*1440,0),""))</f>
        <v>118</v>
      </c>
      <c r="AH7" s="38" t="n">
        <f aca="false">IF($A7="","",IFERROR(ROUND((Y7-V7)*1440,0),""))</f>
        <v>-31</v>
      </c>
      <c r="AI7" s="4" t="str">
        <f aca="false">IF($A7="","",IF(AH7="","",IF(AH7&gt;0,"Yes","No")))</f>
        <v>No</v>
      </c>
      <c r="AJ7" s="4" t="str">
        <f aca="false">IF($A7="","",IF(AI7&lt;&gt;"Yes","On time",IF(N(AC7)&gt;=MAX(N(AF7),N(K7)),"Wait for analyst",IF(N(AF7)&gt;=N(K7),"External sign-off","Rework"))))</f>
        <v>On time</v>
      </c>
      <c r="AK7" s="4" t="str">
        <f aca="false">IF($A7="","",IF(OR(F7="",Y7="",ISNA(MATCH(L7,Dim_Analyst!$A:$A,0))),"CHECK","OK"))</f>
        <v>OK</v>
      </c>
      <c r="AL7" s="4" t="str">
        <f aca="false">IF($A7="","",IFERROR(VLOOKUP($C7,Dim_Fund!$A:$U,21,0),""))</f>
        <v>TOP-FI1</v>
      </c>
      <c r="AM7" s="4" t="str">
        <f aca="false">IF($A7="","",IF($U7="","",IF($U7&gt;$B7+IFERROR(VLOOKUP($C7,Dim_Fund!$A:$AH,34,0),0)/24,"Yes","No")))</f>
        <v>No</v>
      </c>
      <c r="AN7" s="22" t="n">
        <f aca="false">IF($A7="","",IFERROR(VLOOKUP($C7,Dim_Fund!$A:$AH,34,0),""))</f>
        <v>13.2666666666667</v>
      </c>
      <c r="AO7" s="22" t="n">
        <f aca="false">IF($A7="","",IF($AL7="","",IFERROR(FLOOR(IF(COUNTIFS(Fact_Milestone!$A:$A,$B7,Fact_Milestone!$B:$B,$AL7,Fact_Milestone!$F:$F,"&gt;0")&gt;0,_xlfn.MINIFS(Fact_Milestone!$F:$F,Fact_Milestone!$A:$A,$B7,Fact_Milestone!$B:$B,$AL7,Fact_Milestone!$F:$F,"&gt;0"),VLOOKUP($AL7,Dim_TOP!$A:$E,5,0)),0.5),"")))</f>
        <v>12</v>
      </c>
      <c r="AP7" s="22" t="n">
        <f aca="false">IF($A7="","",IF($U7="","",ROUND(($U7-INT($U7))*24,4)))</f>
        <v>11.6167</v>
      </c>
      <c r="AQ7" s="22" t="n">
        <f aca="false">IF($A7="","",IF($W7="","",ROUND(($W7-INT($W7))*24,4)))</f>
        <v>14.9167</v>
      </c>
      <c r="AR7" s="22" t="n">
        <f aca="false">IF($A7="","",IF($X7="","",ROUND(($X7-INT($X7))*24,4)))</f>
        <v>16.6</v>
      </c>
      <c r="AS7" s="38" t="n">
        <f aca="false">IF($A7="","",IF(OR($AN7="",$V7="",$S7="",$T7=""),"",ROUND(($V7-($B7+$AN7/24))*1440-$S7-$T7,0)))</f>
        <v>258</v>
      </c>
      <c r="AT7" s="38" t="n">
        <f aca="false">IF($A7="","",IF(OR($AN7="",$U7=""),"",ROUND(($U7-($B7+$AN7/24))*1440,0)))</f>
        <v>-99</v>
      </c>
      <c r="AU7" s="38" t="n">
        <f aca="false">IF($A7="","",IF(OR($AD7="",$S7=""),"",ROUND($AD7-$S7,0)))</f>
        <v>91</v>
      </c>
      <c r="AV7" s="38" t="n">
        <f aca="false">IF($A7="","",N($AE7))</f>
        <v>17</v>
      </c>
      <c r="AW7" s="38" t="n">
        <f aca="false">IF($A7="","",IF(OR($AF7="",$T7=""),"",$AF7-$T7))</f>
        <v>20</v>
      </c>
      <c r="AX7" s="38" t="n">
        <f aca="false">IF($A7="","",IF(COUNT($AT7,$AB7,$AU7,$AW7,$AS7,$AH7)&lt;6,"",ROUND($AT7+$AB7+$AU7+$AV7+$AW7-$AS7-$AH7,0)))</f>
        <v>0</v>
      </c>
      <c r="AY7" s="4" t="str">
        <f aca="false">IF($A7="","",IF($AX7="","No",IF(ABS($AX7)&lt;=2,"Yes","No")))</f>
        <v>Yes</v>
      </c>
      <c r="AZ7" s="4" t="str">
        <f aca="false">IF($A7="","",IF($AI7&lt;&gt;"Yes","n/a",IF(OR($AA7="",$S7="",$T7=""),"Unknown",IF($AA7&lt;$S7+$T7,"Lost on arrival","Lost after arrival"))))</f>
        <v>n/a</v>
      </c>
      <c r="BA7" s="10" t="str">
        <f aca="false">IF($A7="","",IFERROR(VLOOKUP($C7,Dim_Fund!$A:$D,4,0),""))</f>
        <v>Halvern Wealth</v>
      </c>
      <c r="BB7" s="10" t="str">
        <f aca="false">IF($A7="","",IF($AL7="","",IF(COUNTIFS(Fact_Milestone!$A:$A,$B7,Fact_Milestone!$B:$B,$AL7,Fact_Milestone!$I:$I,"No")&gt;0,"No",IF(COUNTIFS(Fact_Milestone!$A:$A,$B7,Fact_Milestone!$B:$B,$AL7,Fact_Milestone!$I:$I,"Yes")&gt;0,"Yes",""))))</f>
        <v>Yes</v>
      </c>
      <c r="BC7" s="45" t="n">
        <f aca="false">IF($A7="","",IF(OR($L7="",$W7=""),"",IF(COUNTIFS($L:$L,$L7,$B:$B,$B7,$W:$W,"&lt;"&amp;$W7)=0,"",_xlfn.MAXIFS($W:$W,$L:$L,$L7,$B:$B,$B7,$W:$W,"&lt;"&amp;$W7))))</f>
        <v>46265.5409722222</v>
      </c>
      <c r="BD7" s="39" t="n">
        <f aca="false">IF($A7="","",IF($AC7="","",IF(OR($L7="",$AC7=0),0,MIN($AC7,ROUND(ROUND(1440*SUMPRODUCT(($L$2:INDEX($L:$L,COUNTA($C:$C))=$L7)*($B$2:INDEX($B:$B,COUNTA($C:$C))=$B7)*(ROW($L$2:INDEX($L:$L,COUNTA($C:$C)))&lt;&gt;ROW())*((((($W7+$BT$2:INDEX($BT:$BT,COUNTA($C:$C))-ABS($W7-$BT$2:INDEX($BT:$BT,COUNTA($C:$C))))/2)-(($U7+$BS$2:INDEX($BS:$BS,COUNTA($C:$C))+ABS($U7-$BS$2:INDEX($BS:$BS,COUNTA($C:$C))))/2))+ABS(((($W7+$BT$2:INDEX($BT:$BT,COUNTA($C:$C))-ABS($W7-$BT$2:INDEX($BT:$BT,COUNTA($C:$C))))/2)-(($U7+$BS$2:INDEX($BS:$BS,COUNTA($C:$C))+ABS($U7-$BS$2:INDEX($BS:$BS,COUNTA($C:$C))))/2))))/2)),4),0)))))</f>
        <v>28</v>
      </c>
      <c r="BE7" s="39" t="n">
        <f aca="false">IF($A7="","",IF($AC7="","",ROUND(MIN($AC7-$BD7,N($R7)),0)))</f>
        <v>15</v>
      </c>
      <c r="BF7" s="10" t="str">
        <f aca="false">IF($A7="","",IFERROR(VLOOKUP($C7,Dim_Fund!$A:$BD,56,0),""))</f>
        <v>Yes</v>
      </c>
      <c r="BG7" s="10" t="str">
        <f aca="false">IF($A7="","",IFERROR(VLOOKUP($C7,Dim_Fund!$A:$BH,60,0),""))</f>
        <v>Ample custody slack</v>
      </c>
      <c r="BH7" s="10" t="str">
        <f aca="false">IF($A7="","",IF($AI7&lt;&gt;"Yes","Not breached",IF($AM7="Yes","Pricing late",IF($BG7="Thin custody slack","Thin custody slack",IF($BF7="Yes","Broker-dependent","None of these")))))</f>
        <v>Not breached</v>
      </c>
      <c r="BI7" s="23" t="n">
        <f aca="false">IF($A7="","",IFERROR(IF(VLOOKUP($C7,Dim_Fund!$A:$AI,35,0)&gt;0,VLOOKUP($C7,Dim_Fund!$A:$AI,35,0),""),""))</f>
        <v>17.7333333333333</v>
      </c>
      <c r="BJ7" s="10" t="str">
        <f aca="false">IF($A7="","",$C7&amp;IF($E7="Client","*",""))</f>
        <v>FD-1006</v>
      </c>
      <c r="BK7" s="39" t="n">
        <f aca="false">IF($A7="","",IFERROR(ROUND(($Y7-$X7)*1440,0),""))</f>
        <v>37</v>
      </c>
      <c r="BL7" s="39" t="n">
        <f aca="false">IF($A7="","",IF($AH7="","",-$AH7))</f>
        <v>31</v>
      </c>
      <c r="BM7" s="46" t="n">
        <f aca="false">IF($A7="","",IF($AQ7="","",IF($AP7="",$AQ7,MIN($AP7,$AQ7))))</f>
        <v>11.6167</v>
      </c>
      <c r="BN7" s="46" t="n">
        <f aca="false">IF($A7="","",IF($BM7="","",ROUND(N($AC7)/60,4)))</f>
        <v>3.3</v>
      </c>
      <c r="BO7" s="46" t="n">
        <f aca="false">IF($A7="","",IF(OR($BM7="",$AD7=""),"",ROUND($AD7/60,4)))</f>
        <v>1.6833</v>
      </c>
      <c r="BP7" s="46" t="n">
        <f aca="false">IF($A7="","",IF($BM7="","",ROUND(N($AE7)/60,4)))</f>
        <v>0.2833</v>
      </c>
      <c r="BQ7" s="46" t="n">
        <f aca="false">IF($A7="","",IF(OR($BM7="",$AF7=""),"",ROUND($AF7/60,4)))</f>
        <v>0.3333</v>
      </c>
      <c r="BR7" s="39" t="n">
        <f aca="false">IF($A7="","",IF($AC7="","",$AC7-$BD7-$BE7))</f>
        <v>155</v>
      </c>
      <c r="BS7" s="45" t="n">
        <f aca="false">IF($A7="","",IF(AND(ISNUMBER($Z7),ISNUMBER($W7)),$Z7,0))</f>
        <v>46265.6109722222</v>
      </c>
      <c r="BT7" s="45" t="n">
        <f aca="false">IF($A7="","",IF(ISNUMBER($W7),$W7,0))</f>
        <v>46265.6215277778</v>
      </c>
      <c r="BU7" s="23" t="n">
        <f aca="false">IF($A7="","",IF(ISNUMBER($W7),ROUND(($W7-$B7)*24,4),""))</f>
        <v>14.9167</v>
      </c>
      <c r="BV7" s="23" t="n">
        <f aca="false">IF($A7="","",IF(ISNUMBER($X7),ROUND(($X7-$B7)*24,4),""))</f>
        <v>16.6</v>
      </c>
      <c r="BW7" s="10" t="str">
        <f aca="false">IF($A7="","",IF(NOT(ISNUMBER($W7)),"Missing Calculated",IF(NOT(ISNUMBER($X7)),IF($E7="Client","Missing FA signed off","Missing Controlled"),IF($X7&lt;$W7,"End before start","OK"))))</f>
        <v>OK</v>
      </c>
      <c r="BX7" s="23" t="n">
        <f aca="false">IF($A7="","",IF(NOT(ISNUMBER($Z7)),"",ROUND((IF(ISNUMBER($U7),MIN($U7,$Z7),$Z7)-$B7)*24,4)))</f>
        <v>11.6167</v>
      </c>
      <c r="BY7" s="23" t="n">
        <f aca="false">IF($A7="","",IF(ISNUMBER($Z7),ROUND(($Z7-$B7)*24,4),""))</f>
        <v>14.6633</v>
      </c>
      <c r="BZ7" s="23" t="n">
        <f aca="false">IF($A7="","",IF(AND(ISNUMBER($W7),ISNUMBER($S7)),ROUND(($W7+$S7/1440-$B7)*24,4),""))</f>
        <v>15.085</v>
      </c>
    </row>
    <row r="8" customFormat="false" ht="15" hidden="false" customHeight="true" outlineLevel="0" collapsed="false">
      <c r="A8" s="34" t="n">
        <v>46264</v>
      </c>
      <c r="B8" s="34" t="n">
        <v>46265</v>
      </c>
      <c r="C8" s="13" t="s">
        <v>340</v>
      </c>
      <c r="D8" s="4" t="n">
        <f aca="false">IF($A8="","",$B8-$A8)</f>
        <v>1</v>
      </c>
      <c r="E8" s="4" t="str">
        <f aca="false">IF($A8="","",IFERROR(VLOOKUP($C8,Dim_Fund!$A:$X,24,0),""))</f>
        <v>FA</v>
      </c>
      <c r="F8" s="37" t="n">
        <f aca="false">IF($A8="","",IF(COUNTIFS(Status_Log!$A:$A,$A8,Status_Log!$B:$B,$B8,Status_Log!$C:$C,$C8,Status_Log!$D:$D,"Changed to the status of Calculated")=0,"",_xlfn.MINIFS(Status_Log!$E:$E,Status_Log!$A:$A,$A8,Status_Log!$B:$B,$B8,Status_Log!$C:$C,$C8,Status_Log!$D:$D,"Changed to the status of Calculated")))</f>
        <v>46265.6402777778</v>
      </c>
      <c r="G8" s="37" t="n">
        <f aca="false">IF($A8="","",IF(COUNTIFS(Status_Log!$A:$A,$A8,Status_Log!$B:$B,$B8,Status_Log!$C:$C,$C8,Status_Log!$D:$D,"Changed to the status of Controlled")=0,"",_xlfn.MAXIFS(Status_Log!$E:$E,Status_Log!$A:$A,$A8,Status_Log!$B:$B,$B8,Status_Log!$C:$C,$C8,Status_Log!$D:$D,"Changed to the status of Controlled")))</f>
        <v>46265.6923611111</v>
      </c>
      <c r="H8" s="37" t="n">
        <f aca="false">IF($A8="","",IF(COUNTIFS(Status_Log!$A:$A,$A8,Status_Log!$B:$B,$B8,Status_Log!$C:$C,$C8,Status_Log!$D:$D,"Changed to the status of Fund accounting signed off")=0,"",_xlfn.MAXIFS(Status_Log!$E:$E,Status_Log!$A:$A,$A8,Status_Log!$B:$B,$B8,Status_Log!$C:$C,$C8,Status_Log!$D:$D,"Changed to the status of Fund accounting signed off")))</f>
        <v>46265.6993055556</v>
      </c>
      <c r="I8" s="37" t="n">
        <f aca="false">IF($A8="","",IF(COUNTIFS(Status_Log!$A:$A,$A8,Status_Log!$B:$B,$B8,Status_Log!$C:$C,$C8,Status_Log!$D:$D,"Changed to the status of signed off")=0,"",_xlfn.MAXIFS(Status_Log!$E:$E,Status_Log!$A:$A,$A8,Status_Log!$B:$B,$B8,Status_Log!$C:$C,$C8,Status_Log!$D:$D,"Changed to the status of signed off")))</f>
        <v>46265.7152777778</v>
      </c>
      <c r="J8" s="4" t="n">
        <f aca="false">IF($A8="","",COUNTIFS(Status_Log!$A:$A,$A8,Status_Log!$B:$B,$B8,Status_Log!$C:$C,$C8,Status_Log!$D:$D,"Changed to the status of Calculated"))</f>
        <v>2</v>
      </c>
      <c r="K8" s="38" t="n">
        <f aca="false">IF($A8="","",IF(J8&lt;=1,0,ROUND((_xlfn.MAXIFS(Status_Log!$E:$E,Status_Log!$A:$A,$A8,Status_Log!$B:$B,$B8,Status_Log!$C:$C,$C8,Status_Log!$D:$D,"Changed to the status of Calculated")-F8)*1440,0)))</f>
        <v>62</v>
      </c>
      <c r="L8" s="4" t="str">
        <f aca="false">IF($A8="","",IFERROR(INDEX(Status_Log!$F:$F,MATCH($A8&amp;"|"&amp;$B8&amp;"|"&amp;$C8&amp;"|Changed to the status of Calculated|"&amp;TEXT(_xlfn.MAXIFS(Status_Log!$E:$E,Status_Log!$A:$A,$A8,Status_Log!$B:$B,$B8,Status_Log!$C:$C,$C8,Status_Log!$D:$D,"Changed to the status of Calculated"),"0.000000"),Status_Log!$H:$H,0)),""))</f>
        <v>Lim Wei Ming</v>
      </c>
      <c r="M8" s="4" t="str">
        <f aca="false">IF($A8="","",IF(E8="Client","n/a — no control step",IFERROR(INDEX(Status_Log!$F:$F,MATCH($A8&amp;"|"&amp;$B8&amp;"|"&amp;$C8&amp;"|Changed to the status of Controlled|"&amp;TEXT(_xlfn.MAXIFS(Status_Log!$E:$E,Status_Log!$A:$A,$A8,Status_Log!$B:$B,$B8,Status_Log!$C:$C,$C8,Status_Log!$D:$D,"Changed to the status of Controlled"),"0.000000"),Status_Log!$H:$H,0)),"")))</f>
        <v>Daniel Tan</v>
      </c>
      <c r="N8" s="4" t="str">
        <f aca="false">IF($A8="","",IFERROR(VLOOKUP($C8,Dim_Fund!$A:$G,7,0),""))</f>
        <v>Lim Wei Ming</v>
      </c>
      <c r="O8" s="4" t="str">
        <f aca="false">IF($A8="","",IF(L8=N8,"No","Yes"))</f>
        <v>No</v>
      </c>
      <c r="P8" s="4" t="str">
        <f aca="false">IF($A8="","",IF(E8="Client","n/a",IF(L8=M8,"YES — four-eyes breach","No")))</f>
        <v>No</v>
      </c>
      <c r="Q8" s="38" t="n">
        <f aca="false">IF($A8="","",IFERROR(VLOOKUP($C8,Dim_Fund!$A:$AB,28,0),""))</f>
        <v>29.7</v>
      </c>
      <c r="R8" s="38" t="n">
        <f aca="false">IF($A8="","",IFERROR(VLOOKUP($C8,Dim_Fund!$A:$AC,29,0),""))</f>
        <v>20.8</v>
      </c>
      <c r="S8" s="38" t="n">
        <f aca="false">IF($A8="","",IFERROR(VLOOKUP($C8,Dim_Fund!$A:$AD,30,0),""))</f>
        <v>8.9</v>
      </c>
      <c r="T8" s="38" t="n">
        <f aca="false">IF($A8="","",IFERROR(VLOOKUP($C8,Dim_Fund!$A:$AL,38,0),""))</f>
        <v>0</v>
      </c>
      <c r="U8" s="37" t="n">
        <f aca="false">IF($A8="","",IF(AL8="","",IFERROR(IF(COUNTIFS(Fact_Milestone!$A:$A,$B8,Fact_Milestone!$B:$B,AL8)=0,"",_xlfn.MAXIFS(Fact_Milestone!$C:$C,Fact_Milestone!$A:$A,$B8,Fact_Milestone!$B:$B,AL8)),"")))</f>
        <v>46265.4986111111</v>
      </c>
      <c r="V8" s="37" t="n">
        <f aca="false">IF($A8="","",IFERROR(IF(VLOOKUP($C8,Dim_Fund!$A:$AI,35,0)&gt;0,$B8+VLOOKUP($C8,Dim_Fund!$A:$AI,35,0)/24,""),""))</f>
        <v>46265.7236111111</v>
      </c>
      <c r="W8" s="37" t="n">
        <f aca="false">IF($A8="","",F8)</f>
        <v>46265.6402777778</v>
      </c>
      <c r="X8" s="37" t="n">
        <f aca="false">IF($A8="","",IF(E8="Client",H8,G8))</f>
        <v>46265.6923611111</v>
      </c>
      <c r="Y8" s="37" t="n">
        <f aca="false">IF($A8="","",I8)</f>
        <v>46265.7152777778</v>
      </c>
      <c r="Z8" s="37" t="n">
        <f aca="false">IF($A8="","",IFERROR(W8-R8/1440,""))</f>
        <v>46265.6258333333</v>
      </c>
      <c r="AA8" s="38" t="n">
        <f aca="false">IF($A8="","",IF(OR(U8="",V8=""),"",ROUND((V8-U8)*1440,0)))</f>
        <v>324</v>
      </c>
      <c r="AB8" s="38" t="n">
        <f aca="false">IF($A8="","",IF(U8="","",ROUND((W8-U8)*1440,0)))</f>
        <v>204</v>
      </c>
      <c r="AC8" s="38" t="n">
        <f aca="false">IF($A8="","",IF(AB8="","",MAX(0,AB8)))</f>
        <v>204</v>
      </c>
      <c r="AD8" s="38" t="n">
        <f aca="false">IF($A8="","",IFERROR(ROUND((X8-W8)*1440,0),""))</f>
        <v>75</v>
      </c>
      <c r="AE8" s="38" t="n">
        <f aca="false">IF($A8="","",IF(E8="Client","n/a",IFERROR(ROUND((H8-G8)*1440,0),"")))</f>
        <v>10</v>
      </c>
      <c r="AF8" s="38" t="n">
        <f aca="false">IF($A8="","",IFERROR(ROUND((Y8-H8)*1440,0),""))</f>
        <v>23</v>
      </c>
      <c r="AG8" s="38" t="n">
        <f aca="false">IF($A8="","",IFERROR(ROUND((H8-F8)*1440,0),""))</f>
        <v>85</v>
      </c>
      <c r="AH8" s="38" t="n">
        <f aca="false">IF($A8="","",IFERROR(ROUND((Y8-V8)*1440,0),""))</f>
        <v>-12</v>
      </c>
      <c r="AI8" s="4" t="str">
        <f aca="false">IF($A8="","",IF(AH8="","",IF(AH8&gt;0,"Yes","No")))</f>
        <v>No</v>
      </c>
      <c r="AJ8" s="4" t="str">
        <f aca="false">IF($A8="","",IF(AI8&lt;&gt;"Yes","On time",IF(N(AC8)&gt;=MAX(N(AF8),N(K8)),"Wait for analyst",IF(N(AF8)&gt;=N(K8),"External sign-off","Rework"))))</f>
        <v>On time</v>
      </c>
      <c r="AK8" s="4" t="str">
        <f aca="false">IF($A8="","",IF(OR(F8="",Y8="",ISNA(MATCH(L8,Dim_Analyst!$A:$A,0))),"CHECK","OK"))</f>
        <v>OK</v>
      </c>
      <c r="AL8" s="4" t="str">
        <f aca="false">IF($A8="","",IFERROR(VLOOKUP($C8,Dim_Fund!$A:$U,21,0),""))</f>
        <v>TOP-MA1</v>
      </c>
      <c r="AM8" s="4" t="str">
        <f aca="false">IF($A8="","",IF($U8="","",IF($U8&gt;$B8+IFERROR(VLOOKUP($C8,Dim_Fund!$A:$AH,34,0),0)/24,"Yes","No")))</f>
        <v>No</v>
      </c>
      <c r="AN8" s="22" t="n">
        <f aca="false">IF($A8="","",IFERROR(VLOOKUP($C8,Dim_Fund!$A:$AH,34,0),""))</f>
        <v>13.1166666666667</v>
      </c>
      <c r="AO8" s="22" t="n">
        <f aca="false">IF($A8="","",IF($AL8="","",IFERROR(FLOOR(IF(COUNTIFS(Fact_Milestone!$A:$A,$B8,Fact_Milestone!$B:$B,$AL8,Fact_Milestone!$F:$F,"&gt;0")&gt;0,_xlfn.MINIFS(Fact_Milestone!$F:$F,Fact_Milestone!$A:$A,$B8,Fact_Milestone!$B:$B,$AL8,Fact_Milestone!$F:$F,"&gt;0"),VLOOKUP($AL8,Dim_TOP!$A:$E,5,0)),0.5),"")))</f>
        <v>11.5</v>
      </c>
      <c r="AP8" s="22" t="n">
        <f aca="false">IF($A8="","",IF($U8="","",ROUND(($U8-INT($U8))*24,4)))</f>
        <v>11.9667</v>
      </c>
      <c r="AQ8" s="22" t="n">
        <f aca="false">IF($A8="","",IF($W8="","",ROUND(($W8-INT($W8))*24,4)))</f>
        <v>15.3667</v>
      </c>
      <c r="AR8" s="22" t="n">
        <f aca="false">IF($A8="","",IF($X8="","",ROUND(($X8-INT($X8))*24,4)))</f>
        <v>16.6167</v>
      </c>
      <c r="AS8" s="38" t="n">
        <f aca="false">IF($A8="","",IF(OR($AN8="",$V8="",$S8="",$T8=""),"",ROUND(($V8-($B8+$AN8/24))*1440-$S8-$T8,0)))</f>
        <v>246</v>
      </c>
      <c r="AT8" s="38" t="n">
        <f aca="false">IF($A8="","",IF(OR($AN8="",$U8=""),"",ROUND(($U8-($B8+$AN8/24))*1440,0)))</f>
        <v>-69</v>
      </c>
      <c r="AU8" s="38" t="n">
        <f aca="false">IF($A8="","",IF(OR($AD8="",$S8=""),"",ROUND($AD8-$S8,0)))</f>
        <v>66</v>
      </c>
      <c r="AV8" s="38" t="n">
        <f aca="false">IF($A8="","",N($AE8))</f>
        <v>10</v>
      </c>
      <c r="AW8" s="38" t="n">
        <f aca="false">IF($A8="","",IF(OR($AF8="",$T8=""),"",$AF8-$T8))</f>
        <v>23</v>
      </c>
      <c r="AX8" s="38" t="n">
        <f aca="false">IF($A8="","",IF(COUNT($AT8,$AB8,$AU8,$AW8,$AS8,$AH8)&lt;6,"",ROUND($AT8+$AB8+$AU8+$AV8+$AW8-$AS8-$AH8,0)))</f>
        <v>0</v>
      </c>
      <c r="AY8" s="4" t="str">
        <f aca="false">IF($A8="","",IF($AX8="","No",IF(ABS($AX8)&lt;=2,"Yes","No")))</f>
        <v>Yes</v>
      </c>
      <c r="AZ8" s="4" t="str">
        <f aca="false">IF($A8="","",IF($AI8&lt;&gt;"Yes","n/a",IF(OR($AA8="",$S8="",$T8=""),"Unknown",IF($AA8&lt;$S8+$T8,"Lost on arrival","Lost after arrival"))))</f>
        <v>n/a</v>
      </c>
      <c r="BA8" s="10" t="str">
        <f aca="false">IF($A8="","",IFERROR(VLOOKUP($C8,Dim_Fund!$A:$D,4,0),""))</f>
        <v>Meridian Pensions</v>
      </c>
      <c r="BB8" s="10" t="str">
        <f aca="false">IF($A8="","",IF($AL8="","",IF(COUNTIFS(Fact_Milestone!$A:$A,$B8,Fact_Milestone!$B:$B,$AL8,Fact_Milestone!$I:$I,"No")&gt;0,"No",IF(COUNTIFS(Fact_Milestone!$A:$A,$B8,Fact_Milestone!$B:$B,$AL8,Fact_Milestone!$I:$I,"Yes")&gt;0,"Yes",""))))</f>
        <v>No</v>
      </c>
      <c r="BC8" s="45" t="n">
        <f aca="false">IF($A8="","",IF(OR($L8="",$W8=""),"",IF(COUNTIFS($L:$L,$L8,$B:$B,$B8,$W:$W,"&lt;"&amp;$W8)=0,"",_xlfn.MAXIFS($W:$W,$L:$L,$L8,$B:$B,$B8,$W:$W,"&lt;"&amp;$W8))))</f>
        <v>46265.5958333333</v>
      </c>
      <c r="BD8" s="39" t="n">
        <f aca="false">IF($A8="","",IF($AC8="","",IF(OR($L8="",$AC8=0),0,MIN($AC8,ROUND(ROUND(1440*SUMPRODUCT(($L$2:INDEX($L:$L,COUNTA($C:$C))=$L8)*($B$2:INDEX($B:$B,COUNTA($C:$C))=$B8)*(ROW($L$2:INDEX($L:$L,COUNTA($C:$C)))&lt;&gt;ROW())*((((($W8+$BT$2:INDEX($BT:$BT,COUNTA($C:$C))-ABS($W8-$BT$2:INDEX($BT:$BT,COUNTA($C:$C))))/2)-(($U8+$BS$2:INDEX($BS:$BS,COUNTA($C:$C))+ABS($U8-$BS$2:INDEX($BS:$BS,COUNTA($C:$C))))/2))+ABS(((($W8+$BT$2:INDEX($BT:$BT,COUNTA($C:$C))-ABS($W8-$BT$2:INDEX($BT:$BT,COUNTA($C:$C))))/2)-(($U8+$BS$2:INDEX($BS:$BS,COUNTA($C:$C))+ABS($U8-$BS$2:INDEX($BS:$BS,COUNTA($C:$C))))/2))))/2)),4),0)))))</f>
        <v>36</v>
      </c>
      <c r="BE8" s="39" t="n">
        <f aca="false">IF($A8="","",IF($AC8="","",ROUND(MIN($AC8-$BD8,N($R8)),0)))</f>
        <v>21</v>
      </c>
      <c r="BF8" s="10" t="str">
        <f aca="false">IF($A8="","",IFERROR(VLOOKUP($C8,Dim_Fund!$A:$BD,56,0),""))</f>
        <v>No</v>
      </c>
      <c r="BG8" s="10" t="str">
        <f aca="false">IF($A8="","",IFERROR(VLOOKUP($C8,Dim_Fund!$A:$BH,60,0),""))</f>
        <v>Ample custody slack</v>
      </c>
      <c r="BH8" s="10" t="str">
        <f aca="false">IF($A8="","",IF($AI8&lt;&gt;"Yes","Not breached",IF($AM8="Yes","Pricing late",IF($BG8="Thin custody slack","Thin custody slack",IF($BF8="Yes","Broker-dependent","None of these")))))</f>
        <v>Not breached</v>
      </c>
      <c r="BI8" s="23" t="n">
        <f aca="false">IF($A8="","",IFERROR(IF(VLOOKUP($C8,Dim_Fund!$A:$AI,35,0)&gt;0,VLOOKUP($C8,Dim_Fund!$A:$AI,35,0),""),""))</f>
        <v>17.3666666666667</v>
      </c>
      <c r="BJ8" s="10" t="str">
        <f aca="false">IF($A8="","",$C8&amp;IF($E8="Client","*",""))</f>
        <v>FD-1007</v>
      </c>
      <c r="BK8" s="39" t="n">
        <f aca="false">IF($A8="","",IFERROR(ROUND(($Y8-$X8)*1440,0),""))</f>
        <v>33</v>
      </c>
      <c r="BL8" s="39" t="n">
        <f aca="false">IF($A8="","",IF($AH8="","",-$AH8))</f>
        <v>12</v>
      </c>
      <c r="BM8" s="46" t="n">
        <f aca="false">IF($A8="","",IF($AQ8="","",IF($AP8="",$AQ8,MIN($AP8,$AQ8))))</f>
        <v>11.9667</v>
      </c>
      <c r="BN8" s="46" t="n">
        <f aca="false">IF($A8="","",IF($BM8="","",ROUND(N($AC8)/60,4)))</f>
        <v>3.4</v>
      </c>
      <c r="BO8" s="46" t="n">
        <f aca="false">IF($A8="","",IF(OR($BM8="",$AD8=""),"",ROUND($AD8/60,4)))</f>
        <v>1.25</v>
      </c>
      <c r="BP8" s="46" t="n">
        <f aca="false">IF($A8="","",IF($BM8="","",ROUND(N($AE8)/60,4)))</f>
        <v>0.1667</v>
      </c>
      <c r="BQ8" s="46" t="n">
        <f aca="false">IF($A8="","",IF(OR($BM8="",$AF8=""),"",ROUND($AF8/60,4)))</f>
        <v>0.3833</v>
      </c>
      <c r="BR8" s="39" t="n">
        <f aca="false">IF($A8="","",IF($AC8="","",$AC8-$BD8-$BE8))</f>
        <v>147</v>
      </c>
      <c r="BS8" s="45" t="n">
        <f aca="false">IF($A8="","",IF(AND(ISNUMBER($Z8),ISNUMBER($W8)),$Z8,0))</f>
        <v>46265.6258333333</v>
      </c>
      <c r="BT8" s="45" t="n">
        <f aca="false">IF($A8="","",IF(ISNUMBER($W8),$W8,0))</f>
        <v>46265.6402777778</v>
      </c>
      <c r="BU8" s="23" t="n">
        <f aca="false">IF($A8="","",IF(ISNUMBER($W8),ROUND(($W8-$B8)*24,4),""))</f>
        <v>15.3667</v>
      </c>
      <c r="BV8" s="23" t="n">
        <f aca="false">IF($A8="","",IF(ISNUMBER($X8),ROUND(($X8-$B8)*24,4),""))</f>
        <v>16.6167</v>
      </c>
      <c r="BW8" s="10" t="str">
        <f aca="false">IF($A8="","",IF(NOT(ISNUMBER($W8)),"Missing Calculated",IF(NOT(ISNUMBER($X8)),IF($E8="Client","Missing FA signed off","Missing Controlled"),IF($X8&lt;$W8,"End before start","OK"))))</f>
        <v>OK</v>
      </c>
      <c r="BX8" s="23" t="n">
        <f aca="false">IF($A8="","",IF(NOT(ISNUMBER($Z8)),"",ROUND((IF(ISNUMBER($U8),MIN($U8,$Z8),$Z8)-$B8)*24,4)))</f>
        <v>11.9667</v>
      </c>
      <c r="BY8" s="23" t="n">
        <f aca="false">IF($A8="","",IF(ISNUMBER($Z8),ROUND(($Z8-$B8)*24,4),""))</f>
        <v>15.02</v>
      </c>
      <c r="BZ8" s="23" t="n">
        <f aca="false">IF($A8="","",IF(AND(ISNUMBER($W8),ISNUMBER($S8)),ROUND(($W8+$S8/1440-$B8)*24,4),""))</f>
        <v>15.515</v>
      </c>
    </row>
    <row r="9" customFormat="false" ht="15" hidden="false" customHeight="true" outlineLevel="0" collapsed="false">
      <c r="A9" s="34" t="n">
        <v>46235</v>
      </c>
      <c r="B9" s="34" t="n">
        <v>46265</v>
      </c>
      <c r="C9" s="13" t="s">
        <v>348</v>
      </c>
      <c r="D9" s="4" t="n">
        <f aca="false">IF($A9="","",$B9-$A9)</f>
        <v>30</v>
      </c>
      <c r="E9" s="4" t="str">
        <f aca="false">IF($A9="","",IFERROR(VLOOKUP($C9,Dim_Fund!$A:$X,24,0),""))</f>
        <v>FA</v>
      </c>
      <c r="F9" s="37" t="n">
        <f aca="false">IF($A9="","",IF(COUNTIFS(Status_Log!$A:$A,$A9,Status_Log!$B:$B,$B9,Status_Log!$C:$C,$C9,Status_Log!$D:$D,"Changed to the status of Calculated")=0,"",_xlfn.MINIFS(Status_Log!$E:$E,Status_Log!$A:$A,$A9,Status_Log!$B:$B,$B9,Status_Log!$C:$C,$C9,Status_Log!$D:$D,"Changed to the status of Calculated")))</f>
        <v>46265.6347222222</v>
      </c>
      <c r="G9" s="37" t="n">
        <f aca="false">IF($A9="","",IF(COUNTIFS(Status_Log!$A:$A,$A9,Status_Log!$B:$B,$B9,Status_Log!$C:$C,$C9,Status_Log!$D:$D,"Changed to the status of Controlled")=0,"",_xlfn.MAXIFS(Status_Log!$E:$E,Status_Log!$A:$A,$A9,Status_Log!$B:$B,$B9,Status_Log!$C:$C,$C9,Status_Log!$D:$D,"Changed to the status of Controlled")))</f>
        <v>46265.64375</v>
      </c>
      <c r="H9" s="37" t="n">
        <f aca="false">IF($A9="","",IF(COUNTIFS(Status_Log!$A:$A,$A9,Status_Log!$B:$B,$B9,Status_Log!$C:$C,$C9,Status_Log!$D:$D,"Changed to the status of Fund accounting signed off")=0,"",_xlfn.MAXIFS(Status_Log!$E:$E,Status_Log!$A:$A,$A9,Status_Log!$B:$B,$B9,Status_Log!$C:$C,$C9,Status_Log!$D:$D,"Changed to the status of Fund accounting signed off")))</f>
        <v>46265.6548611111</v>
      </c>
      <c r="I9" s="37" t="n">
        <f aca="false">IF($A9="","",IF(COUNTIFS(Status_Log!$A:$A,$A9,Status_Log!$B:$B,$B9,Status_Log!$C:$C,$C9,Status_Log!$D:$D,"Changed to the status of signed off")=0,"",_xlfn.MAXIFS(Status_Log!$E:$E,Status_Log!$A:$A,$A9,Status_Log!$B:$B,$B9,Status_Log!$C:$C,$C9,Status_Log!$D:$D,"Changed to the status of signed off")))</f>
        <v>46265.6645833333</v>
      </c>
      <c r="J9" s="4" t="n">
        <f aca="false">IF($A9="","",COUNTIFS(Status_Log!$A:$A,$A9,Status_Log!$B:$B,$B9,Status_Log!$C:$C,$C9,Status_Log!$D:$D,"Changed to the status of Calculated"))</f>
        <v>1</v>
      </c>
      <c r="K9" s="38" t="n">
        <f aca="false">IF($A9="","",IF(J9&lt;=1,0,ROUND((_xlfn.MAXIFS(Status_Log!$E:$E,Status_Log!$A:$A,$A9,Status_Log!$B:$B,$B9,Status_Log!$C:$C,$C9,Status_Log!$D:$D,"Changed to the status of Calculated")-F9)*1440,0)))</f>
        <v>0</v>
      </c>
      <c r="L9" s="4" t="str">
        <f aca="false">IF($A9="","",IFERROR(INDEX(Status_Log!$F:$F,MATCH($A9&amp;"|"&amp;$B9&amp;"|"&amp;$C9&amp;"|Changed to the status of Calculated|"&amp;TEXT(_xlfn.MAXIFS(Status_Log!$E:$E,Status_Log!$A:$A,$A9,Status_Log!$B:$B,$B9,Status_Log!$C:$C,$C9,Status_Log!$D:$D,"Changed to the status of Calculated"),"0.000000"),Status_Log!$H:$H,0)),""))</f>
        <v>Aisha Rahman</v>
      </c>
      <c r="M9" s="4" t="str">
        <f aca="false">IF($A9="","",IF(E9="Client","n/a — no control step",IFERROR(INDEX(Status_Log!$F:$F,MATCH($A9&amp;"|"&amp;$B9&amp;"|"&amp;$C9&amp;"|Changed to the status of Controlled|"&amp;TEXT(_xlfn.MAXIFS(Status_Log!$E:$E,Status_Log!$A:$A,$A9,Status_Log!$B:$B,$B9,Status_Log!$C:$C,$C9,Status_Log!$D:$D,"Changed to the status of Controlled"),"0.000000"),Status_Log!$H:$H,0)),"")))</f>
        <v>Raj Kumar</v>
      </c>
      <c r="N9" s="4" t="str">
        <f aca="false">IF($A9="","",IFERROR(VLOOKUP($C9,Dim_Fund!$A:$G,7,0),""))</f>
        <v>Aisha Rahman</v>
      </c>
      <c r="O9" s="4" t="str">
        <f aca="false">IF($A9="","",IF(L9=N9,"No","Yes"))</f>
        <v>No</v>
      </c>
      <c r="P9" s="4" t="str">
        <f aca="false">IF($A9="","",IF(E9="Client","n/a",IF(L9=M9,"YES — four-eyes breach","No")))</f>
        <v>No</v>
      </c>
      <c r="Q9" s="38" t="n">
        <f aca="false">IF($A9="","",IFERROR(VLOOKUP($C9,Dim_Fund!$A:$AB,28,0),""))</f>
        <v>43.2</v>
      </c>
      <c r="R9" s="38" t="n">
        <f aca="false">IF($A9="","",IFERROR(VLOOKUP($C9,Dim_Fund!$A:$AC,29,0),""))</f>
        <v>34.6</v>
      </c>
      <c r="S9" s="38" t="n">
        <f aca="false">IF($A9="","",IFERROR(VLOOKUP($C9,Dim_Fund!$A:$AD,30,0),""))</f>
        <v>8.6</v>
      </c>
      <c r="T9" s="38" t="n">
        <f aca="false">IF($A9="","",IFERROR(VLOOKUP($C9,Dim_Fund!$A:$AL,38,0),""))</f>
        <v>0</v>
      </c>
      <c r="U9" s="37" t="n">
        <f aca="false">IF($A9="","",IF(AL9="","",IFERROR(IF(COUNTIFS(Fact_Milestone!$A:$A,$B9,Fact_Milestone!$B:$B,AL9)=0,"",_xlfn.MAXIFS(Fact_Milestone!$C:$C,Fact_Milestone!$A:$A,$B9,Fact_Milestone!$B:$B,AL9)),"")))</f>
        <v>46265.4986111111</v>
      </c>
      <c r="V9" s="37" t="n">
        <f aca="false">IF($A9="","",IFERROR(IF(VLOOKUP($C9,Dim_Fund!$A:$AI,35,0)&gt;0,$B9+VLOOKUP($C9,Dim_Fund!$A:$AI,35,0)/24,""),""))</f>
        <v>46265.6979166667</v>
      </c>
      <c r="W9" s="37" t="n">
        <f aca="false">IF($A9="","",F9)</f>
        <v>46265.6347222222</v>
      </c>
      <c r="X9" s="37" t="n">
        <f aca="false">IF($A9="","",IF(E9="Client",H9,G9))</f>
        <v>46265.64375</v>
      </c>
      <c r="Y9" s="37" t="n">
        <f aca="false">IF($A9="","",I9)</f>
        <v>46265.6645833333</v>
      </c>
      <c r="Z9" s="37" t="n">
        <f aca="false">IF($A9="","",IFERROR(W9-R9/1440,""))</f>
        <v>46265.6106944445</v>
      </c>
      <c r="AA9" s="38" t="n">
        <f aca="false">IF($A9="","",IF(OR(U9="",V9=""),"",ROUND((V9-U9)*1440,0)))</f>
        <v>287</v>
      </c>
      <c r="AB9" s="38" t="n">
        <f aca="false">IF($A9="","",IF(U9="","",ROUND((W9-U9)*1440,0)))</f>
        <v>196</v>
      </c>
      <c r="AC9" s="38" t="n">
        <f aca="false">IF($A9="","",IF(AB9="","",MAX(0,AB9)))</f>
        <v>196</v>
      </c>
      <c r="AD9" s="38" t="n">
        <f aca="false">IF($A9="","",IFERROR(ROUND((X9-W9)*1440,0),""))</f>
        <v>13</v>
      </c>
      <c r="AE9" s="38" t="n">
        <f aca="false">IF($A9="","",IF(E9="Client","n/a",IFERROR(ROUND((H9-G9)*1440,0),"")))</f>
        <v>16</v>
      </c>
      <c r="AF9" s="38" t="n">
        <f aca="false">IF($A9="","",IFERROR(ROUND((Y9-H9)*1440,0),""))</f>
        <v>14</v>
      </c>
      <c r="AG9" s="38" t="n">
        <f aca="false">IF($A9="","",IFERROR(ROUND((H9-F9)*1440,0),""))</f>
        <v>29</v>
      </c>
      <c r="AH9" s="38" t="n">
        <f aca="false">IF($A9="","",IFERROR(ROUND((Y9-V9)*1440,0),""))</f>
        <v>-48</v>
      </c>
      <c r="AI9" s="4" t="str">
        <f aca="false">IF($A9="","",IF(AH9="","",IF(AH9&gt;0,"Yes","No")))</f>
        <v>No</v>
      </c>
      <c r="AJ9" s="4" t="str">
        <f aca="false">IF($A9="","",IF(AI9&lt;&gt;"Yes","On time",IF(N(AC9)&gt;=MAX(N(AF9),N(K9)),"Wait for analyst",IF(N(AF9)&gt;=N(K9),"External sign-off","Rework"))))</f>
        <v>On time</v>
      </c>
      <c r="AK9" s="4" t="str">
        <f aca="false">IF($A9="","",IF(OR(F9="",Y9="",ISNA(MATCH(L9,Dim_Analyst!$A:$A,0))),"CHECK","OK"))</f>
        <v>OK</v>
      </c>
      <c r="AL9" s="4" t="str">
        <f aca="false">IF($A9="","",IFERROR(VLOOKUP($C9,Dim_Fund!$A:$U,21,0),""))</f>
        <v>TOP-MA1</v>
      </c>
      <c r="AM9" s="4" t="str">
        <f aca="false">IF($A9="","",IF($U9="","",IF($U9&gt;$B9+IFERROR(VLOOKUP($C9,Dim_Fund!$A:$AH,34,0),0)/24,"Yes","No")))</f>
        <v>No</v>
      </c>
      <c r="AN9" s="22" t="n">
        <f aca="false">IF($A9="","",IFERROR(VLOOKUP($C9,Dim_Fund!$A:$AH,34,0),""))</f>
        <v>12.2333333333333</v>
      </c>
      <c r="AO9" s="22" t="n">
        <f aca="false">IF($A9="","",IF($AL9="","",IFERROR(FLOOR(IF(COUNTIFS(Fact_Milestone!$A:$A,$B9,Fact_Milestone!$B:$B,$AL9,Fact_Milestone!$F:$F,"&gt;0")&gt;0,_xlfn.MINIFS(Fact_Milestone!$F:$F,Fact_Milestone!$A:$A,$B9,Fact_Milestone!$B:$B,$AL9,Fact_Milestone!$F:$F,"&gt;0"),VLOOKUP($AL9,Dim_TOP!$A:$E,5,0)),0.5),"")))</f>
        <v>11.5</v>
      </c>
      <c r="AP9" s="22" t="n">
        <f aca="false">IF($A9="","",IF($U9="","",ROUND(($U9-INT($U9))*24,4)))</f>
        <v>11.9667</v>
      </c>
      <c r="AQ9" s="22" t="n">
        <f aca="false">IF($A9="","",IF($W9="","",ROUND(($W9-INT($W9))*24,4)))</f>
        <v>15.2333</v>
      </c>
      <c r="AR9" s="22" t="n">
        <f aca="false">IF($A9="","",IF($X9="","",ROUND(($X9-INT($X9))*24,4)))</f>
        <v>15.45</v>
      </c>
      <c r="AS9" s="38" t="n">
        <f aca="false">IF($A9="","",IF(OR($AN9="",$V9="",$S9="",$T9=""),"",ROUND(($V9-($B9+$AN9/24))*1440-$S9-$T9,0)))</f>
        <v>262</v>
      </c>
      <c r="AT9" s="38" t="n">
        <f aca="false">IF($A9="","",IF(OR($AN9="",$U9=""),"",ROUND(($U9-($B9+$AN9/24))*1440,0)))</f>
        <v>-16</v>
      </c>
      <c r="AU9" s="38" t="n">
        <f aca="false">IF($A9="","",IF(OR($AD9="",$S9=""),"",ROUND($AD9-$S9,0)))</f>
        <v>4</v>
      </c>
      <c r="AV9" s="38" t="n">
        <f aca="false">IF($A9="","",N($AE9))</f>
        <v>16</v>
      </c>
      <c r="AW9" s="38" t="n">
        <f aca="false">IF($A9="","",IF(OR($AF9="",$T9=""),"",$AF9-$T9))</f>
        <v>14</v>
      </c>
      <c r="AX9" s="38" t="n">
        <f aca="false">IF($A9="","",IF(COUNT($AT9,$AB9,$AU9,$AW9,$AS9,$AH9)&lt;6,"",ROUND($AT9+$AB9+$AU9+$AV9+$AW9-$AS9-$AH9,0)))</f>
        <v>0</v>
      </c>
      <c r="AY9" s="4" t="str">
        <f aca="false">IF($A9="","",IF($AX9="","No",IF(ABS($AX9)&lt;=2,"Yes","No")))</f>
        <v>Yes</v>
      </c>
      <c r="AZ9" s="4" t="str">
        <f aca="false">IF($A9="","",IF($AI9&lt;&gt;"Yes","n/a",IF(OR($AA9="",$S9="",$T9=""),"Unknown",IF($AA9&lt;$S9+$T9,"Lost on arrival","Lost after arrival"))))</f>
        <v>n/a</v>
      </c>
      <c r="BA9" s="10" t="str">
        <f aca="false">IF($A9="","",IFERROR(VLOOKUP($C9,Dim_Fund!$A:$D,4,0),""))</f>
        <v>Northgate Insurance</v>
      </c>
      <c r="BB9" s="10" t="str">
        <f aca="false">IF($A9="","",IF($AL9="","",IF(COUNTIFS(Fact_Milestone!$A:$A,$B9,Fact_Milestone!$B:$B,$AL9,Fact_Milestone!$I:$I,"No")&gt;0,"No",IF(COUNTIFS(Fact_Milestone!$A:$A,$B9,Fact_Milestone!$B:$B,$AL9,Fact_Milestone!$I:$I,"Yes")&gt;0,"Yes",""))))</f>
        <v>No</v>
      </c>
      <c r="BC9" s="45" t="str">
        <f aca="false">IF($A9="","",IF(OR($L9="",$W9=""),"",IF(COUNTIFS($L:$L,$L9,$B:$B,$B9,$W:$W,"&lt;"&amp;$W9)=0,"",_xlfn.MAXIFS($W:$W,$L:$L,$L9,$B:$B,$B9,$W:$W,"&lt;"&amp;$W9))))</f>
        <v/>
      </c>
      <c r="BD9" s="39" t="n">
        <f aca="false">IF($A9="","",IF($AC9="","",IF(OR($L9="",$AC9=0),0,MIN($AC9,ROUND(ROUND(1440*SUMPRODUCT(($L$2:INDEX($L:$L,COUNTA($C:$C))=$L9)*($B$2:INDEX($B:$B,COUNTA($C:$C))=$B9)*(ROW($L$2:INDEX($L:$L,COUNTA($C:$C)))&lt;&gt;ROW())*((((($W9+$BT$2:INDEX($BT:$BT,COUNTA($C:$C))-ABS($W9-$BT$2:INDEX($BT:$BT,COUNTA($C:$C))))/2)-(($U9+$BS$2:INDEX($BS:$BS,COUNTA($C:$C))+ABS($U9-$BS$2:INDEX($BS:$BS,COUNTA($C:$C))))/2))+ABS(((($W9+$BT$2:INDEX($BT:$BT,COUNTA($C:$C))-ABS($W9-$BT$2:INDEX($BT:$BT,COUNTA($C:$C))))/2)-(($U9+$BS$2:INDEX($BS:$BS,COUNTA($C:$C))+ABS($U9-$BS$2:INDEX($BS:$BS,COUNTA($C:$C))))/2))))/2)),4),0)))))</f>
        <v>0</v>
      </c>
      <c r="BE9" s="39" t="n">
        <f aca="false">IF($A9="","",IF($AC9="","",ROUND(MIN($AC9-$BD9,N($R9)),0)))</f>
        <v>35</v>
      </c>
      <c r="BF9" s="10" t="str">
        <f aca="false">IF($A9="","",IFERROR(VLOOKUP($C9,Dim_Fund!$A:$BD,56,0),""))</f>
        <v>Yes</v>
      </c>
      <c r="BG9" s="10" t="str">
        <f aca="false">IF($A9="","",IFERROR(VLOOKUP($C9,Dim_Fund!$A:$BH,60,0),""))</f>
        <v>Ample custody slack</v>
      </c>
      <c r="BH9" s="10" t="str">
        <f aca="false">IF($A9="","",IF($AI9&lt;&gt;"Yes","Not breached",IF($AM9="Yes","Pricing late",IF($BG9="Thin custody slack","Thin custody slack",IF($BF9="Yes","Broker-dependent","None of these")))))</f>
        <v>Not breached</v>
      </c>
      <c r="BI9" s="23" t="n">
        <f aca="false">IF($A9="","",IFERROR(IF(VLOOKUP($C9,Dim_Fund!$A:$AI,35,0)&gt;0,VLOOKUP($C9,Dim_Fund!$A:$AI,35,0),""),""))</f>
        <v>16.75</v>
      </c>
      <c r="BJ9" s="10" t="str">
        <f aca="false">IF($A9="","",$C9&amp;IF($E9="Client","*",""))</f>
        <v>FD-1011</v>
      </c>
      <c r="BK9" s="39" t="n">
        <f aca="false">IF($A9="","",IFERROR(ROUND(($Y9-$X9)*1440,0),""))</f>
        <v>30</v>
      </c>
      <c r="BL9" s="39" t="n">
        <f aca="false">IF($A9="","",IF($AH9="","",-$AH9))</f>
        <v>48</v>
      </c>
      <c r="BM9" s="46" t="n">
        <f aca="false">IF($A9="","",IF($AQ9="","",IF($AP9="",$AQ9,MIN($AP9,$AQ9))))</f>
        <v>11.9667</v>
      </c>
      <c r="BN9" s="46" t="n">
        <f aca="false">IF($A9="","",IF($BM9="","",ROUND(N($AC9)/60,4)))</f>
        <v>3.2667</v>
      </c>
      <c r="BO9" s="46" t="n">
        <f aca="false">IF($A9="","",IF(OR($BM9="",$AD9=""),"",ROUND($AD9/60,4)))</f>
        <v>0.2167</v>
      </c>
      <c r="BP9" s="46" t="n">
        <f aca="false">IF($A9="","",IF($BM9="","",ROUND(N($AE9)/60,4)))</f>
        <v>0.2667</v>
      </c>
      <c r="BQ9" s="46" t="n">
        <f aca="false">IF($A9="","",IF(OR($BM9="",$AF9=""),"",ROUND($AF9/60,4)))</f>
        <v>0.2333</v>
      </c>
      <c r="BR9" s="39" t="n">
        <f aca="false">IF($A9="","",IF($AC9="","",$AC9-$BD9-$BE9))</f>
        <v>161</v>
      </c>
      <c r="BS9" s="45" t="n">
        <f aca="false">IF($A9="","",IF(AND(ISNUMBER($Z9),ISNUMBER($W9)),$Z9,0))</f>
        <v>46265.6106944445</v>
      </c>
      <c r="BT9" s="45" t="n">
        <f aca="false">IF($A9="","",IF(ISNUMBER($W9),$W9,0))</f>
        <v>46265.6347222222</v>
      </c>
      <c r="BU9" s="23" t="n">
        <f aca="false">IF($A9="","",IF(ISNUMBER($W9),ROUND(($W9-$B9)*24,4),""))</f>
        <v>15.2333</v>
      </c>
      <c r="BV9" s="23" t="n">
        <f aca="false">IF($A9="","",IF(ISNUMBER($X9),ROUND(($X9-$B9)*24,4),""))</f>
        <v>15.45</v>
      </c>
      <c r="BW9" s="10" t="str">
        <f aca="false">IF($A9="","",IF(NOT(ISNUMBER($W9)),"Missing Calculated",IF(NOT(ISNUMBER($X9)),IF($E9="Client","Missing FA signed off","Missing Controlled"),IF($X9&lt;$W9,"End before start","OK"))))</f>
        <v>OK</v>
      </c>
      <c r="BX9" s="23" t="n">
        <f aca="false">IF($A9="","",IF(NOT(ISNUMBER($Z9)),"",ROUND((IF(ISNUMBER($U9),MIN($U9,$Z9),$Z9)-$B9)*24,4)))</f>
        <v>11.9667</v>
      </c>
      <c r="BY9" s="23" t="n">
        <f aca="false">IF($A9="","",IF(ISNUMBER($Z9),ROUND(($Z9-$B9)*24,4),""))</f>
        <v>14.6567</v>
      </c>
      <c r="BZ9" s="23" t="n">
        <f aca="false">IF($A9="","",IF(AND(ISNUMBER($W9),ISNUMBER($S9)),ROUND(($W9+$S9/1440-$B9)*24,4),""))</f>
        <v>15.3767</v>
      </c>
    </row>
    <row r="10" customFormat="false" ht="15" hidden="false" customHeight="true" outlineLevel="0" collapsed="false">
      <c r="A10" s="34" t="n">
        <v>46235</v>
      </c>
      <c r="B10" s="34" t="n">
        <v>46265</v>
      </c>
      <c r="C10" s="13" t="s">
        <v>350</v>
      </c>
      <c r="D10" s="4" t="n">
        <f aca="false">IF($A10="","",$B10-$A10)</f>
        <v>30</v>
      </c>
      <c r="E10" s="4" t="str">
        <f aca="false">IF($A10="","",IFERROR(VLOOKUP($C10,Dim_Fund!$A:$X,24,0),""))</f>
        <v>FA</v>
      </c>
      <c r="F10" s="37" t="n">
        <f aca="false">IF($A10="","",IF(COUNTIFS(Status_Log!$A:$A,$A10,Status_Log!$B:$B,$B10,Status_Log!$C:$C,$C10,Status_Log!$D:$D,"Changed to the status of Calculated")=0,"",_xlfn.MINIFS(Status_Log!$E:$E,Status_Log!$A:$A,$A10,Status_Log!$B:$B,$B10,Status_Log!$C:$C,$C10,Status_Log!$D:$D,"Changed to the status of Calculated")))</f>
        <v>46265.5409722222</v>
      </c>
      <c r="G10" s="37" t="n">
        <f aca="false">IF($A10="","",IF(COUNTIFS(Status_Log!$A:$A,$A10,Status_Log!$B:$B,$B10,Status_Log!$C:$C,$C10,Status_Log!$D:$D,"Changed to the status of Controlled")=0,"",_xlfn.MAXIFS(Status_Log!$E:$E,Status_Log!$A:$A,$A10,Status_Log!$B:$B,$B10,Status_Log!$C:$C,$C10,Status_Log!$D:$D,"Changed to the status of Controlled")))</f>
        <v>46265.5493055556</v>
      </c>
      <c r="H10" s="37" t="n">
        <f aca="false">IF($A10="","",IF(COUNTIFS(Status_Log!$A:$A,$A10,Status_Log!$B:$B,$B10,Status_Log!$C:$C,$C10,Status_Log!$D:$D,"Changed to the status of Fund accounting signed off")=0,"",_xlfn.MAXIFS(Status_Log!$E:$E,Status_Log!$A:$A,$A10,Status_Log!$B:$B,$B10,Status_Log!$C:$C,$C10,Status_Log!$D:$D,"Changed to the status of Fund accounting signed off")))</f>
        <v>46265.5618055556</v>
      </c>
      <c r="I10" s="37" t="n">
        <f aca="false">IF($A10="","",IF(COUNTIFS(Status_Log!$A:$A,$A10,Status_Log!$B:$B,$B10,Status_Log!$C:$C,$C10,Status_Log!$D:$D,"Changed to the status of signed off")=0,"",_xlfn.MAXIFS(Status_Log!$E:$E,Status_Log!$A:$A,$A10,Status_Log!$B:$B,$B10,Status_Log!$C:$C,$C10,Status_Log!$D:$D,"Changed to the status of signed off")))</f>
        <v>46265.5659722222</v>
      </c>
      <c r="J10" s="4" t="n">
        <f aca="false">IF($A10="","",COUNTIFS(Status_Log!$A:$A,$A10,Status_Log!$B:$B,$B10,Status_Log!$C:$C,$C10,Status_Log!$D:$D,"Changed to the status of Calculated"))</f>
        <v>1</v>
      </c>
      <c r="K10" s="38" t="n">
        <f aca="false">IF($A10="","",IF(J10&lt;=1,0,ROUND((_xlfn.MAXIFS(Status_Log!$E:$E,Status_Log!$A:$A,$A10,Status_Log!$B:$B,$B10,Status_Log!$C:$C,$C10,Status_Log!$D:$D,"Changed to the status of Calculated")-F10)*1440,0)))</f>
        <v>0</v>
      </c>
      <c r="L10" s="4" t="str">
        <f aca="false">IF($A10="","",IFERROR(INDEX(Status_Log!$F:$F,MATCH($A10&amp;"|"&amp;$B10&amp;"|"&amp;$C10&amp;"|Changed to the status of Calculated|"&amp;TEXT(_xlfn.MAXIFS(Status_Log!$E:$E,Status_Log!$A:$A,$A10,Status_Log!$B:$B,$B10,Status_Log!$C:$C,$C10,Status_Log!$D:$D,"Changed to the status of Calculated"),"0.000000"),Status_Log!$H:$H,0)),""))</f>
        <v>Daniel Tan</v>
      </c>
      <c r="M10" s="4" t="str">
        <f aca="false">IF($A10="","",IF(E10="Client","n/a — no control step",IFERROR(INDEX(Status_Log!$F:$F,MATCH($A10&amp;"|"&amp;$B10&amp;"|"&amp;$C10&amp;"|Changed to the status of Controlled|"&amp;TEXT(_xlfn.MAXIFS(Status_Log!$E:$E,Status_Log!$A:$A,$A10,Status_Log!$B:$B,$B10,Status_Log!$C:$C,$C10,Status_Log!$D:$D,"Changed to the status of Controlled"),"0.000000"),Status_Log!$H:$H,0)),"")))</f>
        <v>Raj Kumar</v>
      </c>
      <c r="N10" s="4" t="str">
        <f aca="false">IF($A10="","",IFERROR(VLOOKUP($C10,Dim_Fund!$A:$G,7,0),""))</f>
        <v>Daniel Tan</v>
      </c>
      <c r="O10" s="4" t="str">
        <f aca="false">IF($A10="","",IF(L10=N10,"No","Yes"))</f>
        <v>No</v>
      </c>
      <c r="P10" s="4" t="str">
        <f aca="false">IF($A10="","",IF(E10="Client","n/a",IF(L10=M10,"YES — four-eyes breach","No")))</f>
        <v>No</v>
      </c>
      <c r="Q10" s="38" t="n">
        <f aca="false">IF($A10="","",IFERROR(VLOOKUP($C10,Dim_Fund!$A:$AB,28,0),""))</f>
        <v>47.4</v>
      </c>
      <c r="R10" s="38" t="n">
        <f aca="false">IF($A10="","",IFERROR(VLOOKUP($C10,Dim_Fund!$A:$AC,29,0),""))</f>
        <v>28.4</v>
      </c>
      <c r="S10" s="38" t="n">
        <f aca="false">IF($A10="","",IFERROR(VLOOKUP($C10,Dim_Fund!$A:$AD,30,0),""))</f>
        <v>19</v>
      </c>
      <c r="T10" s="38" t="n">
        <f aca="false">IF($A10="","",IFERROR(VLOOKUP($C10,Dim_Fund!$A:$AL,38,0),""))</f>
        <v>0</v>
      </c>
      <c r="U10" s="37" t="n">
        <f aca="false">IF($A10="","",IF(AL10="","",IFERROR(IF(COUNTIFS(Fact_Milestone!$A:$A,$B10,Fact_Milestone!$B:$B,AL10)=0,"",_xlfn.MAXIFS(Fact_Milestone!$C:$C,Fact_Milestone!$A:$A,$B10,Fact_Milestone!$B:$B,AL10)),"")))</f>
        <v>46265.4715277778</v>
      </c>
      <c r="V10" s="37" t="n">
        <f aca="false">IF($A10="","",IFERROR(IF(VLOOKUP($C10,Dim_Fund!$A:$AI,35,0)&gt;0,$B10+VLOOKUP($C10,Dim_Fund!$A:$AI,35,0)/24,""),""))</f>
        <v>46265.6263888889</v>
      </c>
      <c r="W10" s="37" t="n">
        <f aca="false">IF($A10="","",F10)</f>
        <v>46265.5409722222</v>
      </c>
      <c r="X10" s="37" t="n">
        <f aca="false">IF($A10="","",IF(E10="Client",H10,G10))</f>
        <v>46265.5493055556</v>
      </c>
      <c r="Y10" s="37" t="n">
        <f aca="false">IF($A10="","",I10)</f>
        <v>46265.5659722222</v>
      </c>
      <c r="Z10" s="37" t="n">
        <f aca="false">IF($A10="","",IFERROR(W10-R10/1440,""))</f>
        <v>46265.52125</v>
      </c>
      <c r="AA10" s="38" t="n">
        <f aca="false">IF($A10="","",IF(OR(U10="",V10=""),"",ROUND((V10-U10)*1440,0)))</f>
        <v>223</v>
      </c>
      <c r="AB10" s="38" t="n">
        <f aca="false">IF($A10="","",IF(U10="","",ROUND((W10-U10)*1440,0)))</f>
        <v>100</v>
      </c>
      <c r="AC10" s="38" t="n">
        <f aca="false">IF($A10="","",IF(AB10="","",MAX(0,AB10)))</f>
        <v>100</v>
      </c>
      <c r="AD10" s="38" t="n">
        <f aca="false">IF($A10="","",IFERROR(ROUND((X10-W10)*1440,0),""))</f>
        <v>12</v>
      </c>
      <c r="AE10" s="38" t="n">
        <f aca="false">IF($A10="","",IF(E10="Client","n/a",IFERROR(ROUND((H10-G10)*1440,0),"")))</f>
        <v>18</v>
      </c>
      <c r="AF10" s="38" t="n">
        <f aca="false">IF($A10="","",IFERROR(ROUND((Y10-H10)*1440,0),""))</f>
        <v>6</v>
      </c>
      <c r="AG10" s="38" t="n">
        <f aca="false">IF($A10="","",IFERROR(ROUND((H10-F10)*1440,0),""))</f>
        <v>30</v>
      </c>
      <c r="AH10" s="38" t="n">
        <f aca="false">IF($A10="","",IFERROR(ROUND((Y10-V10)*1440,0),""))</f>
        <v>-87</v>
      </c>
      <c r="AI10" s="4" t="str">
        <f aca="false">IF($A10="","",IF(AH10="","",IF(AH10&gt;0,"Yes","No")))</f>
        <v>No</v>
      </c>
      <c r="AJ10" s="4" t="str">
        <f aca="false">IF($A10="","",IF(AI10&lt;&gt;"Yes","On time",IF(N(AC10)&gt;=MAX(N(AF10),N(K10)),"Wait for analyst",IF(N(AF10)&gt;=N(K10),"External sign-off","Rework"))))</f>
        <v>On time</v>
      </c>
      <c r="AK10" s="4" t="str">
        <f aca="false">IF($A10="","",IF(OR(F10="",Y10="",ISNA(MATCH(L10,Dim_Analyst!$A:$A,0))),"CHECK","OK"))</f>
        <v>OK</v>
      </c>
      <c r="AL10" s="4" t="str">
        <f aca="false">IF($A10="","",IFERROR(VLOOKUP($C10,Dim_Fund!$A:$U,21,0),""))</f>
        <v>TOP-ALT</v>
      </c>
      <c r="AM10" s="4" t="str">
        <f aca="false">IF($A10="","",IF($U10="","",IF($U10&gt;$B10+IFERROR(VLOOKUP($C10,Dim_Fund!$A:$AH,34,0),0)/24,"Yes","No")))</f>
        <v>No</v>
      </c>
      <c r="AN10" s="22" t="n">
        <f aca="false">IF($A10="","",IFERROR(VLOOKUP($C10,Dim_Fund!$A:$AH,34,0),""))</f>
        <v>11.6333333333333</v>
      </c>
      <c r="AO10" s="22" t="n">
        <f aca="false">IF($A10="","",IF($AL10="","",IFERROR(FLOOR(IF(COUNTIFS(Fact_Milestone!$A:$A,$B10,Fact_Milestone!$B:$B,$AL10,Fact_Milestone!$F:$F,"&gt;0")&gt;0,_xlfn.MINIFS(Fact_Milestone!$F:$F,Fact_Milestone!$A:$A,$B10,Fact_Milestone!$B:$B,$AL10,Fact_Milestone!$F:$F,"&gt;0"),VLOOKUP($AL10,Dim_TOP!$A:$E,5,0)),0.5),"")))</f>
        <v>11.5</v>
      </c>
      <c r="AP10" s="22" t="n">
        <f aca="false">IF($A10="","",IF($U10="","",ROUND(($U10-INT($U10))*24,4)))</f>
        <v>11.3167</v>
      </c>
      <c r="AQ10" s="22" t="n">
        <f aca="false">IF($A10="","",IF($W10="","",ROUND(($W10-INT($W10))*24,4)))</f>
        <v>12.9833</v>
      </c>
      <c r="AR10" s="22" t="n">
        <f aca="false">IF($A10="","",IF($X10="","",ROUND(($X10-INT($X10))*24,4)))</f>
        <v>13.1833</v>
      </c>
      <c r="AS10" s="38" t="n">
        <f aca="false">IF($A10="","",IF(OR($AN10="",$V10="",$S10="",$T10=""),"",ROUND(($V10-($B10+$AN10/24))*1440-$S10-$T10,0)))</f>
        <v>185</v>
      </c>
      <c r="AT10" s="38" t="n">
        <f aca="false">IF($A10="","",IF(OR($AN10="",$U10=""),"",ROUND(($U10-($B10+$AN10/24))*1440,0)))</f>
        <v>-19</v>
      </c>
      <c r="AU10" s="38" t="n">
        <f aca="false">IF($A10="","",IF(OR($AD10="",$S10=""),"",ROUND($AD10-$S10,0)))</f>
        <v>-7</v>
      </c>
      <c r="AV10" s="38" t="n">
        <f aca="false">IF($A10="","",N($AE10))</f>
        <v>18</v>
      </c>
      <c r="AW10" s="38" t="n">
        <f aca="false">IF($A10="","",IF(OR($AF10="",$T10=""),"",$AF10-$T10))</f>
        <v>6</v>
      </c>
      <c r="AX10" s="38" t="n">
        <f aca="false">IF($A10="","",IF(COUNT($AT10,$AB10,$AU10,$AW10,$AS10,$AH10)&lt;6,"",ROUND($AT10+$AB10+$AU10+$AV10+$AW10-$AS10-$AH10,0)))</f>
        <v>0</v>
      </c>
      <c r="AY10" s="4" t="str">
        <f aca="false">IF($A10="","",IF($AX10="","No",IF(ABS($AX10)&lt;=2,"Yes","No")))</f>
        <v>Yes</v>
      </c>
      <c r="AZ10" s="4" t="str">
        <f aca="false">IF($A10="","",IF($AI10&lt;&gt;"Yes","n/a",IF(OR($AA10="",$S10="",$T10=""),"Unknown",IF($AA10&lt;$S10+$T10,"Lost on arrival","Lost after arrival"))))</f>
        <v>n/a</v>
      </c>
      <c r="BA10" s="10" t="str">
        <f aca="false">IF($A10="","",IFERROR(VLOOKUP($C10,Dim_Fund!$A:$D,4,0),""))</f>
        <v>Halvern Wealth</v>
      </c>
      <c r="BB10" s="10" t="str">
        <f aca="false">IF($A10="","",IF($AL10="","",IF(COUNTIFS(Fact_Milestone!$A:$A,$B10,Fact_Milestone!$B:$B,$AL10,Fact_Milestone!$I:$I,"No")&gt;0,"No",IF(COUNTIFS(Fact_Milestone!$A:$A,$B10,Fact_Milestone!$B:$B,$AL10,Fact_Milestone!$I:$I,"Yes")&gt;0,"Yes",""))))</f>
        <v>Yes</v>
      </c>
      <c r="BC10" s="45" t="str">
        <f aca="false">IF($A10="","",IF(OR($L10="",$W10=""),"",IF(COUNTIFS($L:$L,$L10,$B:$B,$B10,$W:$W,"&lt;"&amp;$W10)=0,"",_xlfn.MAXIFS($W:$W,$L:$L,$L10,$B:$B,$B10,$W:$W,"&lt;"&amp;$W10))))</f>
        <v/>
      </c>
      <c r="BD10" s="39" t="n">
        <f aca="false">IF($A10="","",IF($AC10="","",IF(OR($L10="",$AC10=0),0,MIN($AC10,ROUND(ROUND(1440*SUMPRODUCT(($L$2:INDEX($L:$L,COUNTA($C:$C))=$L10)*($B$2:INDEX($B:$B,COUNTA($C:$C))=$B10)*(ROW($L$2:INDEX($L:$L,COUNTA($C:$C)))&lt;&gt;ROW())*((((($W10+$BT$2:INDEX($BT:$BT,COUNTA($C:$C))-ABS($W10-$BT$2:INDEX($BT:$BT,COUNTA($C:$C))))/2)-(($U10+$BS$2:INDEX($BS:$BS,COUNTA($C:$C))+ABS($U10-$BS$2:INDEX($BS:$BS,COUNTA($C:$C))))/2))+ABS(((($W10+$BT$2:INDEX($BT:$BT,COUNTA($C:$C))-ABS($W10-$BT$2:INDEX($BT:$BT,COUNTA($C:$C))))/2)-(($U10+$BS$2:INDEX($BS:$BS,COUNTA($C:$C))+ABS($U10-$BS$2:INDEX($BS:$BS,COUNTA($C:$C))))/2))))/2)),4),0)))))</f>
        <v>0</v>
      </c>
      <c r="BE10" s="39" t="n">
        <f aca="false">IF($A10="","",IF($AC10="","",ROUND(MIN($AC10-$BD10,N($R10)),0)))</f>
        <v>28</v>
      </c>
      <c r="BF10" s="10" t="str">
        <f aca="false">IF($A10="","",IFERROR(VLOOKUP($C10,Dim_Fund!$A:$BD,56,0),""))</f>
        <v>Yes</v>
      </c>
      <c r="BG10" s="10" t="str">
        <f aca="false">IF($A10="","",IFERROR(VLOOKUP($C10,Dim_Fund!$A:$BH,60,0),""))</f>
        <v>Ample custody slack</v>
      </c>
      <c r="BH10" s="10" t="str">
        <f aca="false">IF($A10="","",IF($AI10&lt;&gt;"Yes","Not breached",IF($AM10="Yes","Pricing late",IF($BG10="Thin custody slack","Thin custody slack",IF($BF10="Yes","Broker-dependent","None of these")))))</f>
        <v>Not breached</v>
      </c>
      <c r="BI10" s="23" t="n">
        <f aca="false">IF($A10="","",IFERROR(IF(VLOOKUP($C10,Dim_Fund!$A:$AI,35,0)&gt;0,VLOOKUP($C10,Dim_Fund!$A:$AI,35,0),""),""))</f>
        <v>15.0333333333333</v>
      </c>
      <c r="BJ10" s="10" t="str">
        <f aca="false">IF($A10="","",$C10&amp;IF($E10="Client","*",""))</f>
        <v>FD-1012</v>
      </c>
      <c r="BK10" s="39" t="n">
        <f aca="false">IF($A10="","",IFERROR(ROUND(($Y10-$X10)*1440,0),""))</f>
        <v>24</v>
      </c>
      <c r="BL10" s="39" t="n">
        <f aca="false">IF($A10="","",IF($AH10="","",-$AH10))</f>
        <v>87</v>
      </c>
      <c r="BM10" s="46" t="n">
        <f aca="false">IF($A10="","",IF($AQ10="","",IF($AP10="",$AQ10,MIN($AP10,$AQ10))))</f>
        <v>11.3167</v>
      </c>
      <c r="BN10" s="46" t="n">
        <f aca="false">IF($A10="","",IF($BM10="","",ROUND(N($AC10)/60,4)))</f>
        <v>1.6667</v>
      </c>
      <c r="BO10" s="46" t="n">
        <f aca="false">IF($A10="","",IF(OR($BM10="",$AD10=""),"",ROUND($AD10/60,4)))</f>
        <v>0.2</v>
      </c>
      <c r="BP10" s="46" t="n">
        <f aca="false">IF($A10="","",IF($BM10="","",ROUND(N($AE10)/60,4)))</f>
        <v>0.3</v>
      </c>
      <c r="BQ10" s="46" t="n">
        <f aca="false">IF($A10="","",IF(OR($BM10="",$AF10=""),"",ROUND($AF10/60,4)))</f>
        <v>0.1</v>
      </c>
      <c r="BR10" s="39" t="n">
        <f aca="false">IF($A10="","",IF($AC10="","",$AC10-$BD10-$BE10))</f>
        <v>72</v>
      </c>
      <c r="BS10" s="45" t="n">
        <f aca="false">IF($A10="","",IF(AND(ISNUMBER($Z10),ISNUMBER($W10)),$Z10,0))</f>
        <v>46265.52125</v>
      </c>
      <c r="BT10" s="45" t="n">
        <f aca="false">IF($A10="","",IF(ISNUMBER($W10),$W10,0))</f>
        <v>46265.5409722222</v>
      </c>
      <c r="BU10" s="23" t="n">
        <f aca="false">IF($A10="","",IF(ISNUMBER($W10),ROUND(($W10-$B10)*24,4),""))</f>
        <v>12.9833</v>
      </c>
      <c r="BV10" s="23" t="n">
        <f aca="false">IF($A10="","",IF(ISNUMBER($X10),ROUND(($X10-$B10)*24,4),""))</f>
        <v>13.1833</v>
      </c>
      <c r="BW10" s="10" t="str">
        <f aca="false">IF($A10="","",IF(NOT(ISNUMBER($W10)),"Missing Calculated",IF(NOT(ISNUMBER($X10)),IF($E10="Client","Missing FA signed off","Missing Controlled"),IF($X10&lt;$W10,"End before start","OK"))))</f>
        <v>OK</v>
      </c>
      <c r="BX10" s="23" t="n">
        <f aca="false">IF($A10="","",IF(NOT(ISNUMBER($Z10)),"",ROUND((IF(ISNUMBER($U10),MIN($U10,$Z10),$Z10)-$B10)*24,4)))</f>
        <v>11.3167</v>
      </c>
      <c r="BY10" s="23" t="n">
        <f aca="false">IF($A10="","",IF(ISNUMBER($Z10),ROUND(($Z10-$B10)*24,4),""))</f>
        <v>12.51</v>
      </c>
      <c r="BZ10" s="23" t="n">
        <f aca="false">IF($A10="","",IF(AND(ISNUMBER($W10),ISNUMBER($S10)),ROUND(($W10+$S10/1440-$B10)*24,4),""))</f>
        <v>13.3</v>
      </c>
    </row>
    <row r="11" customFormat="false" ht="15" hidden="false" customHeight="true" outlineLevel="0" collapsed="false">
      <c r="A11" s="34" t="n">
        <v>46265</v>
      </c>
      <c r="B11" s="34" t="n">
        <v>46266</v>
      </c>
      <c r="C11" s="13" t="s">
        <v>308</v>
      </c>
      <c r="D11" s="4" t="n">
        <f aca="false">IF($A11="","",$B11-$A11)</f>
        <v>1</v>
      </c>
      <c r="E11" s="4" t="str">
        <f aca="false">IF($A11="","",IFERROR(VLOOKUP($C11,Dim_Fund!$A:$X,24,0),""))</f>
        <v>FA</v>
      </c>
      <c r="F11" s="37" t="n">
        <f aca="false">IF($A11="","",IF(COUNTIFS(Status_Log!$A:$A,$A11,Status_Log!$B:$B,$B11,Status_Log!$C:$C,$C11,Status_Log!$D:$D,"Changed to the status of Calculated")=0,"",_xlfn.MINIFS(Status_Log!$E:$E,Status_Log!$A:$A,$A11,Status_Log!$B:$B,$B11,Status_Log!$C:$C,$C11,Status_Log!$D:$D,"Changed to the status of Calculated")))</f>
        <v>46266.5958333333</v>
      </c>
      <c r="G11" s="37" t="n">
        <f aca="false">IF($A11="","",IF(COUNTIFS(Status_Log!$A:$A,$A11,Status_Log!$B:$B,$B11,Status_Log!$C:$C,$C11,Status_Log!$D:$D,"Changed to the status of Controlled")=0,"",_xlfn.MAXIFS(Status_Log!$E:$E,Status_Log!$A:$A,$A11,Status_Log!$B:$B,$B11,Status_Log!$C:$C,$C11,Status_Log!$D:$D,"Changed to the status of Controlled")))</f>
        <v>46266.6111111111</v>
      </c>
      <c r="H11" s="37" t="n">
        <f aca="false">IF($A11="","",IF(COUNTIFS(Status_Log!$A:$A,$A11,Status_Log!$B:$B,$B11,Status_Log!$C:$C,$C11,Status_Log!$D:$D,"Changed to the status of Fund accounting signed off")=0,"",_xlfn.MAXIFS(Status_Log!$E:$E,Status_Log!$A:$A,$A11,Status_Log!$B:$B,$B11,Status_Log!$C:$C,$C11,Status_Log!$D:$D,"Changed to the status of Fund accounting signed off")))</f>
        <v>46266.6208333333</v>
      </c>
      <c r="I11" s="37" t="n">
        <f aca="false">IF($A11="","",IF(COUNTIFS(Status_Log!$A:$A,$A11,Status_Log!$B:$B,$B11,Status_Log!$C:$C,$C11,Status_Log!$D:$D,"Changed to the status of signed off")=0,"",_xlfn.MAXIFS(Status_Log!$E:$E,Status_Log!$A:$A,$A11,Status_Log!$B:$B,$B11,Status_Log!$C:$C,$C11,Status_Log!$D:$D,"Changed to the status of signed off")))</f>
        <v>46266.6347222222</v>
      </c>
      <c r="J11" s="4" t="n">
        <f aca="false">IF($A11="","",COUNTIFS(Status_Log!$A:$A,$A11,Status_Log!$B:$B,$B11,Status_Log!$C:$C,$C11,Status_Log!$D:$D,"Changed to the status of Calculated"))</f>
        <v>1</v>
      </c>
      <c r="K11" s="38" t="n">
        <f aca="false">IF($A11="","",IF(J11&lt;=1,0,ROUND((_xlfn.MAXIFS(Status_Log!$E:$E,Status_Log!$A:$A,$A11,Status_Log!$B:$B,$B11,Status_Log!$C:$C,$C11,Status_Log!$D:$D,"Changed to the status of Calculated")-F11)*1440,0)))</f>
        <v>0</v>
      </c>
      <c r="L11" s="4" t="str">
        <f aca="false">IF($A11="","",IFERROR(INDEX(Status_Log!$F:$F,MATCH($A11&amp;"|"&amp;$B11&amp;"|"&amp;$C11&amp;"|Changed to the status of Calculated|"&amp;TEXT(_xlfn.MAXIFS(Status_Log!$E:$E,Status_Log!$A:$A,$A11,Status_Log!$B:$B,$B11,Status_Log!$C:$C,$C11,Status_Log!$D:$D,"Changed to the status of Calculated"),"0.000000"),Status_Log!$H:$H,0)),""))</f>
        <v>Lim Wei Ming</v>
      </c>
      <c r="M11" s="4" t="str">
        <f aca="false">IF($A11="","",IF(E11="Client","n/a — no control step",IFERROR(INDEX(Status_Log!$F:$F,MATCH($A11&amp;"|"&amp;$B11&amp;"|"&amp;$C11&amp;"|Changed to the status of Controlled|"&amp;TEXT(_xlfn.MAXIFS(Status_Log!$E:$E,Status_Log!$A:$A,$A11,Status_Log!$B:$B,$B11,Status_Log!$C:$C,$C11,Status_Log!$D:$D,"Changed to the status of Controlled"),"0.000000"),Status_Log!$H:$H,0)),"")))</f>
        <v>Aisha Rahman</v>
      </c>
      <c r="N11" s="4" t="str">
        <f aca="false">IF($A11="","",IFERROR(VLOOKUP($C11,Dim_Fund!$A:$G,7,0),""))</f>
        <v>Lim Wei Ming</v>
      </c>
      <c r="O11" s="4" t="str">
        <f aca="false">IF($A11="","",IF(L11=N11,"No","Yes"))</f>
        <v>No</v>
      </c>
      <c r="P11" s="4" t="str">
        <f aca="false">IF($A11="","",IF(E11="Client","n/a",IF(L11=M11,"YES — four-eyes breach","No")))</f>
        <v>No</v>
      </c>
      <c r="Q11" s="38" t="n">
        <f aca="false">IF($A11="","",IFERROR(VLOOKUP($C11,Dim_Fund!$A:$AB,28,0),""))</f>
        <v>47.5</v>
      </c>
      <c r="R11" s="38" t="n">
        <f aca="false">IF($A11="","",IFERROR(VLOOKUP($C11,Dim_Fund!$A:$AC,29,0),""))</f>
        <v>28.5</v>
      </c>
      <c r="S11" s="38" t="n">
        <f aca="false">IF($A11="","",IFERROR(VLOOKUP($C11,Dim_Fund!$A:$AD,30,0),""))</f>
        <v>19</v>
      </c>
      <c r="T11" s="38" t="n">
        <f aca="false">IF($A11="","",IFERROR(VLOOKUP($C11,Dim_Fund!$A:$AL,38,0),""))</f>
        <v>0</v>
      </c>
      <c r="U11" s="37" t="n">
        <f aca="false">IF($A11="","",IF(AL11="","",IFERROR(IF(COUNTIFS(Fact_Milestone!$A:$A,$B11,Fact_Milestone!$B:$B,AL11)=0,"",_xlfn.MAXIFS(Fact_Milestone!$C:$C,Fact_Milestone!$A:$A,$B11,Fact_Milestone!$B:$B,AL11)),"")))</f>
        <v>46266.4631944444</v>
      </c>
      <c r="V11" s="37" t="n">
        <f aca="false">IF($A11="","",IFERROR(IF(VLOOKUP($C11,Dim_Fund!$A:$AI,35,0)&gt;0,$B11+VLOOKUP($C11,Dim_Fund!$A:$AI,35,0)/24,""),""))</f>
        <v>46266.6965277778</v>
      </c>
      <c r="W11" s="37" t="n">
        <f aca="false">IF($A11="","",F11)</f>
        <v>46266.5958333333</v>
      </c>
      <c r="X11" s="37" t="n">
        <f aca="false">IF($A11="","",IF(E11="Client",H11,G11))</f>
        <v>46266.6111111111</v>
      </c>
      <c r="Y11" s="37" t="n">
        <f aca="false">IF($A11="","",I11)</f>
        <v>46266.6347222222</v>
      </c>
      <c r="Z11" s="37" t="n">
        <f aca="false">IF($A11="","",IFERROR(W11-R11/1440,""))</f>
        <v>46266.5760416667</v>
      </c>
      <c r="AA11" s="38" t="n">
        <f aca="false">IF($A11="","",IF(OR(U11="",V11=""),"",ROUND((V11-U11)*1440,0)))</f>
        <v>336</v>
      </c>
      <c r="AB11" s="38" t="n">
        <f aca="false">IF($A11="","",IF(U11="","",ROUND((W11-U11)*1440,0)))</f>
        <v>191</v>
      </c>
      <c r="AC11" s="38" t="n">
        <f aca="false">IF($A11="","",IF(AB11="","",MAX(0,AB11)))</f>
        <v>191</v>
      </c>
      <c r="AD11" s="38" t="n">
        <f aca="false">IF($A11="","",IFERROR(ROUND((X11-W11)*1440,0),""))</f>
        <v>22</v>
      </c>
      <c r="AE11" s="38" t="n">
        <f aca="false">IF($A11="","",IF(E11="Client","n/a",IFERROR(ROUND((H11-G11)*1440,0),"")))</f>
        <v>14</v>
      </c>
      <c r="AF11" s="38" t="n">
        <f aca="false">IF($A11="","",IFERROR(ROUND((Y11-H11)*1440,0),""))</f>
        <v>20</v>
      </c>
      <c r="AG11" s="38" t="n">
        <f aca="false">IF($A11="","",IFERROR(ROUND((H11-F11)*1440,0),""))</f>
        <v>36</v>
      </c>
      <c r="AH11" s="38" t="n">
        <f aca="false">IF($A11="","",IFERROR(ROUND((Y11-V11)*1440,0),""))</f>
        <v>-89</v>
      </c>
      <c r="AI11" s="4" t="str">
        <f aca="false">IF($A11="","",IF(AH11="","",IF(AH11&gt;0,"Yes","No")))</f>
        <v>No</v>
      </c>
      <c r="AJ11" s="4" t="str">
        <f aca="false">IF($A11="","",IF(AI11&lt;&gt;"Yes","On time",IF(N(AC11)&gt;=MAX(N(AF11),N(K11)),"Wait for analyst",IF(N(AF11)&gt;=N(K11),"External sign-off","Rework"))))</f>
        <v>On time</v>
      </c>
      <c r="AK11" s="4" t="str">
        <f aca="false">IF($A11="","",IF(OR(F11="",Y11="",ISNA(MATCH(L11,Dim_Analyst!$A:$A,0))),"CHECK","OK"))</f>
        <v>OK</v>
      </c>
      <c r="AL11" s="4" t="str">
        <f aca="false">IF($A11="","",IFERROR(VLOOKUP($C11,Dim_Fund!$A:$U,21,0),""))</f>
        <v>TOP-EQ1</v>
      </c>
      <c r="AM11" s="4" t="str">
        <f aca="false">IF($A11="","",IF($U11="","",IF($U11&gt;$B11+IFERROR(VLOOKUP($C11,Dim_Fund!$A:$AH,34,0),0)/24,"Yes","No")))</f>
        <v>No</v>
      </c>
      <c r="AN11" s="22" t="n">
        <f aca="false">IF($A11="","",IFERROR(VLOOKUP($C11,Dim_Fund!$A:$AH,34,0),""))</f>
        <v>12.4833333333333</v>
      </c>
      <c r="AO11" s="22" t="n">
        <f aca="false">IF($A11="","",IF($AL11="","",IFERROR(FLOOR(IF(COUNTIFS(Fact_Milestone!$A:$A,$B11,Fact_Milestone!$B:$B,$AL11,Fact_Milestone!$F:$F,"&gt;0")&gt;0,_xlfn.MINIFS(Fact_Milestone!$F:$F,Fact_Milestone!$A:$A,$B11,Fact_Milestone!$B:$B,$AL11,Fact_Milestone!$F:$F,"&gt;0"),VLOOKUP($AL11,Dim_TOP!$A:$E,5,0)),0.5),"")))</f>
        <v>11.5</v>
      </c>
      <c r="AP11" s="22" t="n">
        <f aca="false">IF($A11="","",IF($U11="","",ROUND(($U11-INT($U11))*24,4)))</f>
        <v>11.1167</v>
      </c>
      <c r="AQ11" s="22" t="n">
        <f aca="false">IF($A11="","",IF($W11="","",ROUND(($W11-INT($W11))*24,4)))</f>
        <v>14.3</v>
      </c>
      <c r="AR11" s="22" t="n">
        <f aca="false">IF($A11="","",IF($X11="","",ROUND(($X11-INT($X11))*24,4)))</f>
        <v>14.6667</v>
      </c>
      <c r="AS11" s="38" t="n">
        <f aca="false">IF($A11="","",IF(OR($AN11="",$V11="",$S11="",$T11=""),"",ROUND(($V11-($B11+$AN11/24))*1440-$S11-$T11,0)))</f>
        <v>235</v>
      </c>
      <c r="AT11" s="38" t="n">
        <f aca="false">IF($A11="","",IF(OR($AN11="",$U11=""),"",ROUND(($U11-($B11+$AN11/24))*1440,0)))</f>
        <v>-82</v>
      </c>
      <c r="AU11" s="38" t="n">
        <f aca="false">IF($A11="","",IF(OR($AD11="",$S11=""),"",ROUND($AD11-$S11,0)))</f>
        <v>3</v>
      </c>
      <c r="AV11" s="38" t="n">
        <f aca="false">IF($A11="","",N($AE11))</f>
        <v>14</v>
      </c>
      <c r="AW11" s="38" t="n">
        <f aca="false">IF($A11="","",IF(OR($AF11="",$T11=""),"",$AF11-$T11))</f>
        <v>20</v>
      </c>
      <c r="AX11" s="38" t="n">
        <f aca="false">IF($A11="","",IF(COUNT($AT11,$AB11,$AU11,$AW11,$AS11,$AH11)&lt;6,"",ROUND($AT11+$AB11+$AU11+$AV11+$AW11-$AS11-$AH11,0)))</f>
        <v>0</v>
      </c>
      <c r="AY11" s="4" t="str">
        <f aca="false">IF($A11="","",IF($AX11="","No",IF(ABS($AX11)&lt;=2,"Yes","No")))</f>
        <v>Yes</v>
      </c>
      <c r="AZ11" s="4" t="str">
        <f aca="false">IF($A11="","",IF($AI11&lt;&gt;"Yes","n/a",IF(OR($AA11="",$S11="",$T11=""),"Unknown",IF($AA11&lt;$S11+$T11,"Lost on arrival","Lost after arrival"))))</f>
        <v>n/a</v>
      </c>
      <c r="BA11" s="10" t="str">
        <f aca="false">IF($A11="","",IFERROR(VLOOKUP($C11,Dim_Fund!$A:$D,4,0),""))</f>
        <v>Meridian Pensions</v>
      </c>
      <c r="BB11" s="10" t="str">
        <f aca="false">IF($A11="","",IF($AL11="","",IF(COUNTIFS(Fact_Milestone!$A:$A,$B11,Fact_Milestone!$B:$B,$AL11,Fact_Milestone!$I:$I,"No")&gt;0,"No",IF(COUNTIFS(Fact_Milestone!$A:$A,$B11,Fact_Milestone!$B:$B,$AL11,Fact_Milestone!$I:$I,"Yes")&gt;0,"Yes",""))))</f>
        <v>Yes</v>
      </c>
      <c r="BC11" s="45" t="str">
        <f aca="false">IF($A11="","",IF(OR($L11="",$W11=""),"",IF(COUNTIFS($L:$L,$L11,$B:$B,$B11,$W:$W,"&lt;"&amp;$W11)=0,"",_xlfn.MAXIFS($W:$W,$L:$L,$L11,$B:$B,$B11,$W:$W,"&lt;"&amp;$W11))))</f>
        <v/>
      </c>
      <c r="BD11" s="39" t="n">
        <f aca="false">IF($A11="","",IF($AC11="","",IF(OR($L11="",$AC11=0),0,MIN($AC11,ROUND(ROUND(1440*SUMPRODUCT(($L$2:INDEX($L:$L,COUNTA($C:$C))=$L11)*($B$2:INDEX($B:$B,COUNTA($C:$C))=$B11)*(ROW($L$2:INDEX($L:$L,COUNTA($C:$C)))&lt;&gt;ROW())*((((($W11+$BT$2:INDEX($BT:$BT,COUNTA($C:$C))-ABS($W11-$BT$2:INDEX($BT:$BT,COUNTA($C:$C))))/2)-(($U11+$BS$2:INDEX($BS:$BS,COUNTA($C:$C))+ABS($U11-$BS$2:INDEX($BS:$BS,COUNTA($C:$C))))/2))+ABS(((($W11+$BT$2:INDEX($BT:$BT,COUNTA($C:$C))-ABS($W11-$BT$2:INDEX($BT:$BT,COUNTA($C:$C))))/2)-(($U11+$BS$2:INDEX($BS:$BS,COUNTA($C:$C))+ABS($U11-$BS$2:INDEX($BS:$BS,COUNTA($C:$C))))/2))))/2)),4),0)))))</f>
        <v>0</v>
      </c>
      <c r="BE11" s="39" t="n">
        <f aca="false">IF($A11="","",IF($AC11="","",ROUND(MIN($AC11-$BD11,N($R11)),0)))</f>
        <v>29</v>
      </c>
      <c r="BF11" s="10" t="str">
        <f aca="false">IF($A11="","",IFERROR(VLOOKUP($C11,Dim_Fund!$A:$BD,56,0),""))</f>
        <v>No</v>
      </c>
      <c r="BG11" s="10" t="str">
        <f aca="false">IF($A11="","",IFERROR(VLOOKUP($C11,Dim_Fund!$A:$BH,60,0),""))</f>
        <v>Ample custody slack</v>
      </c>
      <c r="BH11" s="10" t="str">
        <f aca="false">IF($A11="","",IF($AI11&lt;&gt;"Yes","Not breached",IF($AM11="Yes","Pricing late",IF($BG11="Thin custody slack","Thin custody slack",IF($BF11="Yes","Broker-dependent","None of these")))))</f>
        <v>Not breached</v>
      </c>
      <c r="BI11" s="23" t="n">
        <f aca="false">IF($A11="","",IFERROR(IF(VLOOKUP($C11,Dim_Fund!$A:$AI,35,0)&gt;0,VLOOKUP($C11,Dim_Fund!$A:$AI,35,0),""),""))</f>
        <v>16.7166666666667</v>
      </c>
      <c r="BJ11" s="10" t="str">
        <f aca="false">IF($A11="","",$C11&amp;IF($E11="Client","*",""))</f>
        <v>FD-1001</v>
      </c>
      <c r="BK11" s="39" t="n">
        <f aca="false">IF($A11="","",IFERROR(ROUND(($Y11-$X11)*1440,0),""))</f>
        <v>34</v>
      </c>
      <c r="BL11" s="39" t="n">
        <f aca="false">IF($A11="","",IF($AH11="","",-$AH11))</f>
        <v>89</v>
      </c>
      <c r="BM11" s="46" t="n">
        <f aca="false">IF($A11="","",IF($AQ11="","",IF($AP11="",$AQ11,MIN($AP11,$AQ11))))</f>
        <v>11.1167</v>
      </c>
      <c r="BN11" s="46" t="n">
        <f aca="false">IF($A11="","",IF($BM11="","",ROUND(N($AC11)/60,4)))</f>
        <v>3.1833</v>
      </c>
      <c r="BO11" s="46" t="n">
        <f aca="false">IF($A11="","",IF(OR($BM11="",$AD11=""),"",ROUND($AD11/60,4)))</f>
        <v>0.3667</v>
      </c>
      <c r="BP11" s="46" t="n">
        <f aca="false">IF($A11="","",IF($BM11="","",ROUND(N($AE11)/60,4)))</f>
        <v>0.2333</v>
      </c>
      <c r="BQ11" s="46" t="n">
        <f aca="false">IF($A11="","",IF(OR($BM11="",$AF11=""),"",ROUND($AF11/60,4)))</f>
        <v>0.3333</v>
      </c>
      <c r="BR11" s="39" t="n">
        <f aca="false">IF($A11="","",IF($AC11="","",$AC11-$BD11-$BE11))</f>
        <v>162</v>
      </c>
      <c r="BS11" s="45" t="n">
        <f aca="false">IF($A11="","",IF(AND(ISNUMBER($Z11),ISNUMBER($W11)),$Z11,0))</f>
        <v>46266.5760416667</v>
      </c>
      <c r="BT11" s="45" t="n">
        <f aca="false">IF($A11="","",IF(ISNUMBER($W11),$W11,0))</f>
        <v>46266.5958333333</v>
      </c>
      <c r="BU11" s="23" t="n">
        <f aca="false">IF($A11="","",IF(ISNUMBER($W11),ROUND(($W11-$B11)*24,4),""))</f>
        <v>14.3</v>
      </c>
      <c r="BV11" s="23" t="n">
        <f aca="false">IF($A11="","",IF(ISNUMBER($X11),ROUND(($X11-$B11)*24,4),""))</f>
        <v>14.6667</v>
      </c>
      <c r="BW11" s="10" t="str">
        <f aca="false">IF($A11="","",IF(NOT(ISNUMBER($W11)),"Missing Calculated",IF(NOT(ISNUMBER($X11)),IF($E11="Client","Missing FA signed off","Missing Controlled"),IF($X11&lt;$W11,"End before start","OK"))))</f>
        <v>OK</v>
      </c>
      <c r="BX11" s="23" t="n">
        <f aca="false">IF($A11="","",IF(NOT(ISNUMBER($Z11)),"",ROUND((IF(ISNUMBER($U11),MIN($U11,$Z11),$Z11)-$B11)*24,4)))</f>
        <v>11.1167</v>
      </c>
      <c r="BY11" s="23" t="n">
        <f aca="false">IF($A11="","",IF(ISNUMBER($Z11),ROUND(($Z11-$B11)*24,4),""))</f>
        <v>13.825</v>
      </c>
      <c r="BZ11" s="23" t="n">
        <f aca="false">IF($A11="","",IF(AND(ISNUMBER($W11),ISNUMBER($S11)),ROUND(($W11+$S11/1440-$B11)*24,4),""))</f>
        <v>14.6167</v>
      </c>
    </row>
    <row r="12" customFormat="false" ht="15" hidden="false" customHeight="true" outlineLevel="0" collapsed="false">
      <c r="A12" s="34" t="n">
        <v>46265</v>
      </c>
      <c r="B12" s="34" t="n">
        <v>46266</v>
      </c>
      <c r="C12" s="13" t="s">
        <v>317</v>
      </c>
      <c r="D12" s="4" t="n">
        <f aca="false">IF($A12="","",$B12-$A12)</f>
        <v>1</v>
      </c>
      <c r="E12" s="4" t="str">
        <f aca="false">IF($A12="","",IFERROR(VLOOKUP($C12,Dim_Fund!$A:$X,24,0),""))</f>
        <v>FA</v>
      </c>
      <c r="F12" s="37" t="n">
        <f aca="false">IF($A12="","",IF(COUNTIFS(Status_Log!$A:$A,$A12,Status_Log!$B:$B,$B12,Status_Log!$C:$C,$C12,Status_Log!$D:$D,"Changed to the status of Calculated")=0,"",_xlfn.MINIFS(Status_Log!$E:$E,Status_Log!$A:$A,$A12,Status_Log!$B:$B,$B12,Status_Log!$C:$C,$C12,Status_Log!$D:$D,"Changed to the status of Calculated")))</f>
        <v>46266.64375</v>
      </c>
      <c r="G12" s="37" t="n">
        <f aca="false">IF($A12="","",IF(COUNTIFS(Status_Log!$A:$A,$A12,Status_Log!$B:$B,$B12,Status_Log!$C:$C,$C12,Status_Log!$D:$D,"Changed to the status of Controlled")=0,"",_xlfn.MAXIFS(Status_Log!$E:$E,Status_Log!$A:$A,$A12,Status_Log!$B:$B,$B12,Status_Log!$C:$C,$C12,Status_Log!$D:$D,"Changed to the status of Controlled")))</f>
        <v>46266.6548611111</v>
      </c>
      <c r="H12" s="37" t="n">
        <f aca="false">IF($A12="","",IF(COUNTIFS(Status_Log!$A:$A,$A12,Status_Log!$B:$B,$B12,Status_Log!$C:$C,$C12,Status_Log!$D:$D,"Changed to the status of Fund accounting signed off")=0,"",_xlfn.MAXIFS(Status_Log!$E:$E,Status_Log!$A:$A,$A12,Status_Log!$B:$B,$B12,Status_Log!$C:$C,$C12,Status_Log!$D:$D,"Changed to the status of Fund accounting signed off")))</f>
        <v>46266.6631944445</v>
      </c>
      <c r="I12" s="37" t="n">
        <f aca="false">IF($A12="","",IF(COUNTIFS(Status_Log!$A:$A,$A12,Status_Log!$B:$B,$B12,Status_Log!$C:$C,$C12,Status_Log!$D:$D,"Changed to the status of signed off")=0,"",_xlfn.MAXIFS(Status_Log!$E:$E,Status_Log!$A:$A,$A12,Status_Log!$B:$B,$B12,Status_Log!$C:$C,$C12,Status_Log!$D:$D,"Changed to the status of signed off")))</f>
        <v>46266.6833333333</v>
      </c>
      <c r="J12" s="4" t="n">
        <f aca="false">IF($A12="","",COUNTIFS(Status_Log!$A:$A,$A12,Status_Log!$B:$B,$B12,Status_Log!$C:$C,$C12,Status_Log!$D:$D,"Changed to the status of Calculated"))</f>
        <v>1</v>
      </c>
      <c r="K12" s="38" t="n">
        <f aca="false">IF($A12="","",IF(J12&lt;=1,0,ROUND((_xlfn.MAXIFS(Status_Log!$E:$E,Status_Log!$A:$A,$A12,Status_Log!$B:$B,$B12,Status_Log!$C:$C,$C12,Status_Log!$D:$D,"Changed to the status of Calculated")-F12)*1440,0)))</f>
        <v>0</v>
      </c>
      <c r="L12" s="4" t="str">
        <f aca="false">IF($A12="","",IFERROR(INDEX(Status_Log!$F:$F,MATCH($A12&amp;"|"&amp;$B12&amp;"|"&amp;$C12&amp;"|Changed to the status of Calculated|"&amp;TEXT(_xlfn.MAXIFS(Status_Log!$E:$E,Status_Log!$A:$A,$A12,Status_Log!$B:$B,$B12,Status_Log!$C:$C,$C12,Status_Log!$D:$D,"Changed to the status of Calculated"),"0.000000"),Status_Log!$H:$H,0)),""))</f>
        <v>Siti Noraini</v>
      </c>
      <c r="M12" s="4" t="str">
        <f aca="false">IF($A12="","",IF(E12="Client","n/a — no control step",IFERROR(INDEX(Status_Log!$F:$F,MATCH($A12&amp;"|"&amp;$B12&amp;"|"&amp;$C12&amp;"|Changed to the status of Controlled|"&amp;TEXT(_xlfn.MAXIFS(Status_Log!$E:$E,Status_Log!$A:$A,$A12,Status_Log!$B:$B,$B12,Status_Log!$C:$C,$C12,Status_Log!$D:$D,"Changed to the status of Controlled"),"0.000000"),Status_Log!$H:$H,0)),"")))</f>
        <v>Daniel Tan</v>
      </c>
      <c r="N12" s="4" t="str">
        <f aca="false">IF($A12="","",IFERROR(VLOOKUP($C12,Dim_Fund!$A:$G,7,0),""))</f>
        <v>Siti Noraini</v>
      </c>
      <c r="O12" s="4" t="str">
        <f aca="false">IF($A12="","",IF(L12=N12,"No","Yes"))</f>
        <v>No</v>
      </c>
      <c r="P12" s="4" t="str">
        <f aca="false">IF($A12="","",IF(E12="Client","n/a",IF(L12=M12,"YES — four-eyes breach","No")))</f>
        <v>No</v>
      </c>
      <c r="Q12" s="38" t="n">
        <f aca="false">IF($A12="","",IFERROR(VLOOKUP($C12,Dim_Fund!$A:$AB,28,0),""))</f>
        <v>26.8</v>
      </c>
      <c r="R12" s="38" t="n">
        <f aca="false">IF($A12="","",IFERROR(VLOOKUP($C12,Dim_Fund!$A:$AC,29,0),""))</f>
        <v>17.4</v>
      </c>
      <c r="S12" s="38" t="n">
        <f aca="false">IF($A12="","",IFERROR(VLOOKUP($C12,Dim_Fund!$A:$AD,30,0),""))</f>
        <v>9.4</v>
      </c>
      <c r="T12" s="38" t="n">
        <f aca="false">IF($A12="","",IFERROR(VLOOKUP($C12,Dim_Fund!$A:$AL,38,0),""))</f>
        <v>0</v>
      </c>
      <c r="U12" s="37" t="n">
        <f aca="false">IF($A12="","",IF(AL12="","",IFERROR(IF(COUNTIFS(Fact_Milestone!$A:$A,$B12,Fact_Milestone!$B:$B,AL12)=0,"",_xlfn.MAXIFS(Fact_Milestone!$C:$C,Fact_Milestone!$A:$A,$B12,Fact_Milestone!$B:$B,AL12)),"")))</f>
        <v>46266.4861111111</v>
      </c>
      <c r="V12" s="37" t="n">
        <f aca="false">IF($A12="","",IFERROR(IF(VLOOKUP($C12,Dim_Fund!$A:$AI,35,0)&gt;0,$B12+VLOOKUP($C12,Dim_Fund!$A:$AI,35,0)/24,""),""))</f>
        <v>46266.6840277778</v>
      </c>
      <c r="W12" s="37" t="n">
        <f aca="false">IF($A12="","",F12)</f>
        <v>46266.64375</v>
      </c>
      <c r="X12" s="37" t="n">
        <f aca="false">IF($A12="","",IF(E12="Client",H12,G12))</f>
        <v>46266.6548611111</v>
      </c>
      <c r="Y12" s="37" t="n">
        <f aca="false">IF($A12="","",I12)</f>
        <v>46266.6833333333</v>
      </c>
      <c r="Z12" s="37" t="n">
        <f aca="false">IF($A12="","",IFERROR(W12-R12/1440,""))</f>
        <v>46266.6316666667</v>
      </c>
      <c r="AA12" s="38" t="n">
        <f aca="false">IF($A12="","",IF(OR(U12="",V12=""),"",ROUND((V12-U12)*1440,0)))</f>
        <v>285</v>
      </c>
      <c r="AB12" s="38" t="n">
        <f aca="false">IF($A12="","",IF(U12="","",ROUND((W12-U12)*1440,0)))</f>
        <v>227</v>
      </c>
      <c r="AC12" s="38" t="n">
        <f aca="false">IF($A12="","",IF(AB12="","",MAX(0,AB12)))</f>
        <v>227</v>
      </c>
      <c r="AD12" s="38" t="n">
        <f aca="false">IF($A12="","",IFERROR(ROUND((X12-W12)*1440,0),""))</f>
        <v>16</v>
      </c>
      <c r="AE12" s="38" t="n">
        <f aca="false">IF($A12="","",IF(E12="Client","n/a",IFERROR(ROUND((H12-G12)*1440,0),"")))</f>
        <v>12</v>
      </c>
      <c r="AF12" s="38" t="n">
        <f aca="false">IF($A12="","",IFERROR(ROUND((Y12-H12)*1440,0),""))</f>
        <v>29</v>
      </c>
      <c r="AG12" s="38" t="n">
        <f aca="false">IF($A12="","",IFERROR(ROUND((H12-F12)*1440,0),""))</f>
        <v>28</v>
      </c>
      <c r="AH12" s="38" t="n">
        <f aca="false">IF($A12="","",IFERROR(ROUND((Y12-V12)*1440,0),""))</f>
        <v>-1</v>
      </c>
      <c r="AI12" s="4" t="str">
        <f aca="false">IF($A12="","",IF(AH12="","",IF(AH12&gt;0,"Yes","No")))</f>
        <v>No</v>
      </c>
      <c r="AJ12" s="4" t="str">
        <f aca="false">IF($A12="","",IF(AI12&lt;&gt;"Yes","On time",IF(N(AC12)&gt;=MAX(N(AF12),N(K12)),"Wait for analyst",IF(N(AF12)&gt;=N(K12),"External sign-off","Rework"))))</f>
        <v>On time</v>
      </c>
      <c r="AK12" s="4" t="str">
        <f aca="false">IF($A12="","",IF(OR(F12="",Y12="",ISNA(MATCH(L12,Dim_Analyst!$A:$A,0))),"CHECK","OK"))</f>
        <v>OK</v>
      </c>
      <c r="AL12" s="4" t="str">
        <f aca="false">IF($A12="","",IFERROR(VLOOKUP($C12,Dim_Fund!$A:$U,21,0),""))</f>
        <v>TOP-FI1</v>
      </c>
      <c r="AM12" s="4" t="str">
        <f aca="false">IF($A12="","",IF($U12="","",IF($U12&gt;$B12+IFERROR(VLOOKUP($C12,Dim_Fund!$A:$AH,34,0),0)/24,"Yes","No")))</f>
        <v>No</v>
      </c>
      <c r="AN12" s="22" t="n">
        <f aca="false">IF($A12="","",IFERROR(VLOOKUP($C12,Dim_Fund!$A:$AH,34,0),""))</f>
        <v>12.45</v>
      </c>
      <c r="AO12" s="22" t="n">
        <f aca="false">IF($A12="","",IF($AL12="","",IFERROR(FLOOR(IF(COUNTIFS(Fact_Milestone!$A:$A,$B12,Fact_Milestone!$B:$B,$AL12,Fact_Milestone!$F:$F,"&gt;0")&gt;0,_xlfn.MINIFS(Fact_Milestone!$F:$F,Fact_Milestone!$A:$A,$B12,Fact_Milestone!$B:$B,$AL12,Fact_Milestone!$F:$F,"&gt;0"),VLOOKUP($AL12,Dim_TOP!$A:$E,5,0)),0.5),"")))</f>
        <v>12</v>
      </c>
      <c r="AP12" s="22" t="n">
        <f aca="false">IF($A12="","",IF($U12="","",ROUND(($U12-INT($U12))*24,4)))</f>
        <v>11.6667</v>
      </c>
      <c r="AQ12" s="22" t="n">
        <f aca="false">IF($A12="","",IF($W12="","",ROUND(($W12-INT($W12))*24,4)))</f>
        <v>15.45</v>
      </c>
      <c r="AR12" s="22" t="n">
        <f aca="false">IF($A12="","",IF($X12="","",ROUND(($X12-INT($X12))*24,4)))</f>
        <v>15.7167</v>
      </c>
      <c r="AS12" s="38" t="n">
        <f aca="false">IF($A12="","",IF(OR($AN12="",$V12="",$S12="",$T12=""),"",ROUND(($V12-($B12+$AN12/24))*1440-$S12-$T12,0)))</f>
        <v>229</v>
      </c>
      <c r="AT12" s="38" t="n">
        <f aca="false">IF($A12="","",IF(OR($AN12="",$U12=""),"",ROUND(($U12-($B12+$AN12/24))*1440,0)))</f>
        <v>-47</v>
      </c>
      <c r="AU12" s="38" t="n">
        <f aca="false">IF($A12="","",IF(OR($AD12="",$S12=""),"",ROUND($AD12-$S12,0)))</f>
        <v>7</v>
      </c>
      <c r="AV12" s="38" t="n">
        <f aca="false">IF($A12="","",N($AE12))</f>
        <v>12</v>
      </c>
      <c r="AW12" s="38" t="n">
        <f aca="false">IF($A12="","",IF(OR($AF12="",$T12=""),"",$AF12-$T12))</f>
        <v>29</v>
      </c>
      <c r="AX12" s="38" t="n">
        <f aca="false">IF($A12="","",IF(COUNT($AT12,$AB12,$AU12,$AW12,$AS12,$AH12)&lt;6,"",ROUND($AT12+$AB12+$AU12+$AV12+$AW12-$AS12-$AH12,0)))</f>
        <v>0</v>
      </c>
      <c r="AY12" s="4" t="str">
        <f aca="false">IF($A12="","",IF($AX12="","No",IF(ABS($AX12)&lt;=2,"Yes","No")))</f>
        <v>Yes</v>
      </c>
      <c r="AZ12" s="4" t="str">
        <f aca="false">IF($A12="","",IF($AI12&lt;&gt;"Yes","n/a",IF(OR($AA12="",$S12="",$T12=""),"Unknown",IF($AA12&lt;$S12+$T12,"Lost on arrival","Lost after arrival"))))</f>
        <v>n/a</v>
      </c>
      <c r="BA12" s="10" t="str">
        <f aca="false">IF($A12="","",IFERROR(VLOOKUP($C12,Dim_Fund!$A:$D,4,0),""))</f>
        <v>Northgate Insurance</v>
      </c>
      <c r="BB12" s="10" t="str">
        <f aca="false">IF($A12="","",IF($AL12="","",IF(COUNTIFS(Fact_Milestone!$A:$A,$B12,Fact_Milestone!$B:$B,$AL12,Fact_Milestone!$I:$I,"No")&gt;0,"No",IF(COUNTIFS(Fact_Milestone!$A:$A,$B12,Fact_Milestone!$B:$B,$AL12,Fact_Milestone!$I:$I,"Yes")&gt;0,"Yes",""))))</f>
        <v>Yes</v>
      </c>
      <c r="BC12" s="45" t="n">
        <f aca="false">IF($A12="","",IF(OR($L12="",$W12=""),"",IF(COUNTIFS($L:$L,$L12,$B:$B,$B12,$W:$W,"&lt;"&amp;$W12)=0,"",_xlfn.MAXIFS($W:$W,$L:$L,$L12,$B:$B,$B12,$W:$W,"&lt;"&amp;$W12))))</f>
        <v>46266.5388888889</v>
      </c>
      <c r="BD12" s="39" t="n">
        <f aca="false">IF($A12="","",IF($AC12="","",IF(OR($L12="",$AC12=0),0,MIN($AC12,ROUND(ROUND(1440*SUMPRODUCT(($L$2:INDEX($L:$L,COUNTA($C:$C))=$L12)*($B$2:INDEX($B:$B,COUNTA($C:$C))=$B12)*(ROW($L$2:INDEX($L:$L,COUNTA($C:$C)))&lt;&gt;ROW())*((((($W12+$BT$2:INDEX($BT:$BT,COUNTA($C:$C))-ABS($W12-$BT$2:INDEX($BT:$BT,COUNTA($C:$C))))/2)-(($U12+$BS$2:INDEX($BS:$BS,COUNTA($C:$C))+ABS($U12-$BS$2:INDEX($BS:$BS,COUNTA($C:$C))))/2))+ABS(((($W12+$BT$2:INDEX($BT:$BT,COUNTA($C:$C))-ABS($W12-$BT$2:INDEX($BT:$BT,COUNTA($C:$C))))/2)-(($U12+$BS$2:INDEX($BS:$BS,COUNTA($C:$C))+ABS($U12-$BS$2:INDEX($BS:$BS,COUNTA($C:$C))))/2))))/2)),4),0)))))</f>
        <v>29</v>
      </c>
      <c r="BE12" s="39" t="n">
        <f aca="false">IF($A12="","",IF($AC12="","",ROUND(MIN($AC12-$BD12,N($R12)),0)))</f>
        <v>17</v>
      </c>
      <c r="BF12" s="10" t="str">
        <f aca="false">IF($A12="","",IFERROR(VLOOKUP($C12,Dim_Fund!$A:$BD,56,0),""))</f>
        <v>Yes</v>
      </c>
      <c r="BG12" s="10" t="str">
        <f aca="false">IF($A12="","",IFERROR(VLOOKUP($C12,Dim_Fund!$A:$BH,60,0),""))</f>
        <v>Ample custody slack</v>
      </c>
      <c r="BH12" s="10" t="str">
        <f aca="false">IF($A12="","",IF($AI12&lt;&gt;"Yes","Not breached",IF($AM12="Yes","Pricing late",IF($BG12="Thin custody slack","Thin custody slack",IF($BF12="Yes","Broker-dependent","None of these")))))</f>
        <v>Not breached</v>
      </c>
      <c r="BI12" s="23" t="n">
        <f aca="false">IF($A12="","",IFERROR(IF(VLOOKUP($C12,Dim_Fund!$A:$AI,35,0)&gt;0,VLOOKUP($C12,Dim_Fund!$A:$AI,35,0),""),""))</f>
        <v>16.4166666666667</v>
      </c>
      <c r="BJ12" s="10" t="str">
        <f aca="false">IF($A12="","",$C12&amp;IF($E12="Client","*",""))</f>
        <v>FD-1002</v>
      </c>
      <c r="BK12" s="39" t="n">
        <f aca="false">IF($A12="","",IFERROR(ROUND(($Y12-$X12)*1440,0),""))</f>
        <v>41</v>
      </c>
      <c r="BL12" s="39" t="n">
        <f aca="false">IF($A12="","",IF($AH12="","",-$AH12))</f>
        <v>1</v>
      </c>
      <c r="BM12" s="46" t="n">
        <f aca="false">IF($A12="","",IF($AQ12="","",IF($AP12="",$AQ12,MIN($AP12,$AQ12))))</f>
        <v>11.6667</v>
      </c>
      <c r="BN12" s="46" t="n">
        <f aca="false">IF($A12="","",IF($BM12="","",ROUND(N($AC12)/60,4)))</f>
        <v>3.7833</v>
      </c>
      <c r="BO12" s="46" t="n">
        <f aca="false">IF($A12="","",IF(OR($BM12="",$AD12=""),"",ROUND($AD12/60,4)))</f>
        <v>0.2667</v>
      </c>
      <c r="BP12" s="46" t="n">
        <f aca="false">IF($A12="","",IF($BM12="","",ROUND(N($AE12)/60,4)))</f>
        <v>0.2</v>
      </c>
      <c r="BQ12" s="46" t="n">
        <f aca="false">IF($A12="","",IF(OR($BM12="",$AF12=""),"",ROUND($AF12/60,4)))</f>
        <v>0.4833</v>
      </c>
      <c r="BR12" s="39" t="n">
        <f aca="false">IF($A12="","",IF($AC12="","",$AC12-$BD12-$BE12))</f>
        <v>181</v>
      </c>
      <c r="BS12" s="45" t="n">
        <f aca="false">IF($A12="","",IF(AND(ISNUMBER($Z12),ISNUMBER($W12)),$Z12,0))</f>
        <v>46266.6316666667</v>
      </c>
      <c r="BT12" s="45" t="n">
        <f aca="false">IF($A12="","",IF(ISNUMBER($W12),$W12,0))</f>
        <v>46266.64375</v>
      </c>
      <c r="BU12" s="23" t="n">
        <f aca="false">IF($A12="","",IF(ISNUMBER($W12),ROUND(($W12-$B12)*24,4),""))</f>
        <v>15.45</v>
      </c>
      <c r="BV12" s="23" t="n">
        <f aca="false">IF($A12="","",IF(ISNUMBER($X12),ROUND(($X12-$B12)*24,4),""))</f>
        <v>15.7167</v>
      </c>
      <c r="BW12" s="10" t="str">
        <f aca="false">IF($A12="","",IF(NOT(ISNUMBER($W12)),"Missing Calculated",IF(NOT(ISNUMBER($X12)),IF($E12="Client","Missing FA signed off","Missing Controlled"),IF($X12&lt;$W12,"End before start","OK"))))</f>
        <v>OK</v>
      </c>
      <c r="BX12" s="23" t="n">
        <f aca="false">IF($A12="","",IF(NOT(ISNUMBER($Z12)),"",ROUND((IF(ISNUMBER($U12),MIN($U12,$Z12),$Z12)-$B12)*24,4)))</f>
        <v>11.6667</v>
      </c>
      <c r="BY12" s="23" t="n">
        <f aca="false">IF($A12="","",IF(ISNUMBER($Z12),ROUND(($Z12-$B12)*24,4),""))</f>
        <v>15.16</v>
      </c>
      <c r="BZ12" s="23" t="n">
        <f aca="false">IF($A12="","",IF(AND(ISNUMBER($W12),ISNUMBER($S12)),ROUND(($W12+$S12/1440-$B12)*24,4),""))</f>
        <v>15.6067</v>
      </c>
    </row>
    <row r="13" customFormat="false" ht="15" hidden="false" customHeight="true" outlineLevel="0" collapsed="false">
      <c r="A13" s="34" t="n">
        <v>46265</v>
      </c>
      <c r="B13" s="34" t="n">
        <v>46266</v>
      </c>
      <c r="C13" s="13" t="s">
        <v>324</v>
      </c>
      <c r="D13" s="4" t="n">
        <f aca="false">IF($A13="","",$B13-$A13)</f>
        <v>1</v>
      </c>
      <c r="E13" s="4" t="str">
        <f aca="false">IF($A13="","",IFERROR(VLOOKUP($C13,Dim_Fund!$A:$X,24,0),""))</f>
        <v>FA</v>
      </c>
      <c r="F13" s="37" t="n">
        <f aca="false">IF($A13="","",IF(COUNTIFS(Status_Log!$A:$A,$A13,Status_Log!$B:$B,$B13,Status_Log!$C:$C,$C13,Status_Log!$D:$D,"Changed to the status of Calculated")=0,"",_xlfn.MINIFS(Status_Log!$E:$E,Status_Log!$A:$A,$A13,Status_Log!$B:$B,$B13,Status_Log!$C:$C,$C13,Status_Log!$D:$D,"Changed to the status of Calculated")))</f>
        <v>46266.6173611111</v>
      </c>
      <c r="G13" s="37" t="n">
        <f aca="false">IF($A13="","",IF(COUNTIFS(Status_Log!$A:$A,$A13,Status_Log!$B:$B,$B13,Status_Log!$C:$C,$C13,Status_Log!$D:$D,"Changed to the status of Controlled")=0,"",_xlfn.MAXIFS(Status_Log!$E:$E,Status_Log!$A:$A,$A13,Status_Log!$B:$B,$B13,Status_Log!$C:$C,$C13,Status_Log!$D:$D,"Changed to the status of Controlled")))</f>
        <v>46266.6229166667</v>
      </c>
      <c r="H13" s="37" t="n">
        <f aca="false">IF($A13="","",IF(COUNTIFS(Status_Log!$A:$A,$A13,Status_Log!$B:$B,$B13,Status_Log!$C:$C,$C13,Status_Log!$D:$D,"Changed to the status of Fund accounting signed off")=0,"",_xlfn.MAXIFS(Status_Log!$E:$E,Status_Log!$A:$A,$A13,Status_Log!$B:$B,$B13,Status_Log!$C:$C,$C13,Status_Log!$D:$D,"Changed to the status of Fund accounting signed off")))</f>
        <v>46266.6277777778</v>
      </c>
      <c r="I13" s="37" t="n">
        <f aca="false">IF($A13="","",IF(COUNTIFS(Status_Log!$A:$A,$A13,Status_Log!$B:$B,$B13,Status_Log!$C:$C,$C13,Status_Log!$D:$D,"Changed to the status of signed off")=0,"",_xlfn.MAXIFS(Status_Log!$E:$E,Status_Log!$A:$A,$A13,Status_Log!$B:$B,$B13,Status_Log!$C:$C,$C13,Status_Log!$D:$D,"Changed to the status of signed off")))</f>
        <v>46266.64375</v>
      </c>
      <c r="J13" s="4" t="n">
        <f aca="false">IF($A13="","",COUNTIFS(Status_Log!$A:$A,$A13,Status_Log!$B:$B,$B13,Status_Log!$C:$C,$C13,Status_Log!$D:$D,"Changed to the status of Calculated"))</f>
        <v>1</v>
      </c>
      <c r="K13" s="38" t="n">
        <f aca="false">IF($A13="","",IF(J13&lt;=1,0,ROUND((_xlfn.MAXIFS(Status_Log!$E:$E,Status_Log!$A:$A,$A13,Status_Log!$B:$B,$B13,Status_Log!$C:$C,$C13,Status_Log!$D:$D,"Changed to the status of Calculated")-F13)*1440,0)))</f>
        <v>0</v>
      </c>
      <c r="L13" s="4" t="str">
        <f aca="false">IF($A13="","",IFERROR(INDEX(Status_Log!$F:$F,MATCH($A13&amp;"|"&amp;$B13&amp;"|"&amp;$C13&amp;"|Changed to the status of Calculated|"&amp;TEXT(_xlfn.MAXIFS(Status_Log!$E:$E,Status_Log!$A:$A,$A13,Status_Log!$B:$B,$B13,Status_Log!$C:$C,$C13,Status_Log!$D:$D,"Changed to the status of Calculated"),"0.000000"),Status_Log!$H:$H,0)),""))</f>
        <v>Raj Kumar</v>
      </c>
      <c r="M13" s="4" t="str">
        <f aca="false">IF($A13="","",IF(E13="Client","n/a — no control step",IFERROR(INDEX(Status_Log!$F:$F,MATCH($A13&amp;"|"&amp;$B13&amp;"|"&amp;$C13&amp;"|Changed to the status of Controlled|"&amp;TEXT(_xlfn.MAXIFS(Status_Log!$E:$E,Status_Log!$A:$A,$A13,Status_Log!$B:$B,$B13,Status_Log!$C:$C,$C13,Status_Log!$D:$D,"Changed to the status of Controlled"),"0.000000"),Status_Log!$H:$H,0)),"")))</f>
        <v>Siti Noraini</v>
      </c>
      <c r="N13" s="4" t="str">
        <f aca="false">IF($A13="","",IFERROR(VLOOKUP($C13,Dim_Fund!$A:$G,7,0),""))</f>
        <v>Raj Kumar</v>
      </c>
      <c r="O13" s="4" t="str">
        <f aca="false">IF($A13="","",IF(L13=N13,"No","Yes"))</f>
        <v>No</v>
      </c>
      <c r="P13" s="4" t="str">
        <f aca="false">IF($A13="","",IF(E13="Client","n/a",IF(L13=M13,"YES — four-eyes breach","No")))</f>
        <v>No</v>
      </c>
      <c r="Q13" s="38" t="n">
        <f aca="false">IF($A13="","",IFERROR(VLOOKUP($C13,Dim_Fund!$A:$AB,28,0),""))</f>
        <v>45.8</v>
      </c>
      <c r="R13" s="38" t="n">
        <f aca="false">IF($A13="","",IFERROR(VLOOKUP($C13,Dim_Fund!$A:$AC,29,0),""))</f>
        <v>27.5</v>
      </c>
      <c r="S13" s="38" t="n">
        <f aca="false">IF($A13="","",IFERROR(VLOOKUP($C13,Dim_Fund!$A:$AD,30,0),""))</f>
        <v>18.3</v>
      </c>
      <c r="T13" s="38" t="n">
        <f aca="false">IF($A13="","",IFERROR(VLOOKUP($C13,Dim_Fund!$A:$AL,38,0),""))</f>
        <v>0</v>
      </c>
      <c r="U13" s="37" t="n">
        <f aca="false">IF($A13="","",IF(AL13="","",IFERROR(IF(COUNTIFS(Fact_Milestone!$A:$A,$B13,Fact_Milestone!$B:$B,AL13)=0,"",_xlfn.MAXIFS(Fact_Milestone!$C:$C,Fact_Milestone!$A:$A,$B13,Fact_Milestone!$B:$B,AL13)),"")))</f>
        <v>46266.4631944444</v>
      </c>
      <c r="V13" s="37" t="n">
        <f aca="false">IF($A13="","",IFERROR(IF(VLOOKUP($C13,Dim_Fund!$A:$AI,35,0)&gt;0,$B13+VLOOKUP($C13,Dim_Fund!$A:$AI,35,0)/24,""),""))</f>
        <v>46266.6631944444</v>
      </c>
      <c r="W13" s="37" t="n">
        <f aca="false">IF($A13="","",F13)</f>
        <v>46266.6173611111</v>
      </c>
      <c r="X13" s="37" t="n">
        <f aca="false">IF($A13="","",IF(E13="Client",H13,G13))</f>
        <v>46266.6229166667</v>
      </c>
      <c r="Y13" s="37" t="n">
        <f aca="false">IF($A13="","",I13)</f>
        <v>46266.64375</v>
      </c>
      <c r="Z13" s="37" t="n">
        <f aca="false">IF($A13="","",IFERROR(W13-R13/1440,""))</f>
        <v>46266.5982638889</v>
      </c>
      <c r="AA13" s="38" t="n">
        <f aca="false">IF($A13="","",IF(OR(U13="",V13=""),"",ROUND((V13-U13)*1440,0)))</f>
        <v>288</v>
      </c>
      <c r="AB13" s="38" t="n">
        <f aca="false">IF($A13="","",IF(U13="","",ROUND((W13-U13)*1440,0)))</f>
        <v>222</v>
      </c>
      <c r="AC13" s="38" t="n">
        <f aca="false">IF($A13="","",IF(AB13="","",MAX(0,AB13)))</f>
        <v>222</v>
      </c>
      <c r="AD13" s="38" t="n">
        <f aca="false">IF($A13="","",IFERROR(ROUND((X13-W13)*1440,0),""))</f>
        <v>8</v>
      </c>
      <c r="AE13" s="38" t="n">
        <f aca="false">IF($A13="","",IF(E13="Client","n/a",IFERROR(ROUND((H13-G13)*1440,0),"")))</f>
        <v>7</v>
      </c>
      <c r="AF13" s="38" t="n">
        <f aca="false">IF($A13="","",IFERROR(ROUND((Y13-H13)*1440,0),""))</f>
        <v>23</v>
      </c>
      <c r="AG13" s="38" t="n">
        <f aca="false">IF($A13="","",IFERROR(ROUND((H13-F13)*1440,0),""))</f>
        <v>15</v>
      </c>
      <c r="AH13" s="38" t="n">
        <f aca="false">IF($A13="","",IFERROR(ROUND((Y13-V13)*1440,0),""))</f>
        <v>-28</v>
      </c>
      <c r="AI13" s="4" t="str">
        <f aca="false">IF($A13="","",IF(AH13="","",IF(AH13&gt;0,"Yes","No")))</f>
        <v>No</v>
      </c>
      <c r="AJ13" s="4" t="str">
        <f aca="false">IF($A13="","",IF(AI13&lt;&gt;"Yes","On time",IF(N(AC13)&gt;=MAX(N(AF13),N(K13)),"Wait for analyst",IF(N(AF13)&gt;=N(K13),"External sign-off","Rework"))))</f>
        <v>On time</v>
      </c>
      <c r="AK13" s="4" t="str">
        <f aca="false">IF($A13="","",IF(OR(F13="",Y13="",ISNA(MATCH(L13,Dim_Analyst!$A:$A,0))),"CHECK","OK"))</f>
        <v>OK</v>
      </c>
      <c r="AL13" s="4" t="str">
        <f aca="false">IF($A13="","",IFERROR(VLOOKUP($C13,Dim_Fund!$A:$U,21,0),""))</f>
        <v>TOP-MA1</v>
      </c>
      <c r="AM13" s="4" t="str">
        <f aca="false">IF($A13="","",IF($U13="","",IF($U13&gt;$B13+IFERROR(VLOOKUP($C13,Dim_Fund!$A:$AH,34,0),0)/24,"Yes","No")))</f>
        <v>No</v>
      </c>
      <c r="AN13" s="22" t="n">
        <f aca="false">IF($A13="","",IFERROR(VLOOKUP($C13,Dim_Fund!$A:$AH,34,0),""))</f>
        <v>11.7166666666667</v>
      </c>
      <c r="AO13" s="22" t="n">
        <f aca="false">IF($A13="","",IF($AL13="","",IFERROR(FLOOR(IF(COUNTIFS(Fact_Milestone!$A:$A,$B13,Fact_Milestone!$B:$B,$AL13,Fact_Milestone!$F:$F,"&gt;0")&gt;0,_xlfn.MINIFS(Fact_Milestone!$F:$F,Fact_Milestone!$A:$A,$B13,Fact_Milestone!$B:$B,$AL13,Fact_Milestone!$F:$F,"&gt;0"),VLOOKUP($AL13,Dim_TOP!$A:$E,5,0)),0.5),"")))</f>
        <v>11.5</v>
      </c>
      <c r="AP13" s="22" t="n">
        <f aca="false">IF($A13="","",IF($U13="","",ROUND(($U13-INT($U13))*24,4)))</f>
        <v>11.1167</v>
      </c>
      <c r="AQ13" s="22" t="n">
        <f aca="false">IF($A13="","",IF($W13="","",ROUND(($W13-INT($W13))*24,4)))</f>
        <v>14.8167</v>
      </c>
      <c r="AR13" s="22" t="n">
        <f aca="false">IF($A13="","",IF($X13="","",ROUND(($X13-INT($X13))*24,4)))</f>
        <v>14.95</v>
      </c>
      <c r="AS13" s="38" t="n">
        <f aca="false">IF($A13="","",IF(OR($AN13="",$V13="",$S13="",$T13=""),"",ROUND(($V13-($B13+$AN13/24))*1440-$S13-$T13,0)))</f>
        <v>234</v>
      </c>
      <c r="AT13" s="38" t="n">
        <f aca="false">IF($A13="","",IF(OR($AN13="",$U13=""),"",ROUND(($U13-($B13+$AN13/24))*1440,0)))</f>
        <v>-36</v>
      </c>
      <c r="AU13" s="38" t="n">
        <f aca="false">IF($A13="","",IF(OR($AD13="",$S13=""),"",ROUND($AD13-$S13,0)))</f>
        <v>-10</v>
      </c>
      <c r="AV13" s="38" t="n">
        <f aca="false">IF($A13="","",N($AE13))</f>
        <v>7</v>
      </c>
      <c r="AW13" s="38" t="n">
        <f aca="false">IF($A13="","",IF(OR($AF13="",$T13=""),"",$AF13-$T13))</f>
        <v>23</v>
      </c>
      <c r="AX13" s="38" t="n">
        <f aca="false">IF($A13="","",IF(COUNT($AT13,$AB13,$AU13,$AW13,$AS13,$AH13)&lt;6,"",ROUND($AT13+$AB13+$AU13+$AV13+$AW13-$AS13-$AH13,0)))</f>
        <v>0</v>
      </c>
      <c r="AY13" s="4" t="str">
        <f aca="false">IF($A13="","",IF($AX13="","No",IF(ABS($AX13)&lt;=2,"Yes","No")))</f>
        <v>Yes</v>
      </c>
      <c r="AZ13" s="4" t="str">
        <f aca="false">IF($A13="","",IF($AI13&lt;&gt;"Yes","n/a",IF(OR($AA13="",$S13="",$T13=""),"Unknown",IF($AA13&lt;$S13+$T13,"Lost on arrival","Lost after arrival"))))</f>
        <v>n/a</v>
      </c>
      <c r="BA13" s="10" t="str">
        <f aca="false">IF($A13="","",IFERROR(VLOOKUP($C13,Dim_Fund!$A:$D,4,0),""))</f>
        <v>Halvern Wealth</v>
      </c>
      <c r="BB13" s="10" t="str">
        <f aca="false">IF($A13="","",IF($AL13="","",IF(COUNTIFS(Fact_Milestone!$A:$A,$B13,Fact_Milestone!$B:$B,$AL13,Fact_Milestone!$I:$I,"No")&gt;0,"No",IF(COUNTIFS(Fact_Milestone!$A:$A,$B13,Fact_Milestone!$B:$B,$AL13,Fact_Milestone!$I:$I,"Yes")&gt;0,"Yes",""))))</f>
        <v>Yes</v>
      </c>
      <c r="BC13" s="45" t="n">
        <f aca="false">IF($A13="","",IF(OR($L13="",$W13=""),"",IF(COUNTIFS($L:$L,$L13,$B:$B,$B13,$W:$W,"&lt;"&amp;$W13)=0,"",_xlfn.MAXIFS($W:$W,$L:$L,$L13,$B:$B,$B13,$W:$W,"&lt;"&amp;$W13))))</f>
        <v>46266.5833333333</v>
      </c>
      <c r="BD13" s="39" t="n">
        <f aca="false">IF($A13="","",IF($AC13="","",IF(OR($L13="",$AC13=0),0,MIN($AC13,ROUND(ROUND(1440*SUMPRODUCT(($L$2:INDEX($L:$L,COUNTA($C:$C))=$L13)*($B$2:INDEX($B:$B,COUNTA($C:$C))=$B13)*(ROW($L$2:INDEX($L:$L,COUNTA($C:$C)))&lt;&gt;ROW())*((((($W13+$BT$2:INDEX($BT:$BT,COUNTA($C:$C))-ABS($W13-$BT$2:INDEX($BT:$BT,COUNTA($C:$C))))/2)-(($U13+$BS$2:INDEX($BS:$BS,COUNTA($C:$C))+ABS($U13-$BS$2:INDEX($BS:$BS,COUNTA($C:$C))))/2))+ABS(((($W13+$BT$2:INDEX($BT:$BT,COUNTA($C:$C))-ABS($W13-$BT$2:INDEX($BT:$BT,COUNTA($C:$C))))/2)-(($U13+$BS$2:INDEX($BS:$BS,COUNTA($C:$C))+ABS($U13-$BS$2:INDEX($BS:$BS,COUNTA($C:$C))))/2))))/2)),4),0)))))</f>
        <v>21</v>
      </c>
      <c r="BE13" s="39" t="n">
        <f aca="false">IF($A13="","",IF($AC13="","",ROUND(MIN($AC13-$BD13,N($R13)),0)))</f>
        <v>28</v>
      </c>
      <c r="BF13" s="10" t="str">
        <f aca="false">IF($A13="","",IFERROR(VLOOKUP($C13,Dim_Fund!$A:$BD,56,0),""))</f>
        <v>Yes</v>
      </c>
      <c r="BG13" s="10" t="str">
        <f aca="false">IF($A13="","",IFERROR(VLOOKUP($C13,Dim_Fund!$A:$BH,60,0),""))</f>
        <v>Ample custody slack</v>
      </c>
      <c r="BH13" s="10" t="str">
        <f aca="false">IF($A13="","",IF($AI13&lt;&gt;"Yes","Not breached",IF($AM13="Yes","Pricing late",IF($BG13="Thin custody slack","Thin custody slack",IF($BF13="Yes","Broker-dependent","None of these")))))</f>
        <v>Not breached</v>
      </c>
      <c r="BI13" s="23" t="n">
        <f aca="false">IF($A13="","",IFERROR(IF(VLOOKUP($C13,Dim_Fund!$A:$AI,35,0)&gt;0,VLOOKUP($C13,Dim_Fund!$A:$AI,35,0),""),""))</f>
        <v>15.9166666666667</v>
      </c>
      <c r="BJ13" s="10" t="str">
        <f aca="false">IF($A13="","",$C13&amp;IF($E13="Client","*",""))</f>
        <v>FD-1003</v>
      </c>
      <c r="BK13" s="39" t="n">
        <f aca="false">IF($A13="","",IFERROR(ROUND(($Y13-$X13)*1440,0),""))</f>
        <v>30</v>
      </c>
      <c r="BL13" s="39" t="n">
        <f aca="false">IF($A13="","",IF($AH13="","",-$AH13))</f>
        <v>28</v>
      </c>
      <c r="BM13" s="46" t="n">
        <f aca="false">IF($A13="","",IF($AQ13="","",IF($AP13="",$AQ13,MIN($AP13,$AQ13))))</f>
        <v>11.1167</v>
      </c>
      <c r="BN13" s="46" t="n">
        <f aca="false">IF($A13="","",IF($BM13="","",ROUND(N($AC13)/60,4)))</f>
        <v>3.7</v>
      </c>
      <c r="BO13" s="46" t="n">
        <f aca="false">IF($A13="","",IF(OR($BM13="",$AD13=""),"",ROUND($AD13/60,4)))</f>
        <v>0.1333</v>
      </c>
      <c r="BP13" s="46" t="n">
        <f aca="false">IF($A13="","",IF($BM13="","",ROUND(N($AE13)/60,4)))</f>
        <v>0.1167</v>
      </c>
      <c r="BQ13" s="46" t="n">
        <f aca="false">IF($A13="","",IF(OR($BM13="",$AF13=""),"",ROUND($AF13/60,4)))</f>
        <v>0.3833</v>
      </c>
      <c r="BR13" s="39" t="n">
        <f aca="false">IF($A13="","",IF($AC13="","",$AC13-$BD13-$BE13))</f>
        <v>173</v>
      </c>
      <c r="BS13" s="45" t="n">
        <f aca="false">IF($A13="","",IF(AND(ISNUMBER($Z13),ISNUMBER($W13)),$Z13,0))</f>
        <v>46266.5982638889</v>
      </c>
      <c r="BT13" s="45" t="n">
        <f aca="false">IF($A13="","",IF(ISNUMBER($W13),$W13,0))</f>
        <v>46266.6173611111</v>
      </c>
      <c r="BU13" s="23" t="n">
        <f aca="false">IF($A13="","",IF(ISNUMBER($W13),ROUND(($W13-$B13)*24,4),""))</f>
        <v>14.8167</v>
      </c>
      <c r="BV13" s="23" t="n">
        <f aca="false">IF($A13="","",IF(ISNUMBER($X13),ROUND(($X13-$B13)*24,4),""))</f>
        <v>14.95</v>
      </c>
      <c r="BW13" s="10" t="str">
        <f aca="false">IF($A13="","",IF(NOT(ISNUMBER($W13)),"Missing Calculated",IF(NOT(ISNUMBER($X13)),IF($E13="Client","Missing FA signed off","Missing Controlled"),IF($X13&lt;$W13,"End before start","OK"))))</f>
        <v>OK</v>
      </c>
      <c r="BX13" s="23" t="n">
        <f aca="false">IF($A13="","",IF(NOT(ISNUMBER($Z13)),"",ROUND((IF(ISNUMBER($U13),MIN($U13,$Z13),$Z13)-$B13)*24,4)))</f>
        <v>11.1167</v>
      </c>
      <c r="BY13" s="23" t="n">
        <f aca="false">IF($A13="","",IF(ISNUMBER($Z13),ROUND(($Z13-$B13)*24,4),""))</f>
        <v>14.3583</v>
      </c>
      <c r="BZ13" s="23" t="n">
        <f aca="false">IF($A13="","",IF(AND(ISNUMBER($W13),ISNUMBER($S13)),ROUND(($W13+$S13/1440-$B13)*24,4),""))</f>
        <v>15.1217</v>
      </c>
    </row>
    <row r="14" customFormat="false" ht="15" hidden="false" customHeight="true" outlineLevel="0" collapsed="false">
      <c r="A14" s="34" t="n">
        <v>46265</v>
      </c>
      <c r="B14" s="34" t="n">
        <v>46266</v>
      </c>
      <c r="C14" s="13" t="s">
        <v>330</v>
      </c>
      <c r="D14" s="4" t="n">
        <f aca="false">IF($A14="","",$B14-$A14)</f>
        <v>1</v>
      </c>
      <c r="E14" s="4" t="str">
        <f aca="false">IF($A14="","",IFERROR(VLOOKUP($C14,Dim_Fund!$A:$X,24,0),""))</f>
        <v>Oversight</v>
      </c>
      <c r="F14" s="37" t="n">
        <f aca="false">IF($A14="","",IF(COUNTIFS(Status_Log!$A:$A,$A14,Status_Log!$B:$B,$B14,Status_Log!$C:$C,$C14,Status_Log!$D:$D,"Changed to the status of Calculated")=0,"",_xlfn.MINIFS(Status_Log!$E:$E,Status_Log!$A:$A,$A14,Status_Log!$B:$B,$B14,Status_Log!$C:$C,$C14,Status_Log!$D:$D,"Changed to the status of Calculated")))</f>
        <v>46266.6604166667</v>
      </c>
      <c r="G14" s="37" t="n">
        <f aca="false">IF($A14="","",IF(COUNTIFS(Status_Log!$A:$A,$A14,Status_Log!$B:$B,$B14,Status_Log!$C:$C,$C14,Status_Log!$D:$D,"Changed to the status of Controlled")=0,"",_xlfn.MAXIFS(Status_Log!$E:$E,Status_Log!$A:$A,$A14,Status_Log!$B:$B,$B14,Status_Log!$C:$C,$C14,Status_Log!$D:$D,"Changed to the status of Controlled")))</f>
        <v>46266.7277777778</v>
      </c>
      <c r="H14" s="37" t="n">
        <f aca="false">IF($A14="","",IF(COUNTIFS(Status_Log!$A:$A,$A14,Status_Log!$B:$B,$B14,Status_Log!$C:$C,$C14,Status_Log!$D:$D,"Changed to the status of Fund accounting signed off")=0,"",_xlfn.MAXIFS(Status_Log!$E:$E,Status_Log!$A:$A,$A14,Status_Log!$B:$B,$B14,Status_Log!$C:$C,$C14,Status_Log!$D:$D,"Changed to the status of Fund accounting signed off")))</f>
        <v>46266.7305555556</v>
      </c>
      <c r="I14" s="37" t="n">
        <f aca="false">IF($A14="","",IF(COUNTIFS(Status_Log!$A:$A,$A14,Status_Log!$B:$B,$B14,Status_Log!$C:$C,$C14,Status_Log!$D:$D,"Changed to the status of signed off")=0,"",_xlfn.MAXIFS(Status_Log!$E:$E,Status_Log!$A:$A,$A14,Status_Log!$B:$B,$B14,Status_Log!$C:$C,$C14,Status_Log!$D:$D,"Changed to the status of signed off")))</f>
        <v>46266.7486111111</v>
      </c>
      <c r="J14" s="4" t="n">
        <f aca="false">IF($A14="","",COUNTIFS(Status_Log!$A:$A,$A14,Status_Log!$B:$B,$B14,Status_Log!$C:$C,$C14,Status_Log!$D:$D,"Changed to the status of Calculated"))</f>
        <v>2</v>
      </c>
      <c r="K14" s="38" t="n">
        <f aca="false">IF($A14="","",IF(J14&lt;=1,0,ROUND((_xlfn.MAXIFS(Status_Log!$E:$E,Status_Log!$A:$A,$A14,Status_Log!$B:$B,$B14,Status_Log!$C:$C,$C14,Status_Log!$D:$D,"Changed to the status of Calculated")-F14)*1440,0)))</f>
        <v>91</v>
      </c>
      <c r="L14" s="4" t="str">
        <f aca="false">IF($A14="","",IFERROR(INDEX(Status_Log!$F:$F,MATCH($A14&amp;"|"&amp;$B14&amp;"|"&amp;$C14&amp;"|Changed to the status of Calculated|"&amp;TEXT(_xlfn.MAXIFS(Status_Log!$E:$E,Status_Log!$A:$A,$A14,Status_Log!$B:$B,$B14,Status_Log!$C:$C,$C14,Status_Log!$D:$D,"Changed to the status of Calculated"),"0.000000"),Status_Log!$H:$H,0)),""))</f>
        <v>Chen Xiao</v>
      </c>
      <c r="M14" s="4" t="str">
        <f aca="false">IF($A14="","",IF(E14="Client","n/a — no control step",IFERROR(INDEX(Status_Log!$F:$F,MATCH($A14&amp;"|"&amp;$B14&amp;"|"&amp;$C14&amp;"|Changed to the status of Controlled|"&amp;TEXT(_xlfn.MAXIFS(Status_Log!$E:$E,Status_Log!$A:$A,$A14,Status_Log!$B:$B,$B14,Status_Log!$C:$C,$C14,Status_Log!$D:$D,"Changed to the status of Controlled"),"0.000000"),Status_Log!$H:$H,0)),"")))</f>
        <v>Chen Xiao</v>
      </c>
      <c r="N14" s="4" t="str">
        <f aca="false">IF($A14="","",IFERROR(VLOOKUP($C14,Dim_Fund!$A:$G,7,0),""))</f>
        <v>Chen Xiao</v>
      </c>
      <c r="O14" s="4" t="str">
        <f aca="false">IF($A14="","",IF(L14=N14,"No","Yes"))</f>
        <v>No</v>
      </c>
      <c r="P14" s="4" t="str">
        <f aca="false">IF($A14="","",IF(E14="Client","n/a",IF(L14=M14,"YES — four-eyes breach","No")))</f>
        <v>YES — four-eyes breach</v>
      </c>
      <c r="Q14" s="38" t="n">
        <f aca="false">IF($A14="","",IFERROR(VLOOKUP($C14,Dim_Fund!$A:$AB,28,0),""))</f>
        <v>46.3</v>
      </c>
      <c r="R14" s="38" t="n">
        <f aca="false">IF($A14="","",IFERROR(VLOOKUP($C14,Dim_Fund!$A:$AC,29,0),""))</f>
        <v>27.8</v>
      </c>
      <c r="S14" s="38" t="n">
        <f aca="false">IF($A14="","",IFERROR(VLOOKUP($C14,Dim_Fund!$A:$AD,30,0),""))</f>
        <v>18.5</v>
      </c>
      <c r="T14" s="38" t="n">
        <f aca="false">IF($A14="","",IFERROR(VLOOKUP($C14,Dim_Fund!$A:$AL,38,0),""))</f>
        <v>25</v>
      </c>
      <c r="U14" s="37" t="n">
        <f aca="false">IF($A14="","",IF(AL14="","",IFERROR(IF(COUNTIFS(Fact_Milestone!$A:$A,$B14,Fact_Milestone!$B:$B,AL14)=0,"",_xlfn.MAXIFS(Fact_Milestone!$C:$C,Fact_Milestone!$A:$A,$B14,Fact_Milestone!$B:$B,AL14)),"")))</f>
        <v>46266.5305555556</v>
      </c>
      <c r="V14" s="37" t="n">
        <f aca="false">IF($A14="","",IFERROR(IF(VLOOKUP($C14,Dim_Fund!$A:$AI,35,0)&gt;0,$B14+VLOOKUP($C14,Dim_Fund!$A:$AI,35,0)/24,""),""))</f>
        <v>46266.7069444444</v>
      </c>
      <c r="W14" s="37" t="n">
        <f aca="false">IF($A14="","",F14)</f>
        <v>46266.6604166667</v>
      </c>
      <c r="X14" s="37" t="n">
        <f aca="false">IF($A14="","",IF(E14="Client",H14,G14))</f>
        <v>46266.7277777778</v>
      </c>
      <c r="Y14" s="37" t="n">
        <f aca="false">IF($A14="","",I14)</f>
        <v>46266.7486111111</v>
      </c>
      <c r="Z14" s="37" t="n">
        <f aca="false">IF($A14="","",IFERROR(W14-R14/1440,""))</f>
        <v>46266.6411111111</v>
      </c>
      <c r="AA14" s="38" t="n">
        <f aca="false">IF($A14="","",IF(OR(U14="",V14=""),"",ROUND((V14-U14)*1440,0)))</f>
        <v>254</v>
      </c>
      <c r="AB14" s="38" t="n">
        <f aca="false">IF($A14="","",IF(U14="","",ROUND((W14-U14)*1440,0)))</f>
        <v>187</v>
      </c>
      <c r="AC14" s="38" t="n">
        <f aca="false">IF($A14="","",IF(AB14="","",MAX(0,AB14)))</f>
        <v>187</v>
      </c>
      <c r="AD14" s="38" t="n">
        <f aca="false">IF($A14="","",IFERROR(ROUND((X14-W14)*1440,0),""))</f>
        <v>97</v>
      </c>
      <c r="AE14" s="38" t="n">
        <f aca="false">IF($A14="","",IF(E14="Client","n/a",IFERROR(ROUND((H14-G14)*1440,0),"")))</f>
        <v>4</v>
      </c>
      <c r="AF14" s="38" t="n">
        <f aca="false">IF($A14="","",IFERROR(ROUND((Y14-H14)*1440,0),""))</f>
        <v>26</v>
      </c>
      <c r="AG14" s="38" t="n">
        <f aca="false">IF($A14="","",IFERROR(ROUND((H14-F14)*1440,0),""))</f>
        <v>101</v>
      </c>
      <c r="AH14" s="38" t="n">
        <f aca="false">IF($A14="","",IFERROR(ROUND((Y14-V14)*1440,0),""))</f>
        <v>60</v>
      </c>
      <c r="AI14" s="4" t="str">
        <f aca="false">IF($A14="","",IF(AH14="","",IF(AH14&gt;0,"Yes","No")))</f>
        <v>Yes</v>
      </c>
      <c r="AJ14" s="4" t="str">
        <f aca="false">IF($A14="","",IF(AI14&lt;&gt;"Yes","On time",IF(N(AC14)&gt;=MAX(N(AF14),N(K14)),"Wait for analyst",IF(N(AF14)&gt;=N(K14),"External sign-off","Rework"))))</f>
        <v>Wait for analyst</v>
      </c>
      <c r="AK14" s="4" t="str">
        <f aca="false">IF($A14="","",IF(OR(F14="",Y14="",ISNA(MATCH(L14,Dim_Analyst!$A:$A,0))),"CHECK","OK"))</f>
        <v>OK</v>
      </c>
      <c r="AL14" s="4" t="str">
        <f aca="false">IF($A14="","",IFERROR(VLOOKUP($C14,Dim_Fund!$A:$U,21,0),""))</f>
        <v>TOP-ALT</v>
      </c>
      <c r="AM14" s="4" t="str">
        <f aca="false">IF($A14="","",IF($U14="","",IF($U14&gt;$B14+IFERROR(VLOOKUP($C14,Dim_Fund!$A:$AH,34,0),0)/24,"Yes","No")))</f>
        <v>Yes</v>
      </c>
      <c r="AN14" s="22" t="n">
        <f aca="false">IF($A14="","",IFERROR(VLOOKUP($C14,Dim_Fund!$A:$AH,34,0),""))</f>
        <v>12.6666666666667</v>
      </c>
      <c r="AO14" s="22" t="n">
        <f aca="false">IF($A14="","",IF($AL14="","",IFERROR(FLOOR(IF(COUNTIFS(Fact_Milestone!$A:$A,$B14,Fact_Milestone!$B:$B,$AL14,Fact_Milestone!$F:$F,"&gt;0")&gt;0,_xlfn.MINIFS(Fact_Milestone!$F:$F,Fact_Milestone!$A:$A,$B14,Fact_Milestone!$B:$B,$AL14,Fact_Milestone!$F:$F,"&gt;0"),VLOOKUP($AL14,Dim_TOP!$A:$E,5,0)),0.5),"")))</f>
        <v>11.5</v>
      </c>
      <c r="AP14" s="22" t="n">
        <f aca="false">IF($A14="","",IF($U14="","",ROUND(($U14-INT($U14))*24,4)))</f>
        <v>12.7333</v>
      </c>
      <c r="AQ14" s="22" t="n">
        <f aca="false">IF($A14="","",IF($W14="","",ROUND(($W14-INT($W14))*24,4)))</f>
        <v>15.85</v>
      </c>
      <c r="AR14" s="22" t="n">
        <f aca="false">IF($A14="","",IF($X14="","",ROUND(($X14-INT($X14))*24,4)))</f>
        <v>17.4667</v>
      </c>
      <c r="AS14" s="38" t="n">
        <f aca="false">IF($A14="","",IF(OR($AN14="",$V14="",$S14="",$T14=""),"",ROUND(($V14-($B14+$AN14/24))*1440-$S14-$T14,0)))</f>
        <v>215</v>
      </c>
      <c r="AT14" s="38" t="n">
        <f aca="false">IF($A14="","",IF(OR($AN14="",$U14=""),"",ROUND(($U14-($B14+$AN14/24))*1440,0)))</f>
        <v>4</v>
      </c>
      <c r="AU14" s="38" t="n">
        <f aca="false">IF($A14="","",IF(OR($AD14="",$S14=""),"",ROUND($AD14-$S14,0)))</f>
        <v>79</v>
      </c>
      <c r="AV14" s="38" t="n">
        <f aca="false">IF($A14="","",N($AE14))</f>
        <v>4</v>
      </c>
      <c r="AW14" s="38" t="n">
        <f aca="false">IF($A14="","",IF(OR($AF14="",$T14=""),"",$AF14-$T14))</f>
        <v>1</v>
      </c>
      <c r="AX14" s="38" t="n">
        <f aca="false">IF($A14="","",IF(COUNT($AT14,$AB14,$AU14,$AW14,$AS14,$AH14)&lt;6,"",ROUND($AT14+$AB14+$AU14+$AV14+$AW14-$AS14-$AH14,0)))</f>
        <v>0</v>
      </c>
      <c r="AY14" s="4" t="str">
        <f aca="false">IF($A14="","",IF($AX14="","No",IF(ABS($AX14)&lt;=2,"Yes","No")))</f>
        <v>Yes</v>
      </c>
      <c r="AZ14" s="4" t="str">
        <f aca="false">IF($A14="","",IF($AI14&lt;&gt;"Yes","n/a",IF(OR($AA14="",$S14="",$T14=""),"Unknown",IF($AA14&lt;$S14+$T14,"Lost on arrival","Lost after arrival"))))</f>
        <v>Lost after arrival</v>
      </c>
      <c r="BA14" s="10" t="str">
        <f aca="false">IF($A14="","",IFERROR(VLOOKUP($C14,Dim_Fund!$A:$D,4,0),""))</f>
        <v>Meridian Pensions</v>
      </c>
      <c r="BB14" s="10" t="str">
        <f aca="false">IF($A14="","",IF($AL14="","",IF(COUNTIFS(Fact_Milestone!$A:$A,$B14,Fact_Milestone!$B:$B,$AL14,Fact_Milestone!$I:$I,"No")&gt;0,"No",IF(COUNTIFS(Fact_Milestone!$A:$A,$B14,Fact_Milestone!$B:$B,$AL14,Fact_Milestone!$I:$I,"Yes")&gt;0,"Yes",""))))</f>
        <v>No</v>
      </c>
      <c r="BC14" s="45" t="str">
        <f aca="false">IF($A14="","",IF(OR($L14="",$W14=""),"",IF(COUNTIFS($L:$L,$L14,$B:$B,$B14,$W:$W,"&lt;"&amp;$W14)=0,"",_xlfn.MAXIFS($W:$W,$L:$L,$L14,$B:$B,$B14,$W:$W,"&lt;"&amp;$W14))))</f>
        <v/>
      </c>
      <c r="BD14" s="39" t="n">
        <f aca="false">IF($A14="","",IF($AC14="","",IF(OR($L14="",$AC14=0),0,MIN($AC14,ROUND(ROUND(1440*SUMPRODUCT(($L$2:INDEX($L:$L,COUNTA($C:$C))=$L14)*($B$2:INDEX($B:$B,COUNTA($C:$C))=$B14)*(ROW($L$2:INDEX($L:$L,COUNTA($C:$C)))&lt;&gt;ROW())*((((($W14+$BT$2:INDEX($BT:$BT,COUNTA($C:$C))-ABS($W14-$BT$2:INDEX($BT:$BT,COUNTA($C:$C))))/2)-(($U14+$BS$2:INDEX($BS:$BS,COUNTA($C:$C))+ABS($U14-$BS$2:INDEX($BS:$BS,COUNTA($C:$C))))/2))+ABS(((($W14+$BT$2:INDEX($BT:$BT,COUNTA($C:$C))-ABS($W14-$BT$2:INDEX($BT:$BT,COUNTA($C:$C))))/2)-(($U14+$BS$2:INDEX($BS:$BS,COUNTA($C:$C))+ABS($U14-$BS$2:INDEX($BS:$BS,COUNTA($C:$C))))/2))))/2)),4),0)))))</f>
        <v>0</v>
      </c>
      <c r="BE14" s="39" t="n">
        <f aca="false">IF($A14="","",IF($AC14="","",ROUND(MIN($AC14-$BD14,N($R14)),0)))</f>
        <v>28</v>
      </c>
      <c r="BF14" s="10" t="str">
        <f aca="false">IF($A14="","",IFERROR(VLOOKUP($C14,Dim_Fund!$A:$BD,56,0),""))</f>
        <v>Yes</v>
      </c>
      <c r="BG14" s="10" t="str">
        <f aca="false">IF($A14="","",IFERROR(VLOOKUP($C14,Dim_Fund!$A:$BH,60,0),""))</f>
        <v>Ample custody slack</v>
      </c>
      <c r="BH14" s="10" t="str">
        <f aca="false">IF($A14="","",IF($AI14&lt;&gt;"Yes","Not breached",IF($AM14="Yes","Pricing late",IF($BG14="Thin custody slack","Thin custody slack",IF($BF14="Yes","Broker-dependent","None of these")))))</f>
        <v>Pricing late</v>
      </c>
      <c r="BI14" s="23" t="n">
        <f aca="false">IF($A14="","",IFERROR(IF(VLOOKUP($C14,Dim_Fund!$A:$AI,35,0)&gt;0,VLOOKUP($C14,Dim_Fund!$A:$AI,35,0),""),""))</f>
        <v>16.9666666666667</v>
      </c>
      <c r="BJ14" s="10" t="str">
        <f aca="false">IF($A14="","",$C14&amp;IF($E14="Client","*",""))</f>
        <v>FD-1004</v>
      </c>
      <c r="BK14" s="39" t="n">
        <f aca="false">IF($A14="","",IFERROR(ROUND(($Y14-$X14)*1440,0),""))</f>
        <v>30</v>
      </c>
      <c r="BL14" s="39" t="n">
        <f aca="false">IF($A14="","",IF($AH14="","",-$AH14))</f>
        <v>-60</v>
      </c>
      <c r="BM14" s="46" t="n">
        <f aca="false">IF($A14="","",IF($AQ14="","",IF($AP14="",$AQ14,MIN($AP14,$AQ14))))</f>
        <v>12.7333</v>
      </c>
      <c r="BN14" s="46" t="n">
        <f aca="false">IF($A14="","",IF($BM14="","",ROUND(N($AC14)/60,4)))</f>
        <v>3.1167</v>
      </c>
      <c r="BO14" s="46" t="n">
        <f aca="false">IF($A14="","",IF(OR($BM14="",$AD14=""),"",ROUND($AD14/60,4)))</f>
        <v>1.6167</v>
      </c>
      <c r="BP14" s="46" t="n">
        <f aca="false">IF($A14="","",IF($BM14="","",ROUND(N($AE14)/60,4)))</f>
        <v>0.0667</v>
      </c>
      <c r="BQ14" s="46" t="n">
        <f aca="false">IF($A14="","",IF(OR($BM14="",$AF14=""),"",ROUND($AF14/60,4)))</f>
        <v>0.4333</v>
      </c>
      <c r="BR14" s="39" t="n">
        <f aca="false">IF($A14="","",IF($AC14="","",$AC14-$BD14-$BE14))</f>
        <v>159</v>
      </c>
      <c r="BS14" s="45" t="n">
        <f aca="false">IF($A14="","",IF(AND(ISNUMBER($Z14),ISNUMBER($W14)),$Z14,0))</f>
        <v>46266.6411111111</v>
      </c>
      <c r="BT14" s="45" t="n">
        <f aca="false">IF($A14="","",IF(ISNUMBER($W14),$W14,0))</f>
        <v>46266.6604166667</v>
      </c>
      <c r="BU14" s="23" t="n">
        <f aca="false">IF($A14="","",IF(ISNUMBER($W14),ROUND(($W14-$B14)*24,4),""))</f>
        <v>15.85</v>
      </c>
      <c r="BV14" s="23" t="n">
        <f aca="false">IF($A14="","",IF(ISNUMBER($X14),ROUND(($X14-$B14)*24,4),""))</f>
        <v>17.4667</v>
      </c>
      <c r="BW14" s="10" t="str">
        <f aca="false">IF($A14="","",IF(NOT(ISNUMBER($W14)),"Missing Calculated",IF(NOT(ISNUMBER($X14)),IF($E14="Client","Missing FA signed off","Missing Controlled"),IF($X14&lt;$W14,"End before start","OK"))))</f>
        <v>OK</v>
      </c>
      <c r="BX14" s="23" t="n">
        <f aca="false">IF($A14="","",IF(NOT(ISNUMBER($Z14)),"",ROUND((IF(ISNUMBER($U14),MIN($U14,$Z14),$Z14)-$B14)*24,4)))</f>
        <v>12.7333</v>
      </c>
      <c r="BY14" s="23" t="n">
        <f aca="false">IF($A14="","",IF(ISNUMBER($Z14),ROUND(($Z14-$B14)*24,4),""))</f>
        <v>15.3867</v>
      </c>
      <c r="BZ14" s="23" t="n">
        <f aca="false">IF($A14="","",IF(AND(ISNUMBER($W14),ISNUMBER($S14)),ROUND(($W14+$S14/1440-$B14)*24,4),""))</f>
        <v>16.1583</v>
      </c>
    </row>
    <row r="15" customFormat="false" ht="15" hidden="false" customHeight="true" outlineLevel="0" collapsed="false">
      <c r="A15" s="34" t="n">
        <v>46265</v>
      </c>
      <c r="B15" s="34" t="n">
        <v>46266</v>
      </c>
      <c r="C15" s="13" t="s">
        <v>334</v>
      </c>
      <c r="D15" s="4" t="n">
        <f aca="false">IF($A15="","",$B15-$A15)</f>
        <v>1</v>
      </c>
      <c r="E15" s="4" t="str">
        <f aca="false">IF($A15="","",IFERROR(VLOOKUP($C15,Dim_Fund!$A:$X,24,0),""))</f>
        <v>Client</v>
      </c>
      <c r="F15" s="37" t="n">
        <f aca="false">IF($A15="","",IF(COUNTIFS(Status_Log!$A:$A,$A15,Status_Log!$B:$B,$B15,Status_Log!$C:$C,$C15,Status_Log!$D:$D,"Changed to the status of Calculated")=0,"",_xlfn.MINIFS(Status_Log!$E:$E,Status_Log!$A:$A,$A15,Status_Log!$B:$B,$B15,Status_Log!$C:$C,$C15,Status_Log!$D:$D,"Changed to the status of Calculated")))</f>
        <v>46266.6326388889</v>
      </c>
      <c r="G15" s="37" t="str">
        <f aca="false">IF($A15="","",IF(COUNTIFS(Status_Log!$A:$A,$A15,Status_Log!$B:$B,$B15,Status_Log!$C:$C,$C15,Status_Log!$D:$D,"Changed to the status of Controlled")=0,"",_xlfn.MAXIFS(Status_Log!$E:$E,Status_Log!$A:$A,$A15,Status_Log!$B:$B,$B15,Status_Log!$C:$C,$C15,Status_Log!$D:$D,"Changed to the status of Controlled")))</f>
        <v/>
      </c>
      <c r="H15" s="37" t="n">
        <f aca="false">IF($A15="","",IF(COUNTIFS(Status_Log!$A:$A,$A15,Status_Log!$B:$B,$B15,Status_Log!$C:$C,$C15,Status_Log!$D:$D,"Changed to the status of Fund accounting signed off")=0,"",_xlfn.MAXIFS(Status_Log!$E:$E,Status_Log!$A:$A,$A15,Status_Log!$B:$B,$B15,Status_Log!$C:$C,$C15,Status_Log!$D:$D,"Changed to the status of Fund accounting signed off")))</f>
        <v>46266.6423611111</v>
      </c>
      <c r="I15" s="37" t="n">
        <f aca="false">IF($A15="","",IF(COUNTIFS(Status_Log!$A:$A,$A15,Status_Log!$B:$B,$B15,Status_Log!$C:$C,$C15,Status_Log!$D:$D,"Changed to the status of signed off")=0,"",_xlfn.MAXIFS(Status_Log!$E:$E,Status_Log!$A:$A,$A15,Status_Log!$B:$B,$B15,Status_Log!$C:$C,$C15,Status_Log!$D:$D,"Changed to the status of signed off")))</f>
        <v>46266.7</v>
      </c>
      <c r="J15" s="4" t="n">
        <f aca="false">IF($A15="","",COUNTIFS(Status_Log!$A:$A,$A15,Status_Log!$B:$B,$B15,Status_Log!$C:$C,$C15,Status_Log!$D:$D,"Changed to the status of Calculated"))</f>
        <v>1</v>
      </c>
      <c r="K15" s="38" t="n">
        <f aca="false">IF($A15="","",IF(J15&lt;=1,0,ROUND((_xlfn.MAXIFS(Status_Log!$E:$E,Status_Log!$A:$A,$A15,Status_Log!$B:$B,$B15,Status_Log!$C:$C,$C15,Status_Log!$D:$D,"Changed to the status of Calculated")-F15)*1440,0)))</f>
        <v>0</v>
      </c>
      <c r="L15" s="4" t="str">
        <f aca="false">IF($A15="","",IFERROR(INDEX(Status_Log!$F:$F,MATCH($A15&amp;"|"&amp;$B15&amp;"|"&amp;$C15&amp;"|Changed to the status of Calculated|"&amp;TEXT(_xlfn.MAXIFS(Status_Log!$E:$E,Status_Log!$A:$A,$A15,Status_Log!$B:$B,$B15,Status_Log!$C:$C,$C15,Status_Log!$D:$D,"Changed to the status of Calculated"),"0.000000"),Status_Log!$H:$H,0)),""))</f>
        <v>Aisha Rahman</v>
      </c>
      <c r="M15" s="4" t="str">
        <f aca="false">IF($A15="","",IF(E15="Client","n/a — no control step",IFERROR(INDEX(Status_Log!$F:$F,MATCH($A15&amp;"|"&amp;$B15&amp;"|"&amp;$C15&amp;"|Changed to the status of Controlled|"&amp;TEXT(_xlfn.MAXIFS(Status_Log!$E:$E,Status_Log!$A:$A,$A15,Status_Log!$B:$B,$B15,Status_Log!$C:$C,$C15,Status_Log!$D:$D,"Changed to the status of Controlled"),"0.000000"),Status_Log!$H:$H,0)),"")))</f>
        <v>n/a — no control step</v>
      </c>
      <c r="N15" s="4" t="str">
        <f aca="false">IF($A15="","",IFERROR(VLOOKUP($C15,Dim_Fund!$A:$G,7,0),""))</f>
        <v>Aisha Rahman</v>
      </c>
      <c r="O15" s="4" t="str">
        <f aca="false">IF($A15="","",IF(L15=N15,"No","Yes"))</f>
        <v>No</v>
      </c>
      <c r="P15" s="4" t="str">
        <f aca="false">IF($A15="","",IF(E15="Client","n/a",IF(L15=M15,"YES — four-eyes breach","No")))</f>
        <v>n/a</v>
      </c>
      <c r="Q15" s="38" t="n">
        <f aca="false">IF($A15="","",IFERROR(VLOOKUP($C15,Dim_Fund!$A:$AB,28,0),""))</f>
        <v>35.3</v>
      </c>
      <c r="R15" s="38" t="n">
        <f aca="false">IF($A15="","",IFERROR(VLOOKUP($C15,Dim_Fund!$A:$AC,29,0),""))</f>
        <v>22.9</v>
      </c>
      <c r="S15" s="38" t="n">
        <f aca="false">IF($A15="","",IFERROR(VLOOKUP($C15,Dim_Fund!$A:$AD,30,0),""))</f>
        <v>12.4</v>
      </c>
      <c r="T15" s="38" t="n">
        <f aca="false">IF($A15="","",IFERROR(VLOOKUP($C15,Dim_Fund!$A:$AL,38,0),""))</f>
        <v>46</v>
      </c>
      <c r="U15" s="37" t="n">
        <f aca="false">IF($A15="","",IF(AL15="","",IFERROR(IF(COUNTIFS(Fact_Milestone!$A:$A,$B15,Fact_Milestone!$B:$B,AL15)=0,"",_xlfn.MAXIFS(Fact_Milestone!$C:$C,Fact_Milestone!$A:$A,$B15,Fact_Milestone!$B:$B,AL15)),"")))</f>
        <v>46266.4631944444</v>
      </c>
      <c r="V15" s="37" t="n">
        <f aca="false">IF($A15="","",IFERROR(IF(VLOOKUP($C15,Dim_Fund!$A:$AI,35,0)&gt;0,$B15+VLOOKUP($C15,Dim_Fund!$A:$AI,35,0)/24,""),""))</f>
        <v>46266.6833333333</v>
      </c>
      <c r="W15" s="37" t="n">
        <f aca="false">IF($A15="","",F15)</f>
        <v>46266.6326388889</v>
      </c>
      <c r="X15" s="37" t="n">
        <f aca="false">IF($A15="","",IF(E15="Client",H15,G15))</f>
        <v>46266.6423611111</v>
      </c>
      <c r="Y15" s="37" t="n">
        <f aca="false">IF($A15="","",I15)</f>
        <v>46266.7</v>
      </c>
      <c r="Z15" s="37" t="n">
        <f aca="false">IF($A15="","",IFERROR(W15-R15/1440,""))</f>
        <v>46266.6167361111</v>
      </c>
      <c r="AA15" s="38" t="n">
        <f aca="false">IF($A15="","",IF(OR(U15="",V15=""),"",ROUND((V15-U15)*1440,0)))</f>
        <v>317</v>
      </c>
      <c r="AB15" s="38" t="n">
        <f aca="false">IF($A15="","",IF(U15="","",ROUND((W15-U15)*1440,0)))</f>
        <v>244</v>
      </c>
      <c r="AC15" s="38" t="n">
        <f aca="false">IF($A15="","",IF(AB15="","",MAX(0,AB15)))</f>
        <v>244</v>
      </c>
      <c r="AD15" s="38" t="n">
        <f aca="false">IF($A15="","",IFERROR(ROUND((X15-W15)*1440,0),""))</f>
        <v>14</v>
      </c>
      <c r="AE15" s="38" t="str">
        <f aca="false">IF($A15="","",IF(E15="Client","n/a",IFERROR(ROUND((H15-G15)*1440,0),"")))</f>
        <v>n/a</v>
      </c>
      <c r="AF15" s="38" t="n">
        <f aca="false">IF($A15="","",IFERROR(ROUND((Y15-H15)*1440,0),""))</f>
        <v>83</v>
      </c>
      <c r="AG15" s="38" t="n">
        <f aca="false">IF($A15="","",IFERROR(ROUND((H15-F15)*1440,0),""))</f>
        <v>14</v>
      </c>
      <c r="AH15" s="38" t="n">
        <f aca="false">IF($A15="","",IFERROR(ROUND((Y15-V15)*1440,0),""))</f>
        <v>24</v>
      </c>
      <c r="AI15" s="4" t="str">
        <f aca="false">IF($A15="","",IF(AH15="","",IF(AH15&gt;0,"Yes","No")))</f>
        <v>Yes</v>
      </c>
      <c r="AJ15" s="4" t="str">
        <f aca="false">IF($A15="","",IF(AI15&lt;&gt;"Yes","On time",IF(N(AC15)&gt;=MAX(N(AF15),N(K15)),"Wait for analyst",IF(N(AF15)&gt;=N(K15),"External sign-off","Rework"))))</f>
        <v>Wait for analyst</v>
      </c>
      <c r="AK15" s="4" t="str">
        <f aca="false">IF($A15="","",IF(OR(F15="",Y15="",ISNA(MATCH(L15,Dim_Analyst!$A:$A,0))),"CHECK","OK"))</f>
        <v>OK</v>
      </c>
      <c r="AL15" s="4" t="str">
        <f aca="false">IF($A15="","",IFERROR(VLOOKUP($C15,Dim_Fund!$A:$U,21,0),""))</f>
        <v>TOP-EQ1</v>
      </c>
      <c r="AM15" s="4" t="str">
        <f aca="false">IF($A15="","",IF($U15="","",IF($U15&gt;$B15+IFERROR(VLOOKUP($C15,Dim_Fund!$A:$AH,34,0),0)/24,"Yes","No")))</f>
        <v>No</v>
      </c>
      <c r="AN15" s="22" t="n">
        <f aca="false">IF($A15="","",IFERROR(VLOOKUP($C15,Dim_Fund!$A:$AH,34,0),""))</f>
        <v>13.0166666666667</v>
      </c>
      <c r="AO15" s="22" t="n">
        <f aca="false">IF($A15="","",IF($AL15="","",IFERROR(FLOOR(IF(COUNTIFS(Fact_Milestone!$A:$A,$B15,Fact_Milestone!$B:$B,$AL15,Fact_Milestone!$F:$F,"&gt;0")&gt;0,_xlfn.MINIFS(Fact_Milestone!$F:$F,Fact_Milestone!$A:$A,$B15,Fact_Milestone!$B:$B,$AL15,Fact_Milestone!$F:$F,"&gt;0"),VLOOKUP($AL15,Dim_TOP!$A:$E,5,0)),0.5),"")))</f>
        <v>11.5</v>
      </c>
      <c r="AP15" s="22" t="n">
        <f aca="false">IF($A15="","",IF($U15="","",ROUND(($U15-INT($U15))*24,4)))</f>
        <v>11.1167</v>
      </c>
      <c r="AQ15" s="22" t="n">
        <f aca="false">IF($A15="","",IF($W15="","",ROUND(($W15-INT($W15))*24,4)))</f>
        <v>15.1833</v>
      </c>
      <c r="AR15" s="22" t="n">
        <f aca="false">IF($A15="","",IF($X15="","",ROUND(($X15-INT($X15))*24,4)))</f>
        <v>15.4167</v>
      </c>
      <c r="AS15" s="38" t="n">
        <f aca="false">IF($A15="","",IF(OR($AN15="",$V15="",$S15="",$T15=""),"",ROUND(($V15-($B15+$AN15/24))*1440-$S15-$T15,0)))</f>
        <v>145</v>
      </c>
      <c r="AT15" s="38" t="n">
        <f aca="false">IF($A15="","",IF(OR($AN15="",$U15=""),"",ROUND(($U15-($B15+$AN15/24))*1440,0)))</f>
        <v>-114</v>
      </c>
      <c r="AU15" s="38" t="n">
        <f aca="false">IF($A15="","",IF(OR($AD15="",$S15=""),"",ROUND($AD15-$S15,0)))</f>
        <v>2</v>
      </c>
      <c r="AV15" s="38" t="n">
        <f aca="false">IF($A15="","",N($AE15))</f>
        <v>0</v>
      </c>
      <c r="AW15" s="38" t="n">
        <f aca="false">IF($A15="","",IF(OR($AF15="",$T15=""),"",$AF15-$T15))</f>
        <v>37</v>
      </c>
      <c r="AX15" s="38" t="n">
        <f aca="false">IF($A15="","",IF(COUNT($AT15,$AB15,$AU15,$AW15,$AS15,$AH15)&lt;6,"",ROUND($AT15+$AB15+$AU15+$AV15+$AW15-$AS15-$AH15,0)))</f>
        <v>0</v>
      </c>
      <c r="AY15" s="4" t="str">
        <f aca="false">IF($A15="","",IF($AX15="","No",IF(ABS($AX15)&lt;=2,"Yes","No")))</f>
        <v>Yes</v>
      </c>
      <c r="AZ15" s="4" t="str">
        <f aca="false">IF($A15="","",IF($AI15&lt;&gt;"Yes","n/a",IF(OR($AA15="",$S15="",$T15=""),"Unknown",IF($AA15&lt;$S15+$T15,"Lost on arrival","Lost after arrival"))))</f>
        <v>Lost after arrival</v>
      </c>
      <c r="BA15" s="10" t="str">
        <f aca="false">IF($A15="","",IFERROR(VLOOKUP($C15,Dim_Fund!$A:$D,4,0),""))</f>
        <v>Northgate Insurance</v>
      </c>
      <c r="BB15" s="10" t="str">
        <f aca="false">IF($A15="","",IF($AL15="","",IF(COUNTIFS(Fact_Milestone!$A:$A,$B15,Fact_Milestone!$B:$B,$AL15,Fact_Milestone!$I:$I,"No")&gt;0,"No",IF(COUNTIFS(Fact_Milestone!$A:$A,$B15,Fact_Milestone!$B:$B,$AL15,Fact_Milestone!$I:$I,"Yes")&gt;0,"Yes",""))))</f>
        <v>Yes</v>
      </c>
      <c r="BC15" s="45" t="str">
        <f aca="false">IF($A15="","",IF(OR($L15="",$W15=""),"",IF(COUNTIFS($L:$L,$L15,$B:$B,$B15,$W:$W,"&lt;"&amp;$W15)=0,"",_xlfn.MAXIFS($W:$W,$L:$L,$L15,$B:$B,$B15,$W:$W,"&lt;"&amp;$W15))))</f>
        <v/>
      </c>
      <c r="BD15" s="39" t="n">
        <f aca="false">IF($A15="","",IF($AC15="","",IF(OR($L15="",$AC15=0),0,MIN($AC15,ROUND(ROUND(1440*SUMPRODUCT(($L$2:INDEX($L:$L,COUNTA($C:$C))=$L15)*($B$2:INDEX($B:$B,COUNTA($C:$C))=$B15)*(ROW($L$2:INDEX($L:$L,COUNTA($C:$C)))&lt;&gt;ROW())*((((($W15+$BT$2:INDEX($BT:$BT,COUNTA($C:$C))-ABS($W15-$BT$2:INDEX($BT:$BT,COUNTA($C:$C))))/2)-(($U15+$BS$2:INDEX($BS:$BS,COUNTA($C:$C))+ABS($U15-$BS$2:INDEX($BS:$BS,COUNTA($C:$C))))/2))+ABS(((($W15+$BT$2:INDEX($BT:$BT,COUNTA($C:$C))-ABS($W15-$BT$2:INDEX($BT:$BT,COUNTA($C:$C))))/2)-(($U15+$BS$2:INDEX($BS:$BS,COUNTA($C:$C))+ABS($U15-$BS$2:INDEX($BS:$BS,COUNTA($C:$C))))/2))))/2)),4),0)))))</f>
        <v>0</v>
      </c>
      <c r="BE15" s="39" t="n">
        <f aca="false">IF($A15="","",IF($AC15="","",ROUND(MIN($AC15-$BD15,N($R15)),0)))</f>
        <v>23</v>
      </c>
      <c r="BF15" s="10" t="str">
        <f aca="false">IF($A15="","",IFERROR(VLOOKUP($C15,Dim_Fund!$A:$BD,56,0),""))</f>
        <v>Yes</v>
      </c>
      <c r="BG15" s="10" t="str">
        <f aca="false">IF($A15="","",IFERROR(VLOOKUP($C15,Dim_Fund!$A:$BH,60,0),""))</f>
        <v>Ample custody slack</v>
      </c>
      <c r="BH15" s="10" t="str">
        <f aca="false">IF($A15="","",IF($AI15&lt;&gt;"Yes","Not breached",IF($AM15="Yes","Pricing late",IF($BG15="Thin custody slack","Thin custody slack",IF($BF15="Yes","Broker-dependent","None of these")))))</f>
        <v>Broker-dependent</v>
      </c>
      <c r="BI15" s="23" t="n">
        <f aca="false">IF($A15="","",IFERROR(IF(VLOOKUP($C15,Dim_Fund!$A:$AI,35,0)&gt;0,VLOOKUP($C15,Dim_Fund!$A:$AI,35,0),""),""))</f>
        <v>16.4</v>
      </c>
      <c r="BJ15" s="10" t="str">
        <f aca="false">IF($A15="","",$C15&amp;IF($E15="Client","*",""))</f>
        <v>FD-1005*</v>
      </c>
      <c r="BK15" s="39" t="n">
        <f aca="false">IF($A15="","",IFERROR(ROUND(($Y15-$X15)*1440,0),""))</f>
        <v>83</v>
      </c>
      <c r="BL15" s="39" t="n">
        <f aca="false">IF($A15="","",IF($AH15="","",-$AH15))</f>
        <v>-24</v>
      </c>
      <c r="BM15" s="46" t="n">
        <f aca="false">IF($A15="","",IF($AQ15="","",IF($AP15="",$AQ15,MIN($AP15,$AQ15))))</f>
        <v>11.1167</v>
      </c>
      <c r="BN15" s="46" t="n">
        <f aca="false">IF($A15="","",IF($BM15="","",ROUND(N($AC15)/60,4)))</f>
        <v>4.0667</v>
      </c>
      <c r="BO15" s="46" t="n">
        <f aca="false">IF($A15="","",IF(OR($BM15="",$AD15=""),"",ROUND($AD15/60,4)))</f>
        <v>0.2333</v>
      </c>
      <c r="BP15" s="46" t="n">
        <f aca="false">IF($A15="","",IF($BM15="","",ROUND(N($AE15)/60,4)))</f>
        <v>0</v>
      </c>
      <c r="BQ15" s="46" t="n">
        <f aca="false">IF($A15="","",IF(OR($BM15="",$AF15=""),"",ROUND($AF15/60,4)))</f>
        <v>1.3833</v>
      </c>
      <c r="BR15" s="39" t="n">
        <f aca="false">IF($A15="","",IF($AC15="","",$AC15-$BD15-$BE15))</f>
        <v>221</v>
      </c>
      <c r="BS15" s="45" t="n">
        <f aca="false">IF($A15="","",IF(AND(ISNUMBER($Z15),ISNUMBER($W15)),$Z15,0))</f>
        <v>46266.6167361111</v>
      </c>
      <c r="BT15" s="45" t="n">
        <f aca="false">IF($A15="","",IF(ISNUMBER($W15),$W15,0))</f>
        <v>46266.6326388889</v>
      </c>
      <c r="BU15" s="23" t="n">
        <f aca="false">IF($A15="","",IF(ISNUMBER($W15),ROUND(($W15-$B15)*24,4),""))</f>
        <v>15.1833</v>
      </c>
      <c r="BV15" s="23" t="n">
        <f aca="false">IF($A15="","",IF(ISNUMBER($X15),ROUND(($X15-$B15)*24,4),""))</f>
        <v>15.4167</v>
      </c>
      <c r="BW15" s="10" t="str">
        <f aca="false">IF($A15="","",IF(NOT(ISNUMBER($W15)),"Missing Calculated",IF(NOT(ISNUMBER($X15)),IF($E15="Client","Missing FA signed off","Missing Controlled"),IF($X15&lt;$W15,"End before start","OK"))))</f>
        <v>OK</v>
      </c>
      <c r="BX15" s="23" t="n">
        <f aca="false">IF($A15="","",IF(NOT(ISNUMBER($Z15)),"",ROUND((IF(ISNUMBER($U15),MIN($U15,$Z15),$Z15)-$B15)*24,4)))</f>
        <v>11.1167</v>
      </c>
      <c r="BY15" s="23" t="n">
        <f aca="false">IF($A15="","",IF(ISNUMBER($Z15),ROUND(($Z15-$B15)*24,4),""))</f>
        <v>14.8017</v>
      </c>
      <c r="BZ15" s="23" t="n">
        <f aca="false">IF($A15="","",IF(AND(ISNUMBER($W15),ISNUMBER($S15)),ROUND(($W15+$S15/1440-$B15)*24,4),""))</f>
        <v>15.39</v>
      </c>
    </row>
    <row r="16" customFormat="false" ht="15" hidden="false" customHeight="true" outlineLevel="0" collapsed="false">
      <c r="A16" s="34" t="n">
        <v>46265</v>
      </c>
      <c r="B16" s="34" t="n">
        <v>46266</v>
      </c>
      <c r="C16" s="13" t="s">
        <v>337</v>
      </c>
      <c r="D16" s="4" t="n">
        <f aca="false">IF($A16="","",$B16-$A16)</f>
        <v>1</v>
      </c>
      <c r="E16" s="4" t="str">
        <f aca="false">IF($A16="","",IFERROR(VLOOKUP($C16,Dim_Fund!$A:$X,24,0),""))</f>
        <v>FA</v>
      </c>
      <c r="F16" s="37" t="n">
        <f aca="false">IF($A16="","",IF(COUNTIFS(Status_Log!$A:$A,$A16,Status_Log!$B:$B,$B16,Status_Log!$C:$C,$C16,Status_Log!$D:$D,"Changed to the status of Calculated")=0,"",_xlfn.MINIFS(Status_Log!$E:$E,Status_Log!$A:$A,$A16,Status_Log!$B:$B,$B16,Status_Log!$C:$C,$C16,Status_Log!$D:$D,"Changed to the status of Calculated")))</f>
        <v>46266.6055555556</v>
      </c>
      <c r="G16" s="37" t="n">
        <f aca="false">IF($A16="","",IF(COUNTIFS(Status_Log!$A:$A,$A16,Status_Log!$B:$B,$B16,Status_Log!$C:$C,$C16,Status_Log!$D:$D,"Changed to the status of Controlled")=0,"",_xlfn.MAXIFS(Status_Log!$E:$E,Status_Log!$A:$A,$A16,Status_Log!$B:$B,$B16,Status_Log!$C:$C,$C16,Status_Log!$D:$D,"Changed to the status of Controlled")))</f>
        <v>46266.6131944444</v>
      </c>
      <c r="H16" s="37" t="n">
        <f aca="false">IF($A16="","",IF(COUNTIFS(Status_Log!$A:$A,$A16,Status_Log!$B:$B,$B16,Status_Log!$C:$C,$C16,Status_Log!$D:$D,"Changed to the status of Fund accounting signed off")=0,"",_xlfn.MAXIFS(Status_Log!$E:$E,Status_Log!$A:$A,$A16,Status_Log!$B:$B,$B16,Status_Log!$C:$C,$C16,Status_Log!$D:$D,"Changed to the status of Fund accounting signed off")))</f>
        <v>46266.6243055556</v>
      </c>
      <c r="I16" s="37" t="n">
        <f aca="false">IF($A16="","",IF(COUNTIFS(Status_Log!$A:$A,$A16,Status_Log!$B:$B,$B16,Status_Log!$C:$C,$C16,Status_Log!$D:$D,"Changed to the status of signed off")=0,"",_xlfn.MAXIFS(Status_Log!$E:$E,Status_Log!$A:$A,$A16,Status_Log!$B:$B,$B16,Status_Log!$C:$C,$C16,Status_Log!$D:$D,"Changed to the status of signed off")))</f>
        <v>46266.6409722222</v>
      </c>
      <c r="J16" s="4" t="n">
        <f aca="false">IF($A16="","",COUNTIFS(Status_Log!$A:$A,$A16,Status_Log!$B:$B,$B16,Status_Log!$C:$C,$C16,Status_Log!$D:$D,"Changed to the status of Calculated"))</f>
        <v>1</v>
      </c>
      <c r="K16" s="38" t="n">
        <f aca="false">IF($A16="","",IF(J16&lt;=1,0,ROUND((_xlfn.MAXIFS(Status_Log!$E:$E,Status_Log!$A:$A,$A16,Status_Log!$B:$B,$B16,Status_Log!$C:$C,$C16,Status_Log!$D:$D,"Changed to the status of Calculated")-F16)*1440,0)))</f>
        <v>0</v>
      </c>
      <c r="L16" s="4" t="str">
        <f aca="false">IF($A16="","",IFERROR(INDEX(Status_Log!$F:$F,MATCH($A16&amp;"|"&amp;$B16&amp;"|"&amp;$C16&amp;"|Changed to the status of Calculated|"&amp;TEXT(_xlfn.MAXIFS(Status_Log!$E:$E,Status_Log!$A:$A,$A16,Status_Log!$B:$B,$B16,Status_Log!$C:$C,$C16,Status_Log!$D:$D,"Changed to the status of Calculated"),"0.000000"),Status_Log!$H:$H,0)),""))</f>
        <v>Daniel Tan</v>
      </c>
      <c r="M16" s="4" t="str">
        <f aca="false">IF($A16="","",IF(E16="Client","n/a — no control step",IFERROR(INDEX(Status_Log!$F:$F,MATCH($A16&amp;"|"&amp;$B16&amp;"|"&amp;$C16&amp;"|Changed to the status of Controlled|"&amp;TEXT(_xlfn.MAXIFS(Status_Log!$E:$E,Status_Log!$A:$A,$A16,Status_Log!$B:$B,$B16,Status_Log!$C:$C,$C16,Status_Log!$D:$D,"Changed to the status of Controlled"),"0.000000"),Status_Log!$H:$H,0)),"")))</f>
        <v>Lim Wei Ming</v>
      </c>
      <c r="N16" s="4" t="str">
        <f aca="false">IF($A16="","",IFERROR(VLOOKUP($C16,Dim_Fund!$A:$G,7,0),""))</f>
        <v>Daniel Tan</v>
      </c>
      <c r="O16" s="4" t="str">
        <f aca="false">IF($A16="","",IF(L16=N16,"No","Yes"))</f>
        <v>No</v>
      </c>
      <c r="P16" s="4" t="str">
        <f aca="false">IF($A16="","",IF(E16="Client","n/a",IF(L16=M16,"YES — four-eyes breach","No")))</f>
        <v>No</v>
      </c>
      <c r="Q16" s="38" t="n">
        <f aca="false">IF($A16="","",IFERROR(VLOOKUP($C16,Dim_Fund!$A:$AB,28,0),""))</f>
        <v>25.3</v>
      </c>
      <c r="R16" s="38" t="n">
        <f aca="false">IF($A16="","",IFERROR(VLOOKUP($C16,Dim_Fund!$A:$AC,29,0),""))</f>
        <v>15.2</v>
      </c>
      <c r="S16" s="38" t="n">
        <f aca="false">IF($A16="","",IFERROR(VLOOKUP($C16,Dim_Fund!$A:$AD,30,0),""))</f>
        <v>10.1</v>
      </c>
      <c r="T16" s="38" t="n">
        <f aca="false">IF($A16="","",IFERROR(VLOOKUP($C16,Dim_Fund!$A:$AL,38,0),""))</f>
        <v>0</v>
      </c>
      <c r="U16" s="37" t="n">
        <f aca="false">IF($A16="","",IF(AL16="","",IFERROR(IF(COUNTIFS(Fact_Milestone!$A:$A,$B16,Fact_Milestone!$B:$B,AL16)=0,"",_xlfn.MAXIFS(Fact_Milestone!$C:$C,Fact_Milestone!$A:$A,$B16,Fact_Milestone!$B:$B,AL16)),"")))</f>
        <v>46266.4861111111</v>
      </c>
      <c r="V16" s="37" t="n">
        <f aca="false">IF($A16="","",IFERROR(IF(VLOOKUP($C16,Dim_Fund!$A:$AI,35,0)&gt;0,$B16+VLOOKUP($C16,Dim_Fund!$A:$AI,35,0)/24,""),""))</f>
        <v>46266.7388888889</v>
      </c>
      <c r="W16" s="37" t="n">
        <f aca="false">IF($A16="","",F16)</f>
        <v>46266.6055555556</v>
      </c>
      <c r="X16" s="37" t="n">
        <f aca="false">IF($A16="","",IF(E16="Client",H16,G16))</f>
        <v>46266.6131944444</v>
      </c>
      <c r="Y16" s="37" t="n">
        <f aca="false">IF($A16="","",I16)</f>
        <v>46266.6409722222</v>
      </c>
      <c r="Z16" s="37" t="n">
        <f aca="false">IF($A16="","",IFERROR(W16-R16/1440,""))</f>
        <v>46266.595</v>
      </c>
      <c r="AA16" s="38" t="n">
        <f aca="false">IF($A16="","",IF(OR(U16="",V16=""),"",ROUND((V16-U16)*1440,0)))</f>
        <v>364</v>
      </c>
      <c r="AB16" s="38" t="n">
        <f aca="false">IF($A16="","",IF(U16="","",ROUND((W16-U16)*1440,0)))</f>
        <v>172</v>
      </c>
      <c r="AC16" s="38" t="n">
        <f aca="false">IF($A16="","",IF(AB16="","",MAX(0,AB16)))</f>
        <v>172</v>
      </c>
      <c r="AD16" s="38" t="n">
        <f aca="false">IF($A16="","",IFERROR(ROUND((X16-W16)*1440,0),""))</f>
        <v>11</v>
      </c>
      <c r="AE16" s="38" t="n">
        <f aca="false">IF($A16="","",IF(E16="Client","n/a",IFERROR(ROUND((H16-G16)*1440,0),"")))</f>
        <v>16</v>
      </c>
      <c r="AF16" s="38" t="n">
        <f aca="false">IF($A16="","",IFERROR(ROUND((Y16-H16)*1440,0),""))</f>
        <v>24</v>
      </c>
      <c r="AG16" s="38" t="n">
        <f aca="false">IF($A16="","",IFERROR(ROUND((H16-F16)*1440,0),""))</f>
        <v>27</v>
      </c>
      <c r="AH16" s="38" t="n">
        <f aca="false">IF($A16="","",IFERROR(ROUND((Y16-V16)*1440,0),""))</f>
        <v>-141</v>
      </c>
      <c r="AI16" s="4" t="str">
        <f aca="false">IF($A16="","",IF(AH16="","",IF(AH16&gt;0,"Yes","No")))</f>
        <v>No</v>
      </c>
      <c r="AJ16" s="4" t="str">
        <f aca="false">IF($A16="","",IF(AI16&lt;&gt;"Yes","On time",IF(N(AC16)&gt;=MAX(N(AF16),N(K16)),"Wait for analyst",IF(N(AF16)&gt;=N(K16),"External sign-off","Rework"))))</f>
        <v>On time</v>
      </c>
      <c r="AK16" s="4" t="str">
        <f aca="false">IF($A16="","",IF(OR(F16="",Y16="",ISNA(MATCH(L16,Dim_Analyst!$A:$A,0))),"CHECK","OK"))</f>
        <v>OK</v>
      </c>
      <c r="AL16" s="4" t="str">
        <f aca="false">IF($A16="","",IFERROR(VLOOKUP($C16,Dim_Fund!$A:$U,21,0),""))</f>
        <v>TOP-FI1</v>
      </c>
      <c r="AM16" s="4" t="str">
        <f aca="false">IF($A16="","",IF($U16="","",IF($U16&gt;$B16+IFERROR(VLOOKUP($C16,Dim_Fund!$A:$AH,34,0),0)/24,"Yes","No")))</f>
        <v>No</v>
      </c>
      <c r="AN16" s="22" t="n">
        <f aca="false">IF($A16="","",IFERROR(VLOOKUP($C16,Dim_Fund!$A:$AH,34,0),""))</f>
        <v>13.2666666666667</v>
      </c>
      <c r="AO16" s="22" t="n">
        <f aca="false">IF($A16="","",IF($AL16="","",IFERROR(FLOOR(IF(COUNTIFS(Fact_Milestone!$A:$A,$B16,Fact_Milestone!$B:$B,$AL16,Fact_Milestone!$F:$F,"&gt;0")&gt;0,_xlfn.MINIFS(Fact_Milestone!$F:$F,Fact_Milestone!$A:$A,$B16,Fact_Milestone!$B:$B,$AL16,Fact_Milestone!$F:$F,"&gt;0"),VLOOKUP($AL16,Dim_TOP!$A:$E,5,0)),0.5),"")))</f>
        <v>12</v>
      </c>
      <c r="AP16" s="22" t="n">
        <f aca="false">IF($A16="","",IF($U16="","",ROUND(($U16-INT($U16))*24,4)))</f>
        <v>11.6667</v>
      </c>
      <c r="AQ16" s="22" t="n">
        <f aca="false">IF($A16="","",IF($W16="","",ROUND(($W16-INT($W16))*24,4)))</f>
        <v>14.5333</v>
      </c>
      <c r="AR16" s="22" t="n">
        <f aca="false">IF($A16="","",IF($X16="","",ROUND(($X16-INT($X16))*24,4)))</f>
        <v>14.7167</v>
      </c>
      <c r="AS16" s="38" t="n">
        <f aca="false">IF($A16="","",IF(OR($AN16="",$V16="",$S16="",$T16=""),"",ROUND(($V16-($B16+$AN16/24))*1440-$S16-$T16,0)))</f>
        <v>258</v>
      </c>
      <c r="AT16" s="38" t="n">
        <f aca="false">IF($A16="","",IF(OR($AN16="",$U16=""),"",ROUND(($U16-($B16+$AN16/24))*1440,0)))</f>
        <v>-96</v>
      </c>
      <c r="AU16" s="38" t="n">
        <f aca="false">IF($A16="","",IF(OR($AD16="",$S16=""),"",ROUND($AD16-$S16,0)))</f>
        <v>1</v>
      </c>
      <c r="AV16" s="38" t="n">
        <f aca="false">IF($A16="","",N($AE16))</f>
        <v>16</v>
      </c>
      <c r="AW16" s="38" t="n">
        <f aca="false">IF($A16="","",IF(OR($AF16="",$T16=""),"",$AF16-$T16))</f>
        <v>24</v>
      </c>
      <c r="AX16" s="38" t="n">
        <f aca="false">IF($A16="","",IF(COUNT($AT16,$AB16,$AU16,$AW16,$AS16,$AH16)&lt;6,"",ROUND($AT16+$AB16+$AU16+$AV16+$AW16-$AS16-$AH16,0)))</f>
        <v>0</v>
      </c>
      <c r="AY16" s="4" t="str">
        <f aca="false">IF($A16="","",IF($AX16="","No",IF(ABS($AX16)&lt;=2,"Yes","No")))</f>
        <v>Yes</v>
      </c>
      <c r="AZ16" s="4" t="str">
        <f aca="false">IF($A16="","",IF($AI16&lt;&gt;"Yes","n/a",IF(OR($AA16="",$S16="",$T16=""),"Unknown",IF($AA16&lt;$S16+$T16,"Lost on arrival","Lost after arrival"))))</f>
        <v>n/a</v>
      </c>
      <c r="BA16" s="10" t="str">
        <f aca="false">IF($A16="","",IFERROR(VLOOKUP($C16,Dim_Fund!$A:$D,4,0),""))</f>
        <v>Halvern Wealth</v>
      </c>
      <c r="BB16" s="10" t="str">
        <f aca="false">IF($A16="","",IF($AL16="","",IF(COUNTIFS(Fact_Milestone!$A:$A,$B16,Fact_Milestone!$B:$B,$AL16,Fact_Milestone!$I:$I,"No")&gt;0,"No",IF(COUNTIFS(Fact_Milestone!$A:$A,$B16,Fact_Milestone!$B:$B,$AL16,Fact_Milestone!$I:$I,"Yes")&gt;0,"Yes",""))))</f>
        <v>Yes</v>
      </c>
      <c r="BC16" s="45" t="str">
        <f aca="false">IF($A16="","",IF(OR($L16="",$W16=""),"",IF(COUNTIFS($L:$L,$L16,$B:$B,$B16,$W:$W,"&lt;"&amp;$W16)=0,"",_xlfn.MAXIFS($W:$W,$L:$L,$L16,$B:$B,$B16,$W:$W,"&lt;"&amp;$W16))))</f>
        <v/>
      </c>
      <c r="BD16" s="39" t="n">
        <f aca="false">IF($A16="","",IF($AC16="","",IF(OR($L16="",$AC16=0),0,MIN($AC16,ROUND(ROUND(1440*SUMPRODUCT(($L$2:INDEX($L:$L,COUNTA($C:$C))=$L16)*($B$2:INDEX($B:$B,COUNTA($C:$C))=$B16)*(ROW($L$2:INDEX($L:$L,COUNTA($C:$C)))&lt;&gt;ROW())*((((($W16+$BT$2:INDEX($BT:$BT,COUNTA($C:$C))-ABS($W16-$BT$2:INDEX($BT:$BT,COUNTA($C:$C))))/2)-(($U16+$BS$2:INDEX($BS:$BS,COUNTA($C:$C))+ABS($U16-$BS$2:INDEX($BS:$BS,COUNTA($C:$C))))/2))+ABS(((($W16+$BT$2:INDEX($BT:$BT,COUNTA($C:$C))-ABS($W16-$BT$2:INDEX($BT:$BT,COUNTA($C:$C))))/2)-(($U16+$BS$2:INDEX($BS:$BS,COUNTA($C:$C))+ABS($U16-$BS$2:INDEX($BS:$BS,COUNTA($C:$C))))/2))))/2)),4),0)))))</f>
        <v>0</v>
      </c>
      <c r="BE16" s="39" t="n">
        <f aca="false">IF($A16="","",IF($AC16="","",ROUND(MIN($AC16-$BD16,N($R16)),0)))</f>
        <v>15</v>
      </c>
      <c r="BF16" s="10" t="str">
        <f aca="false">IF($A16="","",IFERROR(VLOOKUP($C16,Dim_Fund!$A:$BD,56,0),""))</f>
        <v>Yes</v>
      </c>
      <c r="BG16" s="10" t="str">
        <f aca="false">IF($A16="","",IFERROR(VLOOKUP($C16,Dim_Fund!$A:$BH,60,0),""))</f>
        <v>Ample custody slack</v>
      </c>
      <c r="BH16" s="10" t="str">
        <f aca="false">IF($A16="","",IF($AI16&lt;&gt;"Yes","Not breached",IF($AM16="Yes","Pricing late",IF($BG16="Thin custody slack","Thin custody slack",IF($BF16="Yes","Broker-dependent","None of these")))))</f>
        <v>Not breached</v>
      </c>
      <c r="BI16" s="23" t="n">
        <f aca="false">IF($A16="","",IFERROR(IF(VLOOKUP($C16,Dim_Fund!$A:$AI,35,0)&gt;0,VLOOKUP($C16,Dim_Fund!$A:$AI,35,0),""),""))</f>
        <v>17.7333333333333</v>
      </c>
      <c r="BJ16" s="10" t="str">
        <f aca="false">IF($A16="","",$C16&amp;IF($E16="Client","*",""))</f>
        <v>FD-1006</v>
      </c>
      <c r="BK16" s="39" t="n">
        <f aca="false">IF($A16="","",IFERROR(ROUND(($Y16-$X16)*1440,0),""))</f>
        <v>40</v>
      </c>
      <c r="BL16" s="39" t="n">
        <f aca="false">IF($A16="","",IF($AH16="","",-$AH16))</f>
        <v>141</v>
      </c>
      <c r="BM16" s="46" t="n">
        <f aca="false">IF($A16="","",IF($AQ16="","",IF($AP16="",$AQ16,MIN($AP16,$AQ16))))</f>
        <v>11.6667</v>
      </c>
      <c r="BN16" s="46" t="n">
        <f aca="false">IF($A16="","",IF($BM16="","",ROUND(N($AC16)/60,4)))</f>
        <v>2.8667</v>
      </c>
      <c r="BO16" s="46" t="n">
        <f aca="false">IF($A16="","",IF(OR($BM16="",$AD16=""),"",ROUND($AD16/60,4)))</f>
        <v>0.1833</v>
      </c>
      <c r="BP16" s="46" t="n">
        <f aca="false">IF($A16="","",IF($BM16="","",ROUND(N($AE16)/60,4)))</f>
        <v>0.2667</v>
      </c>
      <c r="BQ16" s="46" t="n">
        <f aca="false">IF($A16="","",IF(OR($BM16="",$AF16=""),"",ROUND($AF16/60,4)))</f>
        <v>0.4</v>
      </c>
      <c r="BR16" s="39" t="n">
        <f aca="false">IF($A16="","",IF($AC16="","",$AC16-$BD16-$BE16))</f>
        <v>157</v>
      </c>
      <c r="BS16" s="45" t="n">
        <f aca="false">IF($A16="","",IF(AND(ISNUMBER($Z16),ISNUMBER($W16)),$Z16,0))</f>
        <v>46266.595</v>
      </c>
      <c r="BT16" s="45" t="n">
        <f aca="false">IF($A16="","",IF(ISNUMBER($W16),$W16,0))</f>
        <v>46266.6055555556</v>
      </c>
      <c r="BU16" s="23" t="n">
        <f aca="false">IF($A16="","",IF(ISNUMBER($W16),ROUND(($W16-$B16)*24,4),""))</f>
        <v>14.5333</v>
      </c>
      <c r="BV16" s="23" t="n">
        <f aca="false">IF($A16="","",IF(ISNUMBER($X16),ROUND(($X16-$B16)*24,4),""))</f>
        <v>14.7167</v>
      </c>
      <c r="BW16" s="10" t="str">
        <f aca="false">IF($A16="","",IF(NOT(ISNUMBER($W16)),"Missing Calculated",IF(NOT(ISNUMBER($X16)),IF($E16="Client","Missing FA signed off","Missing Controlled"),IF($X16&lt;$W16,"End before start","OK"))))</f>
        <v>OK</v>
      </c>
      <c r="BX16" s="23" t="n">
        <f aca="false">IF($A16="","",IF(NOT(ISNUMBER($Z16)),"",ROUND((IF(ISNUMBER($U16),MIN($U16,$Z16),$Z16)-$B16)*24,4)))</f>
        <v>11.6667</v>
      </c>
      <c r="BY16" s="23" t="n">
        <f aca="false">IF($A16="","",IF(ISNUMBER($Z16),ROUND(($Z16-$B16)*24,4),""))</f>
        <v>14.28</v>
      </c>
      <c r="BZ16" s="23" t="n">
        <f aca="false">IF($A16="","",IF(AND(ISNUMBER($W16),ISNUMBER($S16)),ROUND(($W16+$S16/1440-$B16)*24,4),""))</f>
        <v>14.7017</v>
      </c>
    </row>
    <row r="17" customFormat="false" ht="15" hidden="false" customHeight="true" outlineLevel="0" collapsed="false">
      <c r="A17" s="34" t="n">
        <v>46265</v>
      </c>
      <c r="B17" s="34" t="n">
        <v>46266</v>
      </c>
      <c r="C17" s="13" t="s">
        <v>340</v>
      </c>
      <c r="D17" s="4" t="n">
        <f aca="false">IF($A17="","",$B17-$A17)</f>
        <v>1</v>
      </c>
      <c r="E17" s="4" t="str">
        <f aca="false">IF($A17="","",IFERROR(VLOOKUP($C17,Dim_Fund!$A:$X,24,0),""))</f>
        <v>FA</v>
      </c>
      <c r="F17" s="37" t="n">
        <f aca="false">IF($A17="","",IF(COUNTIFS(Status_Log!$A:$A,$A17,Status_Log!$B:$B,$B17,Status_Log!$C:$C,$C17,Status_Log!$D:$D,"Changed to the status of Calculated")=0,"",_xlfn.MINIFS(Status_Log!$E:$E,Status_Log!$A:$A,$A17,Status_Log!$B:$B,$B17,Status_Log!$C:$C,$C17,Status_Log!$D:$D,"Changed to the status of Calculated")))</f>
        <v>46266.65</v>
      </c>
      <c r="G17" s="37" t="n">
        <f aca="false">IF($A17="","",IF(COUNTIFS(Status_Log!$A:$A,$A17,Status_Log!$B:$B,$B17,Status_Log!$C:$C,$C17,Status_Log!$D:$D,"Changed to the status of Controlled")=0,"",_xlfn.MAXIFS(Status_Log!$E:$E,Status_Log!$A:$A,$A17,Status_Log!$B:$B,$B17,Status_Log!$C:$C,$C17,Status_Log!$D:$D,"Changed to the status of Controlled")))</f>
        <v>46266.6909722222</v>
      </c>
      <c r="H17" s="37" t="n">
        <f aca="false">IF($A17="","",IF(COUNTIFS(Status_Log!$A:$A,$A17,Status_Log!$B:$B,$B17,Status_Log!$C:$C,$C17,Status_Log!$D:$D,"Changed to the status of Fund accounting signed off")=0,"",_xlfn.MAXIFS(Status_Log!$E:$E,Status_Log!$A:$A,$A17,Status_Log!$B:$B,$B17,Status_Log!$C:$C,$C17,Status_Log!$D:$D,"Changed to the status of Fund accounting signed off")))</f>
        <v>46266.6972222222</v>
      </c>
      <c r="I17" s="37" t="n">
        <f aca="false">IF($A17="","",IF(COUNTIFS(Status_Log!$A:$A,$A17,Status_Log!$B:$B,$B17,Status_Log!$C:$C,$C17,Status_Log!$D:$D,"Changed to the status of signed off")=0,"",_xlfn.MAXIFS(Status_Log!$E:$E,Status_Log!$A:$A,$A17,Status_Log!$B:$B,$B17,Status_Log!$C:$C,$C17,Status_Log!$D:$D,"Changed to the status of signed off")))</f>
        <v>46266.7145833333</v>
      </c>
      <c r="J17" s="4" t="n">
        <f aca="false">IF($A17="","",COUNTIFS(Status_Log!$A:$A,$A17,Status_Log!$B:$B,$B17,Status_Log!$C:$C,$C17,Status_Log!$D:$D,"Changed to the status of Calculated"))</f>
        <v>2</v>
      </c>
      <c r="K17" s="38" t="n">
        <f aca="false">IF($A17="","",IF(J17&lt;=1,0,ROUND((_xlfn.MAXIFS(Status_Log!$E:$E,Status_Log!$A:$A,$A17,Status_Log!$B:$B,$B17,Status_Log!$C:$C,$C17,Status_Log!$D:$D,"Changed to the status of Calculated")-F17)*1440,0)))</f>
        <v>45</v>
      </c>
      <c r="L17" s="4" t="str">
        <f aca="false">IF($A17="","",IFERROR(INDEX(Status_Log!$F:$F,MATCH($A17&amp;"|"&amp;$B17&amp;"|"&amp;$C17&amp;"|Changed to the status of Calculated|"&amp;TEXT(_xlfn.MAXIFS(Status_Log!$E:$E,Status_Log!$A:$A,$A17,Status_Log!$B:$B,$B17,Status_Log!$C:$C,$C17,Status_Log!$D:$D,"Changed to the status of Calculated"),"0.000000"),Status_Log!$H:$H,0)),""))</f>
        <v>Lim Wei Ming</v>
      </c>
      <c r="M17" s="4" t="str">
        <f aca="false">IF($A17="","",IF(E17="Client","n/a — no control step",IFERROR(INDEX(Status_Log!$F:$F,MATCH($A17&amp;"|"&amp;$B17&amp;"|"&amp;$C17&amp;"|Changed to the status of Controlled|"&amp;TEXT(_xlfn.MAXIFS(Status_Log!$E:$E,Status_Log!$A:$A,$A17,Status_Log!$B:$B,$B17,Status_Log!$C:$C,$C17,Status_Log!$D:$D,"Changed to the status of Controlled"),"0.000000"),Status_Log!$H:$H,0)),"")))</f>
        <v>Raj Kumar</v>
      </c>
      <c r="N17" s="4" t="str">
        <f aca="false">IF($A17="","",IFERROR(VLOOKUP($C17,Dim_Fund!$A:$G,7,0),""))</f>
        <v>Lim Wei Ming</v>
      </c>
      <c r="O17" s="4" t="str">
        <f aca="false">IF($A17="","",IF(L17=N17,"No","Yes"))</f>
        <v>No</v>
      </c>
      <c r="P17" s="4" t="str">
        <f aca="false">IF($A17="","",IF(E17="Client","n/a",IF(L17=M17,"YES — four-eyes breach","No")))</f>
        <v>No</v>
      </c>
      <c r="Q17" s="38" t="n">
        <f aca="false">IF($A17="","",IFERROR(VLOOKUP($C17,Dim_Fund!$A:$AB,28,0),""))</f>
        <v>29.7</v>
      </c>
      <c r="R17" s="38" t="n">
        <f aca="false">IF($A17="","",IFERROR(VLOOKUP($C17,Dim_Fund!$A:$AC,29,0),""))</f>
        <v>20.8</v>
      </c>
      <c r="S17" s="38" t="n">
        <f aca="false">IF($A17="","",IFERROR(VLOOKUP($C17,Dim_Fund!$A:$AD,30,0),""))</f>
        <v>8.9</v>
      </c>
      <c r="T17" s="38" t="n">
        <f aca="false">IF($A17="","",IFERROR(VLOOKUP($C17,Dim_Fund!$A:$AL,38,0),""))</f>
        <v>0</v>
      </c>
      <c r="U17" s="37" t="n">
        <f aca="false">IF($A17="","",IF(AL17="","",IFERROR(IF(COUNTIFS(Fact_Milestone!$A:$A,$B17,Fact_Milestone!$B:$B,AL17)=0,"",_xlfn.MAXIFS(Fact_Milestone!$C:$C,Fact_Milestone!$A:$A,$B17,Fact_Milestone!$B:$B,AL17)),"")))</f>
        <v>46266.4631944444</v>
      </c>
      <c r="V17" s="37" t="n">
        <f aca="false">IF($A17="","",IFERROR(IF(VLOOKUP($C17,Dim_Fund!$A:$AI,35,0)&gt;0,$B17+VLOOKUP($C17,Dim_Fund!$A:$AI,35,0)/24,""),""))</f>
        <v>46266.7236111111</v>
      </c>
      <c r="W17" s="37" t="n">
        <f aca="false">IF($A17="","",F17)</f>
        <v>46266.65</v>
      </c>
      <c r="X17" s="37" t="n">
        <f aca="false">IF($A17="","",IF(E17="Client",H17,G17))</f>
        <v>46266.6909722222</v>
      </c>
      <c r="Y17" s="37" t="n">
        <f aca="false">IF($A17="","",I17)</f>
        <v>46266.7145833333</v>
      </c>
      <c r="Z17" s="37" t="n">
        <f aca="false">IF($A17="","",IFERROR(W17-R17/1440,""))</f>
        <v>46266.6355555556</v>
      </c>
      <c r="AA17" s="38" t="n">
        <f aca="false">IF($A17="","",IF(OR(U17="",V17=""),"",ROUND((V17-U17)*1440,0)))</f>
        <v>375</v>
      </c>
      <c r="AB17" s="38" t="n">
        <f aca="false">IF($A17="","",IF(U17="","",ROUND((W17-U17)*1440,0)))</f>
        <v>269</v>
      </c>
      <c r="AC17" s="38" t="n">
        <f aca="false">IF($A17="","",IF(AB17="","",MAX(0,AB17)))</f>
        <v>269</v>
      </c>
      <c r="AD17" s="38" t="n">
        <f aca="false">IF($A17="","",IFERROR(ROUND((X17-W17)*1440,0),""))</f>
        <v>59</v>
      </c>
      <c r="AE17" s="38" t="n">
        <f aca="false">IF($A17="","",IF(E17="Client","n/a",IFERROR(ROUND((H17-G17)*1440,0),"")))</f>
        <v>9</v>
      </c>
      <c r="AF17" s="38" t="n">
        <f aca="false">IF($A17="","",IFERROR(ROUND((Y17-H17)*1440,0),""))</f>
        <v>25</v>
      </c>
      <c r="AG17" s="38" t="n">
        <f aca="false">IF($A17="","",IFERROR(ROUND((H17-F17)*1440,0),""))</f>
        <v>68</v>
      </c>
      <c r="AH17" s="38" t="n">
        <f aca="false">IF($A17="","",IFERROR(ROUND((Y17-V17)*1440,0),""))</f>
        <v>-13</v>
      </c>
      <c r="AI17" s="4" t="str">
        <f aca="false">IF($A17="","",IF(AH17="","",IF(AH17&gt;0,"Yes","No")))</f>
        <v>No</v>
      </c>
      <c r="AJ17" s="4" t="str">
        <f aca="false">IF($A17="","",IF(AI17&lt;&gt;"Yes","On time",IF(N(AC17)&gt;=MAX(N(AF17),N(K17)),"Wait for analyst",IF(N(AF17)&gt;=N(K17),"External sign-off","Rework"))))</f>
        <v>On time</v>
      </c>
      <c r="AK17" s="4" t="str">
        <f aca="false">IF($A17="","",IF(OR(F17="",Y17="",ISNA(MATCH(L17,Dim_Analyst!$A:$A,0))),"CHECK","OK"))</f>
        <v>OK</v>
      </c>
      <c r="AL17" s="4" t="str">
        <f aca="false">IF($A17="","",IFERROR(VLOOKUP($C17,Dim_Fund!$A:$U,21,0),""))</f>
        <v>TOP-MA1</v>
      </c>
      <c r="AM17" s="4" t="str">
        <f aca="false">IF($A17="","",IF($U17="","",IF($U17&gt;$B17+IFERROR(VLOOKUP($C17,Dim_Fund!$A:$AH,34,0),0)/24,"Yes","No")))</f>
        <v>No</v>
      </c>
      <c r="AN17" s="22" t="n">
        <f aca="false">IF($A17="","",IFERROR(VLOOKUP($C17,Dim_Fund!$A:$AH,34,0),""))</f>
        <v>13.1166666666667</v>
      </c>
      <c r="AO17" s="22" t="n">
        <f aca="false">IF($A17="","",IF($AL17="","",IFERROR(FLOOR(IF(COUNTIFS(Fact_Milestone!$A:$A,$B17,Fact_Milestone!$B:$B,$AL17,Fact_Milestone!$F:$F,"&gt;0")&gt;0,_xlfn.MINIFS(Fact_Milestone!$F:$F,Fact_Milestone!$A:$A,$B17,Fact_Milestone!$B:$B,$AL17,Fact_Milestone!$F:$F,"&gt;0"),VLOOKUP($AL17,Dim_TOP!$A:$E,5,0)),0.5),"")))</f>
        <v>11.5</v>
      </c>
      <c r="AP17" s="22" t="n">
        <f aca="false">IF($A17="","",IF($U17="","",ROUND(($U17-INT($U17))*24,4)))</f>
        <v>11.1167</v>
      </c>
      <c r="AQ17" s="22" t="n">
        <f aca="false">IF($A17="","",IF($W17="","",ROUND(($W17-INT($W17))*24,4)))</f>
        <v>15.6</v>
      </c>
      <c r="AR17" s="22" t="n">
        <f aca="false">IF($A17="","",IF($X17="","",ROUND(($X17-INT($X17))*24,4)))</f>
        <v>16.5833</v>
      </c>
      <c r="AS17" s="38" t="n">
        <f aca="false">IF($A17="","",IF(OR($AN17="",$V17="",$S17="",$T17=""),"",ROUND(($V17-($B17+$AN17/24))*1440-$S17-$T17,0)))</f>
        <v>246</v>
      </c>
      <c r="AT17" s="38" t="n">
        <f aca="false">IF($A17="","",IF(OR($AN17="",$U17=""),"",ROUND(($U17-($B17+$AN17/24))*1440,0)))</f>
        <v>-120</v>
      </c>
      <c r="AU17" s="38" t="n">
        <f aca="false">IF($A17="","",IF(OR($AD17="",$S17=""),"",ROUND($AD17-$S17,0)))</f>
        <v>50</v>
      </c>
      <c r="AV17" s="38" t="n">
        <f aca="false">IF($A17="","",N($AE17))</f>
        <v>9</v>
      </c>
      <c r="AW17" s="38" t="n">
        <f aca="false">IF($A17="","",IF(OR($AF17="",$T17=""),"",$AF17-$T17))</f>
        <v>25</v>
      </c>
      <c r="AX17" s="38" t="n">
        <f aca="false">IF($A17="","",IF(COUNT($AT17,$AB17,$AU17,$AW17,$AS17,$AH17)&lt;6,"",ROUND($AT17+$AB17+$AU17+$AV17+$AW17-$AS17-$AH17,0)))</f>
        <v>0</v>
      </c>
      <c r="AY17" s="4" t="str">
        <f aca="false">IF($A17="","",IF($AX17="","No",IF(ABS($AX17)&lt;=2,"Yes","No")))</f>
        <v>Yes</v>
      </c>
      <c r="AZ17" s="4" t="str">
        <f aca="false">IF($A17="","",IF($AI17&lt;&gt;"Yes","n/a",IF(OR($AA17="",$S17="",$T17=""),"Unknown",IF($AA17&lt;$S17+$T17,"Lost on arrival","Lost after arrival"))))</f>
        <v>n/a</v>
      </c>
      <c r="BA17" s="10" t="str">
        <f aca="false">IF($A17="","",IFERROR(VLOOKUP($C17,Dim_Fund!$A:$D,4,0),""))</f>
        <v>Meridian Pensions</v>
      </c>
      <c r="BB17" s="10" t="str">
        <f aca="false">IF($A17="","",IF($AL17="","",IF(COUNTIFS(Fact_Milestone!$A:$A,$B17,Fact_Milestone!$B:$B,$AL17,Fact_Milestone!$I:$I,"No")&gt;0,"No",IF(COUNTIFS(Fact_Milestone!$A:$A,$B17,Fact_Milestone!$B:$B,$AL17,Fact_Milestone!$I:$I,"Yes")&gt;0,"Yes",""))))</f>
        <v>Yes</v>
      </c>
      <c r="BC17" s="45" t="n">
        <f aca="false">IF($A17="","",IF(OR($L17="",$W17=""),"",IF(COUNTIFS($L:$L,$L17,$B:$B,$B17,$W:$W,"&lt;"&amp;$W17)=0,"",_xlfn.MAXIFS($W:$W,$L:$L,$L17,$B:$B,$B17,$W:$W,"&lt;"&amp;$W17))))</f>
        <v>46266.5958333333</v>
      </c>
      <c r="BD17" s="39" t="n">
        <f aca="false">IF($A17="","",IF($AC17="","",IF(OR($L17="",$AC17=0),0,MIN($AC17,ROUND(ROUND(1440*SUMPRODUCT(($L$2:INDEX($L:$L,COUNTA($C:$C))=$L17)*($B$2:INDEX($B:$B,COUNTA($C:$C))=$B17)*(ROW($L$2:INDEX($L:$L,COUNTA($C:$C)))&lt;&gt;ROW())*((((($W17+$BT$2:INDEX($BT:$BT,COUNTA($C:$C))-ABS($W17-$BT$2:INDEX($BT:$BT,COUNTA($C:$C))))/2)-(($U17+$BS$2:INDEX($BS:$BS,COUNTA($C:$C))+ABS($U17-$BS$2:INDEX($BS:$BS,COUNTA($C:$C))))/2))+ABS(((($W17+$BT$2:INDEX($BT:$BT,COUNTA($C:$C))-ABS($W17-$BT$2:INDEX($BT:$BT,COUNTA($C:$C))))/2)-(($U17+$BS$2:INDEX($BS:$BS,COUNTA($C:$C))+ABS($U17-$BS$2:INDEX($BS:$BS,COUNTA($C:$C))))/2))))/2)),4),0)))))</f>
        <v>29</v>
      </c>
      <c r="BE17" s="39" t="n">
        <f aca="false">IF($A17="","",IF($AC17="","",ROUND(MIN($AC17-$BD17,N($R17)),0)))</f>
        <v>21</v>
      </c>
      <c r="BF17" s="10" t="str">
        <f aca="false">IF($A17="","",IFERROR(VLOOKUP($C17,Dim_Fund!$A:$BD,56,0),""))</f>
        <v>No</v>
      </c>
      <c r="BG17" s="10" t="str">
        <f aca="false">IF($A17="","",IFERROR(VLOOKUP($C17,Dim_Fund!$A:$BH,60,0),""))</f>
        <v>Ample custody slack</v>
      </c>
      <c r="BH17" s="10" t="str">
        <f aca="false">IF($A17="","",IF($AI17&lt;&gt;"Yes","Not breached",IF($AM17="Yes","Pricing late",IF($BG17="Thin custody slack","Thin custody slack",IF($BF17="Yes","Broker-dependent","None of these")))))</f>
        <v>Not breached</v>
      </c>
      <c r="BI17" s="23" t="n">
        <f aca="false">IF($A17="","",IFERROR(IF(VLOOKUP($C17,Dim_Fund!$A:$AI,35,0)&gt;0,VLOOKUP($C17,Dim_Fund!$A:$AI,35,0),""),""))</f>
        <v>17.3666666666667</v>
      </c>
      <c r="BJ17" s="10" t="str">
        <f aca="false">IF($A17="","",$C17&amp;IF($E17="Client","*",""))</f>
        <v>FD-1007</v>
      </c>
      <c r="BK17" s="39" t="n">
        <f aca="false">IF($A17="","",IFERROR(ROUND(($Y17-$X17)*1440,0),""))</f>
        <v>34</v>
      </c>
      <c r="BL17" s="39" t="n">
        <f aca="false">IF($A17="","",IF($AH17="","",-$AH17))</f>
        <v>13</v>
      </c>
      <c r="BM17" s="46" t="n">
        <f aca="false">IF($A17="","",IF($AQ17="","",IF($AP17="",$AQ17,MIN($AP17,$AQ17))))</f>
        <v>11.1167</v>
      </c>
      <c r="BN17" s="46" t="n">
        <f aca="false">IF($A17="","",IF($BM17="","",ROUND(N($AC17)/60,4)))</f>
        <v>4.4833</v>
      </c>
      <c r="BO17" s="46" t="n">
        <f aca="false">IF($A17="","",IF(OR($BM17="",$AD17=""),"",ROUND($AD17/60,4)))</f>
        <v>0.9833</v>
      </c>
      <c r="BP17" s="46" t="n">
        <f aca="false">IF($A17="","",IF($BM17="","",ROUND(N($AE17)/60,4)))</f>
        <v>0.15</v>
      </c>
      <c r="BQ17" s="46" t="n">
        <f aca="false">IF($A17="","",IF(OR($BM17="",$AF17=""),"",ROUND($AF17/60,4)))</f>
        <v>0.4167</v>
      </c>
      <c r="BR17" s="39" t="n">
        <f aca="false">IF($A17="","",IF($AC17="","",$AC17-$BD17-$BE17))</f>
        <v>219</v>
      </c>
      <c r="BS17" s="45" t="n">
        <f aca="false">IF($A17="","",IF(AND(ISNUMBER($Z17),ISNUMBER($W17)),$Z17,0))</f>
        <v>46266.6355555556</v>
      </c>
      <c r="BT17" s="45" t="n">
        <f aca="false">IF($A17="","",IF(ISNUMBER($W17),$W17,0))</f>
        <v>46266.65</v>
      </c>
      <c r="BU17" s="23" t="n">
        <f aca="false">IF($A17="","",IF(ISNUMBER($W17),ROUND(($W17-$B17)*24,4),""))</f>
        <v>15.6</v>
      </c>
      <c r="BV17" s="23" t="n">
        <f aca="false">IF($A17="","",IF(ISNUMBER($X17),ROUND(($X17-$B17)*24,4),""))</f>
        <v>16.5833</v>
      </c>
      <c r="BW17" s="10" t="str">
        <f aca="false">IF($A17="","",IF(NOT(ISNUMBER($W17)),"Missing Calculated",IF(NOT(ISNUMBER($X17)),IF($E17="Client","Missing FA signed off","Missing Controlled"),IF($X17&lt;$W17,"End before start","OK"))))</f>
        <v>OK</v>
      </c>
      <c r="BX17" s="23" t="n">
        <f aca="false">IF($A17="","",IF(NOT(ISNUMBER($Z17)),"",ROUND((IF(ISNUMBER($U17),MIN($U17,$Z17),$Z17)-$B17)*24,4)))</f>
        <v>11.1167</v>
      </c>
      <c r="BY17" s="23" t="n">
        <f aca="false">IF($A17="","",IF(ISNUMBER($Z17),ROUND(($Z17-$B17)*24,4),""))</f>
        <v>15.2533</v>
      </c>
      <c r="BZ17" s="23" t="n">
        <f aca="false">IF($A17="","",IF(AND(ISNUMBER($W17),ISNUMBER($S17)),ROUND(($W17+$S17/1440-$B17)*24,4),""))</f>
        <v>15.7483</v>
      </c>
    </row>
    <row r="18" customFormat="false" ht="15" hidden="false" customHeight="true" outlineLevel="0" collapsed="false">
      <c r="A18" s="34" t="n">
        <v>46264</v>
      </c>
      <c r="B18" s="34" t="n">
        <v>46266</v>
      </c>
      <c r="C18" s="13" t="s">
        <v>342</v>
      </c>
      <c r="D18" s="4" t="n">
        <f aca="false">IF($A18="","",$B18-$A18)</f>
        <v>2</v>
      </c>
      <c r="E18" s="4" t="str">
        <f aca="false">IF($A18="","",IFERROR(VLOOKUP($C18,Dim_Fund!$A:$X,24,0),""))</f>
        <v>FA</v>
      </c>
      <c r="F18" s="37" t="n">
        <f aca="false">IF($A18="","",IF(COUNTIFS(Status_Log!$A:$A,$A18,Status_Log!$B:$B,$B18,Status_Log!$C:$C,$C18,Status_Log!$D:$D,"Changed to the status of Calculated")=0,"",_xlfn.MINIFS(Status_Log!$E:$E,Status_Log!$A:$A,$A18,Status_Log!$B:$B,$B18,Status_Log!$C:$C,$C18,Status_Log!$D:$D,"Changed to the status of Calculated")))</f>
        <v>46266.5388888889</v>
      </c>
      <c r="G18" s="37" t="n">
        <f aca="false">IF($A18="","",IF(COUNTIFS(Status_Log!$A:$A,$A18,Status_Log!$B:$B,$B18,Status_Log!$C:$C,$C18,Status_Log!$D:$D,"Changed to the status of Controlled")=0,"",_xlfn.MAXIFS(Status_Log!$E:$E,Status_Log!$A:$A,$A18,Status_Log!$B:$B,$B18,Status_Log!$C:$C,$C18,Status_Log!$D:$D,"Changed to the status of Controlled")))</f>
        <v>46266.5472222222</v>
      </c>
      <c r="H18" s="37" t="n">
        <f aca="false">IF($A18="","",IF(COUNTIFS(Status_Log!$A:$A,$A18,Status_Log!$B:$B,$B18,Status_Log!$C:$C,$C18,Status_Log!$D:$D,"Changed to the status of Fund accounting signed off")=0,"",_xlfn.MAXIFS(Status_Log!$E:$E,Status_Log!$A:$A,$A18,Status_Log!$B:$B,$B18,Status_Log!$C:$C,$C18,Status_Log!$D:$D,"Changed to the status of Fund accounting signed off")))</f>
        <v>46266.5520833333</v>
      </c>
      <c r="I18" s="37" t="n">
        <f aca="false">IF($A18="","",IF(COUNTIFS(Status_Log!$A:$A,$A18,Status_Log!$B:$B,$B18,Status_Log!$C:$C,$C18,Status_Log!$D:$D,"Changed to the status of signed off")=0,"",_xlfn.MAXIFS(Status_Log!$E:$E,Status_Log!$A:$A,$A18,Status_Log!$B:$B,$B18,Status_Log!$C:$C,$C18,Status_Log!$D:$D,"Changed to the status of signed off")))</f>
        <v>46266.5743055556</v>
      </c>
      <c r="J18" s="4" t="n">
        <f aca="false">IF($A18="","",COUNTIFS(Status_Log!$A:$A,$A18,Status_Log!$B:$B,$B18,Status_Log!$C:$C,$C18,Status_Log!$D:$D,"Changed to the status of Calculated"))</f>
        <v>1</v>
      </c>
      <c r="K18" s="38" t="n">
        <f aca="false">IF($A18="","",IF(J18&lt;=1,0,ROUND((_xlfn.MAXIFS(Status_Log!$E:$E,Status_Log!$A:$A,$A18,Status_Log!$B:$B,$B18,Status_Log!$C:$C,$C18,Status_Log!$D:$D,"Changed to the status of Calculated")-F18)*1440,0)))</f>
        <v>0</v>
      </c>
      <c r="L18" s="4" t="str">
        <f aca="false">IF($A18="","",IFERROR(INDEX(Status_Log!$F:$F,MATCH($A18&amp;"|"&amp;$B18&amp;"|"&amp;$C18&amp;"|Changed to the status of Calculated|"&amp;TEXT(_xlfn.MAXIFS(Status_Log!$E:$E,Status_Log!$A:$A,$A18,Status_Log!$B:$B,$B18,Status_Log!$C:$C,$C18,Status_Log!$D:$D,"Changed to the status of Calculated"),"0.000000"),Status_Log!$H:$H,0)),""))</f>
        <v>Siti Noraini</v>
      </c>
      <c r="M18" s="4" t="str">
        <f aca="false">IF($A18="","",IF(E18="Client","n/a — no control step",IFERROR(INDEX(Status_Log!$F:$F,MATCH($A18&amp;"|"&amp;$B18&amp;"|"&amp;$C18&amp;"|Changed to the status of Controlled|"&amp;TEXT(_xlfn.MAXIFS(Status_Log!$E:$E,Status_Log!$A:$A,$A18,Status_Log!$B:$B,$B18,Status_Log!$C:$C,$C18,Status_Log!$D:$D,"Changed to the status of Controlled"),"0.000000"),Status_Log!$H:$H,0)),"")))</f>
        <v>Lim Wei Ming</v>
      </c>
      <c r="N18" s="4" t="str">
        <f aca="false">IF($A18="","",IFERROR(VLOOKUP($C18,Dim_Fund!$A:$G,7,0),""))</f>
        <v>Siti Noraini</v>
      </c>
      <c r="O18" s="4" t="str">
        <f aca="false">IF($A18="","",IF(L18=N18,"No","Yes"))</f>
        <v>No</v>
      </c>
      <c r="P18" s="4" t="str">
        <f aca="false">IF($A18="","",IF(E18="Client","n/a",IF(L18=M18,"YES — four-eyes breach","No")))</f>
        <v>No</v>
      </c>
      <c r="Q18" s="38" t="n">
        <f aca="false">IF($A18="","",IFERROR(VLOOKUP($C18,Dim_Fund!$A:$AB,28,0),""))</f>
        <v>39.1</v>
      </c>
      <c r="R18" s="38" t="n">
        <f aca="false">IF($A18="","",IFERROR(VLOOKUP($C18,Dim_Fund!$A:$AC,29,0),""))</f>
        <v>29.3</v>
      </c>
      <c r="S18" s="38" t="n">
        <f aca="false">IF($A18="","",IFERROR(VLOOKUP($C18,Dim_Fund!$A:$AD,30,0),""))</f>
        <v>9.8</v>
      </c>
      <c r="T18" s="38" t="n">
        <f aca="false">IF($A18="","",IFERROR(VLOOKUP($C18,Dim_Fund!$A:$AL,38,0),""))</f>
        <v>0</v>
      </c>
      <c r="U18" s="37" t="n">
        <f aca="false">IF($A18="","",IF(AL18="","",IFERROR(IF(COUNTIFS(Fact_Milestone!$A:$A,$B18,Fact_Milestone!$B:$B,AL18)=0,"",_xlfn.MAXIFS(Fact_Milestone!$C:$C,Fact_Milestone!$A:$A,$B18,Fact_Milestone!$B:$B,AL18)),"")))</f>
        <v>46266.5305555556</v>
      </c>
      <c r="V18" s="37" t="n">
        <f aca="false">IF($A18="","",IFERROR(IF(VLOOKUP($C18,Dim_Fund!$A:$AI,35,0)&gt;0,$B18+VLOOKUP($C18,Dim_Fund!$A:$AI,35,0)/24,""),""))</f>
        <v>46266.6722222222</v>
      </c>
      <c r="W18" s="37" t="n">
        <f aca="false">IF($A18="","",F18)</f>
        <v>46266.5388888889</v>
      </c>
      <c r="X18" s="37" t="n">
        <f aca="false">IF($A18="","",IF(E18="Client",H18,G18))</f>
        <v>46266.5472222222</v>
      </c>
      <c r="Y18" s="37" t="n">
        <f aca="false">IF($A18="","",I18)</f>
        <v>46266.5743055556</v>
      </c>
      <c r="Z18" s="37" t="n">
        <f aca="false">IF($A18="","",IFERROR(W18-R18/1440,""))</f>
        <v>46266.5185416667</v>
      </c>
      <c r="AA18" s="38" t="n">
        <f aca="false">IF($A18="","",IF(OR(U18="",V18=""),"",ROUND((V18-U18)*1440,0)))</f>
        <v>204</v>
      </c>
      <c r="AB18" s="38" t="n">
        <f aca="false">IF($A18="","",IF(U18="","",ROUND((W18-U18)*1440,0)))</f>
        <v>12</v>
      </c>
      <c r="AC18" s="38" t="n">
        <f aca="false">IF($A18="","",IF(AB18="","",MAX(0,AB18)))</f>
        <v>12</v>
      </c>
      <c r="AD18" s="38" t="n">
        <f aca="false">IF($A18="","",IFERROR(ROUND((X18-W18)*1440,0),""))</f>
        <v>12</v>
      </c>
      <c r="AE18" s="38" t="n">
        <f aca="false">IF($A18="","",IF(E18="Client","n/a",IFERROR(ROUND((H18-G18)*1440,0),"")))</f>
        <v>7</v>
      </c>
      <c r="AF18" s="38" t="n">
        <f aca="false">IF($A18="","",IFERROR(ROUND((Y18-H18)*1440,0),""))</f>
        <v>32</v>
      </c>
      <c r="AG18" s="38" t="n">
        <f aca="false">IF($A18="","",IFERROR(ROUND((H18-F18)*1440,0),""))</f>
        <v>19</v>
      </c>
      <c r="AH18" s="38" t="n">
        <f aca="false">IF($A18="","",IFERROR(ROUND((Y18-V18)*1440,0),""))</f>
        <v>-141</v>
      </c>
      <c r="AI18" s="4" t="str">
        <f aca="false">IF($A18="","",IF(AH18="","",IF(AH18&gt;0,"Yes","No")))</f>
        <v>No</v>
      </c>
      <c r="AJ18" s="4" t="str">
        <f aca="false">IF($A18="","",IF(AI18&lt;&gt;"Yes","On time",IF(N(AC18)&gt;=MAX(N(AF18),N(K18)),"Wait for analyst",IF(N(AF18)&gt;=N(K18),"External sign-off","Rework"))))</f>
        <v>On time</v>
      </c>
      <c r="AK18" s="4" t="str">
        <f aca="false">IF($A18="","",IF(OR(F18="",Y18="",ISNA(MATCH(L18,Dim_Analyst!$A:$A,0))),"CHECK","OK"))</f>
        <v>OK</v>
      </c>
      <c r="AL18" s="4" t="str">
        <f aca="false">IF($A18="","",IFERROR(VLOOKUP($C18,Dim_Fund!$A:$U,21,0),""))</f>
        <v>TOP-ALT</v>
      </c>
      <c r="AM18" s="4" t="str">
        <f aca="false">IF($A18="","",IF($U18="","",IF($U18&gt;$B18+IFERROR(VLOOKUP($C18,Dim_Fund!$A:$AH,34,0),0)/24,"Yes","No")))</f>
        <v>Yes</v>
      </c>
      <c r="AN18" s="22" t="n">
        <f aca="false">IF($A18="","",IFERROR(VLOOKUP($C18,Dim_Fund!$A:$AH,34,0),""))</f>
        <v>11.8166666666667</v>
      </c>
      <c r="AO18" s="22" t="n">
        <f aca="false">IF($A18="","",IF($AL18="","",IFERROR(FLOOR(IF(COUNTIFS(Fact_Milestone!$A:$A,$B18,Fact_Milestone!$B:$B,$AL18,Fact_Milestone!$F:$F,"&gt;0")&gt;0,_xlfn.MINIFS(Fact_Milestone!$F:$F,Fact_Milestone!$A:$A,$B18,Fact_Milestone!$B:$B,$AL18,Fact_Milestone!$F:$F,"&gt;0"),VLOOKUP($AL18,Dim_TOP!$A:$E,5,0)),0.5),"")))</f>
        <v>11.5</v>
      </c>
      <c r="AP18" s="22" t="n">
        <f aca="false">IF($A18="","",IF($U18="","",ROUND(($U18-INT($U18))*24,4)))</f>
        <v>12.7333</v>
      </c>
      <c r="AQ18" s="22" t="n">
        <f aca="false">IF($A18="","",IF($W18="","",ROUND(($W18-INT($W18))*24,4)))</f>
        <v>12.9333</v>
      </c>
      <c r="AR18" s="22" t="n">
        <f aca="false">IF($A18="","",IF($X18="","",ROUND(($X18-INT($X18))*24,4)))</f>
        <v>13.1333</v>
      </c>
      <c r="AS18" s="38" t="n">
        <f aca="false">IF($A18="","",IF(OR($AN18="",$V18="",$S18="",$T18=""),"",ROUND(($V18-($B18+$AN18/24))*1440-$S18-$T18,0)))</f>
        <v>249</v>
      </c>
      <c r="AT18" s="38" t="n">
        <f aca="false">IF($A18="","",IF(OR($AN18="",$U18=""),"",ROUND(($U18-($B18+$AN18/24))*1440,0)))</f>
        <v>55</v>
      </c>
      <c r="AU18" s="38" t="n">
        <f aca="false">IF($A18="","",IF(OR($AD18="",$S18=""),"",ROUND($AD18-$S18,0)))</f>
        <v>2</v>
      </c>
      <c r="AV18" s="38" t="n">
        <f aca="false">IF($A18="","",N($AE18))</f>
        <v>7</v>
      </c>
      <c r="AW18" s="38" t="n">
        <f aca="false">IF($A18="","",IF(OR($AF18="",$T18=""),"",$AF18-$T18))</f>
        <v>32</v>
      </c>
      <c r="AX18" s="38" t="n">
        <f aca="false">IF($A18="","",IF(COUNT($AT18,$AB18,$AU18,$AW18,$AS18,$AH18)&lt;6,"",ROUND($AT18+$AB18+$AU18+$AV18+$AW18-$AS18-$AH18,0)))</f>
        <v>0</v>
      </c>
      <c r="AY18" s="4" t="str">
        <f aca="false">IF($A18="","",IF($AX18="","No",IF(ABS($AX18)&lt;=2,"Yes","No")))</f>
        <v>Yes</v>
      </c>
      <c r="AZ18" s="4" t="str">
        <f aca="false">IF($A18="","",IF($AI18&lt;&gt;"Yes","n/a",IF(OR($AA18="",$S18="",$T18=""),"Unknown",IF($AA18&lt;$S18+$T18,"Lost on arrival","Lost after arrival"))))</f>
        <v>n/a</v>
      </c>
      <c r="BA18" s="10" t="str">
        <f aca="false">IF($A18="","",IFERROR(VLOOKUP($C18,Dim_Fund!$A:$D,4,0),""))</f>
        <v>Northgate Insurance</v>
      </c>
      <c r="BB18" s="10" t="str">
        <f aca="false">IF($A18="","",IF($AL18="","",IF(COUNTIFS(Fact_Milestone!$A:$A,$B18,Fact_Milestone!$B:$B,$AL18,Fact_Milestone!$I:$I,"No")&gt;0,"No",IF(COUNTIFS(Fact_Milestone!$A:$A,$B18,Fact_Milestone!$B:$B,$AL18,Fact_Milestone!$I:$I,"Yes")&gt;0,"Yes",""))))</f>
        <v>No</v>
      </c>
      <c r="BC18" s="45" t="str">
        <f aca="false">IF($A18="","",IF(OR($L18="",$W18=""),"",IF(COUNTIFS($L:$L,$L18,$B:$B,$B18,$W:$W,"&lt;"&amp;$W18)=0,"",_xlfn.MAXIFS($W:$W,$L:$L,$L18,$B:$B,$B18,$W:$W,"&lt;"&amp;$W18))))</f>
        <v/>
      </c>
      <c r="BD18" s="39" t="n">
        <f aca="false">IF($A18="","",IF($AC18="","",IF(OR($L18="",$AC18=0),0,MIN($AC18,ROUND(ROUND(1440*SUMPRODUCT(($L$2:INDEX($L:$L,COUNTA($C:$C))=$L18)*($B$2:INDEX($B:$B,COUNTA($C:$C))=$B18)*(ROW($L$2:INDEX($L:$L,COUNTA($C:$C)))&lt;&gt;ROW())*((((($W18+$BT$2:INDEX($BT:$BT,COUNTA($C:$C))-ABS($W18-$BT$2:INDEX($BT:$BT,COUNTA($C:$C))))/2)-(($U18+$BS$2:INDEX($BS:$BS,COUNTA($C:$C))+ABS($U18-$BS$2:INDEX($BS:$BS,COUNTA($C:$C))))/2))+ABS(((($W18+$BT$2:INDEX($BT:$BT,COUNTA($C:$C))-ABS($W18-$BT$2:INDEX($BT:$BT,COUNTA($C:$C))))/2)-(($U18+$BS$2:INDEX($BS:$BS,COUNTA($C:$C))+ABS($U18-$BS$2:INDEX($BS:$BS,COUNTA($C:$C))))/2))))/2)),4),0)))))</f>
        <v>0</v>
      </c>
      <c r="BE18" s="39" t="n">
        <f aca="false">IF($A18="","",IF($AC18="","",ROUND(MIN($AC18-$BD18,N($R18)),0)))</f>
        <v>12</v>
      </c>
      <c r="BF18" s="10" t="str">
        <f aca="false">IF($A18="","",IFERROR(VLOOKUP($C18,Dim_Fund!$A:$BD,56,0),""))</f>
        <v>Yes</v>
      </c>
      <c r="BG18" s="10" t="str">
        <f aca="false">IF($A18="","",IFERROR(VLOOKUP($C18,Dim_Fund!$A:$BH,60,0),""))</f>
        <v>Ample custody slack</v>
      </c>
      <c r="BH18" s="10" t="str">
        <f aca="false">IF($A18="","",IF($AI18&lt;&gt;"Yes","Not breached",IF($AM18="Yes","Pricing late",IF($BG18="Thin custody slack","Thin custody slack",IF($BF18="Yes","Broker-dependent","None of these")))))</f>
        <v>Not breached</v>
      </c>
      <c r="BI18" s="23" t="n">
        <f aca="false">IF($A18="","",IFERROR(IF(VLOOKUP($C18,Dim_Fund!$A:$AI,35,0)&gt;0,VLOOKUP($C18,Dim_Fund!$A:$AI,35,0),""),""))</f>
        <v>16.1333333333333</v>
      </c>
      <c r="BJ18" s="10" t="str">
        <f aca="false">IF($A18="","",$C18&amp;IF($E18="Client","*",""))</f>
        <v>FD-1008</v>
      </c>
      <c r="BK18" s="39" t="n">
        <f aca="false">IF($A18="","",IFERROR(ROUND(($Y18-$X18)*1440,0),""))</f>
        <v>39</v>
      </c>
      <c r="BL18" s="39" t="n">
        <f aca="false">IF($A18="","",IF($AH18="","",-$AH18))</f>
        <v>141</v>
      </c>
      <c r="BM18" s="46" t="n">
        <f aca="false">IF($A18="","",IF($AQ18="","",IF($AP18="",$AQ18,MIN($AP18,$AQ18))))</f>
        <v>12.7333</v>
      </c>
      <c r="BN18" s="46" t="n">
        <f aca="false">IF($A18="","",IF($BM18="","",ROUND(N($AC18)/60,4)))</f>
        <v>0.2</v>
      </c>
      <c r="BO18" s="46" t="n">
        <f aca="false">IF($A18="","",IF(OR($BM18="",$AD18=""),"",ROUND($AD18/60,4)))</f>
        <v>0.2</v>
      </c>
      <c r="BP18" s="46" t="n">
        <f aca="false">IF($A18="","",IF($BM18="","",ROUND(N($AE18)/60,4)))</f>
        <v>0.1167</v>
      </c>
      <c r="BQ18" s="46" t="n">
        <f aca="false">IF($A18="","",IF(OR($BM18="",$AF18=""),"",ROUND($AF18/60,4)))</f>
        <v>0.5333</v>
      </c>
      <c r="BR18" s="39" t="n">
        <f aca="false">IF($A18="","",IF($AC18="","",$AC18-$BD18-$BE18))</f>
        <v>0</v>
      </c>
      <c r="BS18" s="45" t="n">
        <f aca="false">IF($A18="","",IF(AND(ISNUMBER($Z18),ISNUMBER($W18)),$Z18,0))</f>
        <v>46266.5185416667</v>
      </c>
      <c r="BT18" s="45" t="n">
        <f aca="false">IF($A18="","",IF(ISNUMBER($W18),$W18,0))</f>
        <v>46266.5388888889</v>
      </c>
      <c r="BU18" s="23" t="n">
        <f aca="false">IF($A18="","",IF(ISNUMBER($W18),ROUND(($W18-$B18)*24,4),""))</f>
        <v>12.9333</v>
      </c>
      <c r="BV18" s="23" t="n">
        <f aca="false">IF($A18="","",IF(ISNUMBER($X18),ROUND(($X18-$B18)*24,4),""))</f>
        <v>13.1333</v>
      </c>
      <c r="BW18" s="10" t="str">
        <f aca="false">IF($A18="","",IF(NOT(ISNUMBER($W18)),"Missing Calculated",IF(NOT(ISNUMBER($X18)),IF($E18="Client","Missing FA signed off","Missing Controlled"),IF($X18&lt;$W18,"End before start","OK"))))</f>
        <v>OK</v>
      </c>
      <c r="BX18" s="23" t="n">
        <f aca="false">IF($A18="","",IF(NOT(ISNUMBER($Z18)),"",ROUND((IF(ISNUMBER($U18),MIN($U18,$Z18),$Z18)-$B18)*24,4)))</f>
        <v>12.445</v>
      </c>
      <c r="BY18" s="23" t="n">
        <f aca="false">IF($A18="","",IF(ISNUMBER($Z18),ROUND(($Z18-$B18)*24,4),""))</f>
        <v>12.445</v>
      </c>
      <c r="BZ18" s="23" t="n">
        <f aca="false">IF($A18="","",IF(AND(ISNUMBER($W18),ISNUMBER($S18)),ROUND(($W18+$S18/1440-$B18)*24,4),""))</f>
        <v>13.0967</v>
      </c>
    </row>
    <row r="19" customFormat="false" ht="15" hidden="false" customHeight="true" outlineLevel="0" collapsed="false">
      <c r="A19" s="34" t="n">
        <v>46264</v>
      </c>
      <c r="B19" s="34" t="n">
        <v>46266</v>
      </c>
      <c r="C19" s="13" t="s">
        <v>344</v>
      </c>
      <c r="D19" s="4" t="n">
        <f aca="false">IF($A19="","",$B19-$A19)</f>
        <v>2</v>
      </c>
      <c r="E19" s="4" t="str">
        <f aca="false">IF($A19="","",IFERROR(VLOOKUP($C19,Dim_Fund!$A:$X,24,0),""))</f>
        <v>Oversight</v>
      </c>
      <c r="F19" s="37" t="n">
        <f aca="false">IF($A19="","",IF(COUNTIFS(Status_Log!$A:$A,$A19,Status_Log!$B:$B,$B19,Status_Log!$C:$C,$C19,Status_Log!$D:$D,"Changed to the status of Calculated")=0,"",_xlfn.MINIFS(Status_Log!$E:$E,Status_Log!$A:$A,$A19,Status_Log!$B:$B,$B19,Status_Log!$C:$C,$C19,Status_Log!$D:$D,"Changed to the status of Calculated")))</f>
        <v>46266.5833333333</v>
      </c>
      <c r="G19" s="37" t="n">
        <f aca="false">IF($A19="","",IF(COUNTIFS(Status_Log!$A:$A,$A19,Status_Log!$B:$B,$B19,Status_Log!$C:$C,$C19,Status_Log!$D:$D,"Changed to the status of Controlled")=0,"",_xlfn.MAXIFS(Status_Log!$E:$E,Status_Log!$A:$A,$A19,Status_Log!$B:$B,$B19,Status_Log!$C:$C,$C19,Status_Log!$D:$D,"Changed to the status of Controlled")))</f>
        <v>46266.5881944444</v>
      </c>
      <c r="H19" s="37" t="n">
        <f aca="false">IF($A19="","",IF(COUNTIFS(Status_Log!$A:$A,$A19,Status_Log!$B:$B,$B19,Status_Log!$C:$C,$C19,Status_Log!$D:$D,"Changed to the status of Fund accounting signed off")=0,"",_xlfn.MAXIFS(Status_Log!$E:$E,Status_Log!$A:$A,$A19,Status_Log!$B:$B,$B19,Status_Log!$C:$C,$C19,Status_Log!$D:$D,"Changed to the status of Fund accounting signed off")))</f>
        <v>46266.5909722222</v>
      </c>
      <c r="I19" s="37" t="n">
        <f aca="false">IF($A19="","",IF(COUNTIFS(Status_Log!$A:$A,$A19,Status_Log!$B:$B,$B19,Status_Log!$C:$C,$C19,Status_Log!$D:$D,"Changed to the status of signed off")=0,"",_xlfn.MAXIFS(Status_Log!$E:$E,Status_Log!$A:$A,$A19,Status_Log!$B:$B,$B19,Status_Log!$C:$C,$C19,Status_Log!$D:$D,"Changed to the status of signed off")))</f>
        <v>46266.6361111111</v>
      </c>
      <c r="J19" s="4" t="n">
        <f aca="false">IF($A19="","",COUNTIFS(Status_Log!$A:$A,$A19,Status_Log!$B:$B,$B19,Status_Log!$C:$C,$C19,Status_Log!$D:$D,"Changed to the status of Calculated"))</f>
        <v>1</v>
      </c>
      <c r="K19" s="38" t="n">
        <f aca="false">IF($A19="","",IF(J19&lt;=1,0,ROUND((_xlfn.MAXIFS(Status_Log!$E:$E,Status_Log!$A:$A,$A19,Status_Log!$B:$B,$B19,Status_Log!$C:$C,$C19,Status_Log!$D:$D,"Changed to the status of Calculated")-F19)*1440,0)))</f>
        <v>0</v>
      </c>
      <c r="L19" s="4" t="str">
        <f aca="false">IF($A19="","",IFERROR(INDEX(Status_Log!$F:$F,MATCH($A19&amp;"|"&amp;$B19&amp;"|"&amp;$C19&amp;"|Changed to the status of Calculated|"&amp;TEXT(_xlfn.MAXIFS(Status_Log!$E:$E,Status_Log!$A:$A,$A19,Status_Log!$B:$B,$B19,Status_Log!$C:$C,$C19,Status_Log!$D:$D,"Changed to the status of Calculated"),"0.000000"),Status_Log!$H:$H,0)),""))</f>
        <v>Raj Kumar</v>
      </c>
      <c r="M19" s="4" t="str">
        <f aca="false">IF($A19="","",IF(E19="Client","n/a — no control step",IFERROR(INDEX(Status_Log!$F:$F,MATCH($A19&amp;"|"&amp;$B19&amp;"|"&amp;$C19&amp;"|Changed to the status of Controlled|"&amp;TEXT(_xlfn.MAXIFS(Status_Log!$E:$E,Status_Log!$A:$A,$A19,Status_Log!$B:$B,$B19,Status_Log!$C:$C,$C19,Status_Log!$D:$D,"Changed to the status of Controlled"),"0.000000"),Status_Log!$H:$H,0)),"")))</f>
        <v>Siti Noraini</v>
      </c>
      <c r="N19" s="4" t="str">
        <f aca="false">IF($A19="","",IFERROR(VLOOKUP($C19,Dim_Fund!$A:$G,7,0),""))</f>
        <v>Raj Kumar</v>
      </c>
      <c r="O19" s="4" t="str">
        <f aca="false">IF($A19="","",IF(L19=N19,"No","Yes"))</f>
        <v>No</v>
      </c>
      <c r="P19" s="4" t="str">
        <f aca="false">IF($A19="","",IF(E19="Client","n/a",IF(L19=M19,"YES — four-eyes breach","No")))</f>
        <v>No</v>
      </c>
      <c r="Q19" s="38" t="n">
        <f aca="false">IF($A19="","",IFERROR(VLOOKUP($C19,Dim_Fund!$A:$AB,28,0),""))</f>
        <v>32.8</v>
      </c>
      <c r="R19" s="38" t="n">
        <f aca="false">IF($A19="","",IFERROR(VLOOKUP($C19,Dim_Fund!$A:$AC,29,0),""))</f>
        <v>21.3</v>
      </c>
      <c r="S19" s="38" t="n">
        <f aca="false">IF($A19="","",IFERROR(VLOOKUP($C19,Dim_Fund!$A:$AD,30,0),""))</f>
        <v>11.5</v>
      </c>
      <c r="T19" s="38" t="n">
        <f aca="false">IF($A19="","",IFERROR(VLOOKUP($C19,Dim_Fund!$A:$AL,38,0),""))</f>
        <v>25</v>
      </c>
      <c r="U19" s="37" t="n">
        <f aca="false">IF($A19="","",IF(AL19="","",IFERROR(IF(COUNTIFS(Fact_Milestone!$A:$A,$B19,Fact_Milestone!$B:$B,AL19)=0,"",_xlfn.MAXIFS(Fact_Milestone!$C:$C,Fact_Milestone!$A:$A,$B19,Fact_Milestone!$B:$B,AL19)),"")))</f>
        <v>46266.4631944444</v>
      </c>
      <c r="V19" s="37" t="n">
        <f aca="false">IF($A19="","",IFERROR(IF(VLOOKUP($C19,Dim_Fund!$A:$AI,35,0)&gt;0,$B19+VLOOKUP($C19,Dim_Fund!$A:$AI,35,0)/24,""),""))</f>
        <v>46266.6319444444</v>
      </c>
      <c r="W19" s="37" t="n">
        <f aca="false">IF($A19="","",F19)</f>
        <v>46266.5833333333</v>
      </c>
      <c r="X19" s="37" t="n">
        <f aca="false">IF($A19="","",IF(E19="Client",H19,G19))</f>
        <v>46266.5881944444</v>
      </c>
      <c r="Y19" s="37" t="n">
        <f aca="false">IF($A19="","",I19)</f>
        <v>46266.6361111111</v>
      </c>
      <c r="Z19" s="37" t="n">
        <f aca="false">IF($A19="","",IFERROR(W19-R19/1440,""))</f>
        <v>46266.5685416667</v>
      </c>
      <c r="AA19" s="38" t="n">
        <f aca="false">IF($A19="","",IF(OR(U19="",V19=""),"",ROUND((V19-U19)*1440,0)))</f>
        <v>243</v>
      </c>
      <c r="AB19" s="38" t="n">
        <f aca="false">IF($A19="","",IF(U19="","",ROUND((W19-U19)*1440,0)))</f>
        <v>173</v>
      </c>
      <c r="AC19" s="38" t="n">
        <f aca="false">IF($A19="","",IF(AB19="","",MAX(0,AB19)))</f>
        <v>173</v>
      </c>
      <c r="AD19" s="38" t="n">
        <f aca="false">IF($A19="","",IFERROR(ROUND((X19-W19)*1440,0),""))</f>
        <v>7</v>
      </c>
      <c r="AE19" s="38" t="n">
        <f aca="false">IF($A19="","",IF(E19="Client","n/a",IFERROR(ROUND((H19-G19)*1440,0),"")))</f>
        <v>4</v>
      </c>
      <c r="AF19" s="38" t="n">
        <f aca="false">IF($A19="","",IFERROR(ROUND((Y19-H19)*1440,0),""))</f>
        <v>65</v>
      </c>
      <c r="AG19" s="38" t="n">
        <f aca="false">IF($A19="","",IFERROR(ROUND((H19-F19)*1440,0),""))</f>
        <v>11</v>
      </c>
      <c r="AH19" s="38" t="n">
        <f aca="false">IF($A19="","",IFERROR(ROUND((Y19-V19)*1440,0),""))</f>
        <v>6</v>
      </c>
      <c r="AI19" s="4" t="str">
        <f aca="false">IF($A19="","",IF(AH19="","",IF(AH19&gt;0,"Yes","No")))</f>
        <v>Yes</v>
      </c>
      <c r="AJ19" s="4" t="str">
        <f aca="false">IF($A19="","",IF(AI19&lt;&gt;"Yes","On time",IF(N(AC19)&gt;=MAX(N(AF19),N(K19)),"Wait for analyst",IF(N(AF19)&gt;=N(K19),"External sign-off","Rework"))))</f>
        <v>Wait for analyst</v>
      </c>
      <c r="AK19" s="4" t="str">
        <f aca="false">IF($A19="","",IF(OR(F19="",Y19="",ISNA(MATCH(L19,Dim_Analyst!$A:$A,0))),"CHECK","OK"))</f>
        <v>OK</v>
      </c>
      <c r="AL19" s="4" t="str">
        <f aca="false">IF($A19="","",IFERROR(VLOOKUP($C19,Dim_Fund!$A:$U,21,0),""))</f>
        <v>TOP-EQ1</v>
      </c>
      <c r="AM19" s="4" t="str">
        <f aca="false">IF($A19="","",IF($U19="","",IF($U19&gt;$B19+IFERROR(VLOOKUP($C19,Dim_Fund!$A:$AH,34,0),0)/24,"Yes","No")))</f>
        <v>No</v>
      </c>
      <c r="AN19" s="22" t="n">
        <f aca="false">IF($A19="","",IFERROR(VLOOKUP($C19,Dim_Fund!$A:$AH,34,0),""))</f>
        <v>11.65</v>
      </c>
      <c r="AO19" s="22" t="n">
        <f aca="false">IF($A19="","",IF($AL19="","",IFERROR(FLOOR(IF(COUNTIFS(Fact_Milestone!$A:$A,$B19,Fact_Milestone!$B:$B,$AL19,Fact_Milestone!$F:$F,"&gt;0")&gt;0,_xlfn.MINIFS(Fact_Milestone!$F:$F,Fact_Milestone!$A:$A,$B19,Fact_Milestone!$B:$B,$AL19,Fact_Milestone!$F:$F,"&gt;0"),VLOOKUP($AL19,Dim_TOP!$A:$E,5,0)),0.5),"")))</f>
        <v>11.5</v>
      </c>
      <c r="AP19" s="22" t="n">
        <f aca="false">IF($A19="","",IF($U19="","",ROUND(($U19-INT($U19))*24,4)))</f>
        <v>11.1167</v>
      </c>
      <c r="AQ19" s="22" t="n">
        <f aca="false">IF($A19="","",IF($W19="","",ROUND(($W19-INT($W19))*24,4)))</f>
        <v>14</v>
      </c>
      <c r="AR19" s="22" t="n">
        <f aca="false">IF($A19="","",IF($X19="","",ROUND(($X19-INT($X19))*24,4)))</f>
        <v>14.1167</v>
      </c>
      <c r="AS19" s="38" t="n">
        <f aca="false">IF($A19="","",IF(OR($AN19="",$V19="",$S19="",$T19=""),"",ROUND(($V19-($B19+$AN19/24))*1440-$S19-$T19,0)))</f>
        <v>175</v>
      </c>
      <c r="AT19" s="38" t="n">
        <f aca="false">IF($A19="","",IF(OR($AN19="",$U19=""),"",ROUND(($U19-($B19+$AN19/24))*1440,0)))</f>
        <v>-32</v>
      </c>
      <c r="AU19" s="38" t="n">
        <f aca="false">IF($A19="","",IF(OR($AD19="",$S19=""),"",ROUND($AD19-$S19,0)))</f>
        <v>-5</v>
      </c>
      <c r="AV19" s="38" t="n">
        <f aca="false">IF($A19="","",N($AE19))</f>
        <v>4</v>
      </c>
      <c r="AW19" s="38" t="n">
        <f aca="false">IF($A19="","",IF(OR($AF19="",$T19=""),"",$AF19-$T19))</f>
        <v>40</v>
      </c>
      <c r="AX19" s="38" t="n">
        <f aca="false">IF($A19="","",IF(COUNT($AT19,$AB19,$AU19,$AW19,$AS19,$AH19)&lt;6,"",ROUND($AT19+$AB19+$AU19+$AV19+$AW19-$AS19-$AH19,0)))</f>
        <v>-1</v>
      </c>
      <c r="AY19" s="4" t="str">
        <f aca="false">IF($A19="","",IF($AX19="","No",IF(ABS($AX19)&lt;=2,"Yes","No")))</f>
        <v>Yes</v>
      </c>
      <c r="AZ19" s="4" t="str">
        <f aca="false">IF($A19="","",IF($AI19&lt;&gt;"Yes","n/a",IF(OR($AA19="",$S19="",$T19=""),"Unknown",IF($AA19&lt;$S19+$T19,"Lost on arrival","Lost after arrival"))))</f>
        <v>Lost after arrival</v>
      </c>
      <c r="BA19" s="10" t="str">
        <f aca="false">IF($A19="","",IFERROR(VLOOKUP($C19,Dim_Fund!$A:$D,4,0),""))</f>
        <v>Halvern Wealth</v>
      </c>
      <c r="BB19" s="10" t="str">
        <f aca="false">IF($A19="","",IF($AL19="","",IF(COUNTIFS(Fact_Milestone!$A:$A,$B19,Fact_Milestone!$B:$B,$AL19,Fact_Milestone!$I:$I,"No")&gt;0,"No",IF(COUNTIFS(Fact_Milestone!$A:$A,$B19,Fact_Milestone!$B:$B,$AL19,Fact_Milestone!$I:$I,"Yes")&gt;0,"Yes",""))))</f>
        <v>Yes</v>
      </c>
      <c r="BC19" s="45" t="str">
        <f aca="false">IF($A19="","",IF(OR($L19="",$W19=""),"",IF(COUNTIFS($L:$L,$L19,$B:$B,$B19,$W:$W,"&lt;"&amp;$W19)=0,"",_xlfn.MAXIFS($W:$W,$L:$L,$L19,$B:$B,$B19,$W:$W,"&lt;"&amp;$W19))))</f>
        <v/>
      </c>
      <c r="BD19" s="39" t="n">
        <f aca="false">IF($A19="","",IF($AC19="","",IF(OR($L19="",$AC19=0),0,MIN($AC19,ROUND(ROUND(1440*SUMPRODUCT(($L$2:INDEX($L:$L,COUNTA($C:$C))=$L19)*($B$2:INDEX($B:$B,COUNTA($C:$C))=$B19)*(ROW($L$2:INDEX($L:$L,COUNTA($C:$C)))&lt;&gt;ROW())*((((($W19+$BT$2:INDEX($BT:$BT,COUNTA($C:$C))-ABS($W19-$BT$2:INDEX($BT:$BT,COUNTA($C:$C))))/2)-(($U19+$BS$2:INDEX($BS:$BS,COUNTA($C:$C))+ABS($U19-$BS$2:INDEX($BS:$BS,COUNTA($C:$C))))/2))+ABS(((($W19+$BT$2:INDEX($BT:$BT,COUNTA($C:$C))-ABS($W19-$BT$2:INDEX($BT:$BT,COUNTA($C:$C))))/2)-(($U19+$BS$2:INDEX($BS:$BS,COUNTA($C:$C))+ABS($U19-$BS$2:INDEX($BS:$BS,COUNTA($C:$C))))/2))))/2)),4),0)))))</f>
        <v>0</v>
      </c>
      <c r="BE19" s="39" t="n">
        <f aca="false">IF($A19="","",IF($AC19="","",ROUND(MIN($AC19-$BD19,N($R19)),0)))</f>
        <v>21</v>
      </c>
      <c r="BF19" s="10" t="str">
        <f aca="false">IF($A19="","",IFERROR(VLOOKUP($C19,Dim_Fund!$A:$BD,56,0),""))</f>
        <v>Yes</v>
      </c>
      <c r="BG19" s="10" t="str">
        <f aca="false">IF($A19="","",IFERROR(VLOOKUP($C19,Dim_Fund!$A:$BH,60,0),""))</f>
        <v>Ample custody slack</v>
      </c>
      <c r="BH19" s="10" t="str">
        <f aca="false">IF($A19="","",IF($AI19&lt;&gt;"Yes","Not breached",IF($AM19="Yes","Pricing late",IF($BG19="Thin custody slack","Thin custody slack",IF($BF19="Yes","Broker-dependent","None of these")))))</f>
        <v>Broker-dependent</v>
      </c>
      <c r="BI19" s="23" t="n">
        <f aca="false">IF($A19="","",IFERROR(IF(VLOOKUP($C19,Dim_Fund!$A:$AI,35,0)&gt;0,VLOOKUP($C19,Dim_Fund!$A:$AI,35,0),""),""))</f>
        <v>15.1666666666667</v>
      </c>
      <c r="BJ19" s="10" t="str">
        <f aca="false">IF($A19="","",$C19&amp;IF($E19="Client","*",""))</f>
        <v>FD-1009</v>
      </c>
      <c r="BK19" s="39" t="n">
        <f aca="false">IF($A19="","",IFERROR(ROUND(($Y19-$X19)*1440,0),""))</f>
        <v>69</v>
      </c>
      <c r="BL19" s="39" t="n">
        <f aca="false">IF($A19="","",IF($AH19="","",-$AH19))</f>
        <v>-6</v>
      </c>
      <c r="BM19" s="46" t="n">
        <f aca="false">IF($A19="","",IF($AQ19="","",IF($AP19="",$AQ19,MIN($AP19,$AQ19))))</f>
        <v>11.1167</v>
      </c>
      <c r="BN19" s="46" t="n">
        <f aca="false">IF($A19="","",IF($BM19="","",ROUND(N($AC19)/60,4)))</f>
        <v>2.8833</v>
      </c>
      <c r="BO19" s="46" t="n">
        <f aca="false">IF($A19="","",IF(OR($BM19="",$AD19=""),"",ROUND($AD19/60,4)))</f>
        <v>0.1167</v>
      </c>
      <c r="BP19" s="46" t="n">
        <f aca="false">IF($A19="","",IF($BM19="","",ROUND(N($AE19)/60,4)))</f>
        <v>0.0667</v>
      </c>
      <c r="BQ19" s="46" t="n">
        <f aca="false">IF($A19="","",IF(OR($BM19="",$AF19=""),"",ROUND($AF19/60,4)))</f>
        <v>1.0833</v>
      </c>
      <c r="BR19" s="39" t="n">
        <f aca="false">IF($A19="","",IF($AC19="","",$AC19-$BD19-$BE19))</f>
        <v>152</v>
      </c>
      <c r="BS19" s="45" t="n">
        <f aca="false">IF($A19="","",IF(AND(ISNUMBER($Z19),ISNUMBER($W19)),$Z19,0))</f>
        <v>46266.5685416667</v>
      </c>
      <c r="BT19" s="45" t="n">
        <f aca="false">IF($A19="","",IF(ISNUMBER($W19),$W19,0))</f>
        <v>46266.5833333333</v>
      </c>
      <c r="BU19" s="23" t="n">
        <f aca="false">IF($A19="","",IF(ISNUMBER($W19),ROUND(($W19-$B19)*24,4),""))</f>
        <v>14</v>
      </c>
      <c r="BV19" s="23" t="n">
        <f aca="false">IF($A19="","",IF(ISNUMBER($X19),ROUND(($X19-$B19)*24,4),""))</f>
        <v>14.1167</v>
      </c>
      <c r="BW19" s="10" t="str">
        <f aca="false">IF($A19="","",IF(NOT(ISNUMBER($W19)),"Missing Calculated",IF(NOT(ISNUMBER($X19)),IF($E19="Client","Missing FA signed off","Missing Controlled"),IF($X19&lt;$W19,"End before start","OK"))))</f>
        <v>OK</v>
      </c>
      <c r="BX19" s="23" t="n">
        <f aca="false">IF($A19="","",IF(NOT(ISNUMBER($Z19)),"",ROUND((IF(ISNUMBER($U19),MIN($U19,$Z19),$Z19)-$B19)*24,4)))</f>
        <v>11.1167</v>
      </c>
      <c r="BY19" s="23" t="n">
        <f aca="false">IF($A19="","",IF(ISNUMBER($Z19),ROUND(($Z19-$B19)*24,4),""))</f>
        <v>13.645</v>
      </c>
      <c r="BZ19" s="23" t="n">
        <f aca="false">IF($A19="","",IF(AND(ISNUMBER($W19),ISNUMBER($S19)),ROUND(($W19+$S19/1440-$B19)*24,4),""))</f>
        <v>14.1917</v>
      </c>
    </row>
    <row r="20" customFormat="false" ht="15" hidden="false" customHeight="true" outlineLevel="0" collapsed="false">
      <c r="A20" s="34" t="n">
        <v>46264</v>
      </c>
      <c r="B20" s="34" t="n">
        <v>46266</v>
      </c>
      <c r="C20" s="13" t="s">
        <v>346</v>
      </c>
      <c r="D20" s="4" t="n">
        <f aca="false">IF($A20="","",$B20-$A20)</f>
        <v>2</v>
      </c>
      <c r="E20" s="4" t="str">
        <f aca="false">IF($A20="","",IFERROR(VLOOKUP($C20,Dim_Fund!$A:$X,24,0),""))</f>
        <v>Client</v>
      </c>
      <c r="F20" s="37" t="n">
        <f aca="false">IF($A20="","",IF(COUNTIFS(Status_Log!$A:$A,$A20,Status_Log!$B:$B,$B20,Status_Log!$C:$C,$C20,Status_Log!$D:$D,"Changed to the status of Calculated")=0,"",_xlfn.MINIFS(Status_Log!$E:$E,Status_Log!$A:$A,$A20,Status_Log!$B:$B,$B20,Status_Log!$C:$C,$C20,Status_Log!$D:$D,"Changed to the status of Calculated")))</f>
        <v>46266.6729166667</v>
      </c>
      <c r="G20" s="37" t="str">
        <f aca="false">IF($A20="","",IF(COUNTIFS(Status_Log!$A:$A,$A20,Status_Log!$B:$B,$B20,Status_Log!$C:$C,$C20,Status_Log!$D:$D,"Changed to the status of Controlled")=0,"",_xlfn.MAXIFS(Status_Log!$E:$E,Status_Log!$A:$A,$A20,Status_Log!$B:$B,$B20,Status_Log!$C:$C,$C20,Status_Log!$D:$D,"Changed to the status of Controlled")))</f>
        <v/>
      </c>
      <c r="H20" s="37" t="n">
        <f aca="false">IF($A20="","",IF(COUNTIFS(Status_Log!$A:$A,$A20,Status_Log!$B:$B,$B20,Status_Log!$C:$C,$C20,Status_Log!$D:$D,"Changed to the status of Fund accounting signed off")=0,"",_xlfn.MAXIFS(Status_Log!$E:$E,Status_Log!$A:$A,$A20,Status_Log!$B:$B,$B20,Status_Log!$C:$C,$C20,Status_Log!$D:$D,"Changed to the status of Fund accounting signed off")))</f>
        <v>46266.68125</v>
      </c>
      <c r="I20" s="37" t="n">
        <f aca="false">IF($A20="","",IF(COUNTIFS(Status_Log!$A:$A,$A20,Status_Log!$B:$B,$B20,Status_Log!$C:$C,$C20,Status_Log!$D:$D,"Changed to the status of signed off")=0,"",_xlfn.MAXIFS(Status_Log!$E:$E,Status_Log!$A:$A,$A20,Status_Log!$B:$B,$B20,Status_Log!$C:$C,$C20,Status_Log!$D:$D,"Changed to the status of signed off")))</f>
        <v>46266.7222222222</v>
      </c>
      <c r="J20" s="4" t="n">
        <f aca="false">IF($A20="","",COUNTIFS(Status_Log!$A:$A,$A20,Status_Log!$B:$B,$B20,Status_Log!$C:$C,$C20,Status_Log!$D:$D,"Changed to the status of Calculated"))</f>
        <v>1</v>
      </c>
      <c r="K20" s="38" t="n">
        <f aca="false">IF($A20="","",IF(J20&lt;=1,0,ROUND((_xlfn.MAXIFS(Status_Log!$E:$E,Status_Log!$A:$A,$A20,Status_Log!$B:$B,$B20,Status_Log!$C:$C,$C20,Status_Log!$D:$D,"Changed to the status of Calculated")-F20)*1440,0)))</f>
        <v>0</v>
      </c>
      <c r="L20" s="4" t="str">
        <f aca="false">IF($A20="","",IFERROR(INDEX(Status_Log!$F:$F,MATCH($A20&amp;"|"&amp;$B20&amp;"|"&amp;$C20&amp;"|Changed to the status of Calculated|"&amp;TEXT(_xlfn.MAXIFS(Status_Log!$E:$E,Status_Log!$A:$A,$A20,Status_Log!$B:$B,$B20,Status_Log!$C:$C,$C20,Status_Log!$D:$D,"Changed to the status of Calculated"),"0.000000"),Status_Log!$H:$H,0)),""))</f>
        <v>Chen Xiao</v>
      </c>
      <c r="M20" s="4" t="str">
        <f aca="false">IF($A20="","",IF(E20="Client","n/a — no control step",IFERROR(INDEX(Status_Log!$F:$F,MATCH($A20&amp;"|"&amp;$B20&amp;"|"&amp;$C20&amp;"|Changed to the status of Controlled|"&amp;TEXT(_xlfn.MAXIFS(Status_Log!$E:$E,Status_Log!$A:$A,$A20,Status_Log!$B:$B,$B20,Status_Log!$C:$C,$C20,Status_Log!$D:$D,"Changed to the status of Controlled"),"0.000000"),Status_Log!$H:$H,0)),"")))</f>
        <v>n/a — no control step</v>
      </c>
      <c r="N20" s="4" t="str">
        <f aca="false">IF($A20="","",IFERROR(VLOOKUP($C20,Dim_Fund!$A:$G,7,0),""))</f>
        <v>Chen Xiao</v>
      </c>
      <c r="O20" s="4" t="str">
        <f aca="false">IF($A20="","",IF(L20=N20,"No","Yes"))</f>
        <v>No</v>
      </c>
      <c r="P20" s="4" t="str">
        <f aca="false">IF($A20="","",IF(E20="Client","n/a",IF(L20=M20,"YES — four-eyes breach","No")))</f>
        <v>n/a</v>
      </c>
      <c r="Q20" s="38" t="n">
        <f aca="false">IF($A20="","",IFERROR(VLOOKUP($C20,Dim_Fund!$A:$AB,28,0),""))</f>
        <v>24.1</v>
      </c>
      <c r="R20" s="38" t="n">
        <f aca="false">IF($A20="","",IFERROR(VLOOKUP($C20,Dim_Fund!$A:$AC,29,0),""))</f>
        <v>14.5</v>
      </c>
      <c r="S20" s="38" t="n">
        <f aca="false">IF($A20="","",IFERROR(VLOOKUP($C20,Dim_Fund!$A:$AD,30,0),""))</f>
        <v>9.6</v>
      </c>
      <c r="T20" s="38" t="n">
        <f aca="false">IF($A20="","",IFERROR(VLOOKUP($C20,Dim_Fund!$A:$AL,38,0),""))</f>
        <v>46</v>
      </c>
      <c r="U20" s="37" t="n">
        <f aca="false">IF($A20="","",IF(AL20="","",IFERROR(IF(COUNTIFS(Fact_Milestone!$A:$A,$B20,Fact_Milestone!$B:$B,AL20)=0,"",_xlfn.MAXIFS(Fact_Milestone!$C:$C,Fact_Milestone!$A:$A,$B20,Fact_Milestone!$B:$B,AL20)),"")))</f>
        <v>46266.4861111111</v>
      </c>
      <c r="V20" s="37" t="n">
        <f aca="false">IF($A20="","",IFERROR(IF(VLOOKUP($C20,Dim_Fund!$A:$AI,35,0)&gt;0,$B20+VLOOKUP($C20,Dim_Fund!$A:$AI,35,0)/24,""),""))</f>
        <v>46266.7298611111</v>
      </c>
      <c r="W20" s="37" t="n">
        <f aca="false">IF($A20="","",F20)</f>
        <v>46266.6729166667</v>
      </c>
      <c r="X20" s="37" t="n">
        <f aca="false">IF($A20="","",IF(E20="Client",H20,G20))</f>
        <v>46266.68125</v>
      </c>
      <c r="Y20" s="37" t="n">
        <f aca="false">IF($A20="","",I20)</f>
        <v>46266.7222222222</v>
      </c>
      <c r="Z20" s="37" t="n">
        <f aca="false">IF($A20="","",IFERROR(W20-R20/1440,""))</f>
        <v>46266.6628472222</v>
      </c>
      <c r="AA20" s="38" t="n">
        <f aca="false">IF($A20="","",IF(OR(U20="",V20=""),"",ROUND((V20-U20)*1440,0)))</f>
        <v>351</v>
      </c>
      <c r="AB20" s="38" t="n">
        <f aca="false">IF($A20="","",IF(U20="","",ROUND((W20-U20)*1440,0)))</f>
        <v>269</v>
      </c>
      <c r="AC20" s="38" t="n">
        <f aca="false">IF($A20="","",IF(AB20="","",MAX(0,AB20)))</f>
        <v>269</v>
      </c>
      <c r="AD20" s="38" t="n">
        <f aca="false">IF($A20="","",IFERROR(ROUND((X20-W20)*1440,0),""))</f>
        <v>12</v>
      </c>
      <c r="AE20" s="38" t="str">
        <f aca="false">IF($A20="","",IF(E20="Client","n/a",IFERROR(ROUND((H20-G20)*1440,0),"")))</f>
        <v>n/a</v>
      </c>
      <c r="AF20" s="38" t="n">
        <f aca="false">IF($A20="","",IFERROR(ROUND((Y20-H20)*1440,0),""))</f>
        <v>59</v>
      </c>
      <c r="AG20" s="38" t="n">
        <f aca="false">IF($A20="","",IFERROR(ROUND((H20-F20)*1440,0),""))</f>
        <v>12</v>
      </c>
      <c r="AH20" s="38" t="n">
        <f aca="false">IF($A20="","",IFERROR(ROUND((Y20-V20)*1440,0),""))</f>
        <v>-11</v>
      </c>
      <c r="AI20" s="4" t="str">
        <f aca="false">IF($A20="","",IF(AH20="","",IF(AH20&gt;0,"Yes","No")))</f>
        <v>No</v>
      </c>
      <c r="AJ20" s="4" t="str">
        <f aca="false">IF($A20="","",IF(AI20&lt;&gt;"Yes","On time",IF(N(AC20)&gt;=MAX(N(AF20),N(K20)),"Wait for analyst",IF(N(AF20)&gt;=N(K20),"External sign-off","Rework"))))</f>
        <v>On time</v>
      </c>
      <c r="AK20" s="4" t="str">
        <f aca="false">IF($A20="","",IF(OR(F20="",Y20="",ISNA(MATCH(L20,Dim_Analyst!$A:$A,0))),"CHECK","OK"))</f>
        <v>OK</v>
      </c>
      <c r="AL20" s="4" t="str">
        <f aca="false">IF($A20="","",IFERROR(VLOOKUP($C20,Dim_Fund!$A:$U,21,0),""))</f>
        <v>TOP-FI1</v>
      </c>
      <c r="AM20" s="4" t="str">
        <f aca="false">IF($A20="","",IF($U20="","",IF($U20&gt;$B20+IFERROR(VLOOKUP($C20,Dim_Fund!$A:$AH,34,0),0)/24,"Yes","No")))</f>
        <v>No</v>
      </c>
      <c r="AN20" s="22" t="n">
        <f aca="false">IF($A20="","",IFERROR(VLOOKUP($C20,Dim_Fund!$A:$AH,34,0),""))</f>
        <v>13.85</v>
      </c>
      <c r="AO20" s="22" t="n">
        <f aca="false">IF($A20="","",IF($AL20="","",IFERROR(FLOOR(IF(COUNTIFS(Fact_Milestone!$A:$A,$B20,Fact_Milestone!$B:$B,$AL20,Fact_Milestone!$F:$F,"&gt;0")&gt;0,_xlfn.MINIFS(Fact_Milestone!$F:$F,Fact_Milestone!$A:$A,$B20,Fact_Milestone!$B:$B,$AL20,Fact_Milestone!$F:$F,"&gt;0"),VLOOKUP($AL20,Dim_TOP!$A:$E,5,0)),0.5),"")))</f>
        <v>12</v>
      </c>
      <c r="AP20" s="22" t="n">
        <f aca="false">IF($A20="","",IF($U20="","",ROUND(($U20-INT($U20))*24,4)))</f>
        <v>11.6667</v>
      </c>
      <c r="AQ20" s="22" t="n">
        <f aca="false">IF($A20="","",IF($W20="","",ROUND(($W20-INT($W20))*24,4)))</f>
        <v>16.15</v>
      </c>
      <c r="AR20" s="22" t="n">
        <f aca="false">IF($A20="","",IF($X20="","",ROUND(($X20-INT($X20))*24,4)))</f>
        <v>16.35</v>
      </c>
      <c r="AS20" s="38" t="n">
        <f aca="false">IF($A20="","",IF(OR($AN20="",$V20="",$S20="",$T20=""),"",ROUND(($V20-($B20+$AN20/24))*1440-$S20-$T20,0)))</f>
        <v>164</v>
      </c>
      <c r="AT20" s="38" t="n">
        <f aca="false">IF($A20="","",IF(OR($AN20="",$U20=""),"",ROUND(($U20-($B20+$AN20/24))*1440,0)))</f>
        <v>-131</v>
      </c>
      <c r="AU20" s="38" t="n">
        <f aca="false">IF($A20="","",IF(OR($AD20="",$S20=""),"",ROUND($AD20-$S20,0)))</f>
        <v>2</v>
      </c>
      <c r="AV20" s="38" t="n">
        <f aca="false">IF($A20="","",N($AE20))</f>
        <v>0</v>
      </c>
      <c r="AW20" s="38" t="n">
        <f aca="false">IF($A20="","",IF(OR($AF20="",$T20=""),"",$AF20-$T20))</f>
        <v>13</v>
      </c>
      <c r="AX20" s="38" t="n">
        <f aca="false">IF($A20="","",IF(COUNT($AT20,$AB20,$AU20,$AW20,$AS20,$AH20)&lt;6,"",ROUND($AT20+$AB20+$AU20+$AV20+$AW20-$AS20-$AH20,0)))</f>
        <v>0</v>
      </c>
      <c r="AY20" s="4" t="str">
        <f aca="false">IF($A20="","",IF($AX20="","No",IF(ABS($AX20)&lt;=2,"Yes","No")))</f>
        <v>Yes</v>
      </c>
      <c r="AZ20" s="4" t="str">
        <f aca="false">IF($A20="","",IF($AI20&lt;&gt;"Yes","n/a",IF(OR($AA20="",$S20="",$T20=""),"Unknown",IF($AA20&lt;$S20+$T20,"Lost on arrival","Lost after arrival"))))</f>
        <v>n/a</v>
      </c>
      <c r="BA20" s="10" t="str">
        <f aca="false">IF($A20="","",IFERROR(VLOOKUP($C20,Dim_Fund!$A:$D,4,0),""))</f>
        <v>Meridian Pensions</v>
      </c>
      <c r="BB20" s="10" t="str">
        <f aca="false">IF($A20="","",IF($AL20="","",IF(COUNTIFS(Fact_Milestone!$A:$A,$B20,Fact_Milestone!$B:$B,$AL20,Fact_Milestone!$I:$I,"No")&gt;0,"No",IF(COUNTIFS(Fact_Milestone!$A:$A,$B20,Fact_Milestone!$B:$B,$AL20,Fact_Milestone!$I:$I,"Yes")&gt;0,"Yes",""))))</f>
        <v>Yes</v>
      </c>
      <c r="BC20" s="45" t="n">
        <f aca="false">IF($A20="","",IF(OR($L20="",$W20=""),"",IF(COUNTIFS($L:$L,$L20,$B:$B,$B20,$W:$W,"&lt;"&amp;$W20)=0,"",_xlfn.MAXIFS($W:$W,$L:$L,$L20,$B:$B,$B20,$W:$W,"&lt;"&amp;$W20))))</f>
        <v>46266.6604166667</v>
      </c>
      <c r="BD20" s="39" t="n">
        <f aca="false">IF($A20="","",IF($AC20="","",IF(OR($L20="",$AC20=0),0,MIN($AC20,ROUND(ROUND(1440*SUMPRODUCT(($L$2:INDEX($L:$L,COUNTA($C:$C))=$L20)*($B$2:INDEX($B:$B,COUNTA($C:$C))=$B20)*(ROW($L$2:INDEX($L:$L,COUNTA($C:$C)))&lt;&gt;ROW())*((((($W20+$BT$2:INDEX($BT:$BT,COUNTA($C:$C))-ABS($W20-$BT$2:INDEX($BT:$BT,COUNTA($C:$C))))/2)-(($U20+$BS$2:INDEX($BS:$BS,COUNTA($C:$C))+ABS($U20-$BS$2:INDEX($BS:$BS,COUNTA($C:$C))))/2))+ABS(((($W20+$BT$2:INDEX($BT:$BT,COUNTA($C:$C))-ABS($W20-$BT$2:INDEX($BT:$BT,COUNTA($C:$C))))/2)-(($U20+$BS$2:INDEX($BS:$BS,COUNTA($C:$C))+ABS($U20-$BS$2:INDEX($BS:$BS,COUNTA($C:$C))))/2))))/2)),4),0)))))</f>
        <v>28</v>
      </c>
      <c r="BE20" s="39" t="n">
        <f aca="false">IF($A20="","",IF($AC20="","",ROUND(MIN($AC20-$BD20,N($R20)),0)))</f>
        <v>15</v>
      </c>
      <c r="BF20" s="10" t="str">
        <f aca="false">IF($A20="","",IFERROR(VLOOKUP($C20,Dim_Fund!$A:$BD,56,0),""))</f>
        <v>Yes</v>
      </c>
      <c r="BG20" s="10" t="str">
        <f aca="false">IF($A20="","",IFERROR(VLOOKUP($C20,Dim_Fund!$A:$BH,60,0),""))</f>
        <v>Ample custody slack</v>
      </c>
      <c r="BH20" s="10" t="str">
        <f aca="false">IF($A20="","",IF($AI20&lt;&gt;"Yes","Not breached",IF($AM20="Yes","Pricing late",IF($BG20="Thin custody slack","Thin custody slack",IF($BF20="Yes","Broker-dependent","None of these")))))</f>
        <v>Not breached</v>
      </c>
      <c r="BI20" s="23" t="n">
        <f aca="false">IF($A20="","",IFERROR(IF(VLOOKUP($C20,Dim_Fund!$A:$AI,35,0)&gt;0,VLOOKUP($C20,Dim_Fund!$A:$AI,35,0),""),""))</f>
        <v>17.5166666666667</v>
      </c>
      <c r="BJ20" s="10" t="str">
        <f aca="false">IF($A20="","",$C20&amp;IF($E20="Client","*",""))</f>
        <v>FD-1010*</v>
      </c>
      <c r="BK20" s="39" t="n">
        <f aca="false">IF($A20="","",IFERROR(ROUND(($Y20-$X20)*1440,0),""))</f>
        <v>59</v>
      </c>
      <c r="BL20" s="39" t="n">
        <f aca="false">IF($A20="","",IF($AH20="","",-$AH20))</f>
        <v>11</v>
      </c>
      <c r="BM20" s="46" t="n">
        <f aca="false">IF($A20="","",IF($AQ20="","",IF($AP20="",$AQ20,MIN($AP20,$AQ20))))</f>
        <v>11.6667</v>
      </c>
      <c r="BN20" s="46" t="n">
        <f aca="false">IF($A20="","",IF($BM20="","",ROUND(N($AC20)/60,4)))</f>
        <v>4.4833</v>
      </c>
      <c r="BO20" s="46" t="n">
        <f aca="false">IF($A20="","",IF(OR($BM20="",$AD20=""),"",ROUND($AD20/60,4)))</f>
        <v>0.2</v>
      </c>
      <c r="BP20" s="46" t="n">
        <f aca="false">IF($A20="","",IF($BM20="","",ROUND(N($AE20)/60,4)))</f>
        <v>0</v>
      </c>
      <c r="BQ20" s="46" t="n">
        <f aca="false">IF($A20="","",IF(OR($BM20="",$AF20=""),"",ROUND($AF20/60,4)))</f>
        <v>0.9833</v>
      </c>
      <c r="BR20" s="39" t="n">
        <f aca="false">IF($A20="","",IF($AC20="","",$AC20-$BD20-$BE20))</f>
        <v>226</v>
      </c>
      <c r="BS20" s="45" t="n">
        <f aca="false">IF($A20="","",IF(AND(ISNUMBER($Z20),ISNUMBER($W20)),$Z20,0))</f>
        <v>46266.6628472222</v>
      </c>
      <c r="BT20" s="45" t="n">
        <f aca="false">IF($A20="","",IF(ISNUMBER($W20),$W20,0))</f>
        <v>46266.6729166667</v>
      </c>
      <c r="BU20" s="23" t="n">
        <f aca="false">IF($A20="","",IF(ISNUMBER($W20),ROUND(($W20-$B20)*24,4),""))</f>
        <v>16.15</v>
      </c>
      <c r="BV20" s="23" t="n">
        <f aca="false">IF($A20="","",IF(ISNUMBER($X20),ROUND(($X20-$B20)*24,4),""))</f>
        <v>16.35</v>
      </c>
      <c r="BW20" s="10" t="str">
        <f aca="false">IF($A20="","",IF(NOT(ISNUMBER($W20)),"Missing Calculated",IF(NOT(ISNUMBER($X20)),IF($E20="Client","Missing FA signed off","Missing Controlled"),IF($X20&lt;$W20,"End before start","OK"))))</f>
        <v>OK</v>
      </c>
      <c r="BX20" s="23" t="n">
        <f aca="false">IF($A20="","",IF(NOT(ISNUMBER($Z20)),"",ROUND((IF(ISNUMBER($U20),MIN($U20,$Z20),$Z20)-$B20)*24,4)))</f>
        <v>11.6667</v>
      </c>
      <c r="BY20" s="23" t="n">
        <f aca="false">IF($A20="","",IF(ISNUMBER($Z20),ROUND(($Z20-$B20)*24,4),""))</f>
        <v>15.9083</v>
      </c>
      <c r="BZ20" s="23" t="n">
        <f aca="false">IF($A20="","",IF(AND(ISNUMBER($W20),ISNUMBER($S20)),ROUND(($W20+$S20/1440-$B20)*24,4),""))</f>
        <v>16.31</v>
      </c>
    </row>
    <row r="21" customFormat="false" ht="15" hidden="false" customHeight="true" outlineLevel="0" collapsed="false">
      <c r="A21" s="34" t="n">
        <v>46266</v>
      </c>
      <c r="B21" s="34" t="n">
        <v>46267</v>
      </c>
      <c r="C21" s="13" t="s">
        <v>308</v>
      </c>
      <c r="D21" s="4" t="n">
        <f aca="false">IF($A21="","",$B21-$A21)</f>
        <v>1</v>
      </c>
      <c r="E21" s="4" t="str">
        <f aca="false">IF($A21="","",IFERROR(VLOOKUP($C21,Dim_Fund!$A:$X,24,0),""))</f>
        <v>FA</v>
      </c>
      <c r="F21" s="37" t="n">
        <f aca="false">IF($A21="","",IF(COUNTIFS(Status_Log!$A:$A,$A21,Status_Log!$B:$B,$B21,Status_Log!$C:$C,$C21,Status_Log!$D:$D,"Changed to the status of Calculated")=0,"",_xlfn.MINIFS(Status_Log!$E:$E,Status_Log!$A:$A,$A21,Status_Log!$B:$B,$B21,Status_Log!$C:$C,$C21,Status_Log!$D:$D,"Changed to the status of Calculated")))</f>
        <v>46267.5847222222</v>
      </c>
      <c r="G21" s="37" t="n">
        <f aca="false">IF($A21="","",IF(COUNTIFS(Status_Log!$A:$A,$A21,Status_Log!$B:$B,$B21,Status_Log!$C:$C,$C21,Status_Log!$D:$D,"Changed to the status of Controlled")=0,"",_xlfn.MAXIFS(Status_Log!$E:$E,Status_Log!$A:$A,$A21,Status_Log!$B:$B,$B21,Status_Log!$C:$C,$C21,Status_Log!$D:$D,"Changed to the status of Controlled")))</f>
        <v>46267.5986111111</v>
      </c>
      <c r="H21" s="37" t="n">
        <f aca="false">IF($A21="","",IF(COUNTIFS(Status_Log!$A:$A,$A21,Status_Log!$B:$B,$B21,Status_Log!$C:$C,$C21,Status_Log!$D:$D,"Changed to the status of Fund accounting signed off")=0,"",_xlfn.MAXIFS(Status_Log!$E:$E,Status_Log!$A:$A,$A21,Status_Log!$B:$B,$B21,Status_Log!$C:$C,$C21,Status_Log!$D:$D,"Changed to the status of Fund accounting signed off")))</f>
        <v>46267.60625</v>
      </c>
      <c r="I21" s="37" t="n">
        <f aca="false">IF($A21="","",IF(COUNTIFS(Status_Log!$A:$A,$A21,Status_Log!$B:$B,$B21,Status_Log!$C:$C,$C21,Status_Log!$D:$D,"Changed to the status of signed off")=0,"",_xlfn.MAXIFS(Status_Log!$E:$E,Status_Log!$A:$A,$A21,Status_Log!$B:$B,$B21,Status_Log!$C:$C,$C21,Status_Log!$D:$D,"Changed to the status of signed off")))</f>
        <v>46267.6270833333</v>
      </c>
      <c r="J21" s="4" t="n">
        <f aca="false">IF($A21="","",COUNTIFS(Status_Log!$A:$A,$A21,Status_Log!$B:$B,$B21,Status_Log!$C:$C,$C21,Status_Log!$D:$D,"Changed to the status of Calculated"))</f>
        <v>1</v>
      </c>
      <c r="K21" s="38" t="n">
        <f aca="false">IF($A21="","",IF(J21&lt;=1,0,ROUND((_xlfn.MAXIFS(Status_Log!$E:$E,Status_Log!$A:$A,$A21,Status_Log!$B:$B,$B21,Status_Log!$C:$C,$C21,Status_Log!$D:$D,"Changed to the status of Calculated")-F21)*1440,0)))</f>
        <v>0</v>
      </c>
      <c r="L21" s="4" t="str">
        <f aca="false">IF($A21="","",IFERROR(INDEX(Status_Log!$F:$F,MATCH($A21&amp;"|"&amp;$B21&amp;"|"&amp;$C21&amp;"|Changed to the status of Calculated|"&amp;TEXT(_xlfn.MAXIFS(Status_Log!$E:$E,Status_Log!$A:$A,$A21,Status_Log!$B:$B,$B21,Status_Log!$C:$C,$C21,Status_Log!$D:$D,"Changed to the status of Calculated"),"0.000000"),Status_Log!$H:$H,0)),""))</f>
        <v>Raj Kumar</v>
      </c>
      <c r="M21" s="4" t="str">
        <f aca="false">IF($A21="","",IF(E21="Client","n/a — no control step",IFERROR(INDEX(Status_Log!$F:$F,MATCH($A21&amp;"|"&amp;$B21&amp;"|"&amp;$C21&amp;"|Changed to the status of Controlled|"&amp;TEXT(_xlfn.MAXIFS(Status_Log!$E:$E,Status_Log!$A:$A,$A21,Status_Log!$B:$B,$B21,Status_Log!$C:$C,$C21,Status_Log!$D:$D,"Changed to the status of Controlled"),"0.000000"),Status_Log!$H:$H,0)),"")))</f>
        <v>Daniel Tan</v>
      </c>
      <c r="N21" s="4" t="str">
        <f aca="false">IF($A21="","",IFERROR(VLOOKUP($C21,Dim_Fund!$A:$G,7,0),""))</f>
        <v>Lim Wei Ming</v>
      </c>
      <c r="O21" s="4" t="str">
        <f aca="false">IF($A21="","",IF(L21=N21,"No","Yes"))</f>
        <v>Yes</v>
      </c>
      <c r="P21" s="4" t="str">
        <f aca="false">IF($A21="","",IF(E21="Client","n/a",IF(L21=M21,"YES — four-eyes breach","No")))</f>
        <v>No</v>
      </c>
      <c r="Q21" s="38" t="n">
        <f aca="false">IF($A21="","",IFERROR(VLOOKUP($C21,Dim_Fund!$A:$AB,28,0),""))</f>
        <v>47.5</v>
      </c>
      <c r="R21" s="38" t="n">
        <f aca="false">IF($A21="","",IFERROR(VLOOKUP($C21,Dim_Fund!$A:$AC,29,0),""))</f>
        <v>28.5</v>
      </c>
      <c r="S21" s="38" t="n">
        <f aca="false">IF($A21="","",IFERROR(VLOOKUP($C21,Dim_Fund!$A:$AD,30,0),""))</f>
        <v>19</v>
      </c>
      <c r="T21" s="38" t="n">
        <f aca="false">IF($A21="","",IFERROR(VLOOKUP($C21,Dim_Fund!$A:$AL,38,0),""))</f>
        <v>0</v>
      </c>
      <c r="U21" s="37" t="n">
        <f aca="false">IF($A21="","",IF(AL21="","",IFERROR(IF(COUNTIFS(Fact_Milestone!$A:$A,$B21,Fact_Milestone!$B:$B,AL21)=0,"",_xlfn.MAXIFS(Fact_Milestone!$C:$C,Fact_Milestone!$A:$A,$B21,Fact_Milestone!$B:$B,AL21)),"")))</f>
        <v>46267.4534722222</v>
      </c>
      <c r="V21" s="37" t="n">
        <f aca="false">IF($A21="","",IFERROR(IF(VLOOKUP($C21,Dim_Fund!$A:$AI,35,0)&gt;0,$B21+VLOOKUP($C21,Dim_Fund!$A:$AI,35,0)/24,""),""))</f>
        <v>46267.6965277778</v>
      </c>
      <c r="W21" s="37" t="n">
        <f aca="false">IF($A21="","",F21)</f>
        <v>46267.5847222222</v>
      </c>
      <c r="X21" s="37" t="n">
        <f aca="false">IF($A21="","",IF(E21="Client",H21,G21))</f>
        <v>46267.5986111111</v>
      </c>
      <c r="Y21" s="37" t="n">
        <f aca="false">IF($A21="","",I21)</f>
        <v>46267.6270833333</v>
      </c>
      <c r="Z21" s="37" t="n">
        <f aca="false">IF($A21="","",IFERROR(W21-R21/1440,""))</f>
        <v>46267.5649305556</v>
      </c>
      <c r="AA21" s="38" t="n">
        <f aca="false">IF($A21="","",IF(OR(U21="",V21=""),"",ROUND((V21-U21)*1440,0)))</f>
        <v>350</v>
      </c>
      <c r="AB21" s="38" t="n">
        <f aca="false">IF($A21="","",IF(U21="","",ROUND((W21-U21)*1440,0)))</f>
        <v>189</v>
      </c>
      <c r="AC21" s="38" t="n">
        <f aca="false">IF($A21="","",IF(AB21="","",MAX(0,AB21)))</f>
        <v>189</v>
      </c>
      <c r="AD21" s="38" t="n">
        <f aca="false">IF($A21="","",IFERROR(ROUND((X21-W21)*1440,0),""))</f>
        <v>20</v>
      </c>
      <c r="AE21" s="38" t="n">
        <f aca="false">IF($A21="","",IF(E21="Client","n/a",IFERROR(ROUND((H21-G21)*1440,0),"")))</f>
        <v>11</v>
      </c>
      <c r="AF21" s="38" t="n">
        <f aca="false">IF($A21="","",IFERROR(ROUND((Y21-H21)*1440,0),""))</f>
        <v>30</v>
      </c>
      <c r="AG21" s="38" t="n">
        <f aca="false">IF($A21="","",IFERROR(ROUND((H21-F21)*1440,0),""))</f>
        <v>31</v>
      </c>
      <c r="AH21" s="38" t="n">
        <f aca="false">IF($A21="","",IFERROR(ROUND((Y21-V21)*1440,0),""))</f>
        <v>-100</v>
      </c>
      <c r="AI21" s="4" t="str">
        <f aca="false">IF($A21="","",IF(AH21="","",IF(AH21&gt;0,"Yes","No")))</f>
        <v>No</v>
      </c>
      <c r="AJ21" s="4" t="str">
        <f aca="false">IF($A21="","",IF(AI21&lt;&gt;"Yes","On time",IF(N(AC21)&gt;=MAX(N(AF21),N(K21)),"Wait for analyst",IF(N(AF21)&gt;=N(K21),"External sign-off","Rework"))))</f>
        <v>On time</v>
      </c>
      <c r="AK21" s="4" t="str">
        <f aca="false">IF($A21="","",IF(OR(F21="",Y21="",ISNA(MATCH(L21,Dim_Analyst!$A:$A,0))),"CHECK","OK"))</f>
        <v>OK</v>
      </c>
      <c r="AL21" s="4" t="str">
        <f aca="false">IF($A21="","",IFERROR(VLOOKUP($C21,Dim_Fund!$A:$U,21,0),""))</f>
        <v>TOP-EQ1</v>
      </c>
      <c r="AM21" s="4" t="str">
        <f aca="false">IF($A21="","",IF($U21="","",IF($U21&gt;$B21+IFERROR(VLOOKUP($C21,Dim_Fund!$A:$AH,34,0),0)/24,"Yes","No")))</f>
        <v>No</v>
      </c>
      <c r="AN21" s="22" t="n">
        <f aca="false">IF($A21="","",IFERROR(VLOOKUP($C21,Dim_Fund!$A:$AH,34,0),""))</f>
        <v>12.4833333333333</v>
      </c>
      <c r="AO21" s="22" t="n">
        <f aca="false">IF($A21="","",IF($AL21="","",IFERROR(FLOOR(IF(COUNTIFS(Fact_Milestone!$A:$A,$B21,Fact_Milestone!$B:$B,$AL21,Fact_Milestone!$F:$F,"&gt;0")&gt;0,_xlfn.MINIFS(Fact_Milestone!$F:$F,Fact_Milestone!$A:$A,$B21,Fact_Milestone!$B:$B,$AL21,Fact_Milestone!$F:$F,"&gt;0"),VLOOKUP($AL21,Dim_TOP!$A:$E,5,0)),0.5),"")))</f>
        <v>12</v>
      </c>
      <c r="AP21" s="22" t="n">
        <f aca="false">IF($A21="","",IF($U21="","",ROUND(($U21-INT($U21))*24,4)))</f>
        <v>10.8833</v>
      </c>
      <c r="AQ21" s="22" t="n">
        <f aca="false">IF($A21="","",IF($W21="","",ROUND(($W21-INT($W21))*24,4)))</f>
        <v>14.0333</v>
      </c>
      <c r="AR21" s="22" t="n">
        <f aca="false">IF($A21="","",IF($X21="","",ROUND(($X21-INT($X21))*24,4)))</f>
        <v>14.3667</v>
      </c>
      <c r="AS21" s="38" t="n">
        <f aca="false">IF($A21="","",IF(OR($AN21="",$V21="",$S21="",$T21=""),"",ROUND(($V21-($B21+$AN21/24))*1440-$S21-$T21,0)))</f>
        <v>235</v>
      </c>
      <c r="AT21" s="38" t="n">
        <f aca="false">IF($A21="","",IF(OR($AN21="",$U21=""),"",ROUND(($U21-($B21+$AN21/24))*1440,0)))</f>
        <v>-96</v>
      </c>
      <c r="AU21" s="38" t="n">
        <f aca="false">IF($A21="","",IF(OR($AD21="",$S21=""),"",ROUND($AD21-$S21,0)))</f>
        <v>1</v>
      </c>
      <c r="AV21" s="38" t="n">
        <f aca="false">IF($A21="","",N($AE21))</f>
        <v>11</v>
      </c>
      <c r="AW21" s="38" t="n">
        <f aca="false">IF($A21="","",IF(OR($AF21="",$T21=""),"",$AF21-$T21))</f>
        <v>30</v>
      </c>
      <c r="AX21" s="38" t="n">
        <f aca="false">IF($A21="","",IF(COUNT($AT21,$AB21,$AU21,$AW21,$AS21,$AH21)&lt;6,"",ROUND($AT21+$AB21+$AU21+$AV21+$AW21-$AS21-$AH21,0)))</f>
        <v>0</v>
      </c>
      <c r="AY21" s="4" t="str">
        <f aca="false">IF($A21="","",IF($AX21="","No",IF(ABS($AX21)&lt;=2,"Yes","No")))</f>
        <v>Yes</v>
      </c>
      <c r="AZ21" s="4" t="str">
        <f aca="false">IF($A21="","",IF($AI21&lt;&gt;"Yes","n/a",IF(OR($AA21="",$S21="",$T21=""),"Unknown",IF($AA21&lt;$S21+$T21,"Lost on arrival","Lost after arrival"))))</f>
        <v>n/a</v>
      </c>
      <c r="BA21" s="10" t="str">
        <f aca="false">IF($A21="","",IFERROR(VLOOKUP($C21,Dim_Fund!$A:$D,4,0),""))</f>
        <v>Meridian Pensions</v>
      </c>
      <c r="BB21" s="10" t="str">
        <f aca="false">IF($A21="","",IF($AL21="","",IF(COUNTIFS(Fact_Milestone!$A:$A,$B21,Fact_Milestone!$B:$B,$AL21,Fact_Milestone!$I:$I,"No")&gt;0,"No",IF(COUNTIFS(Fact_Milestone!$A:$A,$B21,Fact_Milestone!$B:$B,$AL21,Fact_Milestone!$I:$I,"Yes")&gt;0,"Yes",""))))</f>
        <v>Yes</v>
      </c>
      <c r="BC21" s="45" t="n">
        <f aca="false">IF($A21="","",IF(OR($L21="",$W21=""),"",IF(COUNTIFS($L:$L,$L21,$B:$B,$B21,$W:$W,"&lt;"&amp;$W21)=0,"",_xlfn.MAXIFS($W:$W,$L:$L,$L21,$B:$B,$B21,$W:$W,"&lt;"&amp;$W21))))</f>
        <v>46267.5159722222</v>
      </c>
      <c r="BD21" s="39" t="n">
        <f aca="false">IF($A21="","",IF($AC21="","",IF(OR($L21="",$AC21=0),0,MIN($AC21,ROUND(ROUND(1440*SUMPRODUCT(($L$2:INDEX($L:$L,COUNTA($C:$C))=$L21)*($B$2:INDEX($B:$B,COUNTA($C:$C))=$B21)*(ROW($L$2:INDEX($L:$L,COUNTA($C:$C)))&lt;&gt;ROW())*((((($W21+$BT$2:INDEX($BT:$BT,COUNTA($C:$C))-ABS($W21-$BT$2:INDEX($BT:$BT,COUNTA($C:$C))))/2)-(($U21+$BS$2:INDEX($BS:$BS,COUNTA($C:$C))+ABS($U21-$BS$2:INDEX($BS:$BS,COUNTA($C:$C))))/2))+ABS(((($W21+$BT$2:INDEX($BT:$BT,COUNTA($C:$C))-ABS($W21-$BT$2:INDEX($BT:$BT,COUNTA($C:$C))))/2)-(($U21+$BS$2:INDEX($BS:$BS,COUNTA($C:$C))+ABS($U21-$BS$2:INDEX($BS:$BS,COUNTA($C:$C))))/2))))/2)),4),0)))))</f>
        <v>28</v>
      </c>
      <c r="BE21" s="39" t="n">
        <f aca="false">IF($A21="","",IF($AC21="","",ROUND(MIN($AC21-$BD21,N($R21)),0)))</f>
        <v>29</v>
      </c>
      <c r="BF21" s="10" t="str">
        <f aca="false">IF($A21="","",IFERROR(VLOOKUP($C21,Dim_Fund!$A:$BD,56,0),""))</f>
        <v>No</v>
      </c>
      <c r="BG21" s="10" t="str">
        <f aca="false">IF($A21="","",IFERROR(VLOOKUP($C21,Dim_Fund!$A:$BH,60,0),""))</f>
        <v>Ample custody slack</v>
      </c>
      <c r="BH21" s="10" t="str">
        <f aca="false">IF($A21="","",IF($AI21&lt;&gt;"Yes","Not breached",IF($AM21="Yes","Pricing late",IF($BG21="Thin custody slack","Thin custody slack",IF($BF21="Yes","Broker-dependent","None of these")))))</f>
        <v>Not breached</v>
      </c>
      <c r="BI21" s="23" t="n">
        <f aca="false">IF($A21="","",IFERROR(IF(VLOOKUP($C21,Dim_Fund!$A:$AI,35,0)&gt;0,VLOOKUP($C21,Dim_Fund!$A:$AI,35,0),""),""))</f>
        <v>16.7166666666667</v>
      </c>
      <c r="BJ21" s="10" t="str">
        <f aca="false">IF($A21="","",$C21&amp;IF($E21="Client","*",""))</f>
        <v>FD-1001</v>
      </c>
      <c r="BK21" s="39" t="n">
        <f aca="false">IF($A21="","",IFERROR(ROUND(($Y21-$X21)*1440,0),""))</f>
        <v>41</v>
      </c>
      <c r="BL21" s="39" t="n">
        <f aca="false">IF($A21="","",IF($AH21="","",-$AH21))</f>
        <v>100</v>
      </c>
      <c r="BM21" s="46" t="n">
        <f aca="false">IF($A21="","",IF($AQ21="","",IF($AP21="",$AQ21,MIN($AP21,$AQ21))))</f>
        <v>10.8833</v>
      </c>
      <c r="BN21" s="46" t="n">
        <f aca="false">IF($A21="","",IF($BM21="","",ROUND(N($AC21)/60,4)))</f>
        <v>3.15</v>
      </c>
      <c r="BO21" s="46" t="n">
        <f aca="false">IF($A21="","",IF(OR($BM21="",$AD21=""),"",ROUND($AD21/60,4)))</f>
        <v>0.3333</v>
      </c>
      <c r="BP21" s="46" t="n">
        <f aca="false">IF($A21="","",IF($BM21="","",ROUND(N($AE21)/60,4)))</f>
        <v>0.1833</v>
      </c>
      <c r="BQ21" s="46" t="n">
        <f aca="false">IF($A21="","",IF(OR($BM21="",$AF21=""),"",ROUND($AF21/60,4)))</f>
        <v>0.5</v>
      </c>
      <c r="BR21" s="39" t="n">
        <f aca="false">IF($A21="","",IF($AC21="","",$AC21-$BD21-$BE21))</f>
        <v>132</v>
      </c>
      <c r="BS21" s="45" t="n">
        <f aca="false">IF($A21="","",IF(AND(ISNUMBER($Z21),ISNUMBER($W21)),$Z21,0))</f>
        <v>46267.5649305556</v>
      </c>
      <c r="BT21" s="45" t="n">
        <f aca="false">IF($A21="","",IF(ISNUMBER($W21),$W21,0))</f>
        <v>46267.5847222222</v>
      </c>
      <c r="BU21" s="23" t="n">
        <f aca="false">IF($A21="","",IF(ISNUMBER($W21),ROUND(($W21-$B21)*24,4),""))</f>
        <v>14.0333</v>
      </c>
      <c r="BV21" s="23" t="n">
        <f aca="false">IF($A21="","",IF(ISNUMBER($X21),ROUND(($X21-$B21)*24,4),""))</f>
        <v>14.3667</v>
      </c>
      <c r="BW21" s="10" t="str">
        <f aca="false">IF($A21="","",IF(NOT(ISNUMBER($W21)),"Missing Calculated",IF(NOT(ISNUMBER($X21)),IF($E21="Client","Missing FA signed off","Missing Controlled"),IF($X21&lt;$W21,"End before start","OK"))))</f>
        <v>OK</v>
      </c>
      <c r="BX21" s="23" t="n">
        <f aca="false">IF($A21="","",IF(NOT(ISNUMBER($Z21)),"",ROUND((IF(ISNUMBER($U21),MIN($U21,$Z21),$Z21)-$B21)*24,4)))</f>
        <v>10.8833</v>
      </c>
      <c r="BY21" s="23" t="n">
        <f aca="false">IF($A21="","",IF(ISNUMBER($Z21),ROUND(($Z21-$B21)*24,4),""))</f>
        <v>13.5583</v>
      </c>
      <c r="BZ21" s="23" t="n">
        <f aca="false">IF($A21="","",IF(AND(ISNUMBER($W21),ISNUMBER($S21)),ROUND(($W21+$S21/1440-$B21)*24,4),""))</f>
        <v>14.35</v>
      </c>
    </row>
    <row r="22" customFormat="false" ht="15" hidden="false" customHeight="true" outlineLevel="0" collapsed="false">
      <c r="A22" s="34" t="n">
        <v>46266</v>
      </c>
      <c r="B22" s="34" t="n">
        <v>46267</v>
      </c>
      <c r="C22" s="13" t="s">
        <v>317</v>
      </c>
      <c r="D22" s="4" t="n">
        <f aca="false">IF($A22="","",$B22-$A22)</f>
        <v>1</v>
      </c>
      <c r="E22" s="4" t="str">
        <f aca="false">IF($A22="","",IFERROR(VLOOKUP($C22,Dim_Fund!$A:$X,24,0),""))</f>
        <v>FA</v>
      </c>
      <c r="F22" s="37" t="n">
        <f aca="false">IF($A22="","",IF(COUNTIFS(Status_Log!$A:$A,$A22,Status_Log!$B:$B,$B22,Status_Log!$C:$C,$C22,Status_Log!$D:$D,"Changed to the status of Calculated")=0,"",_xlfn.MINIFS(Status_Log!$E:$E,Status_Log!$A:$A,$A22,Status_Log!$B:$B,$B22,Status_Log!$C:$C,$C22,Status_Log!$D:$D,"Changed to the status of Calculated")))</f>
        <v>46267.6138888889</v>
      </c>
      <c r="G22" s="37" t="n">
        <f aca="false">IF($A22="","",IF(COUNTIFS(Status_Log!$A:$A,$A22,Status_Log!$B:$B,$B22,Status_Log!$C:$C,$C22,Status_Log!$D:$D,"Changed to the status of Controlled")=0,"",_xlfn.MAXIFS(Status_Log!$E:$E,Status_Log!$A:$A,$A22,Status_Log!$B:$B,$B22,Status_Log!$C:$C,$C22,Status_Log!$D:$D,"Changed to the status of Controlled")))</f>
        <v>46267.6236111111</v>
      </c>
      <c r="H22" s="37" t="n">
        <f aca="false">IF($A22="","",IF(COUNTIFS(Status_Log!$A:$A,$A22,Status_Log!$B:$B,$B22,Status_Log!$C:$C,$C22,Status_Log!$D:$D,"Changed to the status of Fund accounting signed off")=0,"",_xlfn.MAXIFS(Status_Log!$E:$E,Status_Log!$A:$A,$A22,Status_Log!$B:$B,$B22,Status_Log!$C:$C,$C22,Status_Log!$D:$D,"Changed to the status of Fund accounting signed off")))</f>
        <v>46267.6326388889</v>
      </c>
      <c r="I22" s="37" t="n">
        <f aca="false">IF($A22="","",IF(COUNTIFS(Status_Log!$A:$A,$A22,Status_Log!$B:$B,$B22,Status_Log!$C:$C,$C22,Status_Log!$D:$D,"Changed to the status of signed off")=0,"",_xlfn.MAXIFS(Status_Log!$E:$E,Status_Log!$A:$A,$A22,Status_Log!$B:$B,$B22,Status_Log!$C:$C,$C22,Status_Log!$D:$D,"Changed to the status of signed off")))</f>
        <v>46267.6430555556</v>
      </c>
      <c r="J22" s="4" t="n">
        <f aca="false">IF($A22="","",COUNTIFS(Status_Log!$A:$A,$A22,Status_Log!$B:$B,$B22,Status_Log!$C:$C,$C22,Status_Log!$D:$D,"Changed to the status of Calculated"))</f>
        <v>1</v>
      </c>
      <c r="K22" s="38" t="n">
        <f aca="false">IF($A22="","",IF(J22&lt;=1,0,ROUND((_xlfn.MAXIFS(Status_Log!$E:$E,Status_Log!$A:$A,$A22,Status_Log!$B:$B,$B22,Status_Log!$C:$C,$C22,Status_Log!$D:$D,"Changed to the status of Calculated")-F22)*1440,0)))</f>
        <v>0</v>
      </c>
      <c r="L22" s="4" t="str">
        <f aca="false">IF($A22="","",IFERROR(INDEX(Status_Log!$F:$F,MATCH($A22&amp;"|"&amp;$B22&amp;"|"&amp;$C22&amp;"|Changed to the status of Calculated|"&amp;TEXT(_xlfn.MAXIFS(Status_Log!$E:$E,Status_Log!$A:$A,$A22,Status_Log!$B:$B,$B22,Status_Log!$C:$C,$C22,Status_Log!$D:$D,"Changed to the status of Calculated"),"0.000000"),Status_Log!$H:$H,0)),""))</f>
        <v>Siti Noraini</v>
      </c>
      <c r="M22" s="4" t="str">
        <f aca="false">IF($A22="","",IF(E22="Client","n/a — no control step",IFERROR(INDEX(Status_Log!$F:$F,MATCH($A22&amp;"|"&amp;$B22&amp;"|"&amp;$C22&amp;"|Changed to the status of Controlled|"&amp;TEXT(_xlfn.MAXIFS(Status_Log!$E:$E,Status_Log!$A:$A,$A22,Status_Log!$B:$B,$B22,Status_Log!$C:$C,$C22,Status_Log!$D:$D,"Changed to the status of Controlled"),"0.000000"),Status_Log!$H:$H,0)),"")))</f>
        <v>Raj Kumar</v>
      </c>
      <c r="N22" s="4" t="str">
        <f aca="false">IF($A22="","",IFERROR(VLOOKUP($C22,Dim_Fund!$A:$G,7,0),""))</f>
        <v>Siti Noraini</v>
      </c>
      <c r="O22" s="4" t="str">
        <f aca="false">IF($A22="","",IF(L22=N22,"No","Yes"))</f>
        <v>No</v>
      </c>
      <c r="P22" s="4" t="str">
        <f aca="false">IF($A22="","",IF(E22="Client","n/a",IF(L22=M22,"YES — four-eyes breach","No")))</f>
        <v>No</v>
      </c>
      <c r="Q22" s="38" t="n">
        <f aca="false">IF($A22="","",IFERROR(VLOOKUP($C22,Dim_Fund!$A:$AB,28,0),""))</f>
        <v>26.8</v>
      </c>
      <c r="R22" s="38" t="n">
        <f aca="false">IF($A22="","",IFERROR(VLOOKUP($C22,Dim_Fund!$A:$AC,29,0),""))</f>
        <v>17.4</v>
      </c>
      <c r="S22" s="38" t="n">
        <f aca="false">IF($A22="","",IFERROR(VLOOKUP($C22,Dim_Fund!$A:$AD,30,0),""))</f>
        <v>9.4</v>
      </c>
      <c r="T22" s="38" t="n">
        <f aca="false">IF($A22="","",IFERROR(VLOOKUP($C22,Dim_Fund!$A:$AL,38,0),""))</f>
        <v>0</v>
      </c>
      <c r="U22" s="37" t="n">
        <f aca="false">IF($A22="","",IF(AL22="","",IFERROR(IF(COUNTIFS(Fact_Milestone!$A:$A,$B22,Fact_Milestone!$B:$B,AL22)=0,"",_xlfn.MAXIFS(Fact_Milestone!$C:$C,Fact_Milestone!$A:$A,$B22,Fact_Milestone!$B:$B,AL22)),"")))</f>
        <v>46267.4972222222</v>
      </c>
      <c r="V22" s="37" t="n">
        <f aca="false">IF($A22="","",IFERROR(IF(VLOOKUP($C22,Dim_Fund!$A:$AI,35,0)&gt;0,$B22+VLOOKUP($C22,Dim_Fund!$A:$AI,35,0)/24,""),""))</f>
        <v>46267.6840277778</v>
      </c>
      <c r="W22" s="37" t="n">
        <f aca="false">IF($A22="","",F22)</f>
        <v>46267.6138888889</v>
      </c>
      <c r="X22" s="37" t="n">
        <f aca="false">IF($A22="","",IF(E22="Client",H22,G22))</f>
        <v>46267.6236111111</v>
      </c>
      <c r="Y22" s="37" t="n">
        <f aca="false">IF($A22="","",I22)</f>
        <v>46267.6430555556</v>
      </c>
      <c r="Z22" s="37" t="n">
        <f aca="false">IF($A22="","",IFERROR(W22-R22/1440,""))</f>
        <v>46267.6018055556</v>
      </c>
      <c r="AA22" s="38" t="n">
        <f aca="false">IF($A22="","",IF(OR(U22="",V22=""),"",ROUND((V22-U22)*1440,0)))</f>
        <v>269</v>
      </c>
      <c r="AB22" s="38" t="n">
        <f aca="false">IF($A22="","",IF(U22="","",ROUND((W22-U22)*1440,0)))</f>
        <v>168</v>
      </c>
      <c r="AC22" s="38" t="n">
        <f aca="false">IF($A22="","",IF(AB22="","",MAX(0,AB22)))</f>
        <v>168</v>
      </c>
      <c r="AD22" s="38" t="n">
        <f aca="false">IF($A22="","",IFERROR(ROUND((X22-W22)*1440,0),""))</f>
        <v>14</v>
      </c>
      <c r="AE22" s="38" t="n">
        <f aca="false">IF($A22="","",IF(E22="Client","n/a",IFERROR(ROUND((H22-G22)*1440,0),"")))</f>
        <v>13</v>
      </c>
      <c r="AF22" s="38" t="n">
        <f aca="false">IF($A22="","",IFERROR(ROUND((Y22-H22)*1440,0),""))</f>
        <v>15</v>
      </c>
      <c r="AG22" s="38" t="n">
        <f aca="false">IF($A22="","",IFERROR(ROUND((H22-F22)*1440,0),""))</f>
        <v>27</v>
      </c>
      <c r="AH22" s="38" t="n">
        <f aca="false">IF($A22="","",IFERROR(ROUND((Y22-V22)*1440,0),""))</f>
        <v>-59</v>
      </c>
      <c r="AI22" s="4" t="str">
        <f aca="false">IF($A22="","",IF(AH22="","",IF(AH22&gt;0,"Yes","No")))</f>
        <v>No</v>
      </c>
      <c r="AJ22" s="4" t="str">
        <f aca="false">IF($A22="","",IF(AI22&lt;&gt;"Yes","On time",IF(N(AC22)&gt;=MAX(N(AF22),N(K22)),"Wait for analyst",IF(N(AF22)&gt;=N(K22),"External sign-off","Rework"))))</f>
        <v>On time</v>
      </c>
      <c r="AK22" s="4" t="str">
        <f aca="false">IF($A22="","",IF(OR(F22="",Y22="",ISNA(MATCH(L22,Dim_Analyst!$A:$A,0))),"CHECK","OK"))</f>
        <v>OK</v>
      </c>
      <c r="AL22" s="4" t="str">
        <f aca="false">IF($A22="","",IFERROR(VLOOKUP($C22,Dim_Fund!$A:$U,21,0),""))</f>
        <v>TOP-FI1</v>
      </c>
      <c r="AM22" s="4" t="str">
        <f aca="false">IF($A22="","",IF($U22="","",IF($U22&gt;$B22+IFERROR(VLOOKUP($C22,Dim_Fund!$A:$AH,34,0),0)/24,"Yes","No")))</f>
        <v>No</v>
      </c>
      <c r="AN22" s="22" t="n">
        <f aca="false">IF($A22="","",IFERROR(VLOOKUP($C22,Dim_Fund!$A:$AH,34,0),""))</f>
        <v>12.45</v>
      </c>
      <c r="AO22" s="22" t="n">
        <f aca="false">IF($A22="","",IF($AL22="","",IFERROR(FLOOR(IF(COUNTIFS(Fact_Milestone!$A:$A,$B22,Fact_Milestone!$B:$B,$AL22,Fact_Milestone!$F:$F,"&gt;0")&gt;0,_xlfn.MINIFS(Fact_Milestone!$F:$F,Fact_Milestone!$A:$A,$B22,Fact_Milestone!$B:$B,$AL22,Fact_Milestone!$F:$F,"&gt;0"),VLOOKUP($AL22,Dim_TOP!$A:$E,5,0)),0.5),"")))</f>
        <v>12</v>
      </c>
      <c r="AP22" s="22" t="n">
        <f aca="false">IF($A22="","",IF($U22="","",ROUND(($U22-INT($U22))*24,4)))</f>
        <v>11.9333</v>
      </c>
      <c r="AQ22" s="22" t="n">
        <f aca="false">IF($A22="","",IF($W22="","",ROUND(($W22-INT($W22))*24,4)))</f>
        <v>14.7333</v>
      </c>
      <c r="AR22" s="22" t="n">
        <f aca="false">IF($A22="","",IF($X22="","",ROUND(($X22-INT($X22))*24,4)))</f>
        <v>14.9667</v>
      </c>
      <c r="AS22" s="38" t="n">
        <f aca="false">IF($A22="","",IF(OR($AN22="",$V22="",$S22="",$T22=""),"",ROUND(($V22-($B22+$AN22/24))*1440-$S22-$T22,0)))</f>
        <v>229</v>
      </c>
      <c r="AT22" s="38" t="n">
        <f aca="false">IF($A22="","",IF(OR($AN22="",$U22=""),"",ROUND(($U22-($B22+$AN22/24))*1440,0)))</f>
        <v>-31</v>
      </c>
      <c r="AU22" s="38" t="n">
        <f aca="false">IF($A22="","",IF(OR($AD22="",$S22=""),"",ROUND($AD22-$S22,0)))</f>
        <v>5</v>
      </c>
      <c r="AV22" s="38" t="n">
        <f aca="false">IF($A22="","",N($AE22))</f>
        <v>13</v>
      </c>
      <c r="AW22" s="38" t="n">
        <f aca="false">IF($A22="","",IF(OR($AF22="",$T22=""),"",$AF22-$T22))</f>
        <v>15</v>
      </c>
      <c r="AX22" s="38" t="n">
        <f aca="false">IF($A22="","",IF(COUNT($AT22,$AB22,$AU22,$AW22,$AS22,$AH22)&lt;6,"",ROUND($AT22+$AB22+$AU22+$AV22+$AW22-$AS22-$AH22,0)))</f>
        <v>0</v>
      </c>
      <c r="AY22" s="4" t="str">
        <f aca="false">IF($A22="","",IF($AX22="","No",IF(ABS($AX22)&lt;=2,"Yes","No")))</f>
        <v>Yes</v>
      </c>
      <c r="AZ22" s="4" t="str">
        <f aca="false">IF($A22="","",IF($AI22&lt;&gt;"Yes","n/a",IF(OR($AA22="",$S22="",$T22=""),"Unknown",IF($AA22&lt;$S22+$T22,"Lost on arrival","Lost after arrival"))))</f>
        <v>n/a</v>
      </c>
      <c r="BA22" s="10" t="str">
        <f aca="false">IF($A22="","",IFERROR(VLOOKUP($C22,Dim_Fund!$A:$D,4,0),""))</f>
        <v>Northgate Insurance</v>
      </c>
      <c r="BB22" s="10" t="str">
        <f aca="false">IF($A22="","",IF($AL22="","",IF(COUNTIFS(Fact_Milestone!$A:$A,$B22,Fact_Milestone!$B:$B,$AL22,Fact_Milestone!$I:$I,"No")&gt;0,"No",IF(COUNTIFS(Fact_Milestone!$A:$A,$B22,Fact_Milestone!$B:$B,$AL22,Fact_Milestone!$I:$I,"Yes")&gt;0,"Yes",""))))</f>
        <v>Yes</v>
      </c>
      <c r="BC22" s="45" t="str">
        <f aca="false">IF($A22="","",IF(OR($L22="",$W22=""),"",IF(COUNTIFS($L:$L,$L22,$B:$B,$B22,$W:$W,"&lt;"&amp;$W22)=0,"",_xlfn.MAXIFS($W:$W,$L:$L,$L22,$B:$B,$B22,$W:$W,"&lt;"&amp;$W22))))</f>
        <v/>
      </c>
      <c r="BD22" s="39" t="n">
        <f aca="false">IF($A22="","",IF($AC22="","",IF(OR($L22="",$AC22=0),0,MIN($AC22,ROUND(ROUND(1440*SUMPRODUCT(($L$2:INDEX($L:$L,COUNTA($C:$C))=$L22)*($B$2:INDEX($B:$B,COUNTA($C:$C))=$B22)*(ROW($L$2:INDEX($L:$L,COUNTA($C:$C)))&lt;&gt;ROW())*((((($W22+$BT$2:INDEX($BT:$BT,COUNTA($C:$C))-ABS($W22-$BT$2:INDEX($BT:$BT,COUNTA($C:$C))))/2)-(($U22+$BS$2:INDEX($BS:$BS,COUNTA($C:$C))+ABS($U22-$BS$2:INDEX($BS:$BS,COUNTA($C:$C))))/2))+ABS(((($W22+$BT$2:INDEX($BT:$BT,COUNTA($C:$C))-ABS($W22-$BT$2:INDEX($BT:$BT,COUNTA($C:$C))))/2)-(($U22+$BS$2:INDEX($BS:$BS,COUNTA($C:$C))+ABS($U22-$BS$2:INDEX($BS:$BS,COUNTA($C:$C))))/2))))/2)),4),0)))))</f>
        <v>0</v>
      </c>
      <c r="BE22" s="39" t="n">
        <f aca="false">IF($A22="","",IF($AC22="","",ROUND(MIN($AC22-$BD22,N($R22)),0)))</f>
        <v>17</v>
      </c>
      <c r="BF22" s="10" t="str">
        <f aca="false">IF($A22="","",IFERROR(VLOOKUP($C22,Dim_Fund!$A:$BD,56,0),""))</f>
        <v>Yes</v>
      </c>
      <c r="BG22" s="10" t="str">
        <f aca="false">IF($A22="","",IFERROR(VLOOKUP($C22,Dim_Fund!$A:$BH,60,0),""))</f>
        <v>Ample custody slack</v>
      </c>
      <c r="BH22" s="10" t="str">
        <f aca="false">IF($A22="","",IF($AI22&lt;&gt;"Yes","Not breached",IF($AM22="Yes","Pricing late",IF($BG22="Thin custody slack","Thin custody slack",IF($BF22="Yes","Broker-dependent","None of these")))))</f>
        <v>Not breached</v>
      </c>
      <c r="BI22" s="23" t="n">
        <f aca="false">IF($A22="","",IFERROR(IF(VLOOKUP($C22,Dim_Fund!$A:$AI,35,0)&gt;0,VLOOKUP($C22,Dim_Fund!$A:$AI,35,0),""),""))</f>
        <v>16.4166666666667</v>
      </c>
      <c r="BJ22" s="10" t="str">
        <f aca="false">IF($A22="","",$C22&amp;IF($E22="Client","*",""))</f>
        <v>FD-1002</v>
      </c>
      <c r="BK22" s="39" t="n">
        <f aca="false">IF($A22="","",IFERROR(ROUND(($Y22-$X22)*1440,0),""))</f>
        <v>28</v>
      </c>
      <c r="BL22" s="39" t="n">
        <f aca="false">IF($A22="","",IF($AH22="","",-$AH22))</f>
        <v>59</v>
      </c>
      <c r="BM22" s="46" t="n">
        <f aca="false">IF($A22="","",IF($AQ22="","",IF($AP22="",$AQ22,MIN($AP22,$AQ22))))</f>
        <v>11.9333</v>
      </c>
      <c r="BN22" s="46" t="n">
        <f aca="false">IF($A22="","",IF($BM22="","",ROUND(N($AC22)/60,4)))</f>
        <v>2.8</v>
      </c>
      <c r="BO22" s="46" t="n">
        <f aca="false">IF($A22="","",IF(OR($BM22="",$AD22=""),"",ROUND($AD22/60,4)))</f>
        <v>0.2333</v>
      </c>
      <c r="BP22" s="46" t="n">
        <f aca="false">IF($A22="","",IF($BM22="","",ROUND(N($AE22)/60,4)))</f>
        <v>0.2167</v>
      </c>
      <c r="BQ22" s="46" t="n">
        <f aca="false">IF($A22="","",IF(OR($BM22="",$AF22=""),"",ROUND($AF22/60,4)))</f>
        <v>0.25</v>
      </c>
      <c r="BR22" s="39" t="n">
        <f aca="false">IF($A22="","",IF($AC22="","",$AC22-$BD22-$BE22))</f>
        <v>151</v>
      </c>
      <c r="BS22" s="45" t="n">
        <f aca="false">IF($A22="","",IF(AND(ISNUMBER($Z22),ISNUMBER($W22)),$Z22,0))</f>
        <v>46267.6018055556</v>
      </c>
      <c r="BT22" s="45" t="n">
        <f aca="false">IF($A22="","",IF(ISNUMBER($W22),$W22,0))</f>
        <v>46267.6138888889</v>
      </c>
      <c r="BU22" s="23" t="n">
        <f aca="false">IF($A22="","",IF(ISNUMBER($W22),ROUND(($W22-$B22)*24,4),""))</f>
        <v>14.7333</v>
      </c>
      <c r="BV22" s="23" t="n">
        <f aca="false">IF($A22="","",IF(ISNUMBER($X22),ROUND(($X22-$B22)*24,4),""))</f>
        <v>14.9667</v>
      </c>
      <c r="BW22" s="10" t="str">
        <f aca="false">IF($A22="","",IF(NOT(ISNUMBER($W22)),"Missing Calculated",IF(NOT(ISNUMBER($X22)),IF($E22="Client","Missing FA signed off","Missing Controlled"),IF($X22&lt;$W22,"End before start","OK"))))</f>
        <v>OK</v>
      </c>
      <c r="BX22" s="23" t="n">
        <f aca="false">IF($A22="","",IF(NOT(ISNUMBER($Z22)),"",ROUND((IF(ISNUMBER($U22),MIN($U22,$Z22),$Z22)-$B22)*24,4)))</f>
        <v>11.9333</v>
      </c>
      <c r="BY22" s="23" t="n">
        <f aca="false">IF($A22="","",IF(ISNUMBER($Z22),ROUND(($Z22-$B22)*24,4),""))</f>
        <v>14.4433</v>
      </c>
      <c r="BZ22" s="23" t="n">
        <f aca="false">IF($A22="","",IF(AND(ISNUMBER($W22),ISNUMBER($S22)),ROUND(($W22+$S22/1440-$B22)*24,4),""))</f>
        <v>14.89</v>
      </c>
    </row>
    <row r="23" customFormat="false" ht="15" hidden="false" customHeight="true" outlineLevel="0" collapsed="false">
      <c r="A23" s="34" t="n">
        <v>46266</v>
      </c>
      <c r="B23" s="34" t="n">
        <v>46267</v>
      </c>
      <c r="C23" s="13" t="s">
        <v>324</v>
      </c>
      <c r="D23" s="4" t="n">
        <f aca="false">IF($A23="","",$B23-$A23)</f>
        <v>1</v>
      </c>
      <c r="E23" s="4" t="str">
        <f aca="false">IF($A23="","",IFERROR(VLOOKUP($C23,Dim_Fund!$A:$X,24,0),""))</f>
        <v>FA</v>
      </c>
      <c r="F23" s="37" t="n">
        <f aca="false">IF($A23="","",IF(COUNTIFS(Status_Log!$A:$A,$A23,Status_Log!$B:$B,$B23,Status_Log!$C:$C,$C23,Status_Log!$D:$D,"Changed to the status of Calculated")=0,"",_xlfn.MINIFS(Status_Log!$E:$E,Status_Log!$A:$A,$A23,Status_Log!$B:$B,$B23,Status_Log!$C:$C,$C23,Status_Log!$D:$D,"Changed to the status of Calculated")))</f>
        <v>46267.5159722222</v>
      </c>
      <c r="G23" s="37" t="n">
        <f aca="false">IF($A23="","",IF(COUNTIFS(Status_Log!$A:$A,$A23,Status_Log!$B:$B,$B23,Status_Log!$C:$C,$C23,Status_Log!$D:$D,"Changed to the status of Controlled")=0,"",_xlfn.MAXIFS(Status_Log!$E:$E,Status_Log!$A:$A,$A23,Status_Log!$B:$B,$B23,Status_Log!$C:$C,$C23,Status_Log!$D:$D,"Changed to the status of Controlled")))</f>
        <v>46267.525</v>
      </c>
      <c r="H23" s="37" t="n">
        <f aca="false">IF($A23="","",IF(COUNTIFS(Status_Log!$A:$A,$A23,Status_Log!$B:$B,$B23,Status_Log!$C:$C,$C23,Status_Log!$D:$D,"Changed to the status of Fund accounting signed off")=0,"",_xlfn.MAXIFS(Status_Log!$E:$E,Status_Log!$A:$A,$A23,Status_Log!$B:$B,$B23,Status_Log!$C:$C,$C23,Status_Log!$D:$D,"Changed to the status of Fund accounting signed off")))</f>
        <v>46267.5326388889</v>
      </c>
      <c r="I23" s="37" t="n">
        <f aca="false">IF($A23="","",IF(COUNTIFS(Status_Log!$A:$A,$A23,Status_Log!$B:$B,$B23,Status_Log!$C:$C,$C23,Status_Log!$D:$D,"Changed to the status of signed off")=0,"",_xlfn.MAXIFS(Status_Log!$E:$E,Status_Log!$A:$A,$A23,Status_Log!$B:$B,$B23,Status_Log!$C:$C,$C23,Status_Log!$D:$D,"Changed to the status of signed off")))</f>
        <v>46267.5381944445</v>
      </c>
      <c r="J23" s="4" t="n">
        <f aca="false">IF($A23="","",COUNTIFS(Status_Log!$A:$A,$A23,Status_Log!$B:$B,$B23,Status_Log!$C:$C,$C23,Status_Log!$D:$D,"Changed to the status of Calculated"))</f>
        <v>1</v>
      </c>
      <c r="K23" s="38" t="n">
        <f aca="false">IF($A23="","",IF(J23&lt;=1,0,ROUND((_xlfn.MAXIFS(Status_Log!$E:$E,Status_Log!$A:$A,$A23,Status_Log!$B:$B,$B23,Status_Log!$C:$C,$C23,Status_Log!$D:$D,"Changed to the status of Calculated")-F23)*1440,0)))</f>
        <v>0</v>
      </c>
      <c r="L23" s="4" t="str">
        <f aca="false">IF($A23="","",IFERROR(INDEX(Status_Log!$F:$F,MATCH($A23&amp;"|"&amp;$B23&amp;"|"&amp;$C23&amp;"|Changed to the status of Calculated|"&amp;TEXT(_xlfn.MAXIFS(Status_Log!$E:$E,Status_Log!$A:$A,$A23,Status_Log!$B:$B,$B23,Status_Log!$C:$C,$C23,Status_Log!$D:$D,"Changed to the status of Calculated"),"0.000000"),Status_Log!$H:$H,0)),""))</f>
        <v>Raj Kumar</v>
      </c>
      <c r="M23" s="4" t="str">
        <f aca="false">IF($A23="","",IF(E23="Client","n/a — no control step",IFERROR(INDEX(Status_Log!$F:$F,MATCH($A23&amp;"|"&amp;$B23&amp;"|"&amp;$C23&amp;"|Changed to the status of Controlled|"&amp;TEXT(_xlfn.MAXIFS(Status_Log!$E:$E,Status_Log!$A:$A,$A23,Status_Log!$B:$B,$B23,Status_Log!$C:$C,$C23,Status_Log!$D:$D,"Changed to the status of Controlled"),"0.000000"),Status_Log!$H:$H,0)),"")))</f>
        <v>Aisha Rahman</v>
      </c>
      <c r="N23" s="4" t="str">
        <f aca="false">IF($A23="","",IFERROR(VLOOKUP($C23,Dim_Fund!$A:$G,7,0),""))</f>
        <v>Raj Kumar</v>
      </c>
      <c r="O23" s="4" t="str">
        <f aca="false">IF($A23="","",IF(L23=N23,"No","Yes"))</f>
        <v>No</v>
      </c>
      <c r="P23" s="4" t="str">
        <f aca="false">IF($A23="","",IF(E23="Client","n/a",IF(L23=M23,"YES — four-eyes breach","No")))</f>
        <v>No</v>
      </c>
      <c r="Q23" s="38" t="n">
        <f aca="false">IF($A23="","",IFERROR(VLOOKUP($C23,Dim_Fund!$A:$AB,28,0),""))</f>
        <v>45.8</v>
      </c>
      <c r="R23" s="38" t="n">
        <f aca="false">IF($A23="","",IFERROR(VLOOKUP($C23,Dim_Fund!$A:$AC,29,0),""))</f>
        <v>27.5</v>
      </c>
      <c r="S23" s="38" t="n">
        <f aca="false">IF($A23="","",IFERROR(VLOOKUP($C23,Dim_Fund!$A:$AD,30,0),""))</f>
        <v>18.3</v>
      </c>
      <c r="T23" s="38" t="n">
        <f aca="false">IF($A23="","",IFERROR(VLOOKUP($C23,Dim_Fund!$A:$AL,38,0),""))</f>
        <v>0</v>
      </c>
      <c r="U23" s="37" t="n">
        <f aca="false">IF($A23="","",IF(AL23="","",IFERROR(IF(COUNTIFS(Fact_Milestone!$A:$A,$B23,Fact_Milestone!$B:$B,AL23)=0,"",_xlfn.MAXIFS(Fact_Milestone!$C:$C,Fact_Milestone!$A:$A,$B23,Fact_Milestone!$B:$B,AL23)),"")))</f>
        <v>46267.4465277778</v>
      </c>
      <c r="V23" s="37" t="n">
        <f aca="false">IF($A23="","",IFERROR(IF(VLOOKUP($C23,Dim_Fund!$A:$AI,35,0)&gt;0,$B23+VLOOKUP($C23,Dim_Fund!$A:$AI,35,0)/24,""),""))</f>
        <v>46267.6631944444</v>
      </c>
      <c r="W23" s="37" t="n">
        <f aca="false">IF($A23="","",F23)</f>
        <v>46267.5159722222</v>
      </c>
      <c r="X23" s="37" t="n">
        <f aca="false">IF($A23="","",IF(E23="Client",H23,G23))</f>
        <v>46267.525</v>
      </c>
      <c r="Y23" s="37" t="n">
        <f aca="false">IF($A23="","",I23)</f>
        <v>46267.5381944445</v>
      </c>
      <c r="Z23" s="37" t="n">
        <f aca="false">IF($A23="","",IFERROR(W23-R23/1440,""))</f>
        <v>46267.496875</v>
      </c>
      <c r="AA23" s="38" t="n">
        <f aca="false">IF($A23="","",IF(OR(U23="",V23=""),"",ROUND((V23-U23)*1440,0)))</f>
        <v>312</v>
      </c>
      <c r="AB23" s="38" t="n">
        <f aca="false">IF($A23="","",IF(U23="","",ROUND((W23-U23)*1440,0)))</f>
        <v>100</v>
      </c>
      <c r="AC23" s="38" t="n">
        <f aca="false">IF($A23="","",IF(AB23="","",MAX(0,AB23)))</f>
        <v>100</v>
      </c>
      <c r="AD23" s="38" t="n">
        <f aca="false">IF($A23="","",IFERROR(ROUND((X23-W23)*1440,0),""))</f>
        <v>13</v>
      </c>
      <c r="AE23" s="38" t="n">
        <f aca="false">IF($A23="","",IF(E23="Client","n/a",IFERROR(ROUND((H23-G23)*1440,0),"")))</f>
        <v>11</v>
      </c>
      <c r="AF23" s="38" t="n">
        <f aca="false">IF($A23="","",IFERROR(ROUND((Y23-H23)*1440,0),""))</f>
        <v>8</v>
      </c>
      <c r="AG23" s="38" t="n">
        <f aca="false">IF($A23="","",IFERROR(ROUND((H23-F23)*1440,0),""))</f>
        <v>24</v>
      </c>
      <c r="AH23" s="38" t="n">
        <f aca="false">IF($A23="","",IFERROR(ROUND((Y23-V23)*1440,0),""))</f>
        <v>-180</v>
      </c>
      <c r="AI23" s="4" t="str">
        <f aca="false">IF($A23="","",IF(AH23="","",IF(AH23&gt;0,"Yes","No")))</f>
        <v>No</v>
      </c>
      <c r="AJ23" s="4" t="str">
        <f aca="false">IF($A23="","",IF(AI23&lt;&gt;"Yes","On time",IF(N(AC23)&gt;=MAX(N(AF23),N(K23)),"Wait for analyst",IF(N(AF23)&gt;=N(K23),"External sign-off","Rework"))))</f>
        <v>On time</v>
      </c>
      <c r="AK23" s="4" t="str">
        <f aca="false">IF($A23="","",IF(OR(F23="",Y23="",ISNA(MATCH(L23,Dim_Analyst!$A:$A,0))),"CHECK","OK"))</f>
        <v>OK</v>
      </c>
      <c r="AL23" s="4" t="str">
        <f aca="false">IF($A23="","",IFERROR(VLOOKUP($C23,Dim_Fund!$A:$U,21,0),""))</f>
        <v>TOP-MA1</v>
      </c>
      <c r="AM23" s="4" t="str">
        <f aca="false">IF($A23="","",IF($U23="","",IF($U23&gt;$B23+IFERROR(VLOOKUP($C23,Dim_Fund!$A:$AH,34,0),0)/24,"Yes","No")))</f>
        <v>No</v>
      </c>
      <c r="AN23" s="22" t="n">
        <f aca="false">IF($A23="","",IFERROR(VLOOKUP($C23,Dim_Fund!$A:$AH,34,0),""))</f>
        <v>11.7166666666667</v>
      </c>
      <c r="AO23" s="22" t="n">
        <f aca="false">IF($A23="","",IF($AL23="","",IFERROR(FLOOR(IF(COUNTIFS(Fact_Milestone!$A:$A,$B23,Fact_Milestone!$B:$B,$AL23,Fact_Milestone!$F:$F,"&gt;0")&gt;0,_xlfn.MINIFS(Fact_Milestone!$F:$F,Fact_Milestone!$A:$A,$B23,Fact_Milestone!$B:$B,$AL23,Fact_Milestone!$F:$F,"&gt;0"),VLOOKUP($AL23,Dim_TOP!$A:$E,5,0)),0.5),"")))</f>
        <v>11.5</v>
      </c>
      <c r="AP23" s="22" t="n">
        <f aca="false">IF($A23="","",IF($U23="","",ROUND(($U23-INT($U23))*24,4)))</f>
        <v>10.7167</v>
      </c>
      <c r="AQ23" s="22" t="n">
        <f aca="false">IF($A23="","",IF($W23="","",ROUND(($W23-INT($W23))*24,4)))</f>
        <v>12.3833</v>
      </c>
      <c r="AR23" s="22" t="n">
        <f aca="false">IF($A23="","",IF($X23="","",ROUND(($X23-INT($X23))*24,4)))</f>
        <v>12.6</v>
      </c>
      <c r="AS23" s="38" t="n">
        <f aca="false">IF($A23="","",IF(OR($AN23="",$V23="",$S23="",$T23=""),"",ROUND(($V23-($B23+$AN23/24))*1440-$S23-$T23,0)))</f>
        <v>234</v>
      </c>
      <c r="AT23" s="38" t="n">
        <f aca="false">IF($A23="","",IF(OR($AN23="",$U23=""),"",ROUND(($U23-($B23+$AN23/24))*1440,0)))</f>
        <v>-60</v>
      </c>
      <c r="AU23" s="38" t="n">
        <f aca="false">IF($A23="","",IF(OR($AD23="",$S23=""),"",ROUND($AD23-$S23,0)))</f>
        <v>-5</v>
      </c>
      <c r="AV23" s="38" t="n">
        <f aca="false">IF($A23="","",N($AE23))</f>
        <v>11</v>
      </c>
      <c r="AW23" s="38" t="n">
        <f aca="false">IF($A23="","",IF(OR($AF23="",$T23=""),"",$AF23-$T23))</f>
        <v>8</v>
      </c>
      <c r="AX23" s="38" t="n">
        <f aca="false">IF($A23="","",IF(COUNT($AT23,$AB23,$AU23,$AW23,$AS23,$AH23)&lt;6,"",ROUND($AT23+$AB23+$AU23+$AV23+$AW23-$AS23-$AH23,0)))</f>
        <v>0</v>
      </c>
      <c r="AY23" s="4" t="str">
        <f aca="false">IF($A23="","",IF($AX23="","No",IF(ABS($AX23)&lt;=2,"Yes","No")))</f>
        <v>Yes</v>
      </c>
      <c r="AZ23" s="4" t="str">
        <f aca="false">IF($A23="","",IF($AI23&lt;&gt;"Yes","n/a",IF(OR($AA23="",$S23="",$T23=""),"Unknown",IF($AA23&lt;$S23+$T23,"Lost on arrival","Lost after arrival"))))</f>
        <v>n/a</v>
      </c>
      <c r="BA23" s="10" t="str">
        <f aca="false">IF($A23="","",IFERROR(VLOOKUP($C23,Dim_Fund!$A:$D,4,0),""))</f>
        <v>Halvern Wealth</v>
      </c>
      <c r="BB23" s="10" t="str">
        <f aca="false">IF($A23="","",IF($AL23="","",IF(COUNTIFS(Fact_Milestone!$A:$A,$B23,Fact_Milestone!$B:$B,$AL23,Fact_Milestone!$I:$I,"No")&gt;0,"No",IF(COUNTIFS(Fact_Milestone!$A:$A,$B23,Fact_Milestone!$B:$B,$AL23,Fact_Milestone!$I:$I,"Yes")&gt;0,"Yes",""))))</f>
        <v>Yes</v>
      </c>
      <c r="BC23" s="45" t="str">
        <f aca="false">IF($A23="","",IF(OR($L23="",$W23=""),"",IF(COUNTIFS($L:$L,$L23,$B:$B,$B23,$W:$W,"&lt;"&amp;$W23)=0,"",_xlfn.MAXIFS($W:$W,$L:$L,$L23,$B:$B,$B23,$W:$W,"&lt;"&amp;$W23))))</f>
        <v/>
      </c>
      <c r="BD23" s="39" t="n">
        <f aca="false">IF($A23="","",IF($AC23="","",IF(OR($L23="",$AC23=0),0,MIN($AC23,ROUND(ROUND(1440*SUMPRODUCT(($L$2:INDEX($L:$L,COUNTA($C:$C))=$L23)*($B$2:INDEX($B:$B,COUNTA($C:$C))=$B23)*(ROW($L$2:INDEX($L:$L,COUNTA($C:$C)))&lt;&gt;ROW())*((((($W23+$BT$2:INDEX($BT:$BT,COUNTA($C:$C))-ABS($W23-$BT$2:INDEX($BT:$BT,COUNTA($C:$C))))/2)-(($U23+$BS$2:INDEX($BS:$BS,COUNTA($C:$C))+ABS($U23-$BS$2:INDEX($BS:$BS,COUNTA($C:$C))))/2))+ABS(((($W23+$BT$2:INDEX($BT:$BT,COUNTA($C:$C))-ABS($W23-$BT$2:INDEX($BT:$BT,COUNTA($C:$C))))/2)-(($U23+$BS$2:INDEX($BS:$BS,COUNTA($C:$C))+ABS($U23-$BS$2:INDEX($BS:$BS,COUNTA($C:$C))))/2))))/2)),4),0)))))</f>
        <v>0</v>
      </c>
      <c r="BE23" s="39" t="n">
        <f aca="false">IF($A23="","",IF($AC23="","",ROUND(MIN($AC23-$BD23,N($R23)),0)))</f>
        <v>28</v>
      </c>
      <c r="BF23" s="10" t="str">
        <f aca="false">IF($A23="","",IFERROR(VLOOKUP($C23,Dim_Fund!$A:$BD,56,0),""))</f>
        <v>Yes</v>
      </c>
      <c r="BG23" s="10" t="str">
        <f aca="false">IF($A23="","",IFERROR(VLOOKUP($C23,Dim_Fund!$A:$BH,60,0),""))</f>
        <v>Ample custody slack</v>
      </c>
      <c r="BH23" s="10" t="str">
        <f aca="false">IF($A23="","",IF($AI23&lt;&gt;"Yes","Not breached",IF($AM23="Yes","Pricing late",IF($BG23="Thin custody slack","Thin custody slack",IF($BF23="Yes","Broker-dependent","None of these")))))</f>
        <v>Not breached</v>
      </c>
      <c r="BI23" s="23" t="n">
        <f aca="false">IF($A23="","",IFERROR(IF(VLOOKUP($C23,Dim_Fund!$A:$AI,35,0)&gt;0,VLOOKUP($C23,Dim_Fund!$A:$AI,35,0),""),""))</f>
        <v>15.9166666666667</v>
      </c>
      <c r="BJ23" s="10" t="str">
        <f aca="false">IF($A23="","",$C23&amp;IF($E23="Client","*",""))</f>
        <v>FD-1003</v>
      </c>
      <c r="BK23" s="39" t="n">
        <f aca="false">IF($A23="","",IFERROR(ROUND(($Y23-$X23)*1440,0),""))</f>
        <v>19</v>
      </c>
      <c r="BL23" s="39" t="n">
        <f aca="false">IF($A23="","",IF($AH23="","",-$AH23))</f>
        <v>180</v>
      </c>
      <c r="BM23" s="46" t="n">
        <f aca="false">IF($A23="","",IF($AQ23="","",IF($AP23="",$AQ23,MIN($AP23,$AQ23))))</f>
        <v>10.7167</v>
      </c>
      <c r="BN23" s="46" t="n">
        <f aca="false">IF($A23="","",IF($BM23="","",ROUND(N($AC23)/60,4)))</f>
        <v>1.6667</v>
      </c>
      <c r="BO23" s="46" t="n">
        <f aca="false">IF($A23="","",IF(OR($BM23="",$AD23=""),"",ROUND($AD23/60,4)))</f>
        <v>0.2167</v>
      </c>
      <c r="BP23" s="46" t="n">
        <f aca="false">IF($A23="","",IF($BM23="","",ROUND(N($AE23)/60,4)))</f>
        <v>0.1833</v>
      </c>
      <c r="BQ23" s="46" t="n">
        <f aca="false">IF($A23="","",IF(OR($BM23="",$AF23=""),"",ROUND($AF23/60,4)))</f>
        <v>0.1333</v>
      </c>
      <c r="BR23" s="39" t="n">
        <f aca="false">IF($A23="","",IF($AC23="","",$AC23-$BD23-$BE23))</f>
        <v>72</v>
      </c>
      <c r="BS23" s="45" t="n">
        <f aca="false">IF($A23="","",IF(AND(ISNUMBER($Z23),ISNUMBER($W23)),$Z23,0))</f>
        <v>46267.496875</v>
      </c>
      <c r="BT23" s="45" t="n">
        <f aca="false">IF($A23="","",IF(ISNUMBER($W23),$W23,0))</f>
        <v>46267.5159722222</v>
      </c>
      <c r="BU23" s="23" t="n">
        <f aca="false">IF($A23="","",IF(ISNUMBER($W23),ROUND(($W23-$B23)*24,4),""))</f>
        <v>12.3833</v>
      </c>
      <c r="BV23" s="23" t="n">
        <f aca="false">IF($A23="","",IF(ISNUMBER($X23),ROUND(($X23-$B23)*24,4),""))</f>
        <v>12.6</v>
      </c>
      <c r="BW23" s="10" t="str">
        <f aca="false">IF($A23="","",IF(NOT(ISNUMBER($W23)),"Missing Calculated",IF(NOT(ISNUMBER($X23)),IF($E23="Client","Missing FA signed off","Missing Controlled"),IF($X23&lt;$W23,"End before start","OK"))))</f>
        <v>OK</v>
      </c>
      <c r="BX23" s="23" t="n">
        <f aca="false">IF($A23="","",IF(NOT(ISNUMBER($Z23)),"",ROUND((IF(ISNUMBER($U23),MIN($U23,$Z23),$Z23)-$B23)*24,4)))</f>
        <v>10.7167</v>
      </c>
      <c r="BY23" s="23" t="n">
        <f aca="false">IF($A23="","",IF(ISNUMBER($Z23),ROUND(($Z23-$B23)*24,4),""))</f>
        <v>11.925</v>
      </c>
      <c r="BZ23" s="23" t="n">
        <f aca="false">IF($A23="","",IF(AND(ISNUMBER($W23),ISNUMBER($S23)),ROUND(($W23+$S23/1440-$B23)*24,4),""))</f>
        <v>12.6883</v>
      </c>
    </row>
    <row r="24" customFormat="false" ht="15" hidden="false" customHeight="true" outlineLevel="0" collapsed="false">
      <c r="A24" s="34" t="n">
        <v>46266</v>
      </c>
      <c r="B24" s="34" t="n">
        <v>46267</v>
      </c>
      <c r="C24" s="13" t="s">
        <v>330</v>
      </c>
      <c r="D24" s="4" t="n">
        <f aca="false">IF($A24="","",$B24-$A24)</f>
        <v>1</v>
      </c>
      <c r="E24" s="4" t="str">
        <f aca="false">IF($A24="","",IFERROR(VLOOKUP($C24,Dim_Fund!$A:$X,24,0),""))</f>
        <v>Oversight</v>
      </c>
      <c r="F24" s="37" t="n">
        <f aca="false">IF($A24="","",IF(COUNTIFS(Status_Log!$A:$A,$A24,Status_Log!$B:$B,$B24,Status_Log!$C:$C,$C24,Status_Log!$D:$D,"Changed to the status of Calculated")=0,"",_xlfn.MINIFS(Status_Log!$E:$E,Status_Log!$A:$A,$A24,Status_Log!$B:$B,$B24,Status_Log!$C:$C,$C24,Status_Log!$D:$D,"Changed to the status of Calculated")))</f>
        <v>46267.6604166667</v>
      </c>
      <c r="G24" s="37" t="n">
        <f aca="false">IF($A24="","",IF(COUNTIFS(Status_Log!$A:$A,$A24,Status_Log!$B:$B,$B24,Status_Log!$C:$C,$C24,Status_Log!$D:$D,"Changed to the status of Controlled")=0,"",_xlfn.MAXIFS(Status_Log!$E:$E,Status_Log!$A:$A,$A24,Status_Log!$B:$B,$B24,Status_Log!$C:$C,$C24,Status_Log!$D:$D,"Changed to the status of Controlled")))</f>
        <v>46267.70625</v>
      </c>
      <c r="H24" s="37" t="n">
        <f aca="false">IF($A24="","",IF(COUNTIFS(Status_Log!$A:$A,$A24,Status_Log!$B:$B,$B24,Status_Log!$C:$C,$C24,Status_Log!$D:$D,"Changed to the status of Fund accounting signed off")=0,"",_xlfn.MAXIFS(Status_Log!$E:$E,Status_Log!$A:$A,$A24,Status_Log!$B:$B,$B24,Status_Log!$C:$C,$C24,Status_Log!$D:$D,"Changed to the status of Fund accounting signed off")))</f>
        <v>46267.7131944444</v>
      </c>
      <c r="I24" s="37" t="n">
        <f aca="false">IF($A24="","",IF(COUNTIFS(Status_Log!$A:$A,$A24,Status_Log!$B:$B,$B24,Status_Log!$C:$C,$C24,Status_Log!$D:$D,"Changed to the status of signed off")=0,"",_xlfn.MAXIFS(Status_Log!$E:$E,Status_Log!$A:$A,$A24,Status_Log!$B:$B,$B24,Status_Log!$C:$C,$C24,Status_Log!$D:$D,"Changed to the status of signed off")))</f>
        <v>46267.7513888889</v>
      </c>
      <c r="J24" s="4" t="n">
        <f aca="false">IF($A24="","",COUNTIFS(Status_Log!$A:$A,$A24,Status_Log!$B:$B,$B24,Status_Log!$C:$C,$C24,Status_Log!$D:$D,"Changed to the status of Calculated"))</f>
        <v>2</v>
      </c>
      <c r="K24" s="38" t="n">
        <f aca="false">IF($A24="","",IF(J24&lt;=1,0,ROUND((_xlfn.MAXIFS(Status_Log!$E:$E,Status_Log!$A:$A,$A24,Status_Log!$B:$B,$B24,Status_Log!$C:$C,$C24,Status_Log!$D:$D,"Changed to the status of Calculated")-F24)*1440,0)))</f>
        <v>58</v>
      </c>
      <c r="L24" s="4" t="str">
        <f aca="false">IF($A24="","",IFERROR(INDEX(Status_Log!$F:$F,MATCH($A24&amp;"|"&amp;$B24&amp;"|"&amp;$C24&amp;"|Changed to the status of Calculated|"&amp;TEXT(_xlfn.MAXIFS(Status_Log!$E:$E,Status_Log!$A:$A,$A24,Status_Log!$B:$B,$B24,Status_Log!$C:$C,$C24,Status_Log!$D:$D,"Changed to the status of Calculated"),"0.000000"),Status_Log!$H:$H,0)),""))</f>
        <v>Chen Xiao</v>
      </c>
      <c r="M24" s="4" t="str">
        <f aca="false">IF($A24="","",IF(E24="Client","n/a — no control step",IFERROR(INDEX(Status_Log!$F:$F,MATCH($A24&amp;"|"&amp;$B24&amp;"|"&amp;$C24&amp;"|Changed to the status of Controlled|"&amp;TEXT(_xlfn.MAXIFS(Status_Log!$E:$E,Status_Log!$A:$A,$A24,Status_Log!$B:$B,$B24,Status_Log!$C:$C,$C24,Status_Log!$D:$D,"Changed to the status of Controlled"),"0.000000"),Status_Log!$H:$H,0)),"")))</f>
        <v>Daniel Tan</v>
      </c>
      <c r="N24" s="4" t="str">
        <f aca="false">IF($A24="","",IFERROR(VLOOKUP($C24,Dim_Fund!$A:$G,7,0),""))</f>
        <v>Chen Xiao</v>
      </c>
      <c r="O24" s="4" t="str">
        <f aca="false">IF($A24="","",IF(L24=N24,"No","Yes"))</f>
        <v>No</v>
      </c>
      <c r="P24" s="4" t="str">
        <f aca="false">IF($A24="","",IF(E24="Client","n/a",IF(L24=M24,"YES — four-eyes breach","No")))</f>
        <v>No</v>
      </c>
      <c r="Q24" s="38" t="n">
        <f aca="false">IF($A24="","",IFERROR(VLOOKUP($C24,Dim_Fund!$A:$AB,28,0),""))</f>
        <v>46.3</v>
      </c>
      <c r="R24" s="38" t="n">
        <f aca="false">IF($A24="","",IFERROR(VLOOKUP($C24,Dim_Fund!$A:$AC,29,0),""))</f>
        <v>27.8</v>
      </c>
      <c r="S24" s="38" t="n">
        <f aca="false">IF($A24="","",IFERROR(VLOOKUP($C24,Dim_Fund!$A:$AD,30,0),""))</f>
        <v>18.5</v>
      </c>
      <c r="T24" s="38" t="n">
        <f aca="false">IF($A24="","",IFERROR(VLOOKUP($C24,Dim_Fund!$A:$AL,38,0),""))</f>
        <v>25</v>
      </c>
      <c r="U24" s="37" t="n">
        <f aca="false">IF($A24="","",IF(AL24="","",IFERROR(IF(COUNTIFS(Fact_Milestone!$A:$A,$B24,Fact_Milestone!$B:$B,AL24)=0,"",_xlfn.MAXIFS(Fact_Milestone!$C:$C,Fact_Milestone!$A:$A,$B24,Fact_Milestone!$B:$B,AL24)),"")))</f>
        <v>46267.46875</v>
      </c>
      <c r="V24" s="37" t="n">
        <f aca="false">IF($A24="","",IFERROR(IF(VLOOKUP($C24,Dim_Fund!$A:$AI,35,0)&gt;0,$B24+VLOOKUP($C24,Dim_Fund!$A:$AI,35,0)/24,""),""))</f>
        <v>46267.7069444444</v>
      </c>
      <c r="W24" s="37" t="n">
        <f aca="false">IF($A24="","",F24)</f>
        <v>46267.6604166667</v>
      </c>
      <c r="X24" s="37" t="n">
        <f aca="false">IF($A24="","",IF(E24="Client",H24,G24))</f>
        <v>46267.70625</v>
      </c>
      <c r="Y24" s="37" t="n">
        <f aca="false">IF($A24="","",I24)</f>
        <v>46267.7513888889</v>
      </c>
      <c r="Z24" s="37" t="n">
        <f aca="false">IF($A24="","",IFERROR(W24-R24/1440,""))</f>
        <v>46267.6411111111</v>
      </c>
      <c r="AA24" s="38" t="n">
        <f aca="false">IF($A24="","",IF(OR(U24="",V24=""),"",ROUND((V24-U24)*1440,0)))</f>
        <v>343</v>
      </c>
      <c r="AB24" s="38" t="n">
        <f aca="false">IF($A24="","",IF(U24="","",ROUND((W24-U24)*1440,0)))</f>
        <v>276</v>
      </c>
      <c r="AC24" s="38" t="n">
        <f aca="false">IF($A24="","",IF(AB24="","",MAX(0,AB24)))</f>
        <v>276</v>
      </c>
      <c r="AD24" s="38" t="n">
        <f aca="false">IF($A24="","",IFERROR(ROUND((X24-W24)*1440,0),""))</f>
        <v>66</v>
      </c>
      <c r="AE24" s="38" t="n">
        <f aca="false">IF($A24="","",IF(E24="Client","n/a",IFERROR(ROUND((H24-G24)*1440,0),"")))</f>
        <v>10</v>
      </c>
      <c r="AF24" s="38" t="n">
        <f aca="false">IF($A24="","",IFERROR(ROUND((Y24-H24)*1440,0),""))</f>
        <v>55</v>
      </c>
      <c r="AG24" s="38" t="n">
        <f aca="false">IF($A24="","",IFERROR(ROUND((H24-F24)*1440,0),""))</f>
        <v>76</v>
      </c>
      <c r="AH24" s="38" t="n">
        <f aca="false">IF($A24="","",IFERROR(ROUND((Y24-V24)*1440,0),""))</f>
        <v>64</v>
      </c>
      <c r="AI24" s="4" t="str">
        <f aca="false">IF($A24="","",IF(AH24="","",IF(AH24&gt;0,"Yes","No")))</f>
        <v>Yes</v>
      </c>
      <c r="AJ24" s="4" t="str">
        <f aca="false">IF($A24="","",IF(AI24&lt;&gt;"Yes","On time",IF(N(AC24)&gt;=MAX(N(AF24),N(K24)),"Wait for analyst",IF(N(AF24)&gt;=N(K24),"External sign-off","Rework"))))</f>
        <v>Wait for analyst</v>
      </c>
      <c r="AK24" s="4" t="str">
        <f aca="false">IF($A24="","",IF(OR(F24="",Y24="",ISNA(MATCH(L24,Dim_Analyst!$A:$A,0))),"CHECK","OK"))</f>
        <v>OK</v>
      </c>
      <c r="AL24" s="4" t="str">
        <f aca="false">IF($A24="","",IFERROR(VLOOKUP($C24,Dim_Fund!$A:$U,21,0),""))</f>
        <v>TOP-ALT</v>
      </c>
      <c r="AM24" s="4" t="str">
        <f aca="false">IF($A24="","",IF($U24="","",IF($U24&gt;$B24+IFERROR(VLOOKUP($C24,Dim_Fund!$A:$AH,34,0),0)/24,"Yes","No")))</f>
        <v>No</v>
      </c>
      <c r="AN24" s="22" t="n">
        <f aca="false">IF($A24="","",IFERROR(VLOOKUP($C24,Dim_Fund!$A:$AH,34,0),""))</f>
        <v>12.6666666666667</v>
      </c>
      <c r="AO24" s="22" t="n">
        <f aca="false">IF($A24="","",IF($AL24="","",IFERROR(FLOOR(IF(COUNTIFS(Fact_Milestone!$A:$A,$B24,Fact_Milestone!$B:$B,$AL24,Fact_Milestone!$F:$F,"&gt;0")&gt;0,_xlfn.MINIFS(Fact_Milestone!$F:$F,Fact_Milestone!$A:$A,$B24,Fact_Milestone!$B:$B,$AL24,Fact_Milestone!$F:$F,"&gt;0"),VLOOKUP($AL24,Dim_TOP!$A:$E,5,0)),0.5),"")))</f>
        <v>12.5</v>
      </c>
      <c r="AP24" s="22" t="n">
        <f aca="false">IF($A24="","",IF($U24="","",ROUND(($U24-INT($U24))*24,4)))</f>
        <v>11.25</v>
      </c>
      <c r="AQ24" s="22" t="n">
        <f aca="false">IF($A24="","",IF($W24="","",ROUND(($W24-INT($W24))*24,4)))</f>
        <v>15.85</v>
      </c>
      <c r="AR24" s="22" t="n">
        <f aca="false">IF($A24="","",IF($X24="","",ROUND(($X24-INT($X24))*24,4)))</f>
        <v>16.95</v>
      </c>
      <c r="AS24" s="38" t="n">
        <f aca="false">IF($A24="","",IF(OR($AN24="",$V24="",$S24="",$T24=""),"",ROUND(($V24-($B24+$AN24/24))*1440-$S24-$T24,0)))</f>
        <v>215</v>
      </c>
      <c r="AT24" s="38" t="n">
        <f aca="false">IF($A24="","",IF(OR($AN24="",$U24=""),"",ROUND(($U24-($B24+$AN24/24))*1440,0)))</f>
        <v>-85</v>
      </c>
      <c r="AU24" s="38" t="n">
        <f aca="false">IF($A24="","",IF(OR($AD24="",$S24=""),"",ROUND($AD24-$S24,0)))</f>
        <v>48</v>
      </c>
      <c r="AV24" s="38" t="n">
        <f aca="false">IF($A24="","",N($AE24))</f>
        <v>10</v>
      </c>
      <c r="AW24" s="38" t="n">
        <f aca="false">IF($A24="","",IF(OR($AF24="",$T24=""),"",$AF24-$T24))</f>
        <v>30</v>
      </c>
      <c r="AX24" s="38" t="n">
        <f aca="false">IF($A24="","",IF(COUNT($AT24,$AB24,$AU24,$AW24,$AS24,$AH24)&lt;6,"",ROUND($AT24+$AB24+$AU24+$AV24+$AW24-$AS24-$AH24,0)))</f>
        <v>0</v>
      </c>
      <c r="AY24" s="4" t="str">
        <f aca="false">IF($A24="","",IF($AX24="","No",IF(ABS($AX24)&lt;=2,"Yes","No")))</f>
        <v>Yes</v>
      </c>
      <c r="AZ24" s="4" t="str">
        <f aca="false">IF($A24="","",IF($AI24&lt;&gt;"Yes","n/a",IF(OR($AA24="",$S24="",$T24=""),"Unknown",IF($AA24&lt;$S24+$T24,"Lost on arrival","Lost after arrival"))))</f>
        <v>Lost after arrival</v>
      </c>
      <c r="BA24" s="10" t="str">
        <f aca="false">IF($A24="","",IFERROR(VLOOKUP($C24,Dim_Fund!$A:$D,4,0),""))</f>
        <v>Meridian Pensions</v>
      </c>
      <c r="BB24" s="10" t="str">
        <f aca="false">IF($A24="","",IF($AL24="","",IF(COUNTIFS(Fact_Milestone!$A:$A,$B24,Fact_Milestone!$B:$B,$AL24,Fact_Milestone!$I:$I,"No")&gt;0,"No",IF(COUNTIFS(Fact_Milestone!$A:$A,$B24,Fact_Milestone!$B:$B,$AL24,Fact_Milestone!$I:$I,"Yes")&gt;0,"Yes",""))))</f>
        <v>Yes</v>
      </c>
      <c r="BC24" s="45" t="str">
        <f aca="false">IF($A24="","",IF(OR($L24="",$W24=""),"",IF(COUNTIFS($L:$L,$L24,$B:$B,$B24,$W:$W,"&lt;"&amp;$W24)=0,"",_xlfn.MAXIFS($W:$W,$L:$L,$L24,$B:$B,$B24,$W:$W,"&lt;"&amp;$W24))))</f>
        <v/>
      </c>
      <c r="BD24" s="39" t="n">
        <f aca="false">IF($A24="","",IF($AC24="","",IF(OR($L24="",$AC24=0),0,MIN($AC24,ROUND(ROUND(1440*SUMPRODUCT(($L$2:INDEX($L:$L,COUNTA($C:$C))=$L24)*($B$2:INDEX($B:$B,COUNTA($C:$C))=$B24)*(ROW($L$2:INDEX($L:$L,COUNTA($C:$C)))&lt;&gt;ROW())*((((($W24+$BT$2:INDEX($BT:$BT,COUNTA($C:$C))-ABS($W24-$BT$2:INDEX($BT:$BT,COUNTA($C:$C))))/2)-(($U24+$BS$2:INDEX($BS:$BS,COUNTA($C:$C))+ABS($U24-$BS$2:INDEX($BS:$BS,COUNTA($C:$C))))/2))+ABS(((($W24+$BT$2:INDEX($BT:$BT,COUNTA($C:$C))-ABS($W24-$BT$2:INDEX($BT:$BT,COUNTA($C:$C))))/2)-(($U24+$BS$2:INDEX($BS:$BS,COUNTA($C:$C))+ABS($U24-$BS$2:INDEX($BS:$BS,COUNTA($C:$C))))/2))))/2)),4),0)))))</f>
        <v>0</v>
      </c>
      <c r="BE24" s="39" t="n">
        <f aca="false">IF($A24="","",IF($AC24="","",ROUND(MIN($AC24-$BD24,N($R24)),0)))</f>
        <v>28</v>
      </c>
      <c r="BF24" s="10" t="str">
        <f aca="false">IF($A24="","",IFERROR(VLOOKUP($C24,Dim_Fund!$A:$BD,56,0),""))</f>
        <v>Yes</v>
      </c>
      <c r="BG24" s="10" t="str">
        <f aca="false">IF($A24="","",IFERROR(VLOOKUP($C24,Dim_Fund!$A:$BH,60,0),""))</f>
        <v>Ample custody slack</v>
      </c>
      <c r="BH24" s="10" t="str">
        <f aca="false">IF($A24="","",IF($AI24&lt;&gt;"Yes","Not breached",IF($AM24="Yes","Pricing late",IF($BG24="Thin custody slack","Thin custody slack",IF($BF24="Yes","Broker-dependent","None of these")))))</f>
        <v>Broker-dependent</v>
      </c>
      <c r="BI24" s="23" t="n">
        <f aca="false">IF($A24="","",IFERROR(IF(VLOOKUP($C24,Dim_Fund!$A:$AI,35,0)&gt;0,VLOOKUP($C24,Dim_Fund!$A:$AI,35,0),""),""))</f>
        <v>16.9666666666667</v>
      </c>
      <c r="BJ24" s="10" t="str">
        <f aca="false">IF($A24="","",$C24&amp;IF($E24="Client","*",""))</f>
        <v>FD-1004</v>
      </c>
      <c r="BK24" s="39" t="n">
        <f aca="false">IF($A24="","",IFERROR(ROUND(($Y24-$X24)*1440,0),""))</f>
        <v>65</v>
      </c>
      <c r="BL24" s="39" t="n">
        <f aca="false">IF($A24="","",IF($AH24="","",-$AH24))</f>
        <v>-64</v>
      </c>
      <c r="BM24" s="46" t="n">
        <f aca="false">IF($A24="","",IF($AQ24="","",IF($AP24="",$AQ24,MIN($AP24,$AQ24))))</f>
        <v>11.25</v>
      </c>
      <c r="BN24" s="46" t="n">
        <f aca="false">IF($A24="","",IF($BM24="","",ROUND(N($AC24)/60,4)))</f>
        <v>4.6</v>
      </c>
      <c r="BO24" s="46" t="n">
        <f aca="false">IF($A24="","",IF(OR($BM24="",$AD24=""),"",ROUND($AD24/60,4)))</f>
        <v>1.1</v>
      </c>
      <c r="BP24" s="46" t="n">
        <f aca="false">IF($A24="","",IF($BM24="","",ROUND(N($AE24)/60,4)))</f>
        <v>0.1667</v>
      </c>
      <c r="BQ24" s="46" t="n">
        <f aca="false">IF($A24="","",IF(OR($BM24="",$AF24=""),"",ROUND($AF24/60,4)))</f>
        <v>0.9167</v>
      </c>
      <c r="BR24" s="39" t="n">
        <f aca="false">IF($A24="","",IF($AC24="","",$AC24-$BD24-$BE24))</f>
        <v>248</v>
      </c>
      <c r="BS24" s="45" t="n">
        <f aca="false">IF($A24="","",IF(AND(ISNUMBER($Z24),ISNUMBER($W24)),$Z24,0))</f>
        <v>46267.6411111111</v>
      </c>
      <c r="BT24" s="45" t="n">
        <f aca="false">IF($A24="","",IF(ISNUMBER($W24),$W24,0))</f>
        <v>46267.6604166667</v>
      </c>
      <c r="BU24" s="23" t="n">
        <f aca="false">IF($A24="","",IF(ISNUMBER($W24),ROUND(($W24-$B24)*24,4),""))</f>
        <v>15.85</v>
      </c>
      <c r="BV24" s="23" t="n">
        <f aca="false">IF($A24="","",IF(ISNUMBER($X24),ROUND(($X24-$B24)*24,4),""))</f>
        <v>16.95</v>
      </c>
      <c r="BW24" s="10" t="str">
        <f aca="false">IF($A24="","",IF(NOT(ISNUMBER($W24)),"Missing Calculated",IF(NOT(ISNUMBER($X24)),IF($E24="Client","Missing FA signed off","Missing Controlled"),IF($X24&lt;$W24,"End before start","OK"))))</f>
        <v>OK</v>
      </c>
      <c r="BX24" s="23" t="n">
        <f aca="false">IF($A24="","",IF(NOT(ISNUMBER($Z24)),"",ROUND((IF(ISNUMBER($U24),MIN($U24,$Z24),$Z24)-$B24)*24,4)))</f>
        <v>11.25</v>
      </c>
      <c r="BY24" s="23" t="n">
        <f aca="false">IF($A24="","",IF(ISNUMBER($Z24),ROUND(($Z24-$B24)*24,4),""))</f>
        <v>15.3867</v>
      </c>
      <c r="BZ24" s="23" t="n">
        <f aca="false">IF($A24="","",IF(AND(ISNUMBER($W24),ISNUMBER($S24)),ROUND(($W24+$S24/1440-$B24)*24,4),""))</f>
        <v>16.1583</v>
      </c>
    </row>
    <row r="25" customFormat="false" ht="15" hidden="false" customHeight="true" outlineLevel="0" collapsed="false">
      <c r="A25" s="34" t="n">
        <v>46266</v>
      </c>
      <c r="B25" s="34" t="n">
        <v>46267</v>
      </c>
      <c r="C25" s="13" t="s">
        <v>334</v>
      </c>
      <c r="D25" s="4" t="n">
        <f aca="false">IF($A25="","",$B25-$A25)</f>
        <v>1</v>
      </c>
      <c r="E25" s="4" t="str">
        <f aca="false">IF($A25="","",IFERROR(VLOOKUP($C25,Dim_Fund!$A:$X,24,0),""))</f>
        <v>Client</v>
      </c>
      <c r="F25" s="37" t="n">
        <f aca="false">IF($A25="","",IF(COUNTIFS(Status_Log!$A:$A,$A25,Status_Log!$B:$B,$B25,Status_Log!$C:$C,$C25,Status_Log!$D:$D,"Changed to the status of Calculated")=0,"",_xlfn.MINIFS(Status_Log!$E:$E,Status_Log!$A:$A,$A25,Status_Log!$B:$B,$B25,Status_Log!$C:$C,$C25,Status_Log!$D:$D,"Changed to the status of Calculated")))</f>
        <v>46267.5895833333</v>
      </c>
      <c r="G25" s="37" t="str">
        <f aca="false">IF($A25="","",IF(COUNTIFS(Status_Log!$A:$A,$A25,Status_Log!$B:$B,$B25,Status_Log!$C:$C,$C25,Status_Log!$D:$D,"Changed to the status of Controlled")=0,"",_xlfn.MAXIFS(Status_Log!$E:$E,Status_Log!$A:$A,$A25,Status_Log!$B:$B,$B25,Status_Log!$C:$C,$C25,Status_Log!$D:$D,"Changed to the status of Controlled")))</f>
        <v/>
      </c>
      <c r="H25" s="37" t="n">
        <f aca="false">IF($A25="","",IF(COUNTIFS(Status_Log!$A:$A,$A25,Status_Log!$B:$B,$B25,Status_Log!$C:$C,$C25,Status_Log!$D:$D,"Changed to the status of Fund accounting signed off")=0,"",_xlfn.MAXIFS(Status_Log!$E:$E,Status_Log!$A:$A,$A25,Status_Log!$B:$B,$B25,Status_Log!$C:$C,$C25,Status_Log!$D:$D,"Changed to the status of Fund accounting signed off")))</f>
        <v>46267.6743055556</v>
      </c>
      <c r="I25" s="37" t="n">
        <f aca="false">IF($A25="","",IF(COUNTIFS(Status_Log!$A:$A,$A25,Status_Log!$B:$B,$B25,Status_Log!$C:$C,$C25,Status_Log!$D:$D,"Changed to the status of signed off")=0,"",_xlfn.MAXIFS(Status_Log!$E:$E,Status_Log!$A:$A,$A25,Status_Log!$B:$B,$B25,Status_Log!$C:$C,$C25,Status_Log!$D:$D,"Changed to the status of signed off")))</f>
        <v>46267.7256944445</v>
      </c>
      <c r="J25" s="4" t="n">
        <f aca="false">IF($A25="","",COUNTIFS(Status_Log!$A:$A,$A25,Status_Log!$B:$B,$B25,Status_Log!$C:$C,$C25,Status_Log!$D:$D,"Changed to the status of Calculated"))</f>
        <v>2</v>
      </c>
      <c r="K25" s="38" t="n">
        <f aca="false">IF($A25="","",IF(J25&lt;=1,0,ROUND((_xlfn.MAXIFS(Status_Log!$E:$E,Status_Log!$A:$A,$A25,Status_Log!$B:$B,$B25,Status_Log!$C:$C,$C25,Status_Log!$D:$D,"Changed to the status of Calculated")-F25)*1440,0)))</f>
        <v>90</v>
      </c>
      <c r="L25" s="4" t="str">
        <f aca="false">IF($A25="","",IFERROR(INDEX(Status_Log!$F:$F,MATCH($A25&amp;"|"&amp;$B25&amp;"|"&amp;$C25&amp;"|Changed to the status of Calculated|"&amp;TEXT(_xlfn.MAXIFS(Status_Log!$E:$E,Status_Log!$A:$A,$A25,Status_Log!$B:$B,$B25,Status_Log!$C:$C,$C25,Status_Log!$D:$D,"Changed to the status of Calculated"),"0.000000"),Status_Log!$H:$H,0)),""))</f>
        <v>Aisha Rahman</v>
      </c>
      <c r="M25" s="4" t="str">
        <f aca="false">IF($A25="","",IF(E25="Client","n/a — no control step",IFERROR(INDEX(Status_Log!$F:$F,MATCH($A25&amp;"|"&amp;$B25&amp;"|"&amp;$C25&amp;"|Changed to the status of Controlled|"&amp;TEXT(_xlfn.MAXIFS(Status_Log!$E:$E,Status_Log!$A:$A,$A25,Status_Log!$B:$B,$B25,Status_Log!$C:$C,$C25,Status_Log!$D:$D,"Changed to the status of Controlled"),"0.000000"),Status_Log!$H:$H,0)),"")))</f>
        <v>n/a — no control step</v>
      </c>
      <c r="N25" s="4" t="str">
        <f aca="false">IF($A25="","",IFERROR(VLOOKUP($C25,Dim_Fund!$A:$G,7,0),""))</f>
        <v>Aisha Rahman</v>
      </c>
      <c r="O25" s="4" t="str">
        <f aca="false">IF($A25="","",IF(L25=N25,"No","Yes"))</f>
        <v>No</v>
      </c>
      <c r="P25" s="4" t="str">
        <f aca="false">IF($A25="","",IF(E25="Client","n/a",IF(L25=M25,"YES — four-eyes breach","No")))</f>
        <v>n/a</v>
      </c>
      <c r="Q25" s="38" t="n">
        <f aca="false">IF($A25="","",IFERROR(VLOOKUP($C25,Dim_Fund!$A:$AB,28,0),""))</f>
        <v>35.3</v>
      </c>
      <c r="R25" s="38" t="n">
        <f aca="false">IF($A25="","",IFERROR(VLOOKUP($C25,Dim_Fund!$A:$AC,29,0),""))</f>
        <v>22.9</v>
      </c>
      <c r="S25" s="38" t="n">
        <f aca="false">IF($A25="","",IFERROR(VLOOKUP($C25,Dim_Fund!$A:$AD,30,0),""))</f>
        <v>12.4</v>
      </c>
      <c r="T25" s="38" t="n">
        <f aca="false">IF($A25="","",IFERROR(VLOOKUP($C25,Dim_Fund!$A:$AL,38,0),""))</f>
        <v>46</v>
      </c>
      <c r="U25" s="37" t="n">
        <f aca="false">IF($A25="","",IF(AL25="","",IFERROR(IF(COUNTIFS(Fact_Milestone!$A:$A,$B25,Fact_Milestone!$B:$B,AL25)=0,"",_xlfn.MAXIFS(Fact_Milestone!$C:$C,Fact_Milestone!$A:$A,$B25,Fact_Milestone!$B:$B,AL25)),"")))</f>
        <v>46267.4534722222</v>
      </c>
      <c r="V25" s="37" t="n">
        <f aca="false">IF($A25="","",IFERROR(IF(VLOOKUP($C25,Dim_Fund!$A:$AI,35,0)&gt;0,$B25+VLOOKUP($C25,Dim_Fund!$A:$AI,35,0)/24,""),""))</f>
        <v>46267.6833333333</v>
      </c>
      <c r="W25" s="37" t="n">
        <f aca="false">IF($A25="","",F25)</f>
        <v>46267.5895833333</v>
      </c>
      <c r="X25" s="37" t="n">
        <f aca="false">IF($A25="","",IF(E25="Client",H25,G25))</f>
        <v>46267.6743055556</v>
      </c>
      <c r="Y25" s="37" t="n">
        <f aca="false">IF($A25="","",I25)</f>
        <v>46267.7256944445</v>
      </c>
      <c r="Z25" s="37" t="n">
        <f aca="false">IF($A25="","",IFERROR(W25-R25/1440,""))</f>
        <v>46267.5736805556</v>
      </c>
      <c r="AA25" s="38" t="n">
        <f aca="false">IF($A25="","",IF(OR(U25="",V25=""),"",ROUND((V25-U25)*1440,0)))</f>
        <v>331</v>
      </c>
      <c r="AB25" s="38" t="n">
        <f aca="false">IF($A25="","",IF(U25="","",ROUND((W25-U25)*1440,0)))</f>
        <v>196</v>
      </c>
      <c r="AC25" s="38" t="n">
        <f aca="false">IF($A25="","",IF(AB25="","",MAX(0,AB25)))</f>
        <v>196</v>
      </c>
      <c r="AD25" s="38" t="n">
        <f aca="false">IF($A25="","",IFERROR(ROUND((X25-W25)*1440,0),""))</f>
        <v>122</v>
      </c>
      <c r="AE25" s="38" t="str">
        <f aca="false">IF($A25="","",IF(E25="Client","n/a",IFERROR(ROUND((H25-G25)*1440,0),"")))</f>
        <v>n/a</v>
      </c>
      <c r="AF25" s="38" t="n">
        <f aca="false">IF($A25="","",IFERROR(ROUND((Y25-H25)*1440,0),""))</f>
        <v>74</v>
      </c>
      <c r="AG25" s="38" t="n">
        <f aca="false">IF($A25="","",IFERROR(ROUND((H25-F25)*1440,0),""))</f>
        <v>122</v>
      </c>
      <c r="AH25" s="38" t="n">
        <f aca="false">IF($A25="","",IFERROR(ROUND((Y25-V25)*1440,0),""))</f>
        <v>61</v>
      </c>
      <c r="AI25" s="4" t="str">
        <f aca="false">IF($A25="","",IF(AH25="","",IF(AH25&gt;0,"Yes","No")))</f>
        <v>Yes</v>
      </c>
      <c r="AJ25" s="4" t="str">
        <f aca="false">IF($A25="","",IF(AI25&lt;&gt;"Yes","On time",IF(N(AC25)&gt;=MAX(N(AF25),N(K25)),"Wait for analyst",IF(N(AF25)&gt;=N(K25),"External sign-off","Rework"))))</f>
        <v>Wait for analyst</v>
      </c>
      <c r="AK25" s="4" t="str">
        <f aca="false">IF($A25="","",IF(OR(F25="",Y25="",ISNA(MATCH(L25,Dim_Analyst!$A:$A,0))),"CHECK","OK"))</f>
        <v>OK</v>
      </c>
      <c r="AL25" s="4" t="str">
        <f aca="false">IF($A25="","",IFERROR(VLOOKUP($C25,Dim_Fund!$A:$U,21,0),""))</f>
        <v>TOP-EQ1</v>
      </c>
      <c r="AM25" s="4" t="str">
        <f aca="false">IF($A25="","",IF($U25="","",IF($U25&gt;$B25+IFERROR(VLOOKUP($C25,Dim_Fund!$A:$AH,34,0),0)/24,"Yes","No")))</f>
        <v>No</v>
      </c>
      <c r="AN25" s="22" t="n">
        <f aca="false">IF($A25="","",IFERROR(VLOOKUP($C25,Dim_Fund!$A:$AH,34,0),""))</f>
        <v>13.0166666666667</v>
      </c>
      <c r="AO25" s="22" t="n">
        <f aca="false">IF($A25="","",IF($AL25="","",IFERROR(FLOOR(IF(COUNTIFS(Fact_Milestone!$A:$A,$B25,Fact_Milestone!$B:$B,$AL25,Fact_Milestone!$F:$F,"&gt;0")&gt;0,_xlfn.MINIFS(Fact_Milestone!$F:$F,Fact_Milestone!$A:$A,$B25,Fact_Milestone!$B:$B,$AL25,Fact_Milestone!$F:$F,"&gt;0"),VLOOKUP($AL25,Dim_TOP!$A:$E,5,0)),0.5),"")))</f>
        <v>12</v>
      </c>
      <c r="AP25" s="22" t="n">
        <f aca="false">IF($A25="","",IF($U25="","",ROUND(($U25-INT($U25))*24,4)))</f>
        <v>10.8833</v>
      </c>
      <c r="AQ25" s="22" t="n">
        <f aca="false">IF($A25="","",IF($W25="","",ROUND(($W25-INT($W25))*24,4)))</f>
        <v>14.15</v>
      </c>
      <c r="AR25" s="22" t="n">
        <f aca="false">IF($A25="","",IF($X25="","",ROUND(($X25-INT($X25))*24,4)))</f>
        <v>16.1833</v>
      </c>
      <c r="AS25" s="38" t="n">
        <f aca="false">IF($A25="","",IF(OR($AN25="",$V25="",$S25="",$T25=""),"",ROUND(($V25-($B25+$AN25/24))*1440-$S25-$T25,0)))</f>
        <v>145</v>
      </c>
      <c r="AT25" s="38" t="n">
        <f aca="false">IF($A25="","",IF(OR($AN25="",$U25=""),"",ROUND(($U25-($B25+$AN25/24))*1440,0)))</f>
        <v>-128</v>
      </c>
      <c r="AU25" s="38" t="n">
        <f aca="false">IF($A25="","",IF(OR($AD25="",$S25=""),"",ROUND($AD25-$S25,0)))</f>
        <v>110</v>
      </c>
      <c r="AV25" s="38" t="n">
        <f aca="false">IF($A25="","",N($AE25))</f>
        <v>0</v>
      </c>
      <c r="AW25" s="38" t="n">
        <f aca="false">IF($A25="","",IF(OR($AF25="",$T25=""),"",$AF25-$T25))</f>
        <v>28</v>
      </c>
      <c r="AX25" s="38" t="n">
        <f aca="false">IF($A25="","",IF(COUNT($AT25,$AB25,$AU25,$AW25,$AS25,$AH25)&lt;6,"",ROUND($AT25+$AB25+$AU25+$AV25+$AW25-$AS25-$AH25,0)))</f>
        <v>0</v>
      </c>
      <c r="AY25" s="4" t="str">
        <f aca="false">IF($A25="","",IF($AX25="","No",IF(ABS($AX25)&lt;=2,"Yes","No")))</f>
        <v>Yes</v>
      </c>
      <c r="AZ25" s="4" t="str">
        <f aca="false">IF($A25="","",IF($AI25&lt;&gt;"Yes","n/a",IF(OR($AA25="",$S25="",$T25=""),"Unknown",IF($AA25&lt;$S25+$T25,"Lost on arrival","Lost after arrival"))))</f>
        <v>Lost after arrival</v>
      </c>
      <c r="BA25" s="10" t="str">
        <f aca="false">IF($A25="","",IFERROR(VLOOKUP($C25,Dim_Fund!$A:$D,4,0),""))</f>
        <v>Northgate Insurance</v>
      </c>
      <c r="BB25" s="10" t="str">
        <f aca="false">IF($A25="","",IF($AL25="","",IF(COUNTIFS(Fact_Milestone!$A:$A,$B25,Fact_Milestone!$B:$B,$AL25,Fact_Milestone!$I:$I,"No")&gt;0,"No",IF(COUNTIFS(Fact_Milestone!$A:$A,$B25,Fact_Milestone!$B:$B,$AL25,Fact_Milestone!$I:$I,"Yes")&gt;0,"Yes",""))))</f>
        <v>Yes</v>
      </c>
      <c r="BC25" s="45" t="str">
        <f aca="false">IF($A25="","",IF(OR($L25="",$W25=""),"",IF(COUNTIFS($L:$L,$L25,$B:$B,$B25,$W:$W,"&lt;"&amp;$W25)=0,"",_xlfn.MAXIFS($W:$W,$L:$L,$L25,$B:$B,$B25,$W:$W,"&lt;"&amp;$W25))))</f>
        <v/>
      </c>
      <c r="BD25" s="39" t="n">
        <f aca="false">IF($A25="","",IF($AC25="","",IF(OR($L25="",$AC25=0),0,MIN($AC25,ROUND(ROUND(1440*SUMPRODUCT(($L$2:INDEX($L:$L,COUNTA($C:$C))=$L25)*($B$2:INDEX($B:$B,COUNTA($C:$C))=$B25)*(ROW($L$2:INDEX($L:$L,COUNTA($C:$C)))&lt;&gt;ROW())*((((($W25+$BT$2:INDEX($BT:$BT,COUNTA($C:$C))-ABS($W25-$BT$2:INDEX($BT:$BT,COUNTA($C:$C))))/2)-(($U25+$BS$2:INDEX($BS:$BS,COUNTA($C:$C))+ABS($U25-$BS$2:INDEX($BS:$BS,COUNTA($C:$C))))/2))+ABS(((($W25+$BT$2:INDEX($BT:$BT,COUNTA($C:$C))-ABS($W25-$BT$2:INDEX($BT:$BT,COUNTA($C:$C))))/2)-(($U25+$BS$2:INDEX($BS:$BS,COUNTA($C:$C))+ABS($U25-$BS$2:INDEX($BS:$BS,COUNTA($C:$C))))/2))))/2)),4),0)))))</f>
        <v>0</v>
      </c>
      <c r="BE25" s="39" t="n">
        <f aca="false">IF($A25="","",IF($AC25="","",ROUND(MIN($AC25-$BD25,N($R25)),0)))</f>
        <v>23</v>
      </c>
      <c r="BF25" s="10" t="str">
        <f aca="false">IF($A25="","",IFERROR(VLOOKUP($C25,Dim_Fund!$A:$BD,56,0),""))</f>
        <v>Yes</v>
      </c>
      <c r="BG25" s="10" t="str">
        <f aca="false">IF($A25="","",IFERROR(VLOOKUP($C25,Dim_Fund!$A:$BH,60,0),""))</f>
        <v>Ample custody slack</v>
      </c>
      <c r="BH25" s="10" t="str">
        <f aca="false">IF($A25="","",IF($AI25&lt;&gt;"Yes","Not breached",IF($AM25="Yes","Pricing late",IF($BG25="Thin custody slack","Thin custody slack",IF($BF25="Yes","Broker-dependent","None of these")))))</f>
        <v>Broker-dependent</v>
      </c>
      <c r="BI25" s="23" t="n">
        <f aca="false">IF($A25="","",IFERROR(IF(VLOOKUP($C25,Dim_Fund!$A:$AI,35,0)&gt;0,VLOOKUP($C25,Dim_Fund!$A:$AI,35,0),""),""))</f>
        <v>16.4</v>
      </c>
      <c r="BJ25" s="10" t="str">
        <f aca="false">IF($A25="","",$C25&amp;IF($E25="Client","*",""))</f>
        <v>FD-1005*</v>
      </c>
      <c r="BK25" s="39" t="n">
        <f aca="false">IF($A25="","",IFERROR(ROUND(($Y25-$X25)*1440,0),""))</f>
        <v>74</v>
      </c>
      <c r="BL25" s="39" t="n">
        <f aca="false">IF($A25="","",IF($AH25="","",-$AH25))</f>
        <v>-61</v>
      </c>
      <c r="BM25" s="46" t="n">
        <f aca="false">IF($A25="","",IF($AQ25="","",IF($AP25="",$AQ25,MIN($AP25,$AQ25))))</f>
        <v>10.8833</v>
      </c>
      <c r="BN25" s="46" t="n">
        <f aca="false">IF($A25="","",IF($BM25="","",ROUND(N($AC25)/60,4)))</f>
        <v>3.2667</v>
      </c>
      <c r="BO25" s="46" t="n">
        <f aca="false">IF($A25="","",IF(OR($BM25="",$AD25=""),"",ROUND($AD25/60,4)))</f>
        <v>2.0333</v>
      </c>
      <c r="BP25" s="46" t="n">
        <f aca="false">IF($A25="","",IF($BM25="","",ROUND(N($AE25)/60,4)))</f>
        <v>0</v>
      </c>
      <c r="BQ25" s="46" t="n">
        <f aca="false">IF($A25="","",IF(OR($BM25="",$AF25=""),"",ROUND($AF25/60,4)))</f>
        <v>1.2333</v>
      </c>
      <c r="BR25" s="39" t="n">
        <f aca="false">IF($A25="","",IF($AC25="","",$AC25-$BD25-$BE25))</f>
        <v>173</v>
      </c>
      <c r="BS25" s="45" t="n">
        <f aca="false">IF($A25="","",IF(AND(ISNUMBER($Z25),ISNUMBER($W25)),$Z25,0))</f>
        <v>46267.5736805556</v>
      </c>
      <c r="BT25" s="45" t="n">
        <f aca="false">IF($A25="","",IF(ISNUMBER($W25),$W25,0))</f>
        <v>46267.5895833333</v>
      </c>
      <c r="BU25" s="23" t="n">
        <f aca="false">IF($A25="","",IF(ISNUMBER($W25),ROUND(($W25-$B25)*24,4),""))</f>
        <v>14.15</v>
      </c>
      <c r="BV25" s="23" t="n">
        <f aca="false">IF($A25="","",IF(ISNUMBER($X25),ROUND(($X25-$B25)*24,4),""))</f>
        <v>16.1833</v>
      </c>
      <c r="BW25" s="10" t="str">
        <f aca="false">IF($A25="","",IF(NOT(ISNUMBER($W25)),"Missing Calculated",IF(NOT(ISNUMBER($X25)),IF($E25="Client","Missing FA signed off","Missing Controlled"),IF($X25&lt;$W25,"End before start","OK"))))</f>
        <v>OK</v>
      </c>
      <c r="BX25" s="23" t="n">
        <f aca="false">IF($A25="","",IF(NOT(ISNUMBER($Z25)),"",ROUND((IF(ISNUMBER($U25),MIN($U25,$Z25),$Z25)-$B25)*24,4)))</f>
        <v>10.8833</v>
      </c>
      <c r="BY25" s="23" t="n">
        <f aca="false">IF($A25="","",IF(ISNUMBER($Z25),ROUND(($Z25-$B25)*24,4),""))</f>
        <v>13.7683</v>
      </c>
      <c r="BZ25" s="23" t="n">
        <f aca="false">IF($A25="","",IF(AND(ISNUMBER($W25),ISNUMBER($S25)),ROUND(($W25+$S25/1440-$B25)*24,4),""))</f>
        <v>14.3567</v>
      </c>
    </row>
    <row r="26" customFormat="false" ht="15" hidden="false" customHeight="true" outlineLevel="0" collapsed="false">
      <c r="A26" s="34" t="n">
        <v>46266</v>
      </c>
      <c r="B26" s="34" t="n">
        <v>46267</v>
      </c>
      <c r="C26" s="13" t="s">
        <v>337</v>
      </c>
      <c r="D26" s="4" t="n">
        <f aca="false">IF($A26="","",$B26-$A26)</f>
        <v>1</v>
      </c>
      <c r="E26" s="4" t="str">
        <f aca="false">IF($A26="","",IFERROR(VLOOKUP($C26,Dim_Fund!$A:$X,24,0),""))</f>
        <v>FA</v>
      </c>
      <c r="F26" s="37" t="n">
        <f aca="false">IF($A26="","",IF(COUNTIFS(Status_Log!$A:$A,$A26,Status_Log!$B:$B,$B26,Status_Log!$C:$C,$C26,Status_Log!$D:$D,"Changed to the status of Calculated")=0,"",_xlfn.MINIFS(Status_Log!$E:$E,Status_Log!$A:$A,$A26,Status_Log!$B:$B,$B26,Status_Log!$C:$C,$C26,Status_Log!$D:$D,"Changed to the status of Calculated")))</f>
        <v>46267.6611111111</v>
      </c>
      <c r="G26" s="37" t="n">
        <f aca="false">IF($A26="","",IF(COUNTIFS(Status_Log!$A:$A,$A26,Status_Log!$B:$B,$B26,Status_Log!$C:$C,$C26,Status_Log!$D:$D,"Changed to the status of Controlled")=0,"",_xlfn.MAXIFS(Status_Log!$E:$E,Status_Log!$A:$A,$A26,Status_Log!$B:$B,$B26,Status_Log!$C:$C,$C26,Status_Log!$D:$D,"Changed to the status of Controlled")))</f>
        <v>46267.6673611111</v>
      </c>
      <c r="H26" s="37" t="n">
        <f aca="false">IF($A26="","",IF(COUNTIFS(Status_Log!$A:$A,$A26,Status_Log!$B:$B,$B26,Status_Log!$C:$C,$C26,Status_Log!$D:$D,"Changed to the status of Fund accounting signed off")=0,"",_xlfn.MAXIFS(Status_Log!$E:$E,Status_Log!$A:$A,$A26,Status_Log!$B:$B,$B26,Status_Log!$C:$C,$C26,Status_Log!$D:$D,"Changed to the status of Fund accounting signed off")))</f>
        <v>46267.6798611111</v>
      </c>
      <c r="I26" s="37" t="n">
        <f aca="false">IF($A26="","",IF(COUNTIFS(Status_Log!$A:$A,$A26,Status_Log!$B:$B,$B26,Status_Log!$C:$C,$C26,Status_Log!$D:$D,"Changed to the status of signed off")=0,"",_xlfn.MAXIFS(Status_Log!$E:$E,Status_Log!$A:$A,$A26,Status_Log!$B:$B,$B26,Status_Log!$C:$C,$C26,Status_Log!$D:$D,"Changed to the status of signed off")))</f>
        <v>46267.6965277778</v>
      </c>
      <c r="J26" s="4" t="n">
        <f aca="false">IF($A26="","",COUNTIFS(Status_Log!$A:$A,$A26,Status_Log!$B:$B,$B26,Status_Log!$C:$C,$C26,Status_Log!$D:$D,"Changed to the status of Calculated"))</f>
        <v>1</v>
      </c>
      <c r="K26" s="38" t="n">
        <f aca="false">IF($A26="","",IF(J26&lt;=1,0,ROUND((_xlfn.MAXIFS(Status_Log!$E:$E,Status_Log!$A:$A,$A26,Status_Log!$B:$B,$B26,Status_Log!$C:$C,$C26,Status_Log!$D:$D,"Changed to the status of Calculated")-F26)*1440,0)))</f>
        <v>0</v>
      </c>
      <c r="L26" s="4" t="str">
        <f aca="false">IF($A26="","",IFERROR(INDEX(Status_Log!$F:$F,MATCH($A26&amp;"|"&amp;$B26&amp;"|"&amp;$C26&amp;"|Changed to the status of Calculated|"&amp;TEXT(_xlfn.MAXIFS(Status_Log!$E:$E,Status_Log!$A:$A,$A26,Status_Log!$B:$B,$B26,Status_Log!$C:$C,$C26,Status_Log!$D:$D,"Changed to the status of Calculated"),"0.000000"),Status_Log!$H:$H,0)),""))</f>
        <v>Daniel Tan</v>
      </c>
      <c r="M26" s="4" t="str">
        <f aca="false">IF($A26="","",IF(E26="Client","n/a — no control step",IFERROR(INDEX(Status_Log!$F:$F,MATCH($A26&amp;"|"&amp;$B26&amp;"|"&amp;$C26&amp;"|Changed to the status of Controlled|"&amp;TEXT(_xlfn.MAXIFS(Status_Log!$E:$E,Status_Log!$A:$A,$A26,Status_Log!$B:$B,$B26,Status_Log!$C:$C,$C26,Status_Log!$D:$D,"Changed to the status of Controlled"),"0.000000"),Status_Log!$H:$H,0)),"")))</f>
        <v>Lim Wei Ming</v>
      </c>
      <c r="N26" s="4" t="str">
        <f aca="false">IF($A26="","",IFERROR(VLOOKUP($C26,Dim_Fund!$A:$G,7,0),""))</f>
        <v>Daniel Tan</v>
      </c>
      <c r="O26" s="4" t="str">
        <f aca="false">IF($A26="","",IF(L26=N26,"No","Yes"))</f>
        <v>No</v>
      </c>
      <c r="P26" s="4" t="str">
        <f aca="false">IF($A26="","",IF(E26="Client","n/a",IF(L26=M26,"YES — four-eyes breach","No")))</f>
        <v>No</v>
      </c>
      <c r="Q26" s="38" t="n">
        <f aca="false">IF($A26="","",IFERROR(VLOOKUP($C26,Dim_Fund!$A:$AB,28,0),""))</f>
        <v>25.3</v>
      </c>
      <c r="R26" s="38" t="n">
        <f aca="false">IF($A26="","",IFERROR(VLOOKUP($C26,Dim_Fund!$A:$AC,29,0),""))</f>
        <v>15.2</v>
      </c>
      <c r="S26" s="38" t="n">
        <f aca="false">IF($A26="","",IFERROR(VLOOKUP($C26,Dim_Fund!$A:$AD,30,0),""))</f>
        <v>10.1</v>
      </c>
      <c r="T26" s="38" t="n">
        <f aca="false">IF($A26="","",IFERROR(VLOOKUP($C26,Dim_Fund!$A:$AL,38,0),""))</f>
        <v>0</v>
      </c>
      <c r="U26" s="37" t="n">
        <f aca="false">IF($A26="","",IF(AL26="","",IFERROR(IF(COUNTIFS(Fact_Milestone!$A:$A,$B26,Fact_Milestone!$B:$B,AL26)=0,"",_xlfn.MAXIFS(Fact_Milestone!$C:$C,Fact_Milestone!$A:$A,$B26,Fact_Milestone!$B:$B,AL26)),"")))</f>
        <v>46267.4972222222</v>
      </c>
      <c r="V26" s="37" t="n">
        <f aca="false">IF($A26="","",IFERROR(IF(VLOOKUP($C26,Dim_Fund!$A:$AI,35,0)&gt;0,$B26+VLOOKUP($C26,Dim_Fund!$A:$AI,35,0)/24,""),""))</f>
        <v>46267.7388888889</v>
      </c>
      <c r="W26" s="37" t="n">
        <f aca="false">IF($A26="","",F26)</f>
        <v>46267.6611111111</v>
      </c>
      <c r="X26" s="37" t="n">
        <f aca="false">IF($A26="","",IF(E26="Client",H26,G26))</f>
        <v>46267.6673611111</v>
      </c>
      <c r="Y26" s="37" t="n">
        <f aca="false">IF($A26="","",I26)</f>
        <v>46267.6965277778</v>
      </c>
      <c r="Z26" s="37" t="n">
        <f aca="false">IF($A26="","",IFERROR(W26-R26/1440,""))</f>
        <v>46267.6505555556</v>
      </c>
      <c r="AA26" s="38" t="n">
        <f aca="false">IF($A26="","",IF(OR(U26="",V26=""),"",ROUND((V26-U26)*1440,0)))</f>
        <v>348</v>
      </c>
      <c r="AB26" s="38" t="n">
        <f aca="false">IF($A26="","",IF(U26="","",ROUND((W26-U26)*1440,0)))</f>
        <v>236</v>
      </c>
      <c r="AC26" s="38" t="n">
        <f aca="false">IF($A26="","",IF(AB26="","",MAX(0,AB26)))</f>
        <v>236</v>
      </c>
      <c r="AD26" s="38" t="n">
        <f aca="false">IF($A26="","",IFERROR(ROUND((X26-W26)*1440,0),""))</f>
        <v>9</v>
      </c>
      <c r="AE26" s="38" t="n">
        <f aca="false">IF($A26="","",IF(E26="Client","n/a",IFERROR(ROUND((H26-G26)*1440,0),"")))</f>
        <v>18</v>
      </c>
      <c r="AF26" s="38" t="n">
        <f aca="false">IF($A26="","",IFERROR(ROUND((Y26-H26)*1440,0),""))</f>
        <v>24</v>
      </c>
      <c r="AG26" s="38" t="n">
        <f aca="false">IF($A26="","",IFERROR(ROUND((H26-F26)*1440,0),""))</f>
        <v>27</v>
      </c>
      <c r="AH26" s="38" t="n">
        <f aca="false">IF($A26="","",IFERROR(ROUND((Y26-V26)*1440,0),""))</f>
        <v>-61</v>
      </c>
      <c r="AI26" s="4" t="str">
        <f aca="false">IF($A26="","",IF(AH26="","",IF(AH26&gt;0,"Yes","No")))</f>
        <v>No</v>
      </c>
      <c r="AJ26" s="4" t="str">
        <f aca="false">IF($A26="","",IF(AI26&lt;&gt;"Yes","On time",IF(N(AC26)&gt;=MAX(N(AF26),N(K26)),"Wait for analyst",IF(N(AF26)&gt;=N(K26),"External sign-off","Rework"))))</f>
        <v>On time</v>
      </c>
      <c r="AK26" s="4" t="str">
        <f aca="false">IF($A26="","",IF(OR(F26="",Y26="",ISNA(MATCH(L26,Dim_Analyst!$A:$A,0))),"CHECK","OK"))</f>
        <v>OK</v>
      </c>
      <c r="AL26" s="4" t="str">
        <f aca="false">IF($A26="","",IFERROR(VLOOKUP($C26,Dim_Fund!$A:$U,21,0),""))</f>
        <v>TOP-FI1</v>
      </c>
      <c r="AM26" s="4" t="str">
        <f aca="false">IF($A26="","",IF($U26="","",IF($U26&gt;$B26+IFERROR(VLOOKUP($C26,Dim_Fund!$A:$AH,34,0),0)/24,"Yes","No")))</f>
        <v>No</v>
      </c>
      <c r="AN26" s="22" t="n">
        <f aca="false">IF($A26="","",IFERROR(VLOOKUP($C26,Dim_Fund!$A:$AH,34,0),""))</f>
        <v>13.2666666666667</v>
      </c>
      <c r="AO26" s="22" t="n">
        <f aca="false">IF($A26="","",IF($AL26="","",IFERROR(FLOOR(IF(COUNTIFS(Fact_Milestone!$A:$A,$B26,Fact_Milestone!$B:$B,$AL26,Fact_Milestone!$F:$F,"&gt;0")&gt;0,_xlfn.MINIFS(Fact_Milestone!$F:$F,Fact_Milestone!$A:$A,$B26,Fact_Milestone!$B:$B,$AL26,Fact_Milestone!$F:$F,"&gt;0"),VLOOKUP($AL26,Dim_TOP!$A:$E,5,0)),0.5),"")))</f>
        <v>12</v>
      </c>
      <c r="AP26" s="22" t="n">
        <f aca="false">IF($A26="","",IF($U26="","",ROUND(($U26-INT($U26))*24,4)))</f>
        <v>11.9333</v>
      </c>
      <c r="AQ26" s="22" t="n">
        <f aca="false">IF($A26="","",IF($W26="","",ROUND(($W26-INT($W26))*24,4)))</f>
        <v>15.8667</v>
      </c>
      <c r="AR26" s="22" t="n">
        <f aca="false">IF($A26="","",IF($X26="","",ROUND(($X26-INT($X26))*24,4)))</f>
        <v>16.0167</v>
      </c>
      <c r="AS26" s="38" t="n">
        <f aca="false">IF($A26="","",IF(OR($AN26="",$V26="",$S26="",$T26=""),"",ROUND(($V26-($B26+$AN26/24))*1440-$S26-$T26,0)))</f>
        <v>258</v>
      </c>
      <c r="AT26" s="38" t="n">
        <f aca="false">IF($A26="","",IF(OR($AN26="",$U26=""),"",ROUND(($U26-($B26+$AN26/24))*1440,0)))</f>
        <v>-80</v>
      </c>
      <c r="AU26" s="38" t="n">
        <f aca="false">IF($A26="","",IF(OR($AD26="",$S26=""),"",ROUND($AD26-$S26,0)))</f>
        <v>-1</v>
      </c>
      <c r="AV26" s="38" t="n">
        <f aca="false">IF($A26="","",N($AE26))</f>
        <v>18</v>
      </c>
      <c r="AW26" s="38" t="n">
        <f aca="false">IF($A26="","",IF(OR($AF26="",$T26=""),"",$AF26-$T26))</f>
        <v>24</v>
      </c>
      <c r="AX26" s="38" t="n">
        <f aca="false">IF($A26="","",IF(COUNT($AT26,$AB26,$AU26,$AW26,$AS26,$AH26)&lt;6,"",ROUND($AT26+$AB26+$AU26+$AV26+$AW26-$AS26-$AH26,0)))</f>
        <v>0</v>
      </c>
      <c r="AY26" s="4" t="str">
        <f aca="false">IF($A26="","",IF($AX26="","No",IF(ABS($AX26)&lt;=2,"Yes","No")))</f>
        <v>Yes</v>
      </c>
      <c r="AZ26" s="4" t="str">
        <f aca="false">IF($A26="","",IF($AI26&lt;&gt;"Yes","n/a",IF(OR($AA26="",$S26="",$T26=""),"Unknown",IF($AA26&lt;$S26+$T26,"Lost on arrival","Lost after arrival"))))</f>
        <v>n/a</v>
      </c>
      <c r="BA26" s="10" t="str">
        <f aca="false">IF($A26="","",IFERROR(VLOOKUP($C26,Dim_Fund!$A:$D,4,0),""))</f>
        <v>Halvern Wealth</v>
      </c>
      <c r="BB26" s="10" t="str">
        <f aca="false">IF($A26="","",IF($AL26="","",IF(COUNTIFS(Fact_Milestone!$A:$A,$B26,Fact_Milestone!$B:$B,$AL26,Fact_Milestone!$I:$I,"No")&gt;0,"No",IF(COUNTIFS(Fact_Milestone!$A:$A,$B26,Fact_Milestone!$B:$B,$AL26,Fact_Milestone!$I:$I,"Yes")&gt;0,"Yes",""))))</f>
        <v>Yes</v>
      </c>
      <c r="BC26" s="45" t="str">
        <f aca="false">IF($A26="","",IF(OR($L26="",$W26=""),"",IF(COUNTIFS($L:$L,$L26,$B:$B,$B26,$W:$W,"&lt;"&amp;$W26)=0,"",_xlfn.MAXIFS($W:$W,$L:$L,$L26,$B:$B,$B26,$W:$W,"&lt;"&amp;$W26))))</f>
        <v/>
      </c>
      <c r="BD26" s="39" t="n">
        <f aca="false">IF($A26="","",IF($AC26="","",IF(OR($L26="",$AC26=0),0,MIN($AC26,ROUND(ROUND(1440*SUMPRODUCT(($L$2:INDEX($L:$L,COUNTA($C:$C))=$L26)*($B$2:INDEX($B:$B,COUNTA($C:$C))=$B26)*(ROW($L$2:INDEX($L:$L,COUNTA($C:$C)))&lt;&gt;ROW())*((((($W26+$BT$2:INDEX($BT:$BT,COUNTA($C:$C))-ABS($W26-$BT$2:INDEX($BT:$BT,COUNTA($C:$C))))/2)-(($U26+$BS$2:INDEX($BS:$BS,COUNTA($C:$C))+ABS($U26-$BS$2:INDEX($BS:$BS,COUNTA($C:$C))))/2))+ABS(((($W26+$BT$2:INDEX($BT:$BT,COUNTA($C:$C))-ABS($W26-$BT$2:INDEX($BT:$BT,COUNTA($C:$C))))/2)-(($U26+$BS$2:INDEX($BS:$BS,COUNTA($C:$C))+ABS($U26-$BS$2:INDEX($BS:$BS,COUNTA($C:$C))))/2))))/2)),4),0)))))</f>
        <v>0</v>
      </c>
      <c r="BE26" s="39" t="n">
        <f aca="false">IF($A26="","",IF($AC26="","",ROUND(MIN($AC26-$BD26,N($R26)),0)))</f>
        <v>15</v>
      </c>
      <c r="BF26" s="10" t="str">
        <f aca="false">IF($A26="","",IFERROR(VLOOKUP($C26,Dim_Fund!$A:$BD,56,0),""))</f>
        <v>Yes</v>
      </c>
      <c r="BG26" s="10" t="str">
        <f aca="false">IF($A26="","",IFERROR(VLOOKUP($C26,Dim_Fund!$A:$BH,60,0),""))</f>
        <v>Ample custody slack</v>
      </c>
      <c r="BH26" s="10" t="str">
        <f aca="false">IF($A26="","",IF($AI26&lt;&gt;"Yes","Not breached",IF($AM26="Yes","Pricing late",IF($BG26="Thin custody slack","Thin custody slack",IF($BF26="Yes","Broker-dependent","None of these")))))</f>
        <v>Not breached</v>
      </c>
      <c r="BI26" s="23" t="n">
        <f aca="false">IF($A26="","",IFERROR(IF(VLOOKUP($C26,Dim_Fund!$A:$AI,35,0)&gt;0,VLOOKUP($C26,Dim_Fund!$A:$AI,35,0),""),""))</f>
        <v>17.7333333333333</v>
      </c>
      <c r="BJ26" s="10" t="str">
        <f aca="false">IF($A26="","",$C26&amp;IF($E26="Client","*",""))</f>
        <v>FD-1006</v>
      </c>
      <c r="BK26" s="39" t="n">
        <f aca="false">IF($A26="","",IFERROR(ROUND(($Y26-$X26)*1440,0),""))</f>
        <v>42</v>
      </c>
      <c r="BL26" s="39" t="n">
        <f aca="false">IF($A26="","",IF($AH26="","",-$AH26))</f>
        <v>61</v>
      </c>
      <c r="BM26" s="46" t="n">
        <f aca="false">IF($A26="","",IF($AQ26="","",IF($AP26="",$AQ26,MIN($AP26,$AQ26))))</f>
        <v>11.9333</v>
      </c>
      <c r="BN26" s="46" t="n">
        <f aca="false">IF($A26="","",IF($BM26="","",ROUND(N($AC26)/60,4)))</f>
        <v>3.9333</v>
      </c>
      <c r="BO26" s="46" t="n">
        <f aca="false">IF($A26="","",IF(OR($BM26="",$AD26=""),"",ROUND($AD26/60,4)))</f>
        <v>0.15</v>
      </c>
      <c r="BP26" s="46" t="n">
        <f aca="false">IF($A26="","",IF($BM26="","",ROUND(N($AE26)/60,4)))</f>
        <v>0.3</v>
      </c>
      <c r="BQ26" s="46" t="n">
        <f aca="false">IF($A26="","",IF(OR($BM26="",$AF26=""),"",ROUND($AF26/60,4)))</f>
        <v>0.4</v>
      </c>
      <c r="BR26" s="39" t="n">
        <f aca="false">IF($A26="","",IF($AC26="","",$AC26-$BD26-$BE26))</f>
        <v>221</v>
      </c>
      <c r="BS26" s="45" t="n">
        <f aca="false">IF($A26="","",IF(AND(ISNUMBER($Z26),ISNUMBER($W26)),$Z26,0))</f>
        <v>46267.6505555556</v>
      </c>
      <c r="BT26" s="45" t="n">
        <f aca="false">IF($A26="","",IF(ISNUMBER($W26),$W26,0))</f>
        <v>46267.6611111111</v>
      </c>
      <c r="BU26" s="23" t="n">
        <f aca="false">IF($A26="","",IF(ISNUMBER($W26),ROUND(($W26-$B26)*24,4),""))</f>
        <v>15.8667</v>
      </c>
      <c r="BV26" s="23" t="n">
        <f aca="false">IF($A26="","",IF(ISNUMBER($X26),ROUND(($X26-$B26)*24,4),""))</f>
        <v>16.0167</v>
      </c>
      <c r="BW26" s="10" t="str">
        <f aca="false">IF($A26="","",IF(NOT(ISNUMBER($W26)),"Missing Calculated",IF(NOT(ISNUMBER($X26)),IF($E26="Client","Missing FA signed off","Missing Controlled"),IF($X26&lt;$W26,"End before start","OK"))))</f>
        <v>OK</v>
      </c>
      <c r="BX26" s="23" t="n">
        <f aca="false">IF($A26="","",IF(NOT(ISNUMBER($Z26)),"",ROUND((IF(ISNUMBER($U26),MIN($U26,$Z26),$Z26)-$B26)*24,4)))</f>
        <v>11.9333</v>
      </c>
      <c r="BY26" s="23" t="n">
        <f aca="false">IF($A26="","",IF(ISNUMBER($Z26),ROUND(($Z26-$B26)*24,4),""))</f>
        <v>15.6133</v>
      </c>
      <c r="BZ26" s="23" t="n">
        <f aca="false">IF($A26="","",IF(AND(ISNUMBER($W26),ISNUMBER($S26)),ROUND(($W26+$S26/1440-$B26)*24,4),""))</f>
        <v>16.035</v>
      </c>
    </row>
    <row r="27" customFormat="false" ht="15" hidden="false" customHeight="true" outlineLevel="0" collapsed="false">
      <c r="A27" s="34" t="n">
        <v>46266</v>
      </c>
      <c r="B27" s="34" t="n">
        <v>46267</v>
      </c>
      <c r="C27" s="13" t="s">
        <v>340</v>
      </c>
      <c r="D27" s="4" t="n">
        <f aca="false">IF($A27="","",$B27-$A27)</f>
        <v>1</v>
      </c>
      <c r="E27" s="4" t="str">
        <f aca="false">IF($A27="","",IFERROR(VLOOKUP($C27,Dim_Fund!$A:$X,24,0),""))</f>
        <v>FA</v>
      </c>
      <c r="F27" s="37" t="n">
        <f aca="false">IF($A27="","",IF(COUNTIFS(Status_Log!$A:$A,$A27,Status_Log!$B:$B,$B27,Status_Log!$C:$C,$C27,Status_Log!$D:$D,"Changed to the status of Calculated")=0,"",_xlfn.MINIFS(Status_Log!$E:$E,Status_Log!$A:$A,$A27,Status_Log!$B:$B,$B27,Status_Log!$C:$C,$C27,Status_Log!$D:$D,"Changed to the status of Calculated")))</f>
        <v>46267.6534722222</v>
      </c>
      <c r="G27" s="37" t="n">
        <f aca="false">IF($A27="","",IF(COUNTIFS(Status_Log!$A:$A,$A27,Status_Log!$B:$B,$B27,Status_Log!$C:$C,$C27,Status_Log!$D:$D,"Changed to the status of Controlled")=0,"",_xlfn.MAXIFS(Status_Log!$E:$E,Status_Log!$A:$A,$A27,Status_Log!$B:$B,$B27,Status_Log!$C:$C,$C27,Status_Log!$D:$D,"Changed to the status of Controlled")))</f>
        <v>46267.6631944445</v>
      </c>
      <c r="H27" s="37" t="n">
        <f aca="false">IF($A27="","",IF(COUNTIFS(Status_Log!$A:$A,$A27,Status_Log!$B:$B,$B27,Status_Log!$C:$C,$C27,Status_Log!$D:$D,"Changed to the status of Fund accounting signed off")=0,"",_xlfn.MAXIFS(Status_Log!$E:$E,Status_Log!$A:$A,$A27,Status_Log!$B:$B,$B27,Status_Log!$C:$C,$C27,Status_Log!$D:$D,"Changed to the status of Fund accounting signed off")))</f>
        <v>46267.6708333333</v>
      </c>
      <c r="I27" s="37" t="n">
        <f aca="false">IF($A27="","",IF(COUNTIFS(Status_Log!$A:$A,$A27,Status_Log!$B:$B,$B27,Status_Log!$C:$C,$C27,Status_Log!$D:$D,"Changed to the status of signed off")=0,"",_xlfn.MAXIFS(Status_Log!$E:$E,Status_Log!$A:$A,$A27,Status_Log!$B:$B,$B27,Status_Log!$C:$C,$C27,Status_Log!$D:$D,"Changed to the status of signed off")))</f>
        <v>46267.6895833333</v>
      </c>
      <c r="J27" s="4" t="n">
        <f aca="false">IF($A27="","",COUNTIFS(Status_Log!$A:$A,$A27,Status_Log!$B:$B,$B27,Status_Log!$C:$C,$C27,Status_Log!$D:$D,"Changed to the status of Calculated"))</f>
        <v>1</v>
      </c>
      <c r="K27" s="38" t="n">
        <f aca="false">IF($A27="","",IF(J27&lt;=1,0,ROUND((_xlfn.MAXIFS(Status_Log!$E:$E,Status_Log!$A:$A,$A27,Status_Log!$B:$B,$B27,Status_Log!$C:$C,$C27,Status_Log!$D:$D,"Changed to the status of Calculated")-F27)*1440,0)))</f>
        <v>0</v>
      </c>
      <c r="L27" s="4" t="str">
        <f aca="false">IF($A27="","",IFERROR(INDEX(Status_Log!$F:$F,MATCH($A27&amp;"|"&amp;$B27&amp;"|"&amp;$C27&amp;"|Changed to the status of Calculated|"&amp;TEXT(_xlfn.MAXIFS(Status_Log!$E:$E,Status_Log!$A:$A,$A27,Status_Log!$B:$B,$B27,Status_Log!$C:$C,$C27,Status_Log!$D:$D,"Changed to the status of Calculated"),"0.000000"),Status_Log!$H:$H,0)),""))</f>
        <v>Lim Wei Ming</v>
      </c>
      <c r="M27" s="4" t="str">
        <f aca="false">IF($A27="","",IF(E27="Client","n/a — no control step",IFERROR(INDEX(Status_Log!$F:$F,MATCH($A27&amp;"|"&amp;$B27&amp;"|"&amp;$C27&amp;"|Changed to the status of Controlled|"&amp;TEXT(_xlfn.MAXIFS(Status_Log!$E:$E,Status_Log!$A:$A,$A27,Status_Log!$B:$B,$B27,Status_Log!$C:$C,$C27,Status_Log!$D:$D,"Changed to the status of Controlled"),"0.000000"),Status_Log!$H:$H,0)),"")))</f>
        <v>Lim Wei Ming</v>
      </c>
      <c r="N27" s="4" t="str">
        <f aca="false">IF($A27="","",IFERROR(VLOOKUP($C27,Dim_Fund!$A:$G,7,0),""))</f>
        <v>Lim Wei Ming</v>
      </c>
      <c r="O27" s="4" t="str">
        <f aca="false">IF($A27="","",IF(L27=N27,"No","Yes"))</f>
        <v>No</v>
      </c>
      <c r="P27" s="4" t="str">
        <f aca="false">IF($A27="","",IF(E27="Client","n/a",IF(L27=M27,"YES — four-eyes breach","No")))</f>
        <v>YES — four-eyes breach</v>
      </c>
      <c r="Q27" s="38" t="n">
        <f aca="false">IF($A27="","",IFERROR(VLOOKUP($C27,Dim_Fund!$A:$AB,28,0),""))</f>
        <v>29.7</v>
      </c>
      <c r="R27" s="38" t="n">
        <f aca="false">IF($A27="","",IFERROR(VLOOKUP($C27,Dim_Fund!$A:$AC,29,0),""))</f>
        <v>20.8</v>
      </c>
      <c r="S27" s="38" t="n">
        <f aca="false">IF($A27="","",IFERROR(VLOOKUP($C27,Dim_Fund!$A:$AD,30,0),""))</f>
        <v>8.9</v>
      </c>
      <c r="T27" s="38" t="n">
        <f aca="false">IF($A27="","",IFERROR(VLOOKUP($C27,Dim_Fund!$A:$AL,38,0),""))</f>
        <v>0</v>
      </c>
      <c r="U27" s="37" t="n">
        <f aca="false">IF($A27="","",IF(AL27="","",IFERROR(IF(COUNTIFS(Fact_Milestone!$A:$A,$B27,Fact_Milestone!$B:$B,AL27)=0,"",_xlfn.MAXIFS(Fact_Milestone!$C:$C,Fact_Milestone!$A:$A,$B27,Fact_Milestone!$B:$B,AL27)),"")))</f>
        <v>46267.4465277778</v>
      </c>
      <c r="V27" s="37" t="n">
        <f aca="false">IF($A27="","",IFERROR(IF(VLOOKUP($C27,Dim_Fund!$A:$AI,35,0)&gt;0,$B27+VLOOKUP($C27,Dim_Fund!$A:$AI,35,0)/24,""),""))</f>
        <v>46267.7236111111</v>
      </c>
      <c r="W27" s="37" t="n">
        <f aca="false">IF($A27="","",F27)</f>
        <v>46267.6534722222</v>
      </c>
      <c r="X27" s="37" t="n">
        <f aca="false">IF($A27="","",IF(E27="Client",H27,G27))</f>
        <v>46267.6631944445</v>
      </c>
      <c r="Y27" s="37" t="n">
        <f aca="false">IF($A27="","",I27)</f>
        <v>46267.6895833333</v>
      </c>
      <c r="Z27" s="37" t="n">
        <f aca="false">IF($A27="","",IFERROR(W27-R27/1440,""))</f>
        <v>46267.6390277778</v>
      </c>
      <c r="AA27" s="38" t="n">
        <f aca="false">IF($A27="","",IF(OR(U27="",V27=""),"",ROUND((V27-U27)*1440,0)))</f>
        <v>399</v>
      </c>
      <c r="AB27" s="38" t="n">
        <f aca="false">IF($A27="","",IF(U27="","",ROUND((W27-U27)*1440,0)))</f>
        <v>298</v>
      </c>
      <c r="AC27" s="38" t="n">
        <f aca="false">IF($A27="","",IF(AB27="","",MAX(0,AB27)))</f>
        <v>298</v>
      </c>
      <c r="AD27" s="38" t="n">
        <f aca="false">IF($A27="","",IFERROR(ROUND((X27-W27)*1440,0),""))</f>
        <v>14</v>
      </c>
      <c r="AE27" s="38" t="n">
        <f aca="false">IF($A27="","",IF(E27="Client","n/a",IFERROR(ROUND((H27-G27)*1440,0),"")))</f>
        <v>11</v>
      </c>
      <c r="AF27" s="38" t="n">
        <f aca="false">IF($A27="","",IFERROR(ROUND((Y27-H27)*1440,0),""))</f>
        <v>27</v>
      </c>
      <c r="AG27" s="38" t="n">
        <f aca="false">IF($A27="","",IFERROR(ROUND((H27-F27)*1440,0),""))</f>
        <v>25</v>
      </c>
      <c r="AH27" s="38" t="n">
        <f aca="false">IF($A27="","",IFERROR(ROUND((Y27-V27)*1440,0),""))</f>
        <v>-49</v>
      </c>
      <c r="AI27" s="4" t="str">
        <f aca="false">IF($A27="","",IF(AH27="","",IF(AH27&gt;0,"Yes","No")))</f>
        <v>No</v>
      </c>
      <c r="AJ27" s="4" t="str">
        <f aca="false">IF($A27="","",IF(AI27&lt;&gt;"Yes","On time",IF(N(AC27)&gt;=MAX(N(AF27),N(K27)),"Wait for analyst",IF(N(AF27)&gt;=N(K27),"External sign-off","Rework"))))</f>
        <v>On time</v>
      </c>
      <c r="AK27" s="4" t="str">
        <f aca="false">IF($A27="","",IF(OR(F27="",Y27="",ISNA(MATCH(L27,Dim_Analyst!$A:$A,0))),"CHECK","OK"))</f>
        <v>OK</v>
      </c>
      <c r="AL27" s="4" t="str">
        <f aca="false">IF($A27="","",IFERROR(VLOOKUP($C27,Dim_Fund!$A:$U,21,0),""))</f>
        <v>TOP-MA1</v>
      </c>
      <c r="AM27" s="4" t="str">
        <f aca="false">IF($A27="","",IF($U27="","",IF($U27&gt;$B27+IFERROR(VLOOKUP($C27,Dim_Fund!$A:$AH,34,0),0)/24,"Yes","No")))</f>
        <v>No</v>
      </c>
      <c r="AN27" s="22" t="n">
        <f aca="false">IF($A27="","",IFERROR(VLOOKUP($C27,Dim_Fund!$A:$AH,34,0),""))</f>
        <v>13.1166666666667</v>
      </c>
      <c r="AO27" s="22" t="n">
        <f aca="false">IF($A27="","",IF($AL27="","",IFERROR(FLOOR(IF(COUNTIFS(Fact_Milestone!$A:$A,$B27,Fact_Milestone!$B:$B,$AL27,Fact_Milestone!$F:$F,"&gt;0")&gt;0,_xlfn.MINIFS(Fact_Milestone!$F:$F,Fact_Milestone!$A:$A,$B27,Fact_Milestone!$B:$B,$AL27,Fact_Milestone!$F:$F,"&gt;0"),VLOOKUP($AL27,Dim_TOP!$A:$E,5,0)),0.5),"")))</f>
        <v>11.5</v>
      </c>
      <c r="AP27" s="22" t="n">
        <f aca="false">IF($A27="","",IF($U27="","",ROUND(($U27-INT($U27))*24,4)))</f>
        <v>10.7167</v>
      </c>
      <c r="AQ27" s="22" t="n">
        <f aca="false">IF($A27="","",IF($W27="","",ROUND(($W27-INT($W27))*24,4)))</f>
        <v>15.6833</v>
      </c>
      <c r="AR27" s="22" t="n">
        <f aca="false">IF($A27="","",IF($X27="","",ROUND(($X27-INT($X27))*24,4)))</f>
        <v>15.9167</v>
      </c>
      <c r="AS27" s="38" t="n">
        <f aca="false">IF($A27="","",IF(OR($AN27="",$V27="",$S27="",$T27=""),"",ROUND(($V27-($B27+$AN27/24))*1440-$S27-$T27,0)))</f>
        <v>246</v>
      </c>
      <c r="AT27" s="38" t="n">
        <f aca="false">IF($A27="","",IF(OR($AN27="",$U27=""),"",ROUND(($U27-($B27+$AN27/24))*1440,0)))</f>
        <v>-144</v>
      </c>
      <c r="AU27" s="38" t="n">
        <f aca="false">IF($A27="","",IF(OR($AD27="",$S27=""),"",ROUND($AD27-$S27,0)))</f>
        <v>5</v>
      </c>
      <c r="AV27" s="38" t="n">
        <f aca="false">IF($A27="","",N($AE27))</f>
        <v>11</v>
      </c>
      <c r="AW27" s="38" t="n">
        <f aca="false">IF($A27="","",IF(OR($AF27="",$T27=""),"",$AF27-$T27))</f>
        <v>27</v>
      </c>
      <c r="AX27" s="38" t="n">
        <f aca="false">IF($A27="","",IF(COUNT($AT27,$AB27,$AU27,$AW27,$AS27,$AH27)&lt;6,"",ROUND($AT27+$AB27+$AU27+$AV27+$AW27-$AS27-$AH27,0)))</f>
        <v>0</v>
      </c>
      <c r="AY27" s="4" t="str">
        <f aca="false">IF($A27="","",IF($AX27="","No",IF(ABS($AX27)&lt;=2,"Yes","No")))</f>
        <v>Yes</v>
      </c>
      <c r="AZ27" s="4" t="str">
        <f aca="false">IF($A27="","",IF($AI27&lt;&gt;"Yes","n/a",IF(OR($AA27="",$S27="",$T27=""),"Unknown",IF($AA27&lt;$S27+$T27,"Lost on arrival","Lost after arrival"))))</f>
        <v>n/a</v>
      </c>
      <c r="BA27" s="10" t="str">
        <f aca="false">IF($A27="","",IFERROR(VLOOKUP($C27,Dim_Fund!$A:$D,4,0),""))</f>
        <v>Meridian Pensions</v>
      </c>
      <c r="BB27" s="10" t="str">
        <f aca="false">IF($A27="","",IF($AL27="","",IF(COUNTIFS(Fact_Milestone!$A:$A,$B27,Fact_Milestone!$B:$B,$AL27,Fact_Milestone!$I:$I,"No")&gt;0,"No",IF(COUNTIFS(Fact_Milestone!$A:$A,$B27,Fact_Milestone!$B:$B,$AL27,Fact_Milestone!$I:$I,"Yes")&gt;0,"Yes",""))))</f>
        <v>Yes</v>
      </c>
      <c r="BC27" s="45" t="str">
        <f aca="false">IF($A27="","",IF(OR($L27="",$W27=""),"",IF(COUNTIFS($L:$L,$L27,$B:$B,$B27,$W:$W,"&lt;"&amp;$W27)=0,"",_xlfn.MAXIFS($W:$W,$L:$L,$L27,$B:$B,$B27,$W:$W,"&lt;"&amp;$W27))))</f>
        <v/>
      </c>
      <c r="BD27" s="39" t="n">
        <f aca="false">IF($A27="","",IF($AC27="","",IF(OR($L27="",$AC27=0),0,MIN($AC27,ROUND(ROUND(1440*SUMPRODUCT(($L$2:INDEX($L:$L,COUNTA($C:$C))=$L27)*($B$2:INDEX($B:$B,COUNTA($C:$C))=$B27)*(ROW($L$2:INDEX($L:$L,COUNTA($C:$C)))&lt;&gt;ROW())*((((($W27+$BT$2:INDEX($BT:$BT,COUNTA($C:$C))-ABS($W27-$BT$2:INDEX($BT:$BT,COUNTA($C:$C))))/2)-(($U27+$BS$2:INDEX($BS:$BS,COUNTA($C:$C))+ABS($U27-$BS$2:INDEX($BS:$BS,COUNTA($C:$C))))/2))+ABS(((($W27+$BT$2:INDEX($BT:$BT,COUNTA($C:$C))-ABS($W27-$BT$2:INDEX($BT:$BT,COUNTA($C:$C))))/2)-(($U27+$BS$2:INDEX($BS:$BS,COUNTA($C:$C))+ABS($U27-$BS$2:INDEX($BS:$BS,COUNTA($C:$C))))/2))))/2)),4),0)))))</f>
        <v>0</v>
      </c>
      <c r="BE27" s="39" t="n">
        <f aca="false">IF($A27="","",IF($AC27="","",ROUND(MIN($AC27-$BD27,N($R27)),0)))</f>
        <v>21</v>
      </c>
      <c r="BF27" s="10" t="str">
        <f aca="false">IF($A27="","",IFERROR(VLOOKUP($C27,Dim_Fund!$A:$BD,56,0),""))</f>
        <v>No</v>
      </c>
      <c r="BG27" s="10" t="str">
        <f aca="false">IF($A27="","",IFERROR(VLOOKUP($C27,Dim_Fund!$A:$BH,60,0),""))</f>
        <v>Ample custody slack</v>
      </c>
      <c r="BH27" s="10" t="str">
        <f aca="false">IF($A27="","",IF($AI27&lt;&gt;"Yes","Not breached",IF($AM27="Yes","Pricing late",IF($BG27="Thin custody slack","Thin custody slack",IF($BF27="Yes","Broker-dependent","None of these")))))</f>
        <v>Not breached</v>
      </c>
      <c r="BI27" s="23" t="n">
        <f aca="false">IF($A27="","",IFERROR(IF(VLOOKUP($C27,Dim_Fund!$A:$AI,35,0)&gt;0,VLOOKUP($C27,Dim_Fund!$A:$AI,35,0),""),""))</f>
        <v>17.3666666666667</v>
      </c>
      <c r="BJ27" s="10" t="str">
        <f aca="false">IF($A27="","",$C27&amp;IF($E27="Client","*",""))</f>
        <v>FD-1007</v>
      </c>
      <c r="BK27" s="39" t="n">
        <f aca="false">IF($A27="","",IFERROR(ROUND(($Y27-$X27)*1440,0),""))</f>
        <v>38</v>
      </c>
      <c r="BL27" s="39" t="n">
        <f aca="false">IF($A27="","",IF($AH27="","",-$AH27))</f>
        <v>49</v>
      </c>
      <c r="BM27" s="46" t="n">
        <f aca="false">IF($A27="","",IF($AQ27="","",IF($AP27="",$AQ27,MIN($AP27,$AQ27))))</f>
        <v>10.7167</v>
      </c>
      <c r="BN27" s="46" t="n">
        <f aca="false">IF($A27="","",IF($BM27="","",ROUND(N($AC27)/60,4)))</f>
        <v>4.9667</v>
      </c>
      <c r="BO27" s="46" t="n">
        <f aca="false">IF($A27="","",IF(OR($BM27="",$AD27=""),"",ROUND($AD27/60,4)))</f>
        <v>0.2333</v>
      </c>
      <c r="BP27" s="46" t="n">
        <f aca="false">IF($A27="","",IF($BM27="","",ROUND(N($AE27)/60,4)))</f>
        <v>0.1833</v>
      </c>
      <c r="BQ27" s="46" t="n">
        <f aca="false">IF($A27="","",IF(OR($BM27="",$AF27=""),"",ROUND($AF27/60,4)))</f>
        <v>0.45</v>
      </c>
      <c r="BR27" s="39" t="n">
        <f aca="false">IF($A27="","",IF($AC27="","",$AC27-$BD27-$BE27))</f>
        <v>277</v>
      </c>
      <c r="BS27" s="45" t="n">
        <f aca="false">IF($A27="","",IF(AND(ISNUMBER($Z27),ISNUMBER($W27)),$Z27,0))</f>
        <v>46267.6390277778</v>
      </c>
      <c r="BT27" s="45" t="n">
        <f aca="false">IF($A27="","",IF(ISNUMBER($W27),$W27,0))</f>
        <v>46267.6534722222</v>
      </c>
      <c r="BU27" s="23" t="n">
        <f aca="false">IF($A27="","",IF(ISNUMBER($W27),ROUND(($W27-$B27)*24,4),""))</f>
        <v>15.6833</v>
      </c>
      <c r="BV27" s="23" t="n">
        <f aca="false">IF($A27="","",IF(ISNUMBER($X27),ROUND(($X27-$B27)*24,4),""))</f>
        <v>15.9167</v>
      </c>
      <c r="BW27" s="10" t="str">
        <f aca="false">IF($A27="","",IF(NOT(ISNUMBER($W27)),"Missing Calculated",IF(NOT(ISNUMBER($X27)),IF($E27="Client","Missing FA signed off","Missing Controlled"),IF($X27&lt;$W27,"End before start","OK"))))</f>
        <v>OK</v>
      </c>
      <c r="BX27" s="23" t="n">
        <f aca="false">IF($A27="","",IF(NOT(ISNUMBER($Z27)),"",ROUND((IF(ISNUMBER($U27),MIN($U27,$Z27),$Z27)-$B27)*24,4)))</f>
        <v>10.7167</v>
      </c>
      <c r="BY27" s="23" t="n">
        <f aca="false">IF($A27="","",IF(ISNUMBER($Z27),ROUND(($Z27-$B27)*24,4),""))</f>
        <v>15.3367</v>
      </c>
      <c r="BZ27" s="23" t="n">
        <f aca="false">IF($A27="","",IF(AND(ISNUMBER($W27),ISNUMBER($S27)),ROUND(($W27+$S27/1440-$B27)*24,4),""))</f>
        <v>15.8317</v>
      </c>
    </row>
    <row r="28" customFormat="false" ht="15" hidden="false" customHeight="true" outlineLevel="0" collapsed="false">
      <c r="A28" s="47"/>
      <c r="B28" s="47"/>
      <c r="D28" s="4" t="str">
        <f aca="false">IF($A28="","",$B28-$A28)</f>
        <v/>
      </c>
      <c r="E28" s="4" t="str">
        <f aca="false">IF($A28="","",IFERROR(VLOOKUP($C28,Dim_Fund!$A:$X,24,0),""))</f>
        <v/>
      </c>
      <c r="F28" s="37" t="str">
        <f aca="false">IF($A28="","",IF(COUNTIFS(Status_Log!$A:$A,$A28,Status_Log!$B:$B,$B28,Status_Log!$C:$C,$C28,Status_Log!$D:$D,"Changed to the status of Calculated")=0,"",_xlfn.MINIFS(Status_Log!$E:$E,Status_Log!$A:$A,$A28,Status_Log!$B:$B,$B28,Status_Log!$C:$C,$C28,Status_Log!$D:$D,"Changed to the status of Calculated")))</f>
        <v/>
      </c>
      <c r="G28" s="37" t="str">
        <f aca="false">IF($A28="","",IF(COUNTIFS(Status_Log!$A:$A,$A28,Status_Log!$B:$B,$B28,Status_Log!$C:$C,$C28,Status_Log!$D:$D,"Changed to the status of Controlled")=0,"",_xlfn.MAXIFS(Status_Log!$E:$E,Status_Log!$A:$A,$A28,Status_Log!$B:$B,$B28,Status_Log!$C:$C,$C28,Status_Log!$D:$D,"Changed to the status of Controlled")))</f>
        <v/>
      </c>
      <c r="H28" s="37" t="str">
        <f aca="false">IF($A28="","",IF(COUNTIFS(Status_Log!$A:$A,$A28,Status_Log!$B:$B,$B28,Status_Log!$C:$C,$C28,Status_Log!$D:$D,"Changed to the status of Fund accounting signed off")=0,"",_xlfn.MAXIFS(Status_Log!$E:$E,Status_Log!$A:$A,$A28,Status_Log!$B:$B,$B28,Status_Log!$C:$C,$C28,Status_Log!$D:$D,"Changed to the status of Fund accounting signed off")))</f>
        <v/>
      </c>
      <c r="I28" s="37" t="str">
        <f aca="false">IF($A28="","",IF(COUNTIFS(Status_Log!$A:$A,$A28,Status_Log!$B:$B,$B28,Status_Log!$C:$C,$C28,Status_Log!$D:$D,"Changed to the status of signed off")=0,"",_xlfn.MAXIFS(Status_Log!$E:$E,Status_Log!$A:$A,$A28,Status_Log!$B:$B,$B28,Status_Log!$C:$C,$C28,Status_Log!$D:$D,"Changed to the status of signed off")))</f>
        <v/>
      </c>
      <c r="J28" s="4" t="str">
        <f aca="false">IF($A28="","",COUNTIFS(Status_Log!$A:$A,$A28,Status_Log!$B:$B,$B28,Status_Log!$C:$C,$C28,Status_Log!$D:$D,"Changed to the status of Calculated"))</f>
        <v/>
      </c>
      <c r="K28" s="38" t="str">
        <f aca="false">IF($A28="","",IF(J28&lt;=1,0,ROUND((_xlfn.MAXIFS(Status_Log!$E:$E,Status_Log!$A:$A,$A28,Status_Log!$B:$B,$B28,Status_Log!$C:$C,$C28,Status_Log!$D:$D,"Changed to the status of Calculated")-F28)*1440,0)))</f>
        <v/>
      </c>
      <c r="L28" s="4" t="str">
        <f aca="false">IF($A28="","",IFERROR(INDEX(Status_Log!$F:$F,MATCH($A28&amp;"|"&amp;$B28&amp;"|"&amp;$C28&amp;"|Changed to the status of Calculated|"&amp;TEXT(_xlfn.MAXIFS(Status_Log!$E:$E,Status_Log!$A:$A,$A28,Status_Log!$B:$B,$B28,Status_Log!$C:$C,$C28,Status_Log!$D:$D,"Changed to the status of Calculated"),"0.000000"),Status_Log!$H:$H,0)),""))</f>
        <v/>
      </c>
      <c r="M28" s="4" t="str">
        <f aca="false">IF($A28="","",IF(E28="Client","n/a — no control step",IFERROR(INDEX(Status_Log!$F:$F,MATCH($A28&amp;"|"&amp;$B28&amp;"|"&amp;$C28&amp;"|Changed to the status of Controlled|"&amp;TEXT(_xlfn.MAXIFS(Status_Log!$E:$E,Status_Log!$A:$A,$A28,Status_Log!$B:$B,$B28,Status_Log!$C:$C,$C28,Status_Log!$D:$D,"Changed to the status of Controlled"),"0.000000"),Status_Log!$H:$H,0)),"")))</f>
        <v/>
      </c>
      <c r="N28" s="4" t="str">
        <f aca="false">IF($A28="","",IFERROR(VLOOKUP($C28,Dim_Fund!$A:$G,7,0),""))</f>
        <v/>
      </c>
      <c r="O28" s="4" t="str">
        <f aca="false">IF($A28="","",IF(L28=N28,"No","Yes"))</f>
        <v/>
      </c>
      <c r="P28" s="4" t="str">
        <f aca="false">IF($A28="","",IF(E28="Client","n/a",IF(L28=M28,"YES — four-eyes breach","No")))</f>
        <v/>
      </c>
      <c r="Q28" s="38" t="str">
        <f aca="false">IF($A28="","",IFERROR(VLOOKUP($C28,Dim_Fund!$A:$AB,28,0),""))</f>
        <v/>
      </c>
      <c r="R28" s="38" t="str">
        <f aca="false">IF($A28="","",IFERROR(VLOOKUP($C28,Dim_Fund!$A:$AC,29,0),""))</f>
        <v/>
      </c>
      <c r="S28" s="38" t="str">
        <f aca="false">IF($A28="","",IFERROR(VLOOKUP($C28,Dim_Fund!$A:$AD,30,0),""))</f>
        <v/>
      </c>
      <c r="T28" s="38" t="str">
        <f aca="false">IF($A28="","",IFERROR(VLOOKUP($C28,Dim_Fund!$A:$AL,38,0),""))</f>
        <v/>
      </c>
      <c r="U28" s="37" t="str">
        <f aca="false">IF($A28="","",IF(AL28="","",IFERROR(IF(COUNTIFS(Fact_Milestone!$A:$A,$B28,Fact_Milestone!$B:$B,AL28)=0,"",_xlfn.MAXIFS(Fact_Milestone!$C:$C,Fact_Milestone!$A:$A,$B28,Fact_Milestone!$B:$B,AL28)),"")))</f>
        <v/>
      </c>
      <c r="V28" s="37" t="str">
        <f aca="false">IF($A28="","",IFERROR(IF(VLOOKUP($C28,Dim_Fund!$A:$AI,35,0)&gt;0,$B28+VLOOKUP($C28,Dim_Fund!$A:$AI,35,0)/24,""),""))</f>
        <v/>
      </c>
      <c r="W28" s="37" t="str">
        <f aca="false">IF($A28="","",F28)</f>
        <v/>
      </c>
      <c r="X28" s="37" t="str">
        <f aca="false">IF($A28="","",IF(E28="Client",H28,G28))</f>
        <v/>
      </c>
      <c r="Y28" s="37" t="str">
        <f aca="false">IF($A28="","",I28)</f>
        <v/>
      </c>
      <c r="Z28" s="37" t="str">
        <f aca="false">IF($A28="","",IFERROR(W28-R28/1440,""))</f>
        <v/>
      </c>
      <c r="AA28" s="38" t="str">
        <f aca="false">IF($A28="","",IF(OR(U28="",V28=""),"",ROUND((V28-U28)*1440,0)))</f>
        <v/>
      </c>
      <c r="AB28" s="38" t="str">
        <f aca="false">IF($A28="","",IF(U28="","",ROUND((W28-U28)*1440,0)))</f>
        <v/>
      </c>
      <c r="AC28" s="38" t="str">
        <f aca="false">IF($A28="","",IF(AB28="","",MAX(0,AB28)))</f>
        <v/>
      </c>
      <c r="AD28" s="38" t="str">
        <f aca="false">IF($A28="","",IFERROR(ROUND((X28-W28)*1440,0),""))</f>
        <v/>
      </c>
      <c r="AE28" s="38" t="str">
        <f aca="false">IF($A28="","",IF(E28="Client","n/a",IFERROR(ROUND((H28-G28)*1440,0),"")))</f>
        <v/>
      </c>
      <c r="AF28" s="38" t="str">
        <f aca="false">IF($A28="","",IFERROR(ROUND((Y28-H28)*1440,0),""))</f>
        <v/>
      </c>
      <c r="AG28" s="38" t="str">
        <f aca="false">IF($A28="","",IFERROR(ROUND((H28-F28)*1440,0),""))</f>
        <v/>
      </c>
      <c r="AH28" s="38" t="str">
        <f aca="false">IF($A28="","",IFERROR(ROUND((Y28-V28)*1440,0),""))</f>
        <v/>
      </c>
      <c r="AI28" s="4" t="str">
        <f aca="false">IF($A28="","",IF(AH28="","",IF(AH28&gt;0,"Yes","No")))</f>
        <v/>
      </c>
      <c r="AJ28" s="4" t="str">
        <f aca="false">IF($A28="","",IF(AI28&lt;&gt;"Yes","On time",IF(N(AC28)&gt;=MAX(N(AF28),N(K28)),"Wait for analyst",IF(N(AF28)&gt;=N(K28),"External sign-off","Rework"))))</f>
        <v/>
      </c>
      <c r="AK28" s="4" t="str">
        <f aca="false">IF($A28="","",IF(OR(F28="",Y28="",ISNA(MATCH(L28,Dim_Analyst!$A:$A,0))),"CHECK","OK"))</f>
        <v/>
      </c>
      <c r="AL28" s="4" t="str">
        <f aca="false">IF($A28="","",IFERROR(VLOOKUP($C28,Dim_Fund!$A:$U,21,0),""))</f>
        <v/>
      </c>
      <c r="AM28" s="4" t="str">
        <f aca="false">IF($A28="","",IF($U28="","",IF($U28&gt;$B28+IFERROR(VLOOKUP($C28,Dim_Fund!$A:$AH,34,0),0)/24,"Yes","No")))</f>
        <v/>
      </c>
      <c r="AN28" s="22" t="str">
        <f aca="false">IF($A28="","",IFERROR(VLOOKUP($C28,Dim_Fund!$A:$AH,34,0),""))</f>
        <v/>
      </c>
      <c r="AO28" s="22" t="str">
        <f aca="false">IF($A28="","",IF($AL28="","",IFERROR(FLOOR(IF(COUNTIFS(Fact_Milestone!$A:$A,$B28,Fact_Milestone!$B:$B,$AL28,Fact_Milestone!$F:$F,"&gt;0")&gt;0,_xlfn.MINIFS(Fact_Milestone!$F:$F,Fact_Milestone!$A:$A,$B28,Fact_Milestone!$B:$B,$AL28,Fact_Milestone!$F:$F,"&gt;0"),VLOOKUP($AL28,Dim_TOP!$A:$E,5,0)),0.5),"")))</f>
        <v/>
      </c>
      <c r="AP28" s="22" t="str">
        <f aca="false">IF($A28="","",IF($U28="","",ROUND(($U28-INT($U28))*24,4)))</f>
        <v/>
      </c>
      <c r="AQ28" s="22" t="str">
        <f aca="false">IF($A28="","",IF($W28="","",ROUND(($W28-INT($W28))*24,4)))</f>
        <v/>
      </c>
      <c r="AR28" s="22" t="str">
        <f aca="false">IF($A28="","",IF($X28="","",ROUND(($X28-INT($X28))*24,4)))</f>
        <v/>
      </c>
      <c r="AS28" s="38" t="str">
        <f aca="false">IF($A28="","",IF(OR($AN28="",$V28="",$S28="",$T28=""),"",ROUND(($V28-($B28+$AN28/24))*1440-$S28-$T28,0)))</f>
        <v/>
      </c>
      <c r="AT28" s="38" t="str">
        <f aca="false">IF($A28="","",IF(OR($AN28="",$U28=""),"",ROUND(($U28-($B28+$AN28/24))*1440,0)))</f>
        <v/>
      </c>
      <c r="AU28" s="38" t="str">
        <f aca="false">IF($A28="","",IF(OR($AD28="",$S28=""),"",ROUND($AD28-$S28,0)))</f>
        <v/>
      </c>
      <c r="AV28" s="38" t="str">
        <f aca="false">IF($A28="","",N($AE28))</f>
        <v/>
      </c>
      <c r="AW28" s="38" t="str">
        <f aca="false">IF($A28="","",IF(OR($AF28="",$T28=""),"",$AF28-$T28))</f>
        <v/>
      </c>
      <c r="AX28" s="38" t="str">
        <f aca="false">IF($A28="","",IF(COUNT($AT28,$AB28,$AU28,$AW28,$AS28,$AH28)&lt;6,"",ROUND($AT28+$AB28+$AU28+$AV28+$AW28-$AS28-$AH28,0)))</f>
        <v/>
      </c>
      <c r="AY28" s="4" t="str">
        <f aca="false">IF($A28="","",IF($AX28="","No",IF(ABS($AX28)&lt;=2,"Yes","No")))</f>
        <v/>
      </c>
      <c r="AZ28" s="4" t="str">
        <f aca="false">IF($A28="","",IF($AI28&lt;&gt;"Yes","n/a",IF(OR($AA28="",$S28="",$T28=""),"Unknown",IF($AA28&lt;$S28+$T28,"Lost on arrival","Lost after arrival"))))</f>
        <v/>
      </c>
      <c r="BA28" s="10" t="str">
        <f aca="false">IF($A28="","",IFERROR(VLOOKUP($C28,Dim_Fund!$A:$D,4,0),""))</f>
        <v/>
      </c>
      <c r="BB28" s="10" t="str">
        <f aca="false">IF($A28="","",IF($AL28="","",IF(COUNTIFS(Fact_Milestone!$A:$A,$B28,Fact_Milestone!$B:$B,$AL28,Fact_Milestone!$I:$I,"No")&gt;0,"No",IF(COUNTIFS(Fact_Milestone!$A:$A,$B28,Fact_Milestone!$B:$B,$AL28,Fact_Milestone!$I:$I,"Yes")&gt;0,"Yes",""))))</f>
        <v/>
      </c>
      <c r="BC28" s="45" t="str">
        <f aca="false">IF($A28="","",IF(OR($L28="",$W28=""),"",IF(COUNTIFS($L:$L,$L28,$B:$B,$B28,$W:$W,"&lt;"&amp;$W28)=0,"",_xlfn.MAXIFS($W:$W,$L:$L,$L28,$B:$B,$B28,$W:$W,"&lt;"&amp;$W28))))</f>
        <v/>
      </c>
      <c r="BD28" s="39" t="str">
        <f aca="false">IF($A28="","",IF($AC28="","",IF(OR($L28="",$AC28=0),0,MIN($AC28,ROUND(ROUND(1440*SUMPRODUCT(($L$2:INDEX($L:$L,COUNTA($C:$C))=$L28)*($B$2:INDEX($B:$B,COUNTA($C:$C))=$B28)*(ROW($L$2:INDEX($L:$L,COUNTA($C:$C)))&lt;&gt;ROW())*((((($W28+$BT$2:INDEX($BT:$BT,COUNTA($C:$C))-ABS($W28-$BT$2:INDEX($BT:$BT,COUNTA($C:$C))))/2)-(($U28+$BS$2:INDEX($BS:$BS,COUNTA($C:$C))+ABS($U28-$BS$2:INDEX($BS:$BS,COUNTA($C:$C))))/2))+ABS(((($W28+$BT$2:INDEX($BT:$BT,COUNTA($C:$C))-ABS($W28-$BT$2:INDEX($BT:$BT,COUNTA($C:$C))))/2)-(($U28+$BS$2:INDEX($BS:$BS,COUNTA($C:$C))+ABS($U28-$BS$2:INDEX($BS:$BS,COUNTA($C:$C))))/2))))/2)),4),0)))))</f>
        <v/>
      </c>
      <c r="BE28" s="39" t="str">
        <f aca="false">IF($A28="","",IF($AC28="","",ROUND(MIN($AC28-$BD28,N($R28)),0)))</f>
        <v/>
      </c>
      <c r="BF28" s="10" t="str">
        <f aca="false">IF($A28="","",IFERROR(VLOOKUP($C28,Dim_Fund!$A:$BD,56,0),""))</f>
        <v/>
      </c>
      <c r="BG28" s="10" t="str">
        <f aca="false">IF($A28="","",IFERROR(VLOOKUP($C28,Dim_Fund!$A:$BH,60,0),""))</f>
        <v/>
      </c>
      <c r="BH28" s="10" t="str">
        <f aca="false">IF($A28="","",IF($AI28&lt;&gt;"Yes","Not breached",IF($AM28="Yes","Pricing late",IF($BG28="Thin custody slack","Thin custody slack",IF($BF28="Yes","Broker-dependent","None of these")))))</f>
        <v/>
      </c>
      <c r="BI28" s="23" t="str">
        <f aca="false">IF($A28="","",IFERROR(IF(VLOOKUP($C28,Dim_Fund!$A:$AI,35,0)&gt;0,VLOOKUP($C28,Dim_Fund!$A:$AI,35,0),""),""))</f>
        <v/>
      </c>
      <c r="BJ28" s="10" t="str">
        <f aca="false">IF($A28="","",$C28&amp;IF($E28="Client","*",""))</f>
        <v/>
      </c>
      <c r="BK28" s="39" t="str">
        <f aca="false">IF($A28="","",IFERROR(ROUND(($Y28-$X28)*1440,0),""))</f>
        <v/>
      </c>
      <c r="BL28" s="39" t="str">
        <f aca="false">IF($A28="","",IF($AH28="","",-$AH28))</f>
        <v/>
      </c>
      <c r="BM28" s="46" t="str">
        <f aca="false">IF($A28="","",IF($AQ28="","",IF($AP28="",$AQ28,MIN($AP28,$AQ28))))</f>
        <v/>
      </c>
      <c r="BN28" s="46" t="str">
        <f aca="false">IF($A28="","",IF($BM28="","",ROUND(N($AC28)/60,4)))</f>
        <v/>
      </c>
      <c r="BO28" s="46" t="str">
        <f aca="false">IF($A28="","",IF(OR($BM28="",$AD28=""),"",ROUND($AD28/60,4)))</f>
        <v/>
      </c>
      <c r="BP28" s="46" t="str">
        <f aca="false">IF($A28="","",IF($BM28="","",ROUND(N($AE28)/60,4)))</f>
        <v/>
      </c>
      <c r="BQ28" s="46" t="str">
        <f aca="false">IF($A28="","",IF(OR($BM28="",$AF28=""),"",ROUND($AF28/60,4)))</f>
        <v/>
      </c>
      <c r="BR28" s="39" t="str">
        <f aca="false">IF($A28="","",IF($AC28="","",$AC28-$BD28-$BE28))</f>
        <v/>
      </c>
      <c r="BS28" s="45" t="str">
        <f aca="false">IF($A28="","",IF(AND(ISNUMBER($Z28),ISNUMBER($W28)),$Z28,0))</f>
        <v/>
      </c>
      <c r="BT28" s="45" t="str">
        <f aca="false">IF($A28="","",IF(ISNUMBER($W28),$W28,0))</f>
        <v/>
      </c>
      <c r="BU28" s="23" t="str">
        <f aca="false">IF($A28="","",IF(ISNUMBER($W28),ROUND(($W28-$B28)*24,4),""))</f>
        <v/>
      </c>
      <c r="BV28" s="23" t="str">
        <f aca="false">IF($A28="","",IF(ISNUMBER($X28),ROUND(($X28-$B28)*24,4),""))</f>
        <v/>
      </c>
      <c r="BW28" s="10" t="str">
        <f aca="false">IF($A28="","",IF(NOT(ISNUMBER($W28)),"Missing Calculated",IF(NOT(ISNUMBER($X28)),IF($E28="Client","Missing FA signed off","Missing Controlled"),IF($X28&lt;$W28,"End before start","OK"))))</f>
        <v/>
      </c>
      <c r="BX28" s="23" t="str">
        <f aca="false">IF($A28="","",IF(NOT(ISNUMBER($Z28)),"",ROUND((IF(ISNUMBER($U28),MIN($U28,$Z28),$Z28)-$B28)*24,4)))</f>
        <v/>
      </c>
      <c r="BY28" s="23" t="str">
        <f aca="false">IF($A28="","",IF(ISNUMBER($Z28),ROUND(($Z28-$B28)*24,4),""))</f>
        <v/>
      </c>
      <c r="BZ28" s="23" t="str">
        <f aca="false">IF($A28="","",IF(AND(ISNUMBER($W28),ISNUMBER($S28)),ROUND(($W28+$S28/1440-$B28)*24,4),""))</f>
        <v/>
      </c>
    </row>
    <row r="29" customFormat="false" ht="15" hidden="false" customHeight="true" outlineLevel="0" collapsed="false">
      <c r="A29" s="47"/>
      <c r="B29" s="47"/>
      <c r="D29" s="4" t="str">
        <f aca="false">IF($A29="","",$B29-$A29)</f>
        <v/>
      </c>
      <c r="E29" s="4" t="str">
        <f aca="false">IF($A29="","",IFERROR(VLOOKUP($C29,Dim_Fund!$A:$X,24,0),""))</f>
        <v/>
      </c>
      <c r="F29" s="37" t="str">
        <f aca="false">IF($A29="","",IF(COUNTIFS(Status_Log!$A:$A,$A29,Status_Log!$B:$B,$B29,Status_Log!$C:$C,$C29,Status_Log!$D:$D,"Changed to the status of Calculated")=0,"",_xlfn.MINIFS(Status_Log!$E:$E,Status_Log!$A:$A,$A29,Status_Log!$B:$B,$B29,Status_Log!$C:$C,$C29,Status_Log!$D:$D,"Changed to the status of Calculated")))</f>
        <v/>
      </c>
      <c r="G29" s="37" t="str">
        <f aca="false">IF($A29="","",IF(COUNTIFS(Status_Log!$A:$A,$A29,Status_Log!$B:$B,$B29,Status_Log!$C:$C,$C29,Status_Log!$D:$D,"Changed to the status of Controlled")=0,"",_xlfn.MAXIFS(Status_Log!$E:$E,Status_Log!$A:$A,$A29,Status_Log!$B:$B,$B29,Status_Log!$C:$C,$C29,Status_Log!$D:$D,"Changed to the status of Controlled")))</f>
        <v/>
      </c>
      <c r="H29" s="37" t="str">
        <f aca="false">IF($A29="","",IF(COUNTIFS(Status_Log!$A:$A,$A29,Status_Log!$B:$B,$B29,Status_Log!$C:$C,$C29,Status_Log!$D:$D,"Changed to the status of Fund accounting signed off")=0,"",_xlfn.MAXIFS(Status_Log!$E:$E,Status_Log!$A:$A,$A29,Status_Log!$B:$B,$B29,Status_Log!$C:$C,$C29,Status_Log!$D:$D,"Changed to the status of Fund accounting signed off")))</f>
        <v/>
      </c>
      <c r="I29" s="37" t="str">
        <f aca="false">IF($A29="","",IF(COUNTIFS(Status_Log!$A:$A,$A29,Status_Log!$B:$B,$B29,Status_Log!$C:$C,$C29,Status_Log!$D:$D,"Changed to the status of signed off")=0,"",_xlfn.MAXIFS(Status_Log!$E:$E,Status_Log!$A:$A,$A29,Status_Log!$B:$B,$B29,Status_Log!$C:$C,$C29,Status_Log!$D:$D,"Changed to the status of signed off")))</f>
        <v/>
      </c>
      <c r="J29" s="4" t="str">
        <f aca="false">IF($A29="","",COUNTIFS(Status_Log!$A:$A,$A29,Status_Log!$B:$B,$B29,Status_Log!$C:$C,$C29,Status_Log!$D:$D,"Changed to the status of Calculated"))</f>
        <v/>
      </c>
      <c r="K29" s="38" t="str">
        <f aca="false">IF($A29="","",IF(J29&lt;=1,0,ROUND((_xlfn.MAXIFS(Status_Log!$E:$E,Status_Log!$A:$A,$A29,Status_Log!$B:$B,$B29,Status_Log!$C:$C,$C29,Status_Log!$D:$D,"Changed to the status of Calculated")-F29)*1440,0)))</f>
        <v/>
      </c>
      <c r="L29" s="4" t="str">
        <f aca="false">IF($A29="","",IFERROR(INDEX(Status_Log!$F:$F,MATCH($A29&amp;"|"&amp;$B29&amp;"|"&amp;$C29&amp;"|Changed to the status of Calculated|"&amp;TEXT(_xlfn.MAXIFS(Status_Log!$E:$E,Status_Log!$A:$A,$A29,Status_Log!$B:$B,$B29,Status_Log!$C:$C,$C29,Status_Log!$D:$D,"Changed to the status of Calculated"),"0.000000"),Status_Log!$H:$H,0)),""))</f>
        <v/>
      </c>
      <c r="M29" s="4" t="str">
        <f aca="false">IF($A29="","",IF(E29="Client","n/a — no control step",IFERROR(INDEX(Status_Log!$F:$F,MATCH($A29&amp;"|"&amp;$B29&amp;"|"&amp;$C29&amp;"|Changed to the status of Controlled|"&amp;TEXT(_xlfn.MAXIFS(Status_Log!$E:$E,Status_Log!$A:$A,$A29,Status_Log!$B:$B,$B29,Status_Log!$C:$C,$C29,Status_Log!$D:$D,"Changed to the status of Controlled"),"0.000000"),Status_Log!$H:$H,0)),"")))</f>
        <v/>
      </c>
      <c r="N29" s="4" t="str">
        <f aca="false">IF($A29="","",IFERROR(VLOOKUP($C29,Dim_Fund!$A:$G,7,0),""))</f>
        <v/>
      </c>
      <c r="O29" s="4" t="str">
        <f aca="false">IF($A29="","",IF(L29=N29,"No","Yes"))</f>
        <v/>
      </c>
      <c r="P29" s="4" t="str">
        <f aca="false">IF($A29="","",IF(E29="Client","n/a",IF(L29=M29,"YES — four-eyes breach","No")))</f>
        <v/>
      </c>
      <c r="Q29" s="38" t="str">
        <f aca="false">IF($A29="","",IFERROR(VLOOKUP($C29,Dim_Fund!$A:$AB,28,0),""))</f>
        <v/>
      </c>
      <c r="R29" s="38" t="str">
        <f aca="false">IF($A29="","",IFERROR(VLOOKUP($C29,Dim_Fund!$A:$AC,29,0),""))</f>
        <v/>
      </c>
      <c r="S29" s="38" t="str">
        <f aca="false">IF($A29="","",IFERROR(VLOOKUP($C29,Dim_Fund!$A:$AD,30,0),""))</f>
        <v/>
      </c>
      <c r="T29" s="38" t="str">
        <f aca="false">IF($A29="","",IFERROR(VLOOKUP($C29,Dim_Fund!$A:$AL,38,0),""))</f>
        <v/>
      </c>
      <c r="U29" s="37" t="str">
        <f aca="false">IF($A29="","",IF(AL29="","",IFERROR(IF(COUNTIFS(Fact_Milestone!$A:$A,$B29,Fact_Milestone!$B:$B,AL29)=0,"",_xlfn.MAXIFS(Fact_Milestone!$C:$C,Fact_Milestone!$A:$A,$B29,Fact_Milestone!$B:$B,AL29)),"")))</f>
        <v/>
      </c>
      <c r="V29" s="37" t="str">
        <f aca="false">IF($A29="","",IFERROR(IF(VLOOKUP($C29,Dim_Fund!$A:$AI,35,0)&gt;0,$B29+VLOOKUP($C29,Dim_Fund!$A:$AI,35,0)/24,""),""))</f>
        <v/>
      </c>
      <c r="W29" s="37" t="str">
        <f aca="false">IF($A29="","",F29)</f>
        <v/>
      </c>
      <c r="X29" s="37" t="str">
        <f aca="false">IF($A29="","",IF(E29="Client",H29,G29))</f>
        <v/>
      </c>
      <c r="Y29" s="37" t="str">
        <f aca="false">IF($A29="","",I29)</f>
        <v/>
      </c>
      <c r="Z29" s="37" t="str">
        <f aca="false">IF($A29="","",IFERROR(W29-R29/1440,""))</f>
        <v/>
      </c>
      <c r="AA29" s="38" t="str">
        <f aca="false">IF($A29="","",IF(OR(U29="",V29=""),"",ROUND((V29-U29)*1440,0)))</f>
        <v/>
      </c>
      <c r="AB29" s="38" t="str">
        <f aca="false">IF($A29="","",IF(U29="","",ROUND((W29-U29)*1440,0)))</f>
        <v/>
      </c>
      <c r="AC29" s="38" t="str">
        <f aca="false">IF($A29="","",IF(AB29="","",MAX(0,AB29)))</f>
        <v/>
      </c>
      <c r="AD29" s="38" t="str">
        <f aca="false">IF($A29="","",IFERROR(ROUND((X29-W29)*1440,0),""))</f>
        <v/>
      </c>
      <c r="AE29" s="38" t="str">
        <f aca="false">IF($A29="","",IF(E29="Client","n/a",IFERROR(ROUND((H29-G29)*1440,0),"")))</f>
        <v/>
      </c>
      <c r="AF29" s="38" t="str">
        <f aca="false">IF($A29="","",IFERROR(ROUND((Y29-H29)*1440,0),""))</f>
        <v/>
      </c>
      <c r="AG29" s="38" t="str">
        <f aca="false">IF($A29="","",IFERROR(ROUND((H29-F29)*1440,0),""))</f>
        <v/>
      </c>
      <c r="AH29" s="38" t="str">
        <f aca="false">IF($A29="","",IFERROR(ROUND((Y29-V29)*1440,0),""))</f>
        <v/>
      </c>
      <c r="AI29" s="4" t="str">
        <f aca="false">IF($A29="","",IF(AH29="","",IF(AH29&gt;0,"Yes","No")))</f>
        <v/>
      </c>
      <c r="AJ29" s="4" t="str">
        <f aca="false">IF($A29="","",IF(AI29&lt;&gt;"Yes","On time",IF(N(AC29)&gt;=MAX(N(AF29),N(K29)),"Wait for analyst",IF(N(AF29)&gt;=N(K29),"External sign-off","Rework"))))</f>
        <v/>
      </c>
      <c r="AK29" s="4" t="str">
        <f aca="false">IF($A29="","",IF(OR(F29="",Y29="",ISNA(MATCH(L29,Dim_Analyst!$A:$A,0))),"CHECK","OK"))</f>
        <v/>
      </c>
      <c r="AL29" s="4" t="str">
        <f aca="false">IF($A29="","",IFERROR(VLOOKUP($C29,Dim_Fund!$A:$U,21,0),""))</f>
        <v/>
      </c>
      <c r="AM29" s="4" t="str">
        <f aca="false">IF($A29="","",IF($U29="","",IF($U29&gt;$B29+IFERROR(VLOOKUP($C29,Dim_Fund!$A:$AH,34,0),0)/24,"Yes","No")))</f>
        <v/>
      </c>
      <c r="AN29" s="22" t="str">
        <f aca="false">IF($A29="","",IFERROR(VLOOKUP($C29,Dim_Fund!$A:$AH,34,0),""))</f>
        <v/>
      </c>
      <c r="AO29" s="22" t="str">
        <f aca="false">IF($A29="","",IF($AL29="","",IFERROR(FLOOR(IF(COUNTIFS(Fact_Milestone!$A:$A,$B29,Fact_Milestone!$B:$B,$AL29,Fact_Milestone!$F:$F,"&gt;0")&gt;0,_xlfn.MINIFS(Fact_Milestone!$F:$F,Fact_Milestone!$A:$A,$B29,Fact_Milestone!$B:$B,$AL29,Fact_Milestone!$F:$F,"&gt;0"),VLOOKUP($AL29,Dim_TOP!$A:$E,5,0)),0.5),"")))</f>
        <v/>
      </c>
      <c r="AP29" s="22" t="str">
        <f aca="false">IF($A29="","",IF($U29="","",ROUND(($U29-INT($U29))*24,4)))</f>
        <v/>
      </c>
      <c r="AQ29" s="22" t="str">
        <f aca="false">IF($A29="","",IF($W29="","",ROUND(($W29-INT($W29))*24,4)))</f>
        <v/>
      </c>
      <c r="AR29" s="22" t="str">
        <f aca="false">IF($A29="","",IF($X29="","",ROUND(($X29-INT($X29))*24,4)))</f>
        <v/>
      </c>
      <c r="AS29" s="38" t="str">
        <f aca="false">IF($A29="","",IF(OR($AN29="",$V29="",$S29="",$T29=""),"",ROUND(($V29-($B29+$AN29/24))*1440-$S29-$T29,0)))</f>
        <v/>
      </c>
      <c r="AT29" s="38" t="str">
        <f aca="false">IF($A29="","",IF(OR($AN29="",$U29=""),"",ROUND(($U29-($B29+$AN29/24))*1440,0)))</f>
        <v/>
      </c>
      <c r="AU29" s="38" t="str">
        <f aca="false">IF($A29="","",IF(OR($AD29="",$S29=""),"",ROUND($AD29-$S29,0)))</f>
        <v/>
      </c>
      <c r="AV29" s="38" t="str">
        <f aca="false">IF($A29="","",N($AE29))</f>
        <v/>
      </c>
      <c r="AW29" s="38" t="str">
        <f aca="false">IF($A29="","",IF(OR($AF29="",$T29=""),"",$AF29-$T29))</f>
        <v/>
      </c>
      <c r="AX29" s="38" t="str">
        <f aca="false">IF($A29="","",IF(COUNT($AT29,$AB29,$AU29,$AW29,$AS29,$AH29)&lt;6,"",ROUND($AT29+$AB29+$AU29+$AV29+$AW29-$AS29-$AH29,0)))</f>
        <v/>
      </c>
      <c r="AY29" s="4" t="str">
        <f aca="false">IF($A29="","",IF($AX29="","No",IF(ABS($AX29)&lt;=2,"Yes","No")))</f>
        <v/>
      </c>
      <c r="AZ29" s="4" t="str">
        <f aca="false">IF($A29="","",IF($AI29&lt;&gt;"Yes","n/a",IF(OR($AA29="",$S29="",$T29=""),"Unknown",IF($AA29&lt;$S29+$T29,"Lost on arrival","Lost after arrival"))))</f>
        <v/>
      </c>
      <c r="BA29" s="10" t="str">
        <f aca="false">IF($A29="","",IFERROR(VLOOKUP($C29,Dim_Fund!$A:$D,4,0),""))</f>
        <v/>
      </c>
      <c r="BB29" s="10" t="str">
        <f aca="false">IF($A29="","",IF($AL29="","",IF(COUNTIFS(Fact_Milestone!$A:$A,$B29,Fact_Milestone!$B:$B,$AL29,Fact_Milestone!$I:$I,"No")&gt;0,"No",IF(COUNTIFS(Fact_Milestone!$A:$A,$B29,Fact_Milestone!$B:$B,$AL29,Fact_Milestone!$I:$I,"Yes")&gt;0,"Yes",""))))</f>
        <v/>
      </c>
      <c r="BC29" s="45" t="str">
        <f aca="false">IF($A29="","",IF(OR($L29="",$W29=""),"",IF(COUNTIFS($L:$L,$L29,$B:$B,$B29,$W:$W,"&lt;"&amp;$W29)=0,"",_xlfn.MAXIFS($W:$W,$L:$L,$L29,$B:$B,$B29,$W:$W,"&lt;"&amp;$W29))))</f>
        <v/>
      </c>
      <c r="BD29" s="39" t="str">
        <f aca="false">IF($A29="","",IF($AC29="","",IF(OR($L29="",$AC29=0),0,MIN($AC29,ROUND(ROUND(1440*SUMPRODUCT(($L$2:INDEX($L:$L,COUNTA($C:$C))=$L29)*($B$2:INDEX($B:$B,COUNTA($C:$C))=$B29)*(ROW($L$2:INDEX($L:$L,COUNTA($C:$C)))&lt;&gt;ROW())*((((($W29+$BT$2:INDEX($BT:$BT,COUNTA($C:$C))-ABS($W29-$BT$2:INDEX($BT:$BT,COUNTA($C:$C))))/2)-(($U29+$BS$2:INDEX($BS:$BS,COUNTA($C:$C))+ABS($U29-$BS$2:INDEX($BS:$BS,COUNTA($C:$C))))/2))+ABS(((($W29+$BT$2:INDEX($BT:$BT,COUNTA($C:$C))-ABS($W29-$BT$2:INDEX($BT:$BT,COUNTA($C:$C))))/2)-(($U29+$BS$2:INDEX($BS:$BS,COUNTA($C:$C))+ABS($U29-$BS$2:INDEX($BS:$BS,COUNTA($C:$C))))/2))))/2)),4),0)))))</f>
        <v/>
      </c>
      <c r="BE29" s="39" t="str">
        <f aca="false">IF($A29="","",IF($AC29="","",ROUND(MIN($AC29-$BD29,N($R29)),0)))</f>
        <v/>
      </c>
      <c r="BF29" s="10" t="str">
        <f aca="false">IF($A29="","",IFERROR(VLOOKUP($C29,Dim_Fund!$A:$BD,56,0),""))</f>
        <v/>
      </c>
      <c r="BG29" s="10" t="str">
        <f aca="false">IF($A29="","",IFERROR(VLOOKUP($C29,Dim_Fund!$A:$BH,60,0),""))</f>
        <v/>
      </c>
      <c r="BH29" s="10" t="str">
        <f aca="false">IF($A29="","",IF($AI29&lt;&gt;"Yes","Not breached",IF($AM29="Yes","Pricing late",IF($BG29="Thin custody slack","Thin custody slack",IF($BF29="Yes","Broker-dependent","None of these")))))</f>
        <v/>
      </c>
      <c r="BI29" s="23" t="str">
        <f aca="false">IF($A29="","",IFERROR(IF(VLOOKUP($C29,Dim_Fund!$A:$AI,35,0)&gt;0,VLOOKUP($C29,Dim_Fund!$A:$AI,35,0),""),""))</f>
        <v/>
      </c>
      <c r="BJ29" s="10" t="str">
        <f aca="false">IF($A29="","",$C29&amp;IF($E29="Client","*",""))</f>
        <v/>
      </c>
      <c r="BK29" s="39" t="str">
        <f aca="false">IF($A29="","",IFERROR(ROUND(($Y29-$X29)*1440,0),""))</f>
        <v/>
      </c>
      <c r="BL29" s="39" t="str">
        <f aca="false">IF($A29="","",IF($AH29="","",-$AH29))</f>
        <v/>
      </c>
      <c r="BM29" s="46" t="str">
        <f aca="false">IF($A29="","",IF($AQ29="","",IF($AP29="",$AQ29,MIN($AP29,$AQ29))))</f>
        <v/>
      </c>
      <c r="BN29" s="46" t="str">
        <f aca="false">IF($A29="","",IF($BM29="","",ROUND(N($AC29)/60,4)))</f>
        <v/>
      </c>
      <c r="BO29" s="46" t="str">
        <f aca="false">IF($A29="","",IF(OR($BM29="",$AD29=""),"",ROUND($AD29/60,4)))</f>
        <v/>
      </c>
      <c r="BP29" s="46" t="str">
        <f aca="false">IF($A29="","",IF($BM29="","",ROUND(N($AE29)/60,4)))</f>
        <v/>
      </c>
      <c r="BQ29" s="46" t="str">
        <f aca="false">IF($A29="","",IF(OR($BM29="",$AF29=""),"",ROUND($AF29/60,4)))</f>
        <v/>
      </c>
      <c r="BR29" s="39" t="str">
        <f aca="false">IF($A29="","",IF($AC29="","",$AC29-$BD29-$BE29))</f>
        <v/>
      </c>
      <c r="BS29" s="45" t="str">
        <f aca="false">IF($A29="","",IF(AND(ISNUMBER($Z29),ISNUMBER($W29)),$Z29,0))</f>
        <v/>
      </c>
      <c r="BT29" s="45" t="str">
        <f aca="false">IF($A29="","",IF(ISNUMBER($W29),$W29,0))</f>
        <v/>
      </c>
      <c r="BU29" s="23" t="str">
        <f aca="false">IF($A29="","",IF(ISNUMBER($W29),ROUND(($W29-$B29)*24,4),""))</f>
        <v/>
      </c>
      <c r="BV29" s="23" t="str">
        <f aca="false">IF($A29="","",IF(ISNUMBER($X29),ROUND(($X29-$B29)*24,4),""))</f>
        <v/>
      </c>
      <c r="BW29" s="10" t="str">
        <f aca="false">IF($A29="","",IF(NOT(ISNUMBER($W29)),"Missing Calculated",IF(NOT(ISNUMBER($X29)),IF($E29="Client","Missing FA signed off","Missing Controlled"),IF($X29&lt;$W29,"End before start","OK"))))</f>
        <v/>
      </c>
      <c r="BX29" s="23" t="str">
        <f aca="false">IF($A29="","",IF(NOT(ISNUMBER($Z29)),"",ROUND((IF(ISNUMBER($U29),MIN($U29,$Z29),$Z29)-$B29)*24,4)))</f>
        <v/>
      </c>
      <c r="BY29" s="23" t="str">
        <f aca="false">IF($A29="","",IF(ISNUMBER($Z29),ROUND(($Z29-$B29)*24,4),""))</f>
        <v/>
      </c>
      <c r="BZ29" s="23" t="str">
        <f aca="false">IF($A29="","",IF(AND(ISNUMBER($W29),ISNUMBER($S29)),ROUND(($W29+$S29/1440-$B29)*24,4),""))</f>
        <v/>
      </c>
    </row>
    <row r="30" customFormat="false" ht="15" hidden="false" customHeight="true" outlineLevel="0" collapsed="false">
      <c r="A30" s="47"/>
      <c r="B30" s="47"/>
      <c r="D30" s="4" t="str">
        <f aca="false">IF($A30="","",$B30-$A30)</f>
        <v/>
      </c>
      <c r="E30" s="4" t="str">
        <f aca="false">IF($A30="","",IFERROR(VLOOKUP($C30,Dim_Fund!$A:$X,24,0),""))</f>
        <v/>
      </c>
      <c r="F30" s="37" t="str">
        <f aca="false">IF($A30="","",IF(COUNTIFS(Status_Log!$A:$A,$A30,Status_Log!$B:$B,$B30,Status_Log!$C:$C,$C30,Status_Log!$D:$D,"Changed to the status of Calculated")=0,"",_xlfn.MINIFS(Status_Log!$E:$E,Status_Log!$A:$A,$A30,Status_Log!$B:$B,$B30,Status_Log!$C:$C,$C30,Status_Log!$D:$D,"Changed to the status of Calculated")))</f>
        <v/>
      </c>
      <c r="G30" s="37" t="str">
        <f aca="false">IF($A30="","",IF(COUNTIFS(Status_Log!$A:$A,$A30,Status_Log!$B:$B,$B30,Status_Log!$C:$C,$C30,Status_Log!$D:$D,"Changed to the status of Controlled")=0,"",_xlfn.MAXIFS(Status_Log!$E:$E,Status_Log!$A:$A,$A30,Status_Log!$B:$B,$B30,Status_Log!$C:$C,$C30,Status_Log!$D:$D,"Changed to the status of Controlled")))</f>
        <v/>
      </c>
      <c r="H30" s="37" t="str">
        <f aca="false">IF($A30="","",IF(COUNTIFS(Status_Log!$A:$A,$A30,Status_Log!$B:$B,$B30,Status_Log!$C:$C,$C30,Status_Log!$D:$D,"Changed to the status of Fund accounting signed off")=0,"",_xlfn.MAXIFS(Status_Log!$E:$E,Status_Log!$A:$A,$A30,Status_Log!$B:$B,$B30,Status_Log!$C:$C,$C30,Status_Log!$D:$D,"Changed to the status of Fund accounting signed off")))</f>
        <v/>
      </c>
      <c r="I30" s="37" t="str">
        <f aca="false">IF($A30="","",IF(COUNTIFS(Status_Log!$A:$A,$A30,Status_Log!$B:$B,$B30,Status_Log!$C:$C,$C30,Status_Log!$D:$D,"Changed to the status of signed off")=0,"",_xlfn.MAXIFS(Status_Log!$E:$E,Status_Log!$A:$A,$A30,Status_Log!$B:$B,$B30,Status_Log!$C:$C,$C30,Status_Log!$D:$D,"Changed to the status of signed off")))</f>
        <v/>
      </c>
      <c r="J30" s="4" t="str">
        <f aca="false">IF($A30="","",COUNTIFS(Status_Log!$A:$A,$A30,Status_Log!$B:$B,$B30,Status_Log!$C:$C,$C30,Status_Log!$D:$D,"Changed to the status of Calculated"))</f>
        <v/>
      </c>
      <c r="K30" s="38" t="str">
        <f aca="false">IF($A30="","",IF(J30&lt;=1,0,ROUND((_xlfn.MAXIFS(Status_Log!$E:$E,Status_Log!$A:$A,$A30,Status_Log!$B:$B,$B30,Status_Log!$C:$C,$C30,Status_Log!$D:$D,"Changed to the status of Calculated")-F30)*1440,0)))</f>
        <v/>
      </c>
      <c r="L30" s="4" t="str">
        <f aca="false">IF($A30="","",IFERROR(INDEX(Status_Log!$F:$F,MATCH($A30&amp;"|"&amp;$B30&amp;"|"&amp;$C30&amp;"|Changed to the status of Calculated|"&amp;TEXT(_xlfn.MAXIFS(Status_Log!$E:$E,Status_Log!$A:$A,$A30,Status_Log!$B:$B,$B30,Status_Log!$C:$C,$C30,Status_Log!$D:$D,"Changed to the status of Calculated"),"0.000000"),Status_Log!$H:$H,0)),""))</f>
        <v/>
      </c>
      <c r="M30" s="4" t="str">
        <f aca="false">IF($A30="","",IF(E30="Client","n/a — no control step",IFERROR(INDEX(Status_Log!$F:$F,MATCH($A30&amp;"|"&amp;$B30&amp;"|"&amp;$C30&amp;"|Changed to the status of Controlled|"&amp;TEXT(_xlfn.MAXIFS(Status_Log!$E:$E,Status_Log!$A:$A,$A30,Status_Log!$B:$B,$B30,Status_Log!$C:$C,$C30,Status_Log!$D:$D,"Changed to the status of Controlled"),"0.000000"),Status_Log!$H:$H,0)),"")))</f>
        <v/>
      </c>
      <c r="N30" s="4" t="str">
        <f aca="false">IF($A30="","",IFERROR(VLOOKUP($C30,Dim_Fund!$A:$G,7,0),""))</f>
        <v/>
      </c>
      <c r="O30" s="4" t="str">
        <f aca="false">IF($A30="","",IF(L30=N30,"No","Yes"))</f>
        <v/>
      </c>
      <c r="P30" s="4" t="str">
        <f aca="false">IF($A30="","",IF(E30="Client","n/a",IF(L30=M30,"YES — four-eyes breach","No")))</f>
        <v/>
      </c>
      <c r="Q30" s="38" t="str">
        <f aca="false">IF($A30="","",IFERROR(VLOOKUP($C30,Dim_Fund!$A:$AB,28,0),""))</f>
        <v/>
      </c>
      <c r="R30" s="38" t="str">
        <f aca="false">IF($A30="","",IFERROR(VLOOKUP($C30,Dim_Fund!$A:$AC,29,0),""))</f>
        <v/>
      </c>
      <c r="S30" s="38" t="str">
        <f aca="false">IF($A30="","",IFERROR(VLOOKUP($C30,Dim_Fund!$A:$AD,30,0),""))</f>
        <v/>
      </c>
      <c r="T30" s="38" t="str">
        <f aca="false">IF($A30="","",IFERROR(VLOOKUP($C30,Dim_Fund!$A:$AL,38,0),""))</f>
        <v/>
      </c>
      <c r="U30" s="37" t="str">
        <f aca="false">IF($A30="","",IF(AL30="","",IFERROR(IF(COUNTIFS(Fact_Milestone!$A:$A,$B30,Fact_Milestone!$B:$B,AL30)=0,"",_xlfn.MAXIFS(Fact_Milestone!$C:$C,Fact_Milestone!$A:$A,$B30,Fact_Milestone!$B:$B,AL30)),"")))</f>
        <v/>
      </c>
      <c r="V30" s="37" t="str">
        <f aca="false">IF($A30="","",IFERROR(IF(VLOOKUP($C30,Dim_Fund!$A:$AI,35,0)&gt;0,$B30+VLOOKUP($C30,Dim_Fund!$A:$AI,35,0)/24,""),""))</f>
        <v/>
      </c>
      <c r="W30" s="37" t="str">
        <f aca="false">IF($A30="","",F30)</f>
        <v/>
      </c>
      <c r="X30" s="37" t="str">
        <f aca="false">IF($A30="","",IF(E30="Client",H30,G30))</f>
        <v/>
      </c>
      <c r="Y30" s="37" t="str">
        <f aca="false">IF($A30="","",I30)</f>
        <v/>
      </c>
      <c r="Z30" s="37" t="str">
        <f aca="false">IF($A30="","",IFERROR(W30-R30/1440,""))</f>
        <v/>
      </c>
      <c r="AA30" s="38" t="str">
        <f aca="false">IF($A30="","",IF(OR(U30="",V30=""),"",ROUND((V30-U30)*1440,0)))</f>
        <v/>
      </c>
      <c r="AB30" s="38" t="str">
        <f aca="false">IF($A30="","",IF(U30="","",ROUND((W30-U30)*1440,0)))</f>
        <v/>
      </c>
      <c r="AC30" s="38" t="str">
        <f aca="false">IF($A30="","",IF(AB30="","",MAX(0,AB30)))</f>
        <v/>
      </c>
      <c r="AD30" s="38" t="str">
        <f aca="false">IF($A30="","",IFERROR(ROUND((X30-W30)*1440,0),""))</f>
        <v/>
      </c>
      <c r="AE30" s="38" t="str">
        <f aca="false">IF($A30="","",IF(E30="Client","n/a",IFERROR(ROUND((H30-G30)*1440,0),"")))</f>
        <v/>
      </c>
      <c r="AF30" s="38" t="str">
        <f aca="false">IF($A30="","",IFERROR(ROUND((Y30-H30)*1440,0),""))</f>
        <v/>
      </c>
      <c r="AG30" s="38" t="str">
        <f aca="false">IF($A30="","",IFERROR(ROUND((H30-F30)*1440,0),""))</f>
        <v/>
      </c>
      <c r="AH30" s="38" t="str">
        <f aca="false">IF($A30="","",IFERROR(ROUND((Y30-V30)*1440,0),""))</f>
        <v/>
      </c>
      <c r="AI30" s="4" t="str">
        <f aca="false">IF($A30="","",IF(AH30="","",IF(AH30&gt;0,"Yes","No")))</f>
        <v/>
      </c>
      <c r="AJ30" s="4" t="str">
        <f aca="false">IF($A30="","",IF(AI30&lt;&gt;"Yes","On time",IF(N(AC30)&gt;=MAX(N(AF30),N(K30)),"Wait for analyst",IF(N(AF30)&gt;=N(K30),"External sign-off","Rework"))))</f>
        <v/>
      </c>
      <c r="AK30" s="4" t="str">
        <f aca="false">IF($A30="","",IF(OR(F30="",Y30="",ISNA(MATCH(L30,Dim_Analyst!$A:$A,0))),"CHECK","OK"))</f>
        <v/>
      </c>
      <c r="AL30" s="4" t="str">
        <f aca="false">IF($A30="","",IFERROR(VLOOKUP($C30,Dim_Fund!$A:$U,21,0),""))</f>
        <v/>
      </c>
      <c r="AM30" s="4" t="str">
        <f aca="false">IF($A30="","",IF($U30="","",IF($U30&gt;$B30+IFERROR(VLOOKUP($C30,Dim_Fund!$A:$AH,34,0),0)/24,"Yes","No")))</f>
        <v/>
      </c>
      <c r="AN30" s="22" t="str">
        <f aca="false">IF($A30="","",IFERROR(VLOOKUP($C30,Dim_Fund!$A:$AH,34,0),""))</f>
        <v/>
      </c>
      <c r="AO30" s="22" t="str">
        <f aca="false">IF($A30="","",IF($AL30="","",IFERROR(FLOOR(IF(COUNTIFS(Fact_Milestone!$A:$A,$B30,Fact_Milestone!$B:$B,$AL30,Fact_Milestone!$F:$F,"&gt;0")&gt;0,_xlfn.MINIFS(Fact_Milestone!$F:$F,Fact_Milestone!$A:$A,$B30,Fact_Milestone!$B:$B,$AL30,Fact_Milestone!$F:$F,"&gt;0"),VLOOKUP($AL30,Dim_TOP!$A:$E,5,0)),0.5),"")))</f>
        <v/>
      </c>
      <c r="AP30" s="22" t="str">
        <f aca="false">IF($A30="","",IF($U30="","",ROUND(($U30-INT($U30))*24,4)))</f>
        <v/>
      </c>
      <c r="AQ30" s="22" t="str">
        <f aca="false">IF($A30="","",IF($W30="","",ROUND(($W30-INT($W30))*24,4)))</f>
        <v/>
      </c>
      <c r="AR30" s="22" t="str">
        <f aca="false">IF($A30="","",IF($X30="","",ROUND(($X30-INT($X30))*24,4)))</f>
        <v/>
      </c>
      <c r="AS30" s="38" t="str">
        <f aca="false">IF($A30="","",IF(OR($AN30="",$V30="",$S30="",$T30=""),"",ROUND(($V30-($B30+$AN30/24))*1440-$S30-$T30,0)))</f>
        <v/>
      </c>
      <c r="AT30" s="38" t="str">
        <f aca="false">IF($A30="","",IF(OR($AN30="",$U30=""),"",ROUND(($U30-($B30+$AN30/24))*1440,0)))</f>
        <v/>
      </c>
      <c r="AU30" s="38" t="str">
        <f aca="false">IF($A30="","",IF(OR($AD30="",$S30=""),"",ROUND($AD30-$S30,0)))</f>
        <v/>
      </c>
      <c r="AV30" s="38" t="str">
        <f aca="false">IF($A30="","",N($AE30))</f>
        <v/>
      </c>
      <c r="AW30" s="38" t="str">
        <f aca="false">IF($A30="","",IF(OR($AF30="",$T30=""),"",$AF30-$T30))</f>
        <v/>
      </c>
      <c r="AX30" s="38" t="str">
        <f aca="false">IF($A30="","",IF(COUNT($AT30,$AB30,$AU30,$AW30,$AS30,$AH30)&lt;6,"",ROUND($AT30+$AB30+$AU30+$AV30+$AW30-$AS30-$AH30,0)))</f>
        <v/>
      </c>
      <c r="AY30" s="4" t="str">
        <f aca="false">IF($A30="","",IF($AX30="","No",IF(ABS($AX30)&lt;=2,"Yes","No")))</f>
        <v/>
      </c>
      <c r="AZ30" s="4" t="str">
        <f aca="false">IF($A30="","",IF($AI30&lt;&gt;"Yes","n/a",IF(OR($AA30="",$S30="",$T30=""),"Unknown",IF($AA30&lt;$S30+$T30,"Lost on arrival","Lost after arrival"))))</f>
        <v/>
      </c>
      <c r="BA30" s="10" t="str">
        <f aca="false">IF($A30="","",IFERROR(VLOOKUP($C30,Dim_Fund!$A:$D,4,0),""))</f>
        <v/>
      </c>
      <c r="BB30" s="10" t="str">
        <f aca="false">IF($A30="","",IF($AL30="","",IF(COUNTIFS(Fact_Milestone!$A:$A,$B30,Fact_Milestone!$B:$B,$AL30,Fact_Milestone!$I:$I,"No")&gt;0,"No",IF(COUNTIFS(Fact_Milestone!$A:$A,$B30,Fact_Milestone!$B:$B,$AL30,Fact_Milestone!$I:$I,"Yes")&gt;0,"Yes",""))))</f>
        <v/>
      </c>
      <c r="BC30" s="45" t="str">
        <f aca="false">IF($A30="","",IF(OR($L30="",$W30=""),"",IF(COUNTIFS($L:$L,$L30,$B:$B,$B30,$W:$W,"&lt;"&amp;$W30)=0,"",_xlfn.MAXIFS($W:$W,$L:$L,$L30,$B:$B,$B30,$W:$W,"&lt;"&amp;$W30))))</f>
        <v/>
      </c>
      <c r="BD30" s="39" t="str">
        <f aca="false">IF($A30="","",IF($AC30="","",IF(OR($L30="",$AC30=0),0,MIN($AC30,ROUND(ROUND(1440*SUMPRODUCT(($L$2:INDEX($L:$L,COUNTA($C:$C))=$L30)*($B$2:INDEX($B:$B,COUNTA($C:$C))=$B30)*(ROW($L$2:INDEX($L:$L,COUNTA($C:$C)))&lt;&gt;ROW())*((((($W30+$BT$2:INDEX($BT:$BT,COUNTA($C:$C))-ABS($W30-$BT$2:INDEX($BT:$BT,COUNTA($C:$C))))/2)-(($U30+$BS$2:INDEX($BS:$BS,COUNTA($C:$C))+ABS($U30-$BS$2:INDEX($BS:$BS,COUNTA($C:$C))))/2))+ABS(((($W30+$BT$2:INDEX($BT:$BT,COUNTA($C:$C))-ABS($W30-$BT$2:INDEX($BT:$BT,COUNTA($C:$C))))/2)-(($U30+$BS$2:INDEX($BS:$BS,COUNTA($C:$C))+ABS($U30-$BS$2:INDEX($BS:$BS,COUNTA($C:$C))))/2))))/2)),4),0)))))</f>
        <v/>
      </c>
      <c r="BE30" s="39" t="str">
        <f aca="false">IF($A30="","",IF($AC30="","",ROUND(MIN($AC30-$BD30,N($R30)),0)))</f>
        <v/>
      </c>
      <c r="BF30" s="10" t="str">
        <f aca="false">IF($A30="","",IFERROR(VLOOKUP($C30,Dim_Fund!$A:$BD,56,0),""))</f>
        <v/>
      </c>
      <c r="BG30" s="10" t="str">
        <f aca="false">IF($A30="","",IFERROR(VLOOKUP($C30,Dim_Fund!$A:$BH,60,0),""))</f>
        <v/>
      </c>
      <c r="BH30" s="10" t="str">
        <f aca="false">IF($A30="","",IF($AI30&lt;&gt;"Yes","Not breached",IF($AM30="Yes","Pricing late",IF($BG30="Thin custody slack","Thin custody slack",IF($BF30="Yes","Broker-dependent","None of these")))))</f>
        <v/>
      </c>
      <c r="BI30" s="23" t="str">
        <f aca="false">IF($A30="","",IFERROR(IF(VLOOKUP($C30,Dim_Fund!$A:$AI,35,0)&gt;0,VLOOKUP($C30,Dim_Fund!$A:$AI,35,0),""),""))</f>
        <v/>
      </c>
      <c r="BJ30" s="10" t="str">
        <f aca="false">IF($A30="","",$C30&amp;IF($E30="Client","*",""))</f>
        <v/>
      </c>
      <c r="BK30" s="39" t="str">
        <f aca="false">IF($A30="","",IFERROR(ROUND(($Y30-$X30)*1440,0),""))</f>
        <v/>
      </c>
      <c r="BL30" s="39" t="str">
        <f aca="false">IF($A30="","",IF($AH30="","",-$AH30))</f>
        <v/>
      </c>
      <c r="BM30" s="46" t="str">
        <f aca="false">IF($A30="","",IF($AQ30="","",IF($AP30="",$AQ30,MIN($AP30,$AQ30))))</f>
        <v/>
      </c>
      <c r="BN30" s="46" t="str">
        <f aca="false">IF($A30="","",IF($BM30="","",ROUND(N($AC30)/60,4)))</f>
        <v/>
      </c>
      <c r="BO30" s="46" t="str">
        <f aca="false">IF($A30="","",IF(OR($BM30="",$AD30=""),"",ROUND($AD30/60,4)))</f>
        <v/>
      </c>
      <c r="BP30" s="46" t="str">
        <f aca="false">IF($A30="","",IF($BM30="","",ROUND(N($AE30)/60,4)))</f>
        <v/>
      </c>
      <c r="BQ30" s="46" t="str">
        <f aca="false">IF($A30="","",IF(OR($BM30="",$AF30=""),"",ROUND($AF30/60,4)))</f>
        <v/>
      </c>
      <c r="BR30" s="39" t="str">
        <f aca="false">IF($A30="","",IF($AC30="","",$AC30-$BD30-$BE30))</f>
        <v/>
      </c>
      <c r="BS30" s="45" t="str">
        <f aca="false">IF($A30="","",IF(AND(ISNUMBER($Z30),ISNUMBER($W30)),$Z30,0))</f>
        <v/>
      </c>
      <c r="BT30" s="45" t="str">
        <f aca="false">IF($A30="","",IF(ISNUMBER($W30),$W30,0))</f>
        <v/>
      </c>
      <c r="BU30" s="23" t="str">
        <f aca="false">IF($A30="","",IF(ISNUMBER($W30),ROUND(($W30-$B30)*24,4),""))</f>
        <v/>
      </c>
      <c r="BV30" s="23" t="str">
        <f aca="false">IF($A30="","",IF(ISNUMBER($X30),ROUND(($X30-$B30)*24,4),""))</f>
        <v/>
      </c>
      <c r="BW30" s="10" t="str">
        <f aca="false">IF($A30="","",IF(NOT(ISNUMBER($W30)),"Missing Calculated",IF(NOT(ISNUMBER($X30)),IF($E30="Client","Missing FA signed off","Missing Controlled"),IF($X30&lt;$W30,"End before start","OK"))))</f>
        <v/>
      </c>
      <c r="BX30" s="23" t="str">
        <f aca="false">IF($A30="","",IF(NOT(ISNUMBER($Z30)),"",ROUND((IF(ISNUMBER($U30),MIN($U30,$Z30),$Z30)-$B30)*24,4)))</f>
        <v/>
      </c>
      <c r="BY30" s="23" t="str">
        <f aca="false">IF($A30="","",IF(ISNUMBER($Z30),ROUND(($Z30-$B30)*24,4),""))</f>
        <v/>
      </c>
      <c r="BZ30" s="23" t="str">
        <f aca="false">IF($A30="","",IF(AND(ISNUMBER($W30),ISNUMBER($S30)),ROUND(($W30+$S30/1440-$B30)*24,4),""))</f>
        <v/>
      </c>
    </row>
    <row r="31" customFormat="false" ht="15" hidden="false" customHeight="true" outlineLevel="0" collapsed="false">
      <c r="A31" s="47"/>
      <c r="B31" s="47"/>
      <c r="D31" s="4" t="str">
        <f aca="false">IF($A31="","",$B31-$A31)</f>
        <v/>
      </c>
      <c r="E31" s="4" t="str">
        <f aca="false">IF($A31="","",IFERROR(VLOOKUP($C31,Dim_Fund!$A:$X,24,0),""))</f>
        <v/>
      </c>
      <c r="F31" s="37" t="str">
        <f aca="false">IF($A31="","",IF(COUNTIFS(Status_Log!$A:$A,$A31,Status_Log!$B:$B,$B31,Status_Log!$C:$C,$C31,Status_Log!$D:$D,"Changed to the status of Calculated")=0,"",_xlfn.MINIFS(Status_Log!$E:$E,Status_Log!$A:$A,$A31,Status_Log!$B:$B,$B31,Status_Log!$C:$C,$C31,Status_Log!$D:$D,"Changed to the status of Calculated")))</f>
        <v/>
      </c>
      <c r="G31" s="37" t="str">
        <f aca="false">IF($A31="","",IF(COUNTIFS(Status_Log!$A:$A,$A31,Status_Log!$B:$B,$B31,Status_Log!$C:$C,$C31,Status_Log!$D:$D,"Changed to the status of Controlled")=0,"",_xlfn.MAXIFS(Status_Log!$E:$E,Status_Log!$A:$A,$A31,Status_Log!$B:$B,$B31,Status_Log!$C:$C,$C31,Status_Log!$D:$D,"Changed to the status of Controlled")))</f>
        <v/>
      </c>
      <c r="H31" s="37" t="str">
        <f aca="false">IF($A31="","",IF(COUNTIFS(Status_Log!$A:$A,$A31,Status_Log!$B:$B,$B31,Status_Log!$C:$C,$C31,Status_Log!$D:$D,"Changed to the status of Fund accounting signed off")=0,"",_xlfn.MAXIFS(Status_Log!$E:$E,Status_Log!$A:$A,$A31,Status_Log!$B:$B,$B31,Status_Log!$C:$C,$C31,Status_Log!$D:$D,"Changed to the status of Fund accounting signed off")))</f>
        <v/>
      </c>
      <c r="I31" s="37" t="str">
        <f aca="false">IF($A31="","",IF(COUNTIFS(Status_Log!$A:$A,$A31,Status_Log!$B:$B,$B31,Status_Log!$C:$C,$C31,Status_Log!$D:$D,"Changed to the status of signed off")=0,"",_xlfn.MAXIFS(Status_Log!$E:$E,Status_Log!$A:$A,$A31,Status_Log!$B:$B,$B31,Status_Log!$C:$C,$C31,Status_Log!$D:$D,"Changed to the status of signed off")))</f>
        <v/>
      </c>
      <c r="J31" s="4" t="str">
        <f aca="false">IF($A31="","",COUNTIFS(Status_Log!$A:$A,$A31,Status_Log!$B:$B,$B31,Status_Log!$C:$C,$C31,Status_Log!$D:$D,"Changed to the status of Calculated"))</f>
        <v/>
      </c>
      <c r="K31" s="38" t="str">
        <f aca="false">IF($A31="","",IF(J31&lt;=1,0,ROUND((_xlfn.MAXIFS(Status_Log!$E:$E,Status_Log!$A:$A,$A31,Status_Log!$B:$B,$B31,Status_Log!$C:$C,$C31,Status_Log!$D:$D,"Changed to the status of Calculated")-F31)*1440,0)))</f>
        <v/>
      </c>
      <c r="L31" s="4" t="str">
        <f aca="false">IF($A31="","",IFERROR(INDEX(Status_Log!$F:$F,MATCH($A31&amp;"|"&amp;$B31&amp;"|"&amp;$C31&amp;"|Changed to the status of Calculated|"&amp;TEXT(_xlfn.MAXIFS(Status_Log!$E:$E,Status_Log!$A:$A,$A31,Status_Log!$B:$B,$B31,Status_Log!$C:$C,$C31,Status_Log!$D:$D,"Changed to the status of Calculated"),"0.000000"),Status_Log!$H:$H,0)),""))</f>
        <v/>
      </c>
      <c r="M31" s="4" t="str">
        <f aca="false">IF($A31="","",IF(E31="Client","n/a — no control step",IFERROR(INDEX(Status_Log!$F:$F,MATCH($A31&amp;"|"&amp;$B31&amp;"|"&amp;$C31&amp;"|Changed to the status of Controlled|"&amp;TEXT(_xlfn.MAXIFS(Status_Log!$E:$E,Status_Log!$A:$A,$A31,Status_Log!$B:$B,$B31,Status_Log!$C:$C,$C31,Status_Log!$D:$D,"Changed to the status of Controlled"),"0.000000"),Status_Log!$H:$H,0)),"")))</f>
        <v/>
      </c>
      <c r="N31" s="4" t="str">
        <f aca="false">IF($A31="","",IFERROR(VLOOKUP($C31,Dim_Fund!$A:$G,7,0),""))</f>
        <v/>
      </c>
      <c r="O31" s="4" t="str">
        <f aca="false">IF($A31="","",IF(L31=N31,"No","Yes"))</f>
        <v/>
      </c>
      <c r="P31" s="4" t="str">
        <f aca="false">IF($A31="","",IF(E31="Client","n/a",IF(L31=M31,"YES — four-eyes breach","No")))</f>
        <v/>
      </c>
      <c r="Q31" s="38" t="str">
        <f aca="false">IF($A31="","",IFERROR(VLOOKUP($C31,Dim_Fund!$A:$AB,28,0),""))</f>
        <v/>
      </c>
      <c r="R31" s="38" t="str">
        <f aca="false">IF($A31="","",IFERROR(VLOOKUP($C31,Dim_Fund!$A:$AC,29,0),""))</f>
        <v/>
      </c>
      <c r="S31" s="38" t="str">
        <f aca="false">IF($A31="","",IFERROR(VLOOKUP($C31,Dim_Fund!$A:$AD,30,0),""))</f>
        <v/>
      </c>
      <c r="T31" s="38" t="str">
        <f aca="false">IF($A31="","",IFERROR(VLOOKUP($C31,Dim_Fund!$A:$AL,38,0),""))</f>
        <v/>
      </c>
      <c r="U31" s="37" t="str">
        <f aca="false">IF($A31="","",IF(AL31="","",IFERROR(IF(COUNTIFS(Fact_Milestone!$A:$A,$B31,Fact_Milestone!$B:$B,AL31)=0,"",_xlfn.MAXIFS(Fact_Milestone!$C:$C,Fact_Milestone!$A:$A,$B31,Fact_Milestone!$B:$B,AL31)),"")))</f>
        <v/>
      </c>
      <c r="V31" s="37" t="str">
        <f aca="false">IF($A31="","",IFERROR(IF(VLOOKUP($C31,Dim_Fund!$A:$AI,35,0)&gt;0,$B31+VLOOKUP($C31,Dim_Fund!$A:$AI,35,0)/24,""),""))</f>
        <v/>
      </c>
      <c r="W31" s="37" t="str">
        <f aca="false">IF($A31="","",F31)</f>
        <v/>
      </c>
      <c r="X31" s="37" t="str">
        <f aca="false">IF($A31="","",IF(E31="Client",H31,G31))</f>
        <v/>
      </c>
      <c r="Y31" s="37" t="str">
        <f aca="false">IF($A31="","",I31)</f>
        <v/>
      </c>
      <c r="Z31" s="37" t="str">
        <f aca="false">IF($A31="","",IFERROR(W31-R31/1440,""))</f>
        <v/>
      </c>
      <c r="AA31" s="38" t="str">
        <f aca="false">IF($A31="","",IF(OR(U31="",V31=""),"",ROUND((V31-U31)*1440,0)))</f>
        <v/>
      </c>
      <c r="AB31" s="38" t="str">
        <f aca="false">IF($A31="","",IF(U31="","",ROUND((W31-U31)*1440,0)))</f>
        <v/>
      </c>
      <c r="AC31" s="38" t="str">
        <f aca="false">IF($A31="","",IF(AB31="","",MAX(0,AB31)))</f>
        <v/>
      </c>
      <c r="AD31" s="38" t="str">
        <f aca="false">IF($A31="","",IFERROR(ROUND((X31-W31)*1440,0),""))</f>
        <v/>
      </c>
      <c r="AE31" s="38" t="str">
        <f aca="false">IF($A31="","",IF(E31="Client","n/a",IFERROR(ROUND((H31-G31)*1440,0),"")))</f>
        <v/>
      </c>
      <c r="AF31" s="38" t="str">
        <f aca="false">IF($A31="","",IFERROR(ROUND((Y31-H31)*1440,0),""))</f>
        <v/>
      </c>
      <c r="AG31" s="38" t="str">
        <f aca="false">IF($A31="","",IFERROR(ROUND((H31-F31)*1440,0),""))</f>
        <v/>
      </c>
      <c r="AH31" s="38" t="str">
        <f aca="false">IF($A31="","",IFERROR(ROUND((Y31-V31)*1440,0),""))</f>
        <v/>
      </c>
      <c r="AI31" s="4" t="str">
        <f aca="false">IF($A31="","",IF(AH31="","",IF(AH31&gt;0,"Yes","No")))</f>
        <v/>
      </c>
      <c r="AJ31" s="4" t="str">
        <f aca="false">IF($A31="","",IF(AI31&lt;&gt;"Yes","On time",IF(N(AC31)&gt;=MAX(N(AF31),N(K31)),"Wait for analyst",IF(N(AF31)&gt;=N(K31),"External sign-off","Rework"))))</f>
        <v/>
      </c>
      <c r="AK31" s="4" t="str">
        <f aca="false">IF($A31="","",IF(OR(F31="",Y31="",ISNA(MATCH(L31,Dim_Analyst!$A:$A,0))),"CHECK","OK"))</f>
        <v/>
      </c>
      <c r="AL31" s="4" t="str">
        <f aca="false">IF($A31="","",IFERROR(VLOOKUP($C31,Dim_Fund!$A:$U,21,0),""))</f>
        <v/>
      </c>
      <c r="AM31" s="4" t="str">
        <f aca="false">IF($A31="","",IF($U31="","",IF($U31&gt;$B31+IFERROR(VLOOKUP($C31,Dim_Fund!$A:$AH,34,0),0)/24,"Yes","No")))</f>
        <v/>
      </c>
      <c r="AN31" s="22" t="str">
        <f aca="false">IF($A31="","",IFERROR(VLOOKUP($C31,Dim_Fund!$A:$AH,34,0),""))</f>
        <v/>
      </c>
      <c r="AO31" s="22" t="str">
        <f aca="false">IF($A31="","",IF($AL31="","",IFERROR(FLOOR(IF(COUNTIFS(Fact_Milestone!$A:$A,$B31,Fact_Milestone!$B:$B,$AL31,Fact_Milestone!$F:$F,"&gt;0")&gt;0,_xlfn.MINIFS(Fact_Milestone!$F:$F,Fact_Milestone!$A:$A,$B31,Fact_Milestone!$B:$B,$AL31,Fact_Milestone!$F:$F,"&gt;0"),VLOOKUP($AL31,Dim_TOP!$A:$E,5,0)),0.5),"")))</f>
        <v/>
      </c>
      <c r="AP31" s="22" t="str">
        <f aca="false">IF($A31="","",IF($U31="","",ROUND(($U31-INT($U31))*24,4)))</f>
        <v/>
      </c>
      <c r="AQ31" s="22" t="str">
        <f aca="false">IF($A31="","",IF($W31="","",ROUND(($W31-INT($W31))*24,4)))</f>
        <v/>
      </c>
      <c r="AR31" s="22" t="str">
        <f aca="false">IF($A31="","",IF($X31="","",ROUND(($X31-INT($X31))*24,4)))</f>
        <v/>
      </c>
      <c r="AS31" s="38" t="str">
        <f aca="false">IF($A31="","",IF(OR($AN31="",$V31="",$S31="",$T31=""),"",ROUND(($V31-($B31+$AN31/24))*1440-$S31-$T31,0)))</f>
        <v/>
      </c>
      <c r="AT31" s="38" t="str">
        <f aca="false">IF($A31="","",IF(OR($AN31="",$U31=""),"",ROUND(($U31-($B31+$AN31/24))*1440,0)))</f>
        <v/>
      </c>
      <c r="AU31" s="38" t="str">
        <f aca="false">IF($A31="","",IF(OR($AD31="",$S31=""),"",ROUND($AD31-$S31,0)))</f>
        <v/>
      </c>
      <c r="AV31" s="38" t="str">
        <f aca="false">IF($A31="","",N($AE31))</f>
        <v/>
      </c>
      <c r="AW31" s="38" t="str">
        <f aca="false">IF($A31="","",IF(OR($AF31="",$T31=""),"",$AF31-$T31))</f>
        <v/>
      </c>
      <c r="AX31" s="38" t="str">
        <f aca="false">IF($A31="","",IF(COUNT($AT31,$AB31,$AU31,$AW31,$AS31,$AH31)&lt;6,"",ROUND($AT31+$AB31+$AU31+$AV31+$AW31-$AS31-$AH31,0)))</f>
        <v/>
      </c>
      <c r="AY31" s="4" t="str">
        <f aca="false">IF($A31="","",IF($AX31="","No",IF(ABS($AX31)&lt;=2,"Yes","No")))</f>
        <v/>
      </c>
      <c r="AZ31" s="4" t="str">
        <f aca="false">IF($A31="","",IF($AI31&lt;&gt;"Yes","n/a",IF(OR($AA31="",$S31="",$T31=""),"Unknown",IF($AA31&lt;$S31+$T31,"Lost on arrival","Lost after arrival"))))</f>
        <v/>
      </c>
      <c r="BA31" s="10" t="str">
        <f aca="false">IF($A31="","",IFERROR(VLOOKUP($C31,Dim_Fund!$A:$D,4,0),""))</f>
        <v/>
      </c>
      <c r="BB31" s="10" t="str">
        <f aca="false">IF($A31="","",IF($AL31="","",IF(COUNTIFS(Fact_Milestone!$A:$A,$B31,Fact_Milestone!$B:$B,$AL31,Fact_Milestone!$I:$I,"No")&gt;0,"No",IF(COUNTIFS(Fact_Milestone!$A:$A,$B31,Fact_Milestone!$B:$B,$AL31,Fact_Milestone!$I:$I,"Yes")&gt;0,"Yes",""))))</f>
        <v/>
      </c>
      <c r="BC31" s="45" t="str">
        <f aca="false">IF($A31="","",IF(OR($L31="",$W31=""),"",IF(COUNTIFS($L:$L,$L31,$B:$B,$B31,$W:$W,"&lt;"&amp;$W31)=0,"",_xlfn.MAXIFS($W:$W,$L:$L,$L31,$B:$B,$B31,$W:$W,"&lt;"&amp;$W31))))</f>
        <v/>
      </c>
      <c r="BD31" s="39" t="str">
        <f aca="false">IF($A31="","",IF($AC31="","",IF(OR($L31="",$AC31=0),0,MIN($AC31,ROUND(ROUND(1440*SUMPRODUCT(($L$2:INDEX($L:$L,COUNTA($C:$C))=$L31)*($B$2:INDEX($B:$B,COUNTA($C:$C))=$B31)*(ROW($L$2:INDEX($L:$L,COUNTA($C:$C)))&lt;&gt;ROW())*((((($W31+$BT$2:INDEX($BT:$BT,COUNTA($C:$C))-ABS($W31-$BT$2:INDEX($BT:$BT,COUNTA($C:$C))))/2)-(($U31+$BS$2:INDEX($BS:$BS,COUNTA($C:$C))+ABS($U31-$BS$2:INDEX($BS:$BS,COUNTA($C:$C))))/2))+ABS(((($W31+$BT$2:INDEX($BT:$BT,COUNTA($C:$C))-ABS($W31-$BT$2:INDEX($BT:$BT,COUNTA($C:$C))))/2)-(($U31+$BS$2:INDEX($BS:$BS,COUNTA($C:$C))+ABS($U31-$BS$2:INDEX($BS:$BS,COUNTA($C:$C))))/2))))/2)),4),0)))))</f>
        <v/>
      </c>
      <c r="BE31" s="39" t="str">
        <f aca="false">IF($A31="","",IF($AC31="","",ROUND(MIN($AC31-$BD31,N($R31)),0)))</f>
        <v/>
      </c>
      <c r="BF31" s="10" t="str">
        <f aca="false">IF($A31="","",IFERROR(VLOOKUP($C31,Dim_Fund!$A:$BD,56,0),""))</f>
        <v/>
      </c>
      <c r="BG31" s="10" t="str">
        <f aca="false">IF($A31="","",IFERROR(VLOOKUP($C31,Dim_Fund!$A:$BH,60,0),""))</f>
        <v/>
      </c>
      <c r="BH31" s="10" t="str">
        <f aca="false">IF($A31="","",IF($AI31&lt;&gt;"Yes","Not breached",IF($AM31="Yes","Pricing late",IF($BG31="Thin custody slack","Thin custody slack",IF($BF31="Yes","Broker-dependent","None of these")))))</f>
        <v/>
      </c>
      <c r="BI31" s="23" t="str">
        <f aca="false">IF($A31="","",IFERROR(IF(VLOOKUP($C31,Dim_Fund!$A:$AI,35,0)&gt;0,VLOOKUP($C31,Dim_Fund!$A:$AI,35,0),""),""))</f>
        <v/>
      </c>
      <c r="BJ31" s="10" t="str">
        <f aca="false">IF($A31="","",$C31&amp;IF($E31="Client","*",""))</f>
        <v/>
      </c>
      <c r="BK31" s="39" t="str">
        <f aca="false">IF($A31="","",IFERROR(ROUND(($Y31-$X31)*1440,0),""))</f>
        <v/>
      </c>
      <c r="BL31" s="39" t="str">
        <f aca="false">IF($A31="","",IF($AH31="","",-$AH31))</f>
        <v/>
      </c>
      <c r="BM31" s="46" t="str">
        <f aca="false">IF($A31="","",IF($AQ31="","",IF($AP31="",$AQ31,MIN($AP31,$AQ31))))</f>
        <v/>
      </c>
      <c r="BN31" s="46" t="str">
        <f aca="false">IF($A31="","",IF($BM31="","",ROUND(N($AC31)/60,4)))</f>
        <v/>
      </c>
      <c r="BO31" s="46" t="str">
        <f aca="false">IF($A31="","",IF(OR($BM31="",$AD31=""),"",ROUND($AD31/60,4)))</f>
        <v/>
      </c>
      <c r="BP31" s="46" t="str">
        <f aca="false">IF($A31="","",IF($BM31="","",ROUND(N($AE31)/60,4)))</f>
        <v/>
      </c>
      <c r="BQ31" s="46" t="str">
        <f aca="false">IF($A31="","",IF(OR($BM31="",$AF31=""),"",ROUND($AF31/60,4)))</f>
        <v/>
      </c>
      <c r="BR31" s="39" t="str">
        <f aca="false">IF($A31="","",IF($AC31="","",$AC31-$BD31-$BE31))</f>
        <v/>
      </c>
      <c r="BS31" s="45" t="str">
        <f aca="false">IF($A31="","",IF(AND(ISNUMBER($Z31),ISNUMBER($W31)),$Z31,0))</f>
        <v/>
      </c>
      <c r="BT31" s="45" t="str">
        <f aca="false">IF($A31="","",IF(ISNUMBER($W31),$W31,0))</f>
        <v/>
      </c>
      <c r="BU31" s="23" t="str">
        <f aca="false">IF($A31="","",IF(ISNUMBER($W31),ROUND(($W31-$B31)*24,4),""))</f>
        <v/>
      </c>
      <c r="BV31" s="23" t="str">
        <f aca="false">IF($A31="","",IF(ISNUMBER($X31),ROUND(($X31-$B31)*24,4),""))</f>
        <v/>
      </c>
      <c r="BW31" s="10" t="str">
        <f aca="false">IF($A31="","",IF(NOT(ISNUMBER($W31)),"Missing Calculated",IF(NOT(ISNUMBER($X31)),IF($E31="Client","Missing FA signed off","Missing Controlled"),IF($X31&lt;$W31,"End before start","OK"))))</f>
        <v/>
      </c>
      <c r="BX31" s="23" t="str">
        <f aca="false">IF($A31="","",IF(NOT(ISNUMBER($Z31)),"",ROUND((IF(ISNUMBER($U31),MIN($U31,$Z31),$Z31)-$B31)*24,4)))</f>
        <v/>
      </c>
      <c r="BY31" s="23" t="str">
        <f aca="false">IF($A31="","",IF(ISNUMBER($Z31),ROUND(($Z31-$B31)*24,4),""))</f>
        <v/>
      </c>
      <c r="BZ31" s="23" t="str">
        <f aca="false">IF($A31="","",IF(AND(ISNUMBER($W31),ISNUMBER($S31)),ROUND(($W31+$S31/1440-$B31)*24,4),""))</f>
        <v/>
      </c>
    </row>
    <row r="32" customFormat="false" ht="15" hidden="false" customHeight="true" outlineLevel="0" collapsed="false">
      <c r="A32" s="47"/>
      <c r="B32" s="47"/>
      <c r="D32" s="4" t="str">
        <f aca="false">IF($A32="","",$B32-$A32)</f>
        <v/>
      </c>
      <c r="E32" s="4" t="str">
        <f aca="false">IF($A32="","",IFERROR(VLOOKUP($C32,Dim_Fund!$A:$X,24,0),""))</f>
        <v/>
      </c>
      <c r="F32" s="37" t="str">
        <f aca="false">IF($A32="","",IF(COUNTIFS(Status_Log!$A:$A,$A32,Status_Log!$B:$B,$B32,Status_Log!$C:$C,$C32,Status_Log!$D:$D,"Changed to the status of Calculated")=0,"",_xlfn.MINIFS(Status_Log!$E:$E,Status_Log!$A:$A,$A32,Status_Log!$B:$B,$B32,Status_Log!$C:$C,$C32,Status_Log!$D:$D,"Changed to the status of Calculated")))</f>
        <v/>
      </c>
      <c r="G32" s="37" t="str">
        <f aca="false">IF($A32="","",IF(COUNTIFS(Status_Log!$A:$A,$A32,Status_Log!$B:$B,$B32,Status_Log!$C:$C,$C32,Status_Log!$D:$D,"Changed to the status of Controlled")=0,"",_xlfn.MAXIFS(Status_Log!$E:$E,Status_Log!$A:$A,$A32,Status_Log!$B:$B,$B32,Status_Log!$C:$C,$C32,Status_Log!$D:$D,"Changed to the status of Controlled")))</f>
        <v/>
      </c>
      <c r="H32" s="37" t="str">
        <f aca="false">IF($A32="","",IF(COUNTIFS(Status_Log!$A:$A,$A32,Status_Log!$B:$B,$B32,Status_Log!$C:$C,$C32,Status_Log!$D:$D,"Changed to the status of Fund accounting signed off")=0,"",_xlfn.MAXIFS(Status_Log!$E:$E,Status_Log!$A:$A,$A32,Status_Log!$B:$B,$B32,Status_Log!$C:$C,$C32,Status_Log!$D:$D,"Changed to the status of Fund accounting signed off")))</f>
        <v/>
      </c>
      <c r="I32" s="37" t="str">
        <f aca="false">IF($A32="","",IF(COUNTIFS(Status_Log!$A:$A,$A32,Status_Log!$B:$B,$B32,Status_Log!$C:$C,$C32,Status_Log!$D:$D,"Changed to the status of signed off")=0,"",_xlfn.MAXIFS(Status_Log!$E:$E,Status_Log!$A:$A,$A32,Status_Log!$B:$B,$B32,Status_Log!$C:$C,$C32,Status_Log!$D:$D,"Changed to the status of signed off")))</f>
        <v/>
      </c>
      <c r="J32" s="4" t="str">
        <f aca="false">IF($A32="","",COUNTIFS(Status_Log!$A:$A,$A32,Status_Log!$B:$B,$B32,Status_Log!$C:$C,$C32,Status_Log!$D:$D,"Changed to the status of Calculated"))</f>
        <v/>
      </c>
      <c r="K32" s="38" t="str">
        <f aca="false">IF($A32="","",IF(J32&lt;=1,0,ROUND((_xlfn.MAXIFS(Status_Log!$E:$E,Status_Log!$A:$A,$A32,Status_Log!$B:$B,$B32,Status_Log!$C:$C,$C32,Status_Log!$D:$D,"Changed to the status of Calculated")-F32)*1440,0)))</f>
        <v/>
      </c>
      <c r="L32" s="4" t="str">
        <f aca="false">IF($A32="","",IFERROR(INDEX(Status_Log!$F:$F,MATCH($A32&amp;"|"&amp;$B32&amp;"|"&amp;$C32&amp;"|Changed to the status of Calculated|"&amp;TEXT(_xlfn.MAXIFS(Status_Log!$E:$E,Status_Log!$A:$A,$A32,Status_Log!$B:$B,$B32,Status_Log!$C:$C,$C32,Status_Log!$D:$D,"Changed to the status of Calculated"),"0.000000"),Status_Log!$H:$H,0)),""))</f>
        <v/>
      </c>
      <c r="M32" s="4" t="str">
        <f aca="false">IF($A32="","",IF(E32="Client","n/a — no control step",IFERROR(INDEX(Status_Log!$F:$F,MATCH($A32&amp;"|"&amp;$B32&amp;"|"&amp;$C32&amp;"|Changed to the status of Controlled|"&amp;TEXT(_xlfn.MAXIFS(Status_Log!$E:$E,Status_Log!$A:$A,$A32,Status_Log!$B:$B,$B32,Status_Log!$C:$C,$C32,Status_Log!$D:$D,"Changed to the status of Controlled"),"0.000000"),Status_Log!$H:$H,0)),"")))</f>
        <v/>
      </c>
      <c r="N32" s="4" t="str">
        <f aca="false">IF($A32="","",IFERROR(VLOOKUP($C32,Dim_Fund!$A:$G,7,0),""))</f>
        <v/>
      </c>
      <c r="O32" s="4" t="str">
        <f aca="false">IF($A32="","",IF(L32=N32,"No","Yes"))</f>
        <v/>
      </c>
      <c r="P32" s="4" t="str">
        <f aca="false">IF($A32="","",IF(E32="Client","n/a",IF(L32=M32,"YES — four-eyes breach","No")))</f>
        <v/>
      </c>
      <c r="Q32" s="38" t="str">
        <f aca="false">IF($A32="","",IFERROR(VLOOKUP($C32,Dim_Fund!$A:$AB,28,0),""))</f>
        <v/>
      </c>
      <c r="R32" s="38" t="str">
        <f aca="false">IF($A32="","",IFERROR(VLOOKUP($C32,Dim_Fund!$A:$AC,29,0),""))</f>
        <v/>
      </c>
      <c r="S32" s="38" t="str">
        <f aca="false">IF($A32="","",IFERROR(VLOOKUP($C32,Dim_Fund!$A:$AD,30,0),""))</f>
        <v/>
      </c>
      <c r="T32" s="38" t="str">
        <f aca="false">IF($A32="","",IFERROR(VLOOKUP($C32,Dim_Fund!$A:$AL,38,0),""))</f>
        <v/>
      </c>
      <c r="U32" s="37" t="str">
        <f aca="false">IF($A32="","",IF(AL32="","",IFERROR(IF(COUNTIFS(Fact_Milestone!$A:$A,$B32,Fact_Milestone!$B:$B,AL32)=0,"",_xlfn.MAXIFS(Fact_Milestone!$C:$C,Fact_Milestone!$A:$A,$B32,Fact_Milestone!$B:$B,AL32)),"")))</f>
        <v/>
      </c>
      <c r="V32" s="37" t="str">
        <f aca="false">IF($A32="","",IFERROR(IF(VLOOKUP($C32,Dim_Fund!$A:$AI,35,0)&gt;0,$B32+VLOOKUP($C32,Dim_Fund!$A:$AI,35,0)/24,""),""))</f>
        <v/>
      </c>
      <c r="W32" s="37" t="str">
        <f aca="false">IF($A32="","",F32)</f>
        <v/>
      </c>
      <c r="X32" s="37" t="str">
        <f aca="false">IF($A32="","",IF(E32="Client",H32,G32))</f>
        <v/>
      </c>
      <c r="Y32" s="37" t="str">
        <f aca="false">IF($A32="","",I32)</f>
        <v/>
      </c>
      <c r="Z32" s="37" t="str">
        <f aca="false">IF($A32="","",IFERROR(W32-R32/1440,""))</f>
        <v/>
      </c>
      <c r="AA32" s="38" t="str">
        <f aca="false">IF($A32="","",IF(OR(U32="",V32=""),"",ROUND((V32-U32)*1440,0)))</f>
        <v/>
      </c>
      <c r="AB32" s="38" t="str">
        <f aca="false">IF($A32="","",IF(U32="","",ROUND((W32-U32)*1440,0)))</f>
        <v/>
      </c>
      <c r="AC32" s="38" t="str">
        <f aca="false">IF($A32="","",IF(AB32="","",MAX(0,AB32)))</f>
        <v/>
      </c>
      <c r="AD32" s="38" t="str">
        <f aca="false">IF($A32="","",IFERROR(ROUND((X32-W32)*1440,0),""))</f>
        <v/>
      </c>
      <c r="AE32" s="38" t="str">
        <f aca="false">IF($A32="","",IF(E32="Client","n/a",IFERROR(ROUND((H32-G32)*1440,0),"")))</f>
        <v/>
      </c>
      <c r="AF32" s="38" t="str">
        <f aca="false">IF($A32="","",IFERROR(ROUND((Y32-H32)*1440,0),""))</f>
        <v/>
      </c>
      <c r="AG32" s="38" t="str">
        <f aca="false">IF($A32="","",IFERROR(ROUND((H32-F32)*1440,0),""))</f>
        <v/>
      </c>
      <c r="AH32" s="38" t="str">
        <f aca="false">IF($A32="","",IFERROR(ROUND((Y32-V32)*1440,0),""))</f>
        <v/>
      </c>
      <c r="AI32" s="4" t="str">
        <f aca="false">IF($A32="","",IF(AH32="","",IF(AH32&gt;0,"Yes","No")))</f>
        <v/>
      </c>
      <c r="AJ32" s="4" t="str">
        <f aca="false">IF($A32="","",IF(AI32&lt;&gt;"Yes","On time",IF(N(AC32)&gt;=MAX(N(AF32),N(K32)),"Wait for analyst",IF(N(AF32)&gt;=N(K32),"External sign-off","Rework"))))</f>
        <v/>
      </c>
      <c r="AK32" s="4" t="str">
        <f aca="false">IF($A32="","",IF(OR(F32="",Y32="",ISNA(MATCH(L32,Dim_Analyst!$A:$A,0))),"CHECK","OK"))</f>
        <v/>
      </c>
      <c r="AL32" s="4" t="str">
        <f aca="false">IF($A32="","",IFERROR(VLOOKUP($C32,Dim_Fund!$A:$U,21,0),""))</f>
        <v/>
      </c>
      <c r="AM32" s="4" t="str">
        <f aca="false">IF($A32="","",IF($U32="","",IF($U32&gt;$B32+IFERROR(VLOOKUP($C32,Dim_Fund!$A:$AH,34,0),0)/24,"Yes","No")))</f>
        <v/>
      </c>
      <c r="AN32" s="22" t="str">
        <f aca="false">IF($A32="","",IFERROR(VLOOKUP($C32,Dim_Fund!$A:$AH,34,0),""))</f>
        <v/>
      </c>
      <c r="AO32" s="22" t="str">
        <f aca="false">IF($A32="","",IF($AL32="","",IFERROR(FLOOR(IF(COUNTIFS(Fact_Milestone!$A:$A,$B32,Fact_Milestone!$B:$B,$AL32,Fact_Milestone!$F:$F,"&gt;0")&gt;0,_xlfn.MINIFS(Fact_Milestone!$F:$F,Fact_Milestone!$A:$A,$B32,Fact_Milestone!$B:$B,$AL32,Fact_Milestone!$F:$F,"&gt;0"),VLOOKUP($AL32,Dim_TOP!$A:$E,5,0)),0.5),"")))</f>
        <v/>
      </c>
      <c r="AP32" s="22" t="str">
        <f aca="false">IF($A32="","",IF($U32="","",ROUND(($U32-INT($U32))*24,4)))</f>
        <v/>
      </c>
      <c r="AQ32" s="22" t="str">
        <f aca="false">IF($A32="","",IF($W32="","",ROUND(($W32-INT($W32))*24,4)))</f>
        <v/>
      </c>
      <c r="AR32" s="22" t="str">
        <f aca="false">IF($A32="","",IF($X32="","",ROUND(($X32-INT($X32))*24,4)))</f>
        <v/>
      </c>
      <c r="AS32" s="38" t="str">
        <f aca="false">IF($A32="","",IF(OR($AN32="",$V32="",$S32="",$T32=""),"",ROUND(($V32-($B32+$AN32/24))*1440-$S32-$T32,0)))</f>
        <v/>
      </c>
      <c r="AT32" s="38" t="str">
        <f aca="false">IF($A32="","",IF(OR($AN32="",$U32=""),"",ROUND(($U32-($B32+$AN32/24))*1440,0)))</f>
        <v/>
      </c>
      <c r="AU32" s="38" t="str">
        <f aca="false">IF($A32="","",IF(OR($AD32="",$S32=""),"",ROUND($AD32-$S32,0)))</f>
        <v/>
      </c>
      <c r="AV32" s="38" t="str">
        <f aca="false">IF($A32="","",N($AE32))</f>
        <v/>
      </c>
      <c r="AW32" s="38" t="str">
        <f aca="false">IF($A32="","",IF(OR($AF32="",$T32=""),"",$AF32-$T32))</f>
        <v/>
      </c>
      <c r="AX32" s="38" t="str">
        <f aca="false">IF($A32="","",IF(COUNT($AT32,$AB32,$AU32,$AW32,$AS32,$AH32)&lt;6,"",ROUND($AT32+$AB32+$AU32+$AV32+$AW32-$AS32-$AH32,0)))</f>
        <v/>
      </c>
      <c r="AY32" s="4" t="str">
        <f aca="false">IF($A32="","",IF($AX32="","No",IF(ABS($AX32)&lt;=2,"Yes","No")))</f>
        <v/>
      </c>
      <c r="AZ32" s="4" t="str">
        <f aca="false">IF($A32="","",IF($AI32&lt;&gt;"Yes","n/a",IF(OR($AA32="",$S32="",$T32=""),"Unknown",IF($AA32&lt;$S32+$T32,"Lost on arrival","Lost after arrival"))))</f>
        <v/>
      </c>
      <c r="BA32" s="10" t="str">
        <f aca="false">IF($A32="","",IFERROR(VLOOKUP($C32,Dim_Fund!$A:$D,4,0),""))</f>
        <v/>
      </c>
      <c r="BB32" s="10" t="str">
        <f aca="false">IF($A32="","",IF($AL32="","",IF(COUNTIFS(Fact_Milestone!$A:$A,$B32,Fact_Milestone!$B:$B,$AL32,Fact_Milestone!$I:$I,"No")&gt;0,"No",IF(COUNTIFS(Fact_Milestone!$A:$A,$B32,Fact_Milestone!$B:$B,$AL32,Fact_Milestone!$I:$I,"Yes")&gt;0,"Yes",""))))</f>
        <v/>
      </c>
      <c r="BC32" s="45" t="str">
        <f aca="false">IF($A32="","",IF(OR($L32="",$W32=""),"",IF(COUNTIFS($L:$L,$L32,$B:$B,$B32,$W:$W,"&lt;"&amp;$W32)=0,"",_xlfn.MAXIFS($W:$W,$L:$L,$L32,$B:$B,$B32,$W:$W,"&lt;"&amp;$W32))))</f>
        <v/>
      </c>
      <c r="BD32" s="39" t="str">
        <f aca="false">IF($A32="","",IF($AC32="","",IF(OR($L32="",$AC32=0),0,MIN($AC32,ROUND(ROUND(1440*SUMPRODUCT(($L$2:INDEX($L:$L,COUNTA($C:$C))=$L32)*($B$2:INDEX($B:$B,COUNTA($C:$C))=$B32)*(ROW($L$2:INDEX($L:$L,COUNTA($C:$C)))&lt;&gt;ROW())*((((($W32+$BT$2:INDEX($BT:$BT,COUNTA($C:$C))-ABS($W32-$BT$2:INDEX($BT:$BT,COUNTA($C:$C))))/2)-(($U32+$BS$2:INDEX($BS:$BS,COUNTA($C:$C))+ABS($U32-$BS$2:INDEX($BS:$BS,COUNTA($C:$C))))/2))+ABS(((($W32+$BT$2:INDEX($BT:$BT,COUNTA($C:$C))-ABS($W32-$BT$2:INDEX($BT:$BT,COUNTA($C:$C))))/2)-(($U32+$BS$2:INDEX($BS:$BS,COUNTA($C:$C))+ABS($U32-$BS$2:INDEX($BS:$BS,COUNTA($C:$C))))/2))))/2)),4),0)))))</f>
        <v/>
      </c>
      <c r="BE32" s="39" t="str">
        <f aca="false">IF($A32="","",IF($AC32="","",ROUND(MIN($AC32-$BD32,N($R32)),0)))</f>
        <v/>
      </c>
      <c r="BF32" s="10" t="str">
        <f aca="false">IF($A32="","",IFERROR(VLOOKUP($C32,Dim_Fund!$A:$BD,56,0),""))</f>
        <v/>
      </c>
      <c r="BG32" s="10" t="str">
        <f aca="false">IF($A32="","",IFERROR(VLOOKUP($C32,Dim_Fund!$A:$BH,60,0),""))</f>
        <v/>
      </c>
      <c r="BH32" s="10" t="str">
        <f aca="false">IF($A32="","",IF($AI32&lt;&gt;"Yes","Not breached",IF($AM32="Yes","Pricing late",IF($BG32="Thin custody slack","Thin custody slack",IF($BF32="Yes","Broker-dependent","None of these")))))</f>
        <v/>
      </c>
      <c r="BI32" s="23" t="str">
        <f aca="false">IF($A32="","",IFERROR(IF(VLOOKUP($C32,Dim_Fund!$A:$AI,35,0)&gt;0,VLOOKUP($C32,Dim_Fund!$A:$AI,35,0),""),""))</f>
        <v/>
      </c>
      <c r="BJ32" s="10" t="str">
        <f aca="false">IF($A32="","",$C32&amp;IF($E32="Client","*",""))</f>
        <v/>
      </c>
      <c r="BK32" s="39" t="str">
        <f aca="false">IF($A32="","",IFERROR(ROUND(($Y32-$X32)*1440,0),""))</f>
        <v/>
      </c>
      <c r="BL32" s="39" t="str">
        <f aca="false">IF($A32="","",IF($AH32="","",-$AH32))</f>
        <v/>
      </c>
      <c r="BM32" s="46" t="str">
        <f aca="false">IF($A32="","",IF($AQ32="","",IF($AP32="",$AQ32,MIN($AP32,$AQ32))))</f>
        <v/>
      </c>
      <c r="BN32" s="46" t="str">
        <f aca="false">IF($A32="","",IF($BM32="","",ROUND(N($AC32)/60,4)))</f>
        <v/>
      </c>
      <c r="BO32" s="46" t="str">
        <f aca="false">IF($A32="","",IF(OR($BM32="",$AD32=""),"",ROUND($AD32/60,4)))</f>
        <v/>
      </c>
      <c r="BP32" s="46" t="str">
        <f aca="false">IF($A32="","",IF($BM32="","",ROUND(N($AE32)/60,4)))</f>
        <v/>
      </c>
      <c r="BQ32" s="46" t="str">
        <f aca="false">IF($A32="","",IF(OR($BM32="",$AF32=""),"",ROUND($AF32/60,4)))</f>
        <v/>
      </c>
      <c r="BR32" s="39" t="str">
        <f aca="false">IF($A32="","",IF($AC32="","",$AC32-$BD32-$BE32))</f>
        <v/>
      </c>
      <c r="BS32" s="45" t="str">
        <f aca="false">IF($A32="","",IF(AND(ISNUMBER($Z32),ISNUMBER($W32)),$Z32,0))</f>
        <v/>
      </c>
      <c r="BT32" s="45" t="str">
        <f aca="false">IF($A32="","",IF(ISNUMBER($W32),$W32,0))</f>
        <v/>
      </c>
      <c r="BU32" s="23" t="str">
        <f aca="false">IF($A32="","",IF(ISNUMBER($W32),ROUND(($W32-$B32)*24,4),""))</f>
        <v/>
      </c>
      <c r="BV32" s="23" t="str">
        <f aca="false">IF($A32="","",IF(ISNUMBER($X32),ROUND(($X32-$B32)*24,4),""))</f>
        <v/>
      </c>
      <c r="BW32" s="10" t="str">
        <f aca="false">IF($A32="","",IF(NOT(ISNUMBER($W32)),"Missing Calculated",IF(NOT(ISNUMBER($X32)),IF($E32="Client","Missing FA signed off","Missing Controlled"),IF($X32&lt;$W32,"End before start","OK"))))</f>
        <v/>
      </c>
      <c r="BX32" s="23" t="str">
        <f aca="false">IF($A32="","",IF(NOT(ISNUMBER($Z32)),"",ROUND((IF(ISNUMBER($U32),MIN($U32,$Z32),$Z32)-$B32)*24,4)))</f>
        <v/>
      </c>
      <c r="BY32" s="23" t="str">
        <f aca="false">IF($A32="","",IF(ISNUMBER($Z32),ROUND(($Z32-$B32)*24,4),""))</f>
        <v/>
      </c>
      <c r="BZ32" s="23" t="str">
        <f aca="false">IF($A32="","",IF(AND(ISNUMBER($W32),ISNUMBER($S32)),ROUND(($W32+$S32/1440-$B32)*24,4),""))</f>
        <v/>
      </c>
    </row>
    <row r="33" customFormat="false" ht="15" hidden="false" customHeight="true" outlineLevel="0" collapsed="false">
      <c r="A33" s="47"/>
      <c r="B33" s="47"/>
      <c r="D33" s="4" t="str">
        <f aca="false">IF($A33="","",$B33-$A33)</f>
        <v/>
      </c>
      <c r="E33" s="4" t="str">
        <f aca="false">IF($A33="","",IFERROR(VLOOKUP($C33,Dim_Fund!$A:$X,24,0),""))</f>
        <v/>
      </c>
      <c r="F33" s="37" t="str">
        <f aca="false">IF($A33="","",IF(COUNTIFS(Status_Log!$A:$A,$A33,Status_Log!$B:$B,$B33,Status_Log!$C:$C,$C33,Status_Log!$D:$D,"Changed to the status of Calculated")=0,"",_xlfn.MINIFS(Status_Log!$E:$E,Status_Log!$A:$A,$A33,Status_Log!$B:$B,$B33,Status_Log!$C:$C,$C33,Status_Log!$D:$D,"Changed to the status of Calculated")))</f>
        <v/>
      </c>
      <c r="G33" s="37" t="str">
        <f aca="false">IF($A33="","",IF(COUNTIFS(Status_Log!$A:$A,$A33,Status_Log!$B:$B,$B33,Status_Log!$C:$C,$C33,Status_Log!$D:$D,"Changed to the status of Controlled")=0,"",_xlfn.MAXIFS(Status_Log!$E:$E,Status_Log!$A:$A,$A33,Status_Log!$B:$B,$B33,Status_Log!$C:$C,$C33,Status_Log!$D:$D,"Changed to the status of Controlled")))</f>
        <v/>
      </c>
      <c r="H33" s="37" t="str">
        <f aca="false">IF($A33="","",IF(COUNTIFS(Status_Log!$A:$A,$A33,Status_Log!$B:$B,$B33,Status_Log!$C:$C,$C33,Status_Log!$D:$D,"Changed to the status of Fund accounting signed off")=0,"",_xlfn.MAXIFS(Status_Log!$E:$E,Status_Log!$A:$A,$A33,Status_Log!$B:$B,$B33,Status_Log!$C:$C,$C33,Status_Log!$D:$D,"Changed to the status of Fund accounting signed off")))</f>
        <v/>
      </c>
      <c r="I33" s="37" t="str">
        <f aca="false">IF($A33="","",IF(COUNTIFS(Status_Log!$A:$A,$A33,Status_Log!$B:$B,$B33,Status_Log!$C:$C,$C33,Status_Log!$D:$D,"Changed to the status of signed off")=0,"",_xlfn.MAXIFS(Status_Log!$E:$E,Status_Log!$A:$A,$A33,Status_Log!$B:$B,$B33,Status_Log!$C:$C,$C33,Status_Log!$D:$D,"Changed to the status of signed off")))</f>
        <v/>
      </c>
      <c r="J33" s="4" t="str">
        <f aca="false">IF($A33="","",COUNTIFS(Status_Log!$A:$A,$A33,Status_Log!$B:$B,$B33,Status_Log!$C:$C,$C33,Status_Log!$D:$D,"Changed to the status of Calculated"))</f>
        <v/>
      </c>
      <c r="K33" s="38" t="str">
        <f aca="false">IF($A33="","",IF(J33&lt;=1,0,ROUND((_xlfn.MAXIFS(Status_Log!$E:$E,Status_Log!$A:$A,$A33,Status_Log!$B:$B,$B33,Status_Log!$C:$C,$C33,Status_Log!$D:$D,"Changed to the status of Calculated")-F33)*1440,0)))</f>
        <v/>
      </c>
      <c r="L33" s="4" t="str">
        <f aca="false">IF($A33="","",IFERROR(INDEX(Status_Log!$F:$F,MATCH($A33&amp;"|"&amp;$B33&amp;"|"&amp;$C33&amp;"|Changed to the status of Calculated|"&amp;TEXT(_xlfn.MAXIFS(Status_Log!$E:$E,Status_Log!$A:$A,$A33,Status_Log!$B:$B,$B33,Status_Log!$C:$C,$C33,Status_Log!$D:$D,"Changed to the status of Calculated"),"0.000000"),Status_Log!$H:$H,0)),""))</f>
        <v/>
      </c>
      <c r="M33" s="4" t="str">
        <f aca="false">IF($A33="","",IF(E33="Client","n/a — no control step",IFERROR(INDEX(Status_Log!$F:$F,MATCH($A33&amp;"|"&amp;$B33&amp;"|"&amp;$C33&amp;"|Changed to the status of Controlled|"&amp;TEXT(_xlfn.MAXIFS(Status_Log!$E:$E,Status_Log!$A:$A,$A33,Status_Log!$B:$B,$B33,Status_Log!$C:$C,$C33,Status_Log!$D:$D,"Changed to the status of Controlled"),"0.000000"),Status_Log!$H:$H,0)),"")))</f>
        <v/>
      </c>
      <c r="N33" s="4" t="str">
        <f aca="false">IF($A33="","",IFERROR(VLOOKUP($C33,Dim_Fund!$A:$G,7,0),""))</f>
        <v/>
      </c>
      <c r="O33" s="4" t="str">
        <f aca="false">IF($A33="","",IF(L33=N33,"No","Yes"))</f>
        <v/>
      </c>
      <c r="P33" s="4" t="str">
        <f aca="false">IF($A33="","",IF(E33="Client","n/a",IF(L33=M33,"YES — four-eyes breach","No")))</f>
        <v/>
      </c>
      <c r="Q33" s="38" t="str">
        <f aca="false">IF($A33="","",IFERROR(VLOOKUP($C33,Dim_Fund!$A:$AB,28,0),""))</f>
        <v/>
      </c>
      <c r="R33" s="38" t="str">
        <f aca="false">IF($A33="","",IFERROR(VLOOKUP($C33,Dim_Fund!$A:$AC,29,0),""))</f>
        <v/>
      </c>
      <c r="S33" s="38" t="str">
        <f aca="false">IF($A33="","",IFERROR(VLOOKUP($C33,Dim_Fund!$A:$AD,30,0),""))</f>
        <v/>
      </c>
      <c r="T33" s="38" t="str">
        <f aca="false">IF($A33="","",IFERROR(VLOOKUP($C33,Dim_Fund!$A:$AL,38,0),""))</f>
        <v/>
      </c>
      <c r="U33" s="37" t="str">
        <f aca="false">IF($A33="","",IF(AL33="","",IFERROR(IF(COUNTIFS(Fact_Milestone!$A:$A,$B33,Fact_Milestone!$B:$B,AL33)=0,"",_xlfn.MAXIFS(Fact_Milestone!$C:$C,Fact_Milestone!$A:$A,$B33,Fact_Milestone!$B:$B,AL33)),"")))</f>
        <v/>
      </c>
      <c r="V33" s="37" t="str">
        <f aca="false">IF($A33="","",IFERROR(IF(VLOOKUP($C33,Dim_Fund!$A:$AI,35,0)&gt;0,$B33+VLOOKUP($C33,Dim_Fund!$A:$AI,35,0)/24,""),""))</f>
        <v/>
      </c>
      <c r="W33" s="37" t="str">
        <f aca="false">IF($A33="","",F33)</f>
        <v/>
      </c>
      <c r="X33" s="37" t="str">
        <f aca="false">IF($A33="","",IF(E33="Client",H33,G33))</f>
        <v/>
      </c>
      <c r="Y33" s="37" t="str">
        <f aca="false">IF($A33="","",I33)</f>
        <v/>
      </c>
      <c r="Z33" s="37" t="str">
        <f aca="false">IF($A33="","",IFERROR(W33-R33/1440,""))</f>
        <v/>
      </c>
      <c r="AA33" s="38" t="str">
        <f aca="false">IF($A33="","",IF(OR(U33="",V33=""),"",ROUND((V33-U33)*1440,0)))</f>
        <v/>
      </c>
      <c r="AB33" s="38" t="str">
        <f aca="false">IF($A33="","",IF(U33="","",ROUND((W33-U33)*1440,0)))</f>
        <v/>
      </c>
      <c r="AC33" s="38" t="str">
        <f aca="false">IF($A33="","",IF(AB33="","",MAX(0,AB33)))</f>
        <v/>
      </c>
      <c r="AD33" s="38" t="str">
        <f aca="false">IF($A33="","",IFERROR(ROUND((X33-W33)*1440,0),""))</f>
        <v/>
      </c>
      <c r="AE33" s="38" t="str">
        <f aca="false">IF($A33="","",IF(E33="Client","n/a",IFERROR(ROUND((H33-G33)*1440,0),"")))</f>
        <v/>
      </c>
      <c r="AF33" s="38" t="str">
        <f aca="false">IF($A33="","",IFERROR(ROUND((Y33-H33)*1440,0),""))</f>
        <v/>
      </c>
      <c r="AG33" s="38" t="str">
        <f aca="false">IF($A33="","",IFERROR(ROUND((H33-F33)*1440,0),""))</f>
        <v/>
      </c>
      <c r="AH33" s="38" t="str">
        <f aca="false">IF($A33="","",IFERROR(ROUND((Y33-V33)*1440,0),""))</f>
        <v/>
      </c>
      <c r="AI33" s="4" t="str">
        <f aca="false">IF($A33="","",IF(AH33="","",IF(AH33&gt;0,"Yes","No")))</f>
        <v/>
      </c>
      <c r="AJ33" s="4" t="str">
        <f aca="false">IF($A33="","",IF(AI33&lt;&gt;"Yes","On time",IF(N(AC33)&gt;=MAX(N(AF33),N(K33)),"Wait for analyst",IF(N(AF33)&gt;=N(K33),"External sign-off","Rework"))))</f>
        <v/>
      </c>
      <c r="AK33" s="4" t="str">
        <f aca="false">IF($A33="","",IF(OR(F33="",Y33="",ISNA(MATCH(L33,Dim_Analyst!$A:$A,0))),"CHECK","OK"))</f>
        <v/>
      </c>
      <c r="AL33" s="4" t="str">
        <f aca="false">IF($A33="","",IFERROR(VLOOKUP($C33,Dim_Fund!$A:$U,21,0),""))</f>
        <v/>
      </c>
      <c r="AM33" s="4" t="str">
        <f aca="false">IF($A33="","",IF($U33="","",IF($U33&gt;$B33+IFERROR(VLOOKUP($C33,Dim_Fund!$A:$AH,34,0),0)/24,"Yes","No")))</f>
        <v/>
      </c>
      <c r="AN33" s="22" t="str">
        <f aca="false">IF($A33="","",IFERROR(VLOOKUP($C33,Dim_Fund!$A:$AH,34,0),""))</f>
        <v/>
      </c>
      <c r="AO33" s="22" t="str">
        <f aca="false">IF($A33="","",IF($AL33="","",IFERROR(FLOOR(IF(COUNTIFS(Fact_Milestone!$A:$A,$B33,Fact_Milestone!$B:$B,$AL33,Fact_Milestone!$F:$F,"&gt;0")&gt;0,_xlfn.MINIFS(Fact_Milestone!$F:$F,Fact_Milestone!$A:$A,$B33,Fact_Milestone!$B:$B,$AL33,Fact_Milestone!$F:$F,"&gt;0"),VLOOKUP($AL33,Dim_TOP!$A:$E,5,0)),0.5),"")))</f>
        <v/>
      </c>
      <c r="AP33" s="22" t="str">
        <f aca="false">IF($A33="","",IF($U33="","",ROUND(($U33-INT($U33))*24,4)))</f>
        <v/>
      </c>
      <c r="AQ33" s="22" t="str">
        <f aca="false">IF($A33="","",IF($W33="","",ROUND(($W33-INT($W33))*24,4)))</f>
        <v/>
      </c>
      <c r="AR33" s="22" t="str">
        <f aca="false">IF($A33="","",IF($X33="","",ROUND(($X33-INT($X33))*24,4)))</f>
        <v/>
      </c>
      <c r="AS33" s="38" t="str">
        <f aca="false">IF($A33="","",IF(OR($AN33="",$V33="",$S33="",$T33=""),"",ROUND(($V33-($B33+$AN33/24))*1440-$S33-$T33,0)))</f>
        <v/>
      </c>
      <c r="AT33" s="38" t="str">
        <f aca="false">IF($A33="","",IF(OR($AN33="",$U33=""),"",ROUND(($U33-($B33+$AN33/24))*1440,0)))</f>
        <v/>
      </c>
      <c r="AU33" s="38" t="str">
        <f aca="false">IF($A33="","",IF(OR($AD33="",$S33=""),"",ROUND($AD33-$S33,0)))</f>
        <v/>
      </c>
      <c r="AV33" s="38" t="str">
        <f aca="false">IF($A33="","",N($AE33))</f>
        <v/>
      </c>
      <c r="AW33" s="38" t="str">
        <f aca="false">IF($A33="","",IF(OR($AF33="",$T33=""),"",$AF33-$T33))</f>
        <v/>
      </c>
      <c r="AX33" s="38" t="str">
        <f aca="false">IF($A33="","",IF(COUNT($AT33,$AB33,$AU33,$AW33,$AS33,$AH33)&lt;6,"",ROUND($AT33+$AB33+$AU33+$AV33+$AW33-$AS33-$AH33,0)))</f>
        <v/>
      </c>
      <c r="AY33" s="4" t="str">
        <f aca="false">IF($A33="","",IF($AX33="","No",IF(ABS($AX33)&lt;=2,"Yes","No")))</f>
        <v/>
      </c>
      <c r="AZ33" s="4" t="str">
        <f aca="false">IF($A33="","",IF($AI33&lt;&gt;"Yes","n/a",IF(OR($AA33="",$S33="",$T33=""),"Unknown",IF($AA33&lt;$S33+$T33,"Lost on arrival","Lost after arrival"))))</f>
        <v/>
      </c>
      <c r="BA33" s="10" t="str">
        <f aca="false">IF($A33="","",IFERROR(VLOOKUP($C33,Dim_Fund!$A:$D,4,0),""))</f>
        <v/>
      </c>
      <c r="BB33" s="10" t="str">
        <f aca="false">IF($A33="","",IF($AL33="","",IF(COUNTIFS(Fact_Milestone!$A:$A,$B33,Fact_Milestone!$B:$B,$AL33,Fact_Milestone!$I:$I,"No")&gt;0,"No",IF(COUNTIFS(Fact_Milestone!$A:$A,$B33,Fact_Milestone!$B:$B,$AL33,Fact_Milestone!$I:$I,"Yes")&gt;0,"Yes",""))))</f>
        <v/>
      </c>
      <c r="BC33" s="45" t="str">
        <f aca="false">IF($A33="","",IF(OR($L33="",$W33=""),"",IF(COUNTIFS($L:$L,$L33,$B:$B,$B33,$W:$W,"&lt;"&amp;$W33)=0,"",_xlfn.MAXIFS($W:$W,$L:$L,$L33,$B:$B,$B33,$W:$W,"&lt;"&amp;$W33))))</f>
        <v/>
      </c>
      <c r="BD33" s="39" t="str">
        <f aca="false">IF($A33="","",IF($AC33="","",IF(OR($L33="",$AC33=0),0,MIN($AC33,ROUND(ROUND(1440*SUMPRODUCT(($L$2:INDEX($L:$L,COUNTA($C:$C))=$L33)*($B$2:INDEX($B:$B,COUNTA($C:$C))=$B33)*(ROW($L$2:INDEX($L:$L,COUNTA($C:$C)))&lt;&gt;ROW())*((((($W33+$BT$2:INDEX($BT:$BT,COUNTA($C:$C))-ABS($W33-$BT$2:INDEX($BT:$BT,COUNTA($C:$C))))/2)-(($U33+$BS$2:INDEX($BS:$BS,COUNTA($C:$C))+ABS($U33-$BS$2:INDEX($BS:$BS,COUNTA($C:$C))))/2))+ABS(((($W33+$BT$2:INDEX($BT:$BT,COUNTA($C:$C))-ABS($W33-$BT$2:INDEX($BT:$BT,COUNTA($C:$C))))/2)-(($U33+$BS$2:INDEX($BS:$BS,COUNTA($C:$C))+ABS($U33-$BS$2:INDEX($BS:$BS,COUNTA($C:$C))))/2))))/2)),4),0)))))</f>
        <v/>
      </c>
      <c r="BE33" s="39" t="str">
        <f aca="false">IF($A33="","",IF($AC33="","",ROUND(MIN($AC33-$BD33,N($R33)),0)))</f>
        <v/>
      </c>
      <c r="BF33" s="10" t="str">
        <f aca="false">IF($A33="","",IFERROR(VLOOKUP($C33,Dim_Fund!$A:$BD,56,0),""))</f>
        <v/>
      </c>
      <c r="BG33" s="10" t="str">
        <f aca="false">IF($A33="","",IFERROR(VLOOKUP($C33,Dim_Fund!$A:$BH,60,0),""))</f>
        <v/>
      </c>
      <c r="BH33" s="10" t="str">
        <f aca="false">IF($A33="","",IF($AI33&lt;&gt;"Yes","Not breached",IF($AM33="Yes","Pricing late",IF($BG33="Thin custody slack","Thin custody slack",IF($BF33="Yes","Broker-dependent","None of these")))))</f>
        <v/>
      </c>
      <c r="BI33" s="23" t="str">
        <f aca="false">IF($A33="","",IFERROR(IF(VLOOKUP($C33,Dim_Fund!$A:$AI,35,0)&gt;0,VLOOKUP($C33,Dim_Fund!$A:$AI,35,0),""),""))</f>
        <v/>
      </c>
      <c r="BJ33" s="10" t="str">
        <f aca="false">IF($A33="","",$C33&amp;IF($E33="Client","*",""))</f>
        <v/>
      </c>
      <c r="BK33" s="39" t="str">
        <f aca="false">IF($A33="","",IFERROR(ROUND(($Y33-$X33)*1440,0),""))</f>
        <v/>
      </c>
      <c r="BL33" s="39" t="str">
        <f aca="false">IF($A33="","",IF($AH33="","",-$AH33))</f>
        <v/>
      </c>
      <c r="BM33" s="46" t="str">
        <f aca="false">IF($A33="","",IF($AQ33="","",IF($AP33="",$AQ33,MIN($AP33,$AQ33))))</f>
        <v/>
      </c>
      <c r="BN33" s="46" t="str">
        <f aca="false">IF($A33="","",IF($BM33="","",ROUND(N($AC33)/60,4)))</f>
        <v/>
      </c>
      <c r="BO33" s="46" t="str">
        <f aca="false">IF($A33="","",IF(OR($BM33="",$AD33=""),"",ROUND($AD33/60,4)))</f>
        <v/>
      </c>
      <c r="BP33" s="46" t="str">
        <f aca="false">IF($A33="","",IF($BM33="","",ROUND(N($AE33)/60,4)))</f>
        <v/>
      </c>
      <c r="BQ33" s="46" t="str">
        <f aca="false">IF($A33="","",IF(OR($BM33="",$AF33=""),"",ROUND($AF33/60,4)))</f>
        <v/>
      </c>
      <c r="BR33" s="39" t="str">
        <f aca="false">IF($A33="","",IF($AC33="","",$AC33-$BD33-$BE33))</f>
        <v/>
      </c>
      <c r="BS33" s="45" t="str">
        <f aca="false">IF($A33="","",IF(AND(ISNUMBER($Z33),ISNUMBER($W33)),$Z33,0))</f>
        <v/>
      </c>
      <c r="BT33" s="45" t="str">
        <f aca="false">IF($A33="","",IF(ISNUMBER($W33),$W33,0))</f>
        <v/>
      </c>
      <c r="BU33" s="23" t="str">
        <f aca="false">IF($A33="","",IF(ISNUMBER($W33),ROUND(($W33-$B33)*24,4),""))</f>
        <v/>
      </c>
      <c r="BV33" s="23" t="str">
        <f aca="false">IF($A33="","",IF(ISNUMBER($X33),ROUND(($X33-$B33)*24,4),""))</f>
        <v/>
      </c>
      <c r="BW33" s="10" t="str">
        <f aca="false">IF($A33="","",IF(NOT(ISNUMBER($W33)),"Missing Calculated",IF(NOT(ISNUMBER($X33)),IF($E33="Client","Missing FA signed off","Missing Controlled"),IF($X33&lt;$W33,"End before start","OK"))))</f>
        <v/>
      </c>
      <c r="BX33" s="23" t="str">
        <f aca="false">IF($A33="","",IF(NOT(ISNUMBER($Z33)),"",ROUND((IF(ISNUMBER($U33),MIN($U33,$Z33),$Z33)-$B33)*24,4)))</f>
        <v/>
      </c>
      <c r="BY33" s="23" t="str">
        <f aca="false">IF($A33="","",IF(ISNUMBER($Z33),ROUND(($Z33-$B33)*24,4),""))</f>
        <v/>
      </c>
      <c r="BZ33" s="23" t="str">
        <f aca="false">IF($A33="","",IF(AND(ISNUMBER($W33),ISNUMBER($S33)),ROUND(($W33+$S33/1440-$B33)*24,4),""))</f>
        <v/>
      </c>
    </row>
    <row r="34" customFormat="false" ht="15" hidden="false" customHeight="true" outlineLevel="0" collapsed="false">
      <c r="A34" s="47"/>
      <c r="B34" s="47"/>
      <c r="D34" s="4" t="str">
        <f aca="false">IF($A34="","",$B34-$A34)</f>
        <v/>
      </c>
      <c r="E34" s="4" t="str">
        <f aca="false">IF($A34="","",IFERROR(VLOOKUP($C34,Dim_Fund!$A:$X,24,0),""))</f>
        <v/>
      </c>
      <c r="F34" s="37" t="str">
        <f aca="false">IF($A34="","",IF(COUNTIFS(Status_Log!$A:$A,$A34,Status_Log!$B:$B,$B34,Status_Log!$C:$C,$C34,Status_Log!$D:$D,"Changed to the status of Calculated")=0,"",_xlfn.MINIFS(Status_Log!$E:$E,Status_Log!$A:$A,$A34,Status_Log!$B:$B,$B34,Status_Log!$C:$C,$C34,Status_Log!$D:$D,"Changed to the status of Calculated")))</f>
        <v/>
      </c>
      <c r="G34" s="37" t="str">
        <f aca="false">IF($A34="","",IF(COUNTIFS(Status_Log!$A:$A,$A34,Status_Log!$B:$B,$B34,Status_Log!$C:$C,$C34,Status_Log!$D:$D,"Changed to the status of Controlled")=0,"",_xlfn.MAXIFS(Status_Log!$E:$E,Status_Log!$A:$A,$A34,Status_Log!$B:$B,$B34,Status_Log!$C:$C,$C34,Status_Log!$D:$D,"Changed to the status of Controlled")))</f>
        <v/>
      </c>
      <c r="H34" s="37" t="str">
        <f aca="false">IF($A34="","",IF(COUNTIFS(Status_Log!$A:$A,$A34,Status_Log!$B:$B,$B34,Status_Log!$C:$C,$C34,Status_Log!$D:$D,"Changed to the status of Fund accounting signed off")=0,"",_xlfn.MAXIFS(Status_Log!$E:$E,Status_Log!$A:$A,$A34,Status_Log!$B:$B,$B34,Status_Log!$C:$C,$C34,Status_Log!$D:$D,"Changed to the status of Fund accounting signed off")))</f>
        <v/>
      </c>
      <c r="I34" s="37" t="str">
        <f aca="false">IF($A34="","",IF(COUNTIFS(Status_Log!$A:$A,$A34,Status_Log!$B:$B,$B34,Status_Log!$C:$C,$C34,Status_Log!$D:$D,"Changed to the status of signed off")=0,"",_xlfn.MAXIFS(Status_Log!$E:$E,Status_Log!$A:$A,$A34,Status_Log!$B:$B,$B34,Status_Log!$C:$C,$C34,Status_Log!$D:$D,"Changed to the status of signed off")))</f>
        <v/>
      </c>
      <c r="J34" s="4" t="str">
        <f aca="false">IF($A34="","",COUNTIFS(Status_Log!$A:$A,$A34,Status_Log!$B:$B,$B34,Status_Log!$C:$C,$C34,Status_Log!$D:$D,"Changed to the status of Calculated"))</f>
        <v/>
      </c>
      <c r="K34" s="38" t="str">
        <f aca="false">IF($A34="","",IF(J34&lt;=1,0,ROUND((_xlfn.MAXIFS(Status_Log!$E:$E,Status_Log!$A:$A,$A34,Status_Log!$B:$B,$B34,Status_Log!$C:$C,$C34,Status_Log!$D:$D,"Changed to the status of Calculated")-F34)*1440,0)))</f>
        <v/>
      </c>
      <c r="L34" s="4" t="str">
        <f aca="false">IF($A34="","",IFERROR(INDEX(Status_Log!$F:$F,MATCH($A34&amp;"|"&amp;$B34&amp;"|"&amp;$C34&amp;"|Changed to the status of Calculated|"&amp;TEXT(_xlfn.MAXIFS(Status_Log!$E:$E,Status_Log!$A:$A,$A34,Status_Log!$B:$B,$B34,Status_Log!$C:$C,$C34,Status_Log!$D:$D,"Changed to the status of Calculated"),"0.000000"),Status_Log!$H:$H,0)),""))</f>
        <v/>
      </c>
      <c r="M34" s="4" t="str">
        <f aca="false">IF($A34="","",IF(E34="Client","n/a — no control step",IFERROR(INDEX(Status_Log!$F:$F,MATCH($A34&amp;"|"&amp;$B34&amp;"|"&amp;$C34&amp;"|Changed to the status of Controlled|"&amp;TEXT(_xlfn.MAXIFS(Status_Log!$E:$E,Status_Log!$A:$A,$A34,Status_Log!$B:$B,$B34,Status_Log!$C:$C,$C34,Status_Log!$D:$D,"Changed to the status of Controlled"),"0.000000"),Status_Log!$H:$H,0)),"")))</f>
        <v/>
      </c>
      <c r="N34" s="4" t="str">
        <f aca="false">IF($A34="","",IFERROR(VLOOKUP($C34,Dim_Fund!$A:$G,7,0),""))</f>
        <v/>
      </c>
      <c r="O34" s="4" t="str">
        <f aca="false">IF($A34="","",IF(L34=N34,"No","Yes"))</f>
        <v/>
      </c>
      <c r="P34" s="4" t="str">
        <f aca="false">IF($A34="","",IF(E34="Client","n/a",IF(L34=M34,"YES — four-eyes breach","No")))</f>
        <v/>
      </c>
      <c r="Q34" s="38" t="str">
        <f aca="false">IF($A34="","",IFERROR(VLOOKUP($C34,Dim_Fund!$A:$AB,28,0),""))</f>
        <v/>
      </c>
      <c r="R34" s="38" t="str">
        <f aca="false">IF($A34="","",IFERROR(VLOOKUP($C34,Dim_Fund!$A:$AC,29,0),""))</f>
        <v/>
      </c>
      <c r="S34" s="38" t="str">
        <f aca="false">IF($A34="","",IFERROR(VLOOKUP($C34,Dim_Fund!$A:$AD,30,0),""))</f>
        <v/>
      </c>
      <c r="T34" s="38" t="str">
        <f aca="false">IF($A34="","",IFERROR(VLOOKUP($C34,Dim_Fund!$A:$AL,38,0),""))</f>
        <v/>
      </c>
      <c r="U34" s="37" t="str">
        <f aca="false">IF($A34="","",IF(AL34="","",IFERROR(IF(COUNTIFS(Fact_Milestone!$A:$A,$B34,Fact_Milestone!$B:$B,AL34)=0,"",_xlfn.MAXIFS(Fact_Milestone!$C:$C,Fact_Milestone!$A:$A,$B34,Fact_Milestone!$B:$B,AL34)),"")))</f>
        <v/>
      </c>
      <c r="V34" s="37" t="str">
        <f aca="false">IF($A34="","",IFERROR(IF(VLOOKUP($C34,Dim_Fund!$A:$AI,35,0)&gt;0,$B34+VLOOKUP($C34,Dim_Fund!$A:$AI,35,0)/24,""),""))</f>
        <v/>
      </c>
      <c r="W34" s="37" t="str">
        <f aca="false">IF($A34="","",F34)</f>
        <v/>
      </c>
      <c r="X34" s="37" t="str">
        <f aca="false">IF($A34="","",IF(E34="Client",H34,G34))</f>
        <v/>
      </c>
      <c r="Y34" s="37" t="str">
        <f aca="false">IF($A34="","",I34)</f>
        <v/>
      </c>
      <c r="Z34" s="37" t="str">
        <f aca="false">IF($A34="","",IFERROR(W34-R34/1440,""))</f>
        <v/>
      </c>
      <c r="AA34" s="38" t="str">
        <f aca="false">IF($A34="","",IF(OR(U34="",V34=""),"",ROUND((V34-U34)*1440,0)))</f>
        <v/>
      </c>
      <c r="AB34" s="38" t="str">
        <f aca="false">IF($A34="","",IF(U34="","",ROUND((W34-U34)*1440,0)))</f>
        <v/>
      </c>
      <c r="AC34" s="38" t="str">
        <f aca="false">IF($A34="","",IF(AB34="","",MAX(0,AB34)))</f>
        <v/>
      </c>
      <c r="AD34" s="38" t="str">
        <f aca="false">IF($A34="","",IFERROR(ROUND((X34-W34)*1440,0),""))</f>
        <v/>
      </c>
      <c r="AE34" s="38" t="str">
        <f aca="false">IF($A34="","",IF(E34="Client","n/a",IFERROR(ROUND((H34-G34)*1440,0),"")))</f>
        <v/>
      </c>
      <c r="AF34" s="38" t="str">
        <f aca="false">IF($A34="","",IFERROR(ROUND((Y34-H34)*1440,0),""))</f>
        <v/>
      </c>
      <c r="AG34" s="38" t="str">
        <f aca="false">IF($A34="","",IFERROR(ROUND((H34-F34)*1440,0),""))</f>
        <v/>
      </c>
      <c r="AH34" s="38" t="str">
        <f aca="false">IF($A34="","",IFERROR(ROUND((Y34-V34)*1440,0),""))</f>
        <v/>
      </c>
      <c r="AI34" s="4" t="str">
        <f aca="false">IF($A34="","",IF(AH34="","",IF(AH34&gt;0,"Yes","No")))</f>
        <v/>
      </c>
      <c r="AJ34" s="4" t="str">
        <f aca="false">IF($A34="","",IF(AI34&lt;&gt;"Yes","On time",IF(N(AC34)&gt;=MAX(N(AF34),N(K34)),"Wait for analyst",IF(N(AF34)&gt;=N(K34),"External sign-off","Rework"))))</f>
        <v/>
      </c>
      <c r="AK34" s="4" t="str">
        <f aca="false">IF($A34="","",IF(OR(F34="",Y34="",ISNA(MATCH(L34,Dim_Analyst!$A:$A,0))),"CHECK","OK"))</f>
        <v/>
      </c>
      <c r="AL34" s="4" t="str">
        <f aca="false">IF($A34="","",IFERROR(VLOOKUP($C34,Dim_Fund!$A:$U,21,0),""))</f>
        <v/>
      </c>
      <c r="AM34" s="4" t="str">
        <f aca="false">IF($A34="","",IF($U34="","",IF($U34&gt;$B34+IFERROR(VLOOKUP($C34,Dim_Fund!$A:$AH,34,0),0)/24,"Yes","No")))</f>
        <v/>
      </c>
      <c r="AN34" s="22" t="str">
        <f aca="false">IF($A34="","",IFERROR(VLOOKUP($C34,Dim_Fund!$A:$AH,34,0),""))</f>
        <v/>
      </c>
      <c r="AO34" s="22" t="str">
        <f aca="false">IF($A34="","",IF($AL34="","",IFERROR(FLOOR(IF(COUNTIFS(Fact_Milestone!$A:$A,$B34,Fact_Milestone!$B:$B,$AL34,Fact_Milestone!$F:$F,"&gt;0")&gt;0,_xlfn.MINIFS(Fact_Milestone!$F:$F,Fact_Milestone!$A:$A,$B34,Fact_Milestone!$B:$B,$AL34,Fact_Milestone!$F:$F,"&gt;0"),VLOOKUP($AL34,Dim_TOP!$A:$E,5,0)),0.5),"")))</f>
        <v/>
      </c>
      <c r="AP34" s="22" t="str">
        <f aca="false">IF($A34="","",IF($U34="","",ROUND(($U34-INT($U34))*24,4)))</f>
        <v/>
      </c>
      <c r="AQ34" s="22" t="str">
        <f aca="false">IF($A34="","",IF($W34="","",ROUND(($W34-INT($W34))*24,4)))</f>
        <v/>
      </c>
      <c r="AR34" s="22" t="str">
        <f aca="false">IF($A34="","",IF($X34="","",ROUND(($X34-INT($X34))*24,4)))</f>
        <v/>
      </c>
      <c r="AS34" s="38" t="str">
        <f aca="false">IF($A34="","",IF(OR($AN34="",$V34="",$S34="",$T34=""),"",ROUND(($V34-($B34+$AN34/24))*1440-$S34-$T34,0)))</f>
        <v/>
      </c>
      <c r="AT34" s="38" t="str">
        <f aca="false">IF($A34="","",IF(OR($AN34="",$U34=""),"",ROUND(($U34-($B34+$AN34/24))*1440,0)))</f>
        <v/>
      </c>
      <c r="AU34" s="38" t="str">
        <f aca="false">IF($A34="","",IF(OR($AD34="",$S34=""),"",ROUND($AD34-$S34,0)))</f>
        <v/>
      </c>
      <c r="AV34" s="38" t="str">
        <f aca="false">IF($A34="","",N($AE34))</f>
        <v/>
      </c>
      <c r="AW34" s="38" t="str">
        <f aca="false">IF($A34="","",IF(OR($AF34="",$T34=""),"",$AF34-$T34))</f>
        <v/>
      </c>
      <c r="AX34" s="38" t="str">
        <f aca="false">IF($A34="","",IF(COUNT($AT34,$AB34,$AU34,$AW34,$AS34,$AH34)&lt;6,"",ROUND($AT34+$AB34+$AU34+$AV34+$AW34-$AS34-$AH34,0)))</f>
        <v/>
      </c>
      <c r="AY34" s="4" t="str">
        <f aca="false">IF($A34="","",IF($AX34="","No",IF(ABS($AX34)&lt;=2,"Yes","No")))</f>
        <v/>
      </c>
      <c r="AZ34" s="4" t="str">
        <f aca="false">IF($A34="","",IF($AI34&lt;&gt;"Yes","n/a",IF(OR($AA34="",$S34="",$T34=""),"Unknown",IF($AA34&lt;$S34+$T34,"Lost on arrival","Lost after arrival"))))</f>
        <v/>
      </c>
      <c r="BA34" s="10" t="str">
        <f aca="false">IF($A34="","",IFERROR(VLOOKUP($C34,Dim_Fund!$A:$D,4,0),""))</f>
        <v/>
      </c>
      <c r="BB34" s="10" t="str">
        <f aca="false">IF($A34="","",IF($AL34="","",IF(COUNTIFS(Fact_Milestone!$A:$A,$B34,Fact_Milestone!$B:$B,$AL34,Fact_Milestone!$I:$I,"No")&gt;0,"No",IF(COUNTIFS(Fact_Milestone!$A:$A,$B34,Fact_Milestone!$B:$B,$AL34,Fact_Milestone!$I:$I,"Yes")&gt;0,"Yes",""))))</f>
        <v/>
      </c>
      <c r="BC34" s="45" t="str">
        <f aca="false">IF($A34="","",IF(OR($L34="",$W34=""),"",IF(COUNTIFS($L:$L,$L34,$B:$B,$B34,$W:$W,"&lt;"&amp;$W34)=0,"",_xlfn.MAXIFS($W:$W,$L:$L,$L34,$B:$B,$B34,$W:$W,"&lt;"&amp;$W34))))</f>
        <v/>
      </c>
      <c r="BD34" s="39" t="str">
        <f aca="false">IF($A34="","",IF($AC34="","",IF(OR($L34="",$AC34=0),0,MIN($AC34,ROUND(ROUND(1440*SUMPRODUCT(($L$2:INDEX($L:$L,COUNTA($C:$C))=$L34)*($B$2:INDEX($B:$B,COUNTA($C:$C))=$B34)*(ROW($L$2:INDEX($L:$L,COUNTA($C:$C)))&lt;&gt;ROW())*((((($W34+$BT$2:INDEX($BT:$BT,COUNTA($C:$C))-ABS($W34-$BT$2:INDEX($BT:$BT,COUNTA($C:$C))))/2)-(($U34+$BS$2:INDEX($BS:$BS,COUNTA($C:$C))+ABS($U34-$BS$2:INDEX($BS:$BS,COUNTA($C:$C))))/2))+ABS(((($W34+$BT$2:INDEX($BT:$BT,COUNTA($C:$C))-ABS($W34-$BT$2:INDEX($BT:$BT,COUNTA($C:$C))))/2)-(($U34+$BS$2:INDEX($BS:$BS,COUNTA($C:$C))+ABS($U34-$BS$2:INDEX($BS:$BS,COUNTA($C:$C))))/2))))/2)),4),0)))))</f>
        <v/>
      </c>
      <c r="BE34" s="39" t="str">
        <f aca="false">IF($A34="","",IF($AC34="","",ROUND(MIN($AC34-$BD34,N($R34)),0)))</f>
        <v/>
      </c>
      <c r="BF34" s="10" t="str">
        <f aca="false">IF($A34="","",IFERROR(VLOOKUP($C34,Dim_Fund!$A:$BD,56,0),""))</f>
        <v/>
      </c>
      <c r="BG34" s="10" t="str">
        <f aca="false">IF($A34="","",IFERROR(VLOOKUP($C34,Dim_Fund!$A:$BH,60,0),""))</f>
        <v/>
      </c>
      <c r="BH34" s="10" t="str">
        <f aca="false">IF($A34="","",IF($AI34&lt;&gt;"Yes","Not breached",IF($AM34="Yes","Pricing late",IF($BG34="Thin custody slack","Thin custody slack",IF($BF34="Yes","Broker-dependent","None of these")))))</f>
        <v/>
      </c>
      <c r="BI34" s="23" t="str">
        <f aca="false">IF($A34="","",IFERROR(IF(VLOOKUP($C34,Dim_Fund!$A:$AI,35,0)&gt;0,VLOOKUP($C34,Dim_Fund!$A:$AI,35,0),""),""))</f>
        <v/>
      </c>
      <c r="BJ34" s="10" t="str">
        <f aca="false">IF($A34="","",$C34&amp;IF($E34="Client","*",""))</f>
        <v/>
      </c>
      <c r="BK34" s="39" t="str">
        <f aca="false">IF($A34="","",IFERROR(ROUND(($Y34-$X34)*1440,0),""))</f>
        <v/>
      </c>
      <c r="BL34" s="39" t="str">
        <f aca="false">IF($A34="","",IF($AH34="","",-$AH34))</f>
        <v/>
      </c>
      <c r="BM34" s="46" t="str">
        <f aca="false">IF($A34="","",IF($AQ34="","",IF($AP34="",$AQ34,MIN($AP34,$AQ34))))</f>
        <v/>
      </c>
      <c r="BN34" s="46" t="str">
        <f aca="false">IF($A34="","",IF($BM34="","",ROUND(N($AC34)/60,4)))</f>
        <v/>
      </c>
      <c r="BO34" s="46" t="str">
        <f aca="false">IF($A34="","",IF(OR($BM34="",$AD34=""),"",ROUND($AD34/60,4)))</f>
        <v/>
      </c>
      <c r="BP34" s="46" t="str">
        <f aca="false">IF($A34="","",IF($BM34="","",ROUND(N($AE34)/60,4)))</f>
        <v/>
      </c>
      <c r="BQ34" s="46" t="str">
        <f aca="false">IF($A34="","",IF(OR($BM34="",$AF34=""),"",ROUND($AF34/60,4)))</f>
        <v/>
      </c>
      <c r="BR34" s="39" t="str">
        <f aca="false">IF($A34="","",IF($AC34="","",$AC34-$BD34-$BE34))</f>
        <v/>
      </c>
      <c r="BS34" s="45" t="str">
        <f aca="false">IF($A34="","",IF(AND(ISNUMBER($Z34),ISNUMBER($W34)),$Z34,0))</f>
        <v/>
      </c>
      <c r="BT34" s="45" t="str">
        <f aca="false">IF($A34="","",IF(ISNUMBER($W34),$W34,0))</f>
        <v/>
      </c>
      <c r="BU34" s="23" t="str">
        <f aca="false">IF($A34="","",IF(ISNUMBER($W34),ROUND(($W34-$B34)*24,4),""))</f>
        <v/>
      </c>
      <c r="BV34" s="23" t="str">
        <f aca="false">IF($A34="","",IF(ISNUMBER($X34),ROUND(($X34-$B34)*24,4),""))</f>
        <v/>
      </c>
      <c r="BW34" s="10" t="str">
        <f aca="false">IF($A34="","",IF(NOT(ISNUMBER($W34)),"Missing Calculated",IF(NOT(ISNUMBER($X34)),IF($E34="Client","Missing FA signed off","Missing Controlled"),IF($X34&lt;$W34,"End before start","OK"))))</f>
        <v/>
      </c>
      <c r="BX34" s="23" t="str">
        <f aca="false">IF($A34="","",IF(NOT(ISNUMBER($Z34)),"",ROUND((IF(ISNUMBER($U34),MIN($U34,$Z34),$Z34)-$B34)*24,4)))</f>
        <v/>
      </c>
      <c r="BY34" s="23" t="str">
        <f aca="false">IF($A34="","",IF(ISNUMBER($Z34),ROUND(($Z34-$B34)*24,4),""))</f>
        <v/>
      </c>
      <c r="BZ34" s="23" t="str">
        <f aca="false">IF($A34="","",IF(AND(ISNUMBER($W34),ISNUMBER($S34)),ROUND(($W34+$S34/1440-$B34)*24,4),""))</f>
        <v/>
      </c>
    </row>
    <row r="35" customFormat="false" ht="15" hidden="false" customHeight="true" outlineLevel="0" collapsed="false">
      <c r="A35" s="47"/>
      <c r="B35" s="47"/>
      <c r="D35" s="4" t="str">
        <f aca="false">IF($A35="","",$B35-$A35)</f>
        <v/>
      </c>
      <c r="E35" s="4" t="str">
        <f aca="false">IF($A35="","",IFERROR(VLOOKUP($C35,Dim_Fund!$A:$X,24,0),""))</f>
        <v/>
      </c>
      <c r="F35" s="37" t="str">
        <f aca="false">IF($A35="","",IF(COUNTIFS(Status_Log!$A:$A,$A35,Status_Log!$B:$B,$B35,Status_Log!$C:$C,$C35,Status_Log!$D:$D,"Changed to the status of Calculated")=0,"",_xlfn.MINIFS(Status_Log!$E:$E,Status_Log!$A:$A,$A35,Status_Log!$B:$B,$B35,Status_Log!$C:$C,$C35,Status_Log!$D:$D,"Changed to the status of Calculated")))</f>
        <v/>
      </c>
      <c r="G35" s="37" t="str">
        <f aca="false">IF($A35="","",IF(COUNTIFS(Status_Log!$A:$A,$A35,Status_Log!$B:$B,$B35,Status_Log!$C:$C,$C35,Status_Log!$D:$D,"Changed to the status of Controlled")=0,"",_xlfn.MAXIFS(Status_Log!$E:$E,Status_Log!$A:$A,$A35,Status_Log!$B:$B,$B35,Status_Log!$C:$C,$C35,Status_Log!$D:$D,"Changed to the status of Controlled")))</f>
        <v/>
      </c>
      <c r="H35" s="37" t="str">
        <f aca="false">IF($A35="","",IF(COUNTIFS(Status_Log!$A:$A,$A35,Status_Log!$B:$B,$B35,Status_Log!$C:$C,$C35,Status_Log!$D:$D,"Changed to the status of Fund accounting signed off")=0,"",_xlfn.MAXIFS(Status_Log!$E:$E,Status_Log!$A:$A,$A35,Status_Log!$B:$B,$B35,Status_Log!$C:$C,$C35,Status_Log!$D:$D,"Changed to the status of Fund accounting signed off")))</f>
        <v/>
      </c>
      <c r="I35" s="37" t="str">
        <f aca="false">IF($A35="","",IF(COUNTIFS(Status_Log!$A:$A,$A35,Status_Log!$B:$B,$B35,Status_Log!$C:$C,$C35,Status_Log!$D:$D,"Changed to the status of signed off")=0,"",_xlfn.MAXIFS(Status_Log!$E:$E,Status_Log!$A:$A,$A35,Status_Log!$B:$B,$B35,Status_Log!$C:$C,$C35,Status_Log!$D:$D,"Changed to the status of signed off")))</f>
        <v/>
      </c>
      <c r="J35" s="4" t="str">
        <f aca="false">IF($A35="","",COUNTIFS(Status_Log!$A:$A,$A35,Status_Log!$B:$B,$B35,Status_Log!$C:$C,$C35,Status_Log!$D:$D,"Changed to the status of Calculated"))</f>
        <v/>
      </c>
      <c r="K35" s="38" t="str">
        <f aca="false">IF($A35="","",IF(J35&lt;=1,0,ROUND((_xlfn.MAXIFS(Status_Log!$E:$E,Status_Log!$A:$A,$A35,Status_Log!$B:$B,$B35,Status_Log!$C:$C,$C35,Status_Log!$D:$D,"Changed to the status of Calculated")-F35)*1440,0)))</f>
        <v/>
      </c>
      <c r="L35" s="4" t="str">
        <f aca="false">IF($A35="","",IFERROR(INDEX(Status_Log!$F:$F,MATCH($A35&amp;"|"&amp;$B35&amp;"|"&amp;$C35&amp;"|Changed to the status of Calculated|"&amp;TEXT(_xlfn.MAXIFS(Status_Log!$E:$E,Status_Log!$A:$A,$A35,Status_Log!$B:$B,$B35,Status_Log!$C:$C,$C35,Status_Log!$D:$D,"Changed to the status of Calculated"),"0.000000"),Status_Log!$H:$H,0)),""))</f>
        <v/>
      </c>
      <c r="M35" s="4" t="str">
        <f aca="false">IF($A35="","",IF(E35="Client","n/a — no control step",IFERROR(INDEX(Status_Log!$F:$F,MATCH($A35&amp;"|"&amp;$B35&amp;"|"&amp;$C35&amp;"|Changed to the status of Controlled|"&amp;TEXT(_xlfn.MAXIFS(Status_Log!$E:$E,Status_Log!$A:$A,$A35,Status_Log!$B:$B,$B35,Status_Log!$C:$C,$C35,Status_Log!$D:$D,"Changed to the status of Controlled"),"0.000000"),Status_Log!$H:$H,0)),"")))</f>
        <v/>
      </c>
      <c r="N35" s="4" t="str">
        <f aca="false">IF($A35="","",IFERROR(VLOOKUP($C35,Dim_Fund!$A:$G,7,0),""))</f>
        <v/>
      </c>
      <c r="O35" s="4" t="str">
        <f aca="false">IF($A35="","",IF(L35=N35,"No","Yes"))</f>
        <v/>
      </c>
      <c r="P35" s="4" t="str">
        <f aca="false">IF($A35="","",IF(E35="Client","n/a",IF(L35=M35,"YES — four-eyes breach","No")))</f>
        <v/>
      </c>
      <c r="Q35" s="38" t="str">
        <f aca="false">IF($A35="","",IFERROR(VLOOKUP($C35,Dim_Fund!$A:$AB,28,0),""))</f>
        <v/>
      </c>
      <c r="R35" s="38" t="str">
        <f aca="false">IF($A35="","",IFERROR(VLOOKUP($C35,Dim_Fund!$A:$AC,29,0),""))</f>
        <v/>
      </c>
      <c r="S35" s="38" t="str">
        <f aca="false">IF($A35="","",IFERROR(VLOOKUP($C35,Dim_Fund!$A:$AD,30,0),""))</f>
        <v/>
      </c>
      <c r="T35" s="38" t="str">
        <f aca="false">IF($A35="","",IFERROR(VLOOKUP($C35,Dim_Fund!$A:$AL,38,0),""))</f>
        <v/>
      </c>
      <c r="U35" s="37" t="str">
        <f aca="false">IF($A35="","",IF(AL35="","",IFERROR(IF(COUNTIFS(Fact_Milestone!$A:$A,$B35,Fact_Milestone!$B:$B,AL35)=0,"",_xlfn.MAXIFS(Fact_Milestone!$C:$C,Fact_Milestone!$A:$A,$B35,Fact_Milestone!$B:$B,AL35)),"")))</f>
        <v/>
      </c>
      <c r="V35" s="37" t="str">
        <f aca="false">IF($A35="","",IFERROR(IF(VLOOKUP($C35,Dim_Fund!$A:$AI,35,0)&gt;0,$B35+VLOOKUP($C35,Dim_Fund!$A:$AI,35,0)/24,""),""))</f>
        <v/>
      </c>
      <c r="W35" s="37" t="str">
        <f aca="false">IF($A35="","",F35)</f>
        <v/>
      </c>
      <c r="X35" s="37" t="str">
        <f aca="false">IF($A35="","",IF(E35="Client",H35,G35))</f>
        <v/>
      </c>
      <c r="Y35" s="37" t="str">
        <f aca="false">IF($A35="","",I35)</f>
        <v/>
      </c>
      <c r="Z35" s="37" t="str">
        <f aca="false">IF($A35="","",IFERROR(W35-R35/1440,""))</f>
        <v/>
      </c>
      <c r="AA35" s="38" t="str">
        <f aca="false">IF($A35="","",IF(OR(U35="",V35=""),"",ROUND((V35-U35)*1440,0)))</f>
        <v/>
      </c>
      <c r="AB35" s="38" t="str">
        <f aca="false">IF($A35="","",IF(U35="","",ROUND((W35-U35)*1440,0)))</f>
        <v/>
      </c>
      <c r="AC35" s="38" t="str">
        <f aca="false">IF($A35="","",IF(AB35="","",MAX(0,AB35)))</f>
        <v/>
      </c>
      <c r="AD35" s="38" t="str">
        <f aca="false">IF($A35="","",IFERROR(ROUND((X35-W35)*1440,0),""))</f>
        <v/>
      </c>
      <c r="AE35" s="38" t="str">
        <f aca="false">IF($A35="","",IF(E35="Client","n/a",IFERROR(ROUND((H35-G35)*1440,0),"")))</f>
        <v/>
      </c>
      <c r="AF35" s="38" t="str">
        <f aca="false">IF($A35="","",IFERROR(ROUND((Y35-H35)*1440,0),""))</f>
        <v/>
      </c>
      <c r="AG35" s="38" t="str">
        <f aca="false">IF($A35="","",IFERROR(ROUND((H35-F35)*1440,0),""))</f>
        <v/>
      </c>
      <c r="AH35" s="38" t="str">
        <f aca="false">IF($A35="","",IFERROR(ROUND((Y35-V35)*1440,0),""))</f>
        <v/>
      </c>
      <c r="AI35" s="4" t="str">
        <f aca="false">IF($A35="","",IF(AH35="","",IF(AH35&gt;0,"Yes","No")))</f>
        <v/>
      </c>
      <c r="AJ35" s="4" t="str">
        <f aca="false">IF($A35="","",IF(AI35&lt;&gt;"Yes","On time",IF(N(AC35)&gt;=MAX(N(AF35),N(K35)),"Wait for analyst",IF(N(AF35)&gt;=N(K35),"External sign-off","Rework"))))</f>
        <v/>
      </c>
      <c r="AK35" s="4" t="str">
        <f aca="false">IF($A35="","",IF(OR(F35="",Y35="",ISNA(MATCH(L35,Dim_Analyst!$A:$A,0))),"CHECK","OK"))</f>
        <v/>
      </c>
      <c r="AL35" s="4" t="str">
        <f aca="false">IF($A35="","",IFERROR(VLOOKUP($C35,Dim_Fund!$A:$U,21,0),""))</f>
        <v/>
      </c>
      <c r="AM35" s="4" t="str">
        <f aca="false">IF($A35="","",IF($U35="","",IF($U35&gt;$B35+IFERROR(VLOOKUP($C35,Dim_Fund!$A:$AH,34,0),0)/24,"Yes","No")))</f>
        <v/>
      </c>
      <c r="AN35" s="22" t="str">
        <f aca="false">IF($A35="","",IFERROR(VLOOKUP($C35,Dim_Fund!$A:$AH,34,0),""))</f>
        <v/>
      </c>
      <c r="AO35" s="22" t="str">
        <f aca="false">IF($A35="","",IF($AL35="","",IFERROR(FLOOR(IF(COUNTIFS(Fact_Milestone!$A:$A,$B35,Fact_Milestone!$B:$B,$AL35,Fact_Milestone!$F:$F,"&gt;0")&gt;0,_xlfn.MINIFS(Fact_Milestone!$F:$F,Fact_Milestone!$A:$A,$B35,Fact_Milestone!$B:$B,$AL35,Fact_Milestone!$F:$F,"&gt;0"),VLOOKUP($AL35,Dim_TOP!$A:$E,5,0)),0.5),"")))</f>
        <v/>
      </c>
      <c r="AP35" s="22" t="str">
        <f aca="false">IF($A35="","",IF($U35="","",ROUND(($U35-INT($U35))*24,4)))</f>
        <v/>
      </c>
      <c r="AQ35" s="22" t="str">
        <f aca="false">IF($A35="","",IF($W35="","",ROUND(($W35-INT($W35))*24,4)))</f>
        <v/>
      </c>
      <c r="AR35" s="22" t="str">
        <f aca="false">IF($A35="","",IF($X35="","",ROUND(($X35-INT($X35))*24,4)))</f>
        <v/>
      </c>
      <c r="AS35" s="38" t="str">
        <f aca="false">IF($A35="","",IF(OR($AN35="",$V35="",$S35="",$T35=""),"",ROUND(($V35-($B35+$AN35/24))*1440-$S35-$T35,0)))</f>
        <v/>
      </c>
      <c r="AT35" s="38" t="str">
        <f aca="false">IF($A35="","",IF(OR($AN35="",$U35=""),"",ROUND(($U35-($B35+$AN35/24))*1440,0)))</f>
        <v/>
      </c>
      <c r="AU35" s="38" t="str">
        <f aca="false">IF($A35="","",IF(OR($AD35="",$S35=""),"",ROUND($AD35-$S35,0)))</f>
        <v/>
      </c>
      <c r="AV35" s="38" t="str">
        <f aca="false">IF($A35="","",N($AE35))</f>
        <v/>
      </c>
      <c r="AW35" s="38" t="str">
        <f aca="false">IF($A35="","",IF(OR($AF35="",$T35=""),"",$AF35-$T35))</f>
        <v/>
      </c>
      <c r="AX35" s="38" t="str">
        <f aca="false">IF($A35="","",IF(COUNT($AT35,$AB35,$AU35,$AW35,$AS35,$AH35)&lt;6,"",ROUND($AT35+$AB35+$AU35+$AV35+$AW35-$AS35-$AH35,0)))</f>
        <v/>
      </c>
      <c r="AY35" s="4" t="str">
        <f aca="false">IF($A35="","",IF($AX35="","No",IF(ABS($AX35)&lt;=2,"Yes","No")))</f>
        <v/>
      </c>
      <c r="AZ35" s="4" t="str">
        <f aca="false">IF($A35="","",IF($AI35&lt;&gt;"Yes","n/a",IF(OR($AA35="",$S35="",$T35=""),"Unknown",IF($AA35&lt;$S35+$T35,"Lost on arrival","Lost after arrival"))))</f>
        <v/>
      </c>
      <c r="BA35" s="10" t="str">
        <f aca="false">IF($A35="","",IFERROR(VLOOKUP($C35,Dim_Fund!$A:$D,4,0),""))</f>
        <v/>
      </c>
      <c r="BB35" s="10" t="str">
        <f aca="false">IF($A35="","",IF($AL35="","",IF(COUNTIFS(Fact_Milestone!$A:$A,$B35,Fact_Milestone!$B:$B,$AL35,Fact_Milestone!$I:$I,"No")&gt;0,"No",IF(COUNTIFS(Fact_Milestone!$A:$A,$B35,Fact_Milestone!$B:$B,$AL35,Fact_Milestone!$I:$I,"Yes")&gt;0,"Yes",""))))</f>
        <v/>
      </c>
      <c r="BC35" s="45" t="str">
        <f aca="false">IF($A35="","",IF(OR($L35="",$W35=""),"",IF(COUNTIFS($L:$L,$L35,$B:$B,$B35,$W:$W,"&lt;"&amp;$W35)=0,"",_xlfn.MAXIFS($W:$W,$L:$L,$L35,$B:$B,$B35,$W:$W,"&lt;"&amp;$W35))))</f>
        <v/>
      </c>
      <c r="BD35" s="39" t="str">
        <f aca="false">IF($A35="","",IF($AC35="","",IF(OR($L35="",$AC35=0),0,MIN($AC35,ROUND(ROUND(1440*SUMPRODUCT(($L$2:INDEX($L:$L,COUNTA($C:$C))=$L35)*($B$2:INDEX($B:$B,COUNTA($C:$C))=$B35)*(ROW($L$2:INDEX($L:$L,COUNTA($C:$C)))&lt;&gt;ROW())*((((($W35+$BT$2:INDEX($BT:$BT,COUNTA($C:$C))-ABS($W35-$BT$2:INDEX($BT:$BT,COUNTA($C:$C))))/2)-(($U35+$BS$2:INDEX($BS:$BS,COUNTA($C:$C))+ABS($U35-$BS$2:INDEX($BS:$BS,COUNTA($C:$C))))/2))+ABS(((($W35+$BT$2:INDEX($BT:$BT,COUNTA($C:$C))-ABS($W35-$BT$2:INDEX($BT:$BT,COUNTA($C:$C))))/2)-(($U35+$BS$2:INDEX($BS:$BS,COUNTA($C:$C))+ABS($U35-$BS$2:INDEX($BS:$BS,COUNTA($C:$C))))/2))))/2)),4),0)))))</f>
        <v/>
      </c>
      <c r="BE35" s="39" t="str">
        <f aca="false">IF($A35="","",IF($AC35="","",ROUND(MIN($AC35-$BD35,N($R35)),0)))</f>
        <v/>
      </c>
      <c r="BF35" s="10" t="str">
        <f aca="false">IF($A35="","",IFERROR(VLOOKUP($C35,Dim_Fund!$A:$BD,56,0),""))</f>
        <v/>
      </c>
      <c r="BG35" s="10" t="str">
        <f aca="false">IF($A35="","",IFERROR(VLOOKUP($C35,Dim_Fund!$A:$BH,60,0),""))</f>
        <v/>
      </c>
      <c r="BH35" s="10" t="str">
        <f aca="false">IF($A35="","",IF($AI35&lt;&gt;"Yes","Not breached",IF($AM35="Yes","Pricing late",IF($BG35="Thin custody slack","Thin custody slack",IF($BF35="Yes","Broker-dependent","None of these")))))</f>
        <v/>
      </c>
      <c r="BI35" s="23" t="str">
        <f aca="false">IF($A35="","",IFERROR(IF(VLOOKUP($C35,Dim_Fund!$A:$AI,35,0)&gt;0,VLOOKUP($C35,Dim_Fund!$A:$AI,35,0),""),""))</f>
        <v/>
      </c>
      <c r="BJ35" s="10" t="str">
        <f aca="false">IF($A35="","",$C35&amp;IF($E35="Client","*",""))</f>
        <v/>
      </c>
      <c r="BK35" s="39" t="str">
        <f aca="false">IF($A35="","",IFERROR(ROUND(($Y35-$X35)*1440,0),""))</f>
        <v/>
      </c>
      <c r="BL35" s="39" t="str">
        <f aca="false">IF($A35="","",IF($AH35="","",-$AH35))</f>
        <v/>
      </c>
      <c r="BM35" s="46" t="str">
        <f aca="false">IF($A35="","",IF($AQ35="","",IF($AP35="",$AQ35,MIN($AP35,$AQ35))))</f>
        <v/>
      </c>
      <c r="BN35" s="46" t="str">
        <f aca="false">IF($A35="","",IF($BM35="","",ROUND(N($AC35)/60,4)))</f>
        <v/>
      </c>
      <c r="BO35" s="46" t="str">
        <f aca="false">IF($A35="","",IF(OR($BM35="",$AD35=""),"",ROUND($AD35/60,4)))</f>
        <v/>
      </c>
      <c r="BP35" s="46" t="str">
        <f aca="false">IF($A35="","",IF($BM35="","",ROUND(N($AE35)/60,4)))</f>
        <v/>
      </c>
      <c r="BQ35" s="46" t="str">
        <f aca="false">IF($A35="","",IF(OR($BM35="",$AF35=""),"",ROUND($AF35/60,4)))</f>
        <v/>
      </c>
      <c r="BR35" s="39" t="str">
        <f aca="false">IF($A35="","",IF($AC35="","",$AC35-$BD35-$BE35))</f>
        <v/>
      </c>
      <c r="BS35" s="45" t="str">
        <f aca="false">IF($A35="","",IF(AND(ISNUMBER($Z35),ISNUMBER($W35)),$Z35,0))</f>
        <v/>
      </c>
      <c r="BT35" s="45" t="str">
        <f aca="false">IF($A35="","",IF(ISNUMBER($W35),$W35,0))</f>
        <v/>
      </c>
      <c r="BU35" s="23" t="str">
        <f aca="false">IF($A35="","",IF(ISNUMBER($W35),ROUND(($W35-$B35)*24,4),""))</f>
        <v/>
      </c>
      <c r="BV35" s="23" t="str">
        <f aca="false">IF($A35="","",IF(ISNUMBER($X35),ROUND(($X35-$B35)*24,4),""))</f>
        <v/>
      </c>
      <c r="BW35" s="10" t="str">
        <f aca="false">IF($A35="","",IF(NOT(ISNUMBER($W35)),"Missing Calculated",IF(NOT(ISNUMBER($X35)),IF($E35="Client","Missing FA signed off","Missing Controlled"),IF($X35&lt;$W35,"End before start","OK"))))</f>
        <v/>
      </c>
      <c r="BX35" s="23" t="str">
        <f aca="false">IF($A35="","",IF(NOT(ISNUMBER($Z35)),"",ROUND((IF(ISNUMBER($U35),MIN($U35,$Z35),$Z35)-$B35)*24,4)))</f>
        <v/>
      </c>
      <c r="BY35" s="23" t="str">
        <f aca="false">IF($A35="","",IF(ISNUMBER($Z35),ROUND(($Z35-$B35)*24,4),""))</f>
        <v/>
      </c>
      <c r="BZ35" s="23" t="str">
        <f aca="false">IF($A35="","",IF(AND(ISNUMBER($W35),ISNUMBER($S35)),ROUND(($W35+$S35/1440-$B35)*24,4),""))</f>
        <v/>
      </c>
    </row>
    <row r="36" customFormat="false" ht="15" hidden="false" customHeight="true" outlineLevel="0" collapsed="false">
      <c r="A36" s="47"/>
      <c r="B36" s="47"/>
      <c r="D36" s="4" t="str">
        <f aca="false">IF($A36="","",$B36-$A36)</f>
        <v/>
      </c>
      <c r="E36" s="4" t="str">
        <f aca="false">IF($A36="","",IFERROR(VLOOKUP($C36,Dim_Fund!$A:$X,24,0),""))</f>
        <v/>
      </c>
      <c r="F36" s="37" t="str">
        <f aca="false">IF($A36="","",IF(COUNTIFS(Status_Log!$A:$A,$A36,Status_Log!$B:$B,$B36,Status_Log!$C:$C,$C36,Status_Log!$D:$D,"Changed to the status of Calculated")=0,"",_xlfn.MINIFS(Status_Log!$E:$E,Status_Log!$A:$A,$A36,Status_Log!$B:$B,$B36,Status_Log!$C:$C,$C36,Status_Log!$D:$D,"Changed to the status of Calculated")))</f>
        <v/>
      </c>
      <c r="G36" s="37" t="str">
        <f aca="false">IF($A36="","",IF(COUNTIFS(Status_Log!$A:$A,$A36,Status_Log!$B:$B,$B36,Status_Log!$C:$C,$C36,Status_Log!$D:$D,"Changed to the status of Controlled")=0,"",_xlfn.MAXIFS(Status_Log!$E:$E,Status_Log!$A:$A,$A36,Status_Log!$B:$B,$B36,Status_Log!$C:$C,$C36,Status_Log!$D:$D,"Changed to the status of Controlled")))</f>
        <v/>
      </c>
      <c r="H36" s="37" t="str">
        <f aca="false">IF($A36="","",IF(COUNTIFS(Status_Log!$A:$A,$A36,Status_Log!$B:$B,$B36,Status_Log!$C:$C,$C36,Status_Log!$D:$D,"Changed to the status of Fund accounting signed off")=0,"",_xlfn.MAXIFS(Status_Log!$E:$E,Status_Log!$A:$A,$A36,Status_Log!$B:$B,$B36,Status_Log!$C:$C,$C36,Status_Log!$D:$D,"Changed to the status of Fund accounting signed off")))</f>
        <v/>
      </c>
      <c r="I36" s="37" t="str">
        <f aca="false">IF($A36="","",IF(COUNTIFS(Status_Log!$A:$A,$A36,Status_Log!$B:$B,$B36,Status_Log!$C:$C,$C36,Status_Log!$D:$D,"Changed to the status of signed off")=0,"",_xlfn.MAXIFS(Status_Log!$E:$E,Status_Log!$A:$A,$A36,Status_Log!$B:$B,$B36,Status_Log!$C:$C,$C36,Status_Log!$D:$D,"Changed to the status of signed off")))</f>
        <v/>
      </c>
      <c r="J36" s="4" t="str">
        <f aca="false">IF($A36="","",COUNTIFS(Status_Log!$A:$A,$A36,Status_Log!$B:$B,$B36,Status_Log!$C:$C,$C36,Status_Log!$D:$D,"Changed to the status of Calculated"))</f>
        <v/>
      </c>
      <c r="K36" s="38" t="str">
        <f aca="false">IF($A36="","",IF(J36&lt;=1,0,ROUND((_xlfn.MAXIFS(Status_Log!$E:$E,Status_Log!$A:$A,$A36,Status_Log!$B:$B,$B36,Status_Log!$C:$C,$C36,Status_Log!$D:$D,"Changed to the status of Calculated")-F36)*1440,0)))</f>
        <v/>
      </c>
      <c r="L36" s="4" t="str">
        <f aca="false">IF($A36="","",IFERROR(INDEX(Status_Log!$F:$F,MATCH($A36&amp;"|"&amp;$B36&amp;"|"&amp;$C36&amp;"|Changed to the status of Calculated|"&amp;TEXT(_xlfn.MAXIFS(Status_Log!$E:$E,Status_Log!$A:$A,$A36,Status_Log!$B:$B,$B36,Status_Log!$C:$C,$C36,Status_Log!$D:$D,"Changed to the status of Calculated"),"0.000000"),Status_Log!$H:$H,0)),""))</f>
        <v/>
      </c>
      <c r="M36" s="4" t="str">
        <f aca="false">IF($A36="","",IF(E36="Client","n/a — no control step",IFERROR(INDEX(Status_Log!$F:$F,MATCH($A36&amp;"|"&amp;$B36&amp;"|"&amp;$C36&amp;"|Changed to the status of Controlled|"&amp;TEXT(_xlfn.MAXIFS(Status_Log!$E:$E,Status_Log!$A:$A,$A36,Status_Log!$B:$B,$B36,Status_Log!$C:$C,$C36,Status_Log!$D:$D,"Changed to the status of Controlled"),"0.000000"),Status_Log!$H:$H,0)),"")))</f>
        <v/>
      </c>
      <c r="N36" s="4" t="str">
        <f aca="false">IF($A36="","",IFERROR(VLOOKUP($C36,Dim_Fund!$A:$G,7,0),""))</f>
        <v/>
      </c>
      <c r="O36" s="4" t="str">
        <f aca="false">IF($A36="","",IF(L36=N36,"No","Yes"))</f>
        <v/>
      </c>
      <c r="P36" s="4" t="str">
        <f aca="false">IF($A36="","",IF(E36="Client","n/a",IF(L36=M36,"YES — four-eyes breach","No")))</f>
        <v/>
      </c>
      <c r="Q36" s="38" t="str">
        <f aca="false">IF($A36="","",IFERROR(VLOOKUP($C36,Dim_Fund!$A:$AB,28,0),""))</f>
        <v/>
      </c>
      <c r="R36" s="38" t="str">
        <f aca="false">IF($A36="","",IFERROR(VLOOKUP($C36,Dim_Fund!$A:$AC,29,0),""))</f>
        <v/>
      </c>
      <c r="S36" s="38" t="str">
        <f aca="false">IF($A36="","",IFERROR(VLOOKUP($C36,Dim_Fund!$A:$AD,30,0),""))</f>
        <v/>
      </c>
      <c r="T36" s="38" t="str">
        <f aca="false">IF($A36="","",IFERROR(VLOOKUP($C36,Dim_Fund!$A:$AL,38,0),""))</f>
        <v/>
      </c>
      <c r="U36" s="37" t="str">
        <f aca="false">IF($A36="","",IF(AL36="","",IFERROR(IF(COUNTIFS(Fact_Milestone!$A:$A,$B36,Fact_Milestone!$B:$B,AL36)=0,"",_xlfn.MAXIFS(Fact_Milestone!$C:$C,Fact_Milestone!$A:$A,$B36,Fact_Milestone!$B:$B,AL36)),"")))</f>
        <v/>
      </c>
      <c r="V36" s="37" t="str">
        <f aca="false">IF($A36="","",IFERROR(IF(VLOOKUP($C36,Dim_Fund!$A:$AI,35,0)&gt;0,$B36+VLOOKUP($C36,Dim_Fund!$A:$AI,35,0)/24,""),""))</f>
        <v/>
      </c>
      <c r="W36" s="37" t="str">
        <f aca="false">IF($A36="","",F36)</f>
        <v/>
      </c>
      <c r="X36" s="37" t="str">
        <f aca="false">IF($A36="","",IF(E36="Client",H36,G36))</f>
        <v/>
      </c>
      <c r="Y36" s="37" t="str">
        <f aca="false">IF($A36="","",I36)</f>
        <v/>
      </c>
      <c r="Z36" s="37" t="str">
        <f aca="false">IF($A36="","",IFERROR(W36-R36/1440,""))</f>
        <v/>
      </c>
      <c r="AA36" s="38" t="str">
        <f aca="false">IF($A36="","",IF(OR(U36="",V36=""),"",ROUND((V36-U36)*1440,0)))</f>
        <v/>
      </c>
      <c r="AB36" s="38" t="str">
        <f aca="false">IF($A36="","",IF(U36="","",ROUND((W36-U36)*1440,0)))</f>
        <v/>
      </c>
      <c r="AC36" s="38" t="str">
        <f aca="false">IF($A36="","",IF(AB36="","",MAX(0,AB36)))</f>
        <v/>
      </c>
      <c r="AD36" s="38" t="str">
        <f aca="false">IF($A36="","",IFERROR(ROUND((X36-W36)*1440,0),""))</f>
        <v/>
      </c>
      <c r="AE36" s="38" t="str">
        <f aca="false">IF($A36="","",IF(E36="Client","n/a",IFERROR(ROUND((H36-G36)*1440,0),"")))</f>
        <v/>
      </c>
      <c r="AF36" s="38" t="str">
        <f aca="false">IF($A36="","",IFERROR(ROUND((Y36-H36)*1440,0),""))</f>
        <v/>
      </c>
      <c r="AG36" s="38" t="str">
        <f aca="false">IF($A36="","",IFERROR(ROUND((H36-F36)*1440,0),""))</f>
        <v/>
      </c>
      <c r="AH36" s="38" t="str">
        <f aca="false">IF($A36="","",IFERROR(ROUND((Y36-V36)*1440,0),""))</f>
        <v/>
      </c>
      <c r="AI36" s="4" t="str">
        <f aca="false">IF($A36="","",IF(AH36="","",IF(AH36&gt;0,"Yes","No")))</f>
        <v/>
      </c>
      <c r="AJ36" s="4" t="str">
        <f aca="false">IF($A36="","",IF(AI36&lt;&gt;"Yes","On time",IF(N(AC36)&gt;=MAX(N(AF36),N(K36)),"Wait for analyst",IF(N(AF36)&gt;=N(K36),"External sign-off","Rework"))))</f>
        <v/>
      </c>
      <c r="AK36" s="4" t="str">
        <f aca="false">IF($A36="","",IF(OR(F36="",Y36="",ISNA(MATCH(L36,Dim_Analyst!$A:$A,0))),"CHECK","OK"))</f>
        <v/>
      </c>
      <c r="AL36" s="4" t="str">
        <f aca="false">IF($A36="","",IFERROR(VLOOKUP($C36,Dim_Fund!$A:$U,21,0),""))</f>
        <v/>
      </c>
      <c r="AM36" s="4" t="str">
        <f aca="false">IF($A36="","",IF($U36="","",IF($U36&gt;$B36+IFERROR(VLOOKUP($C36,Dim_Fund!$A:$AH,34,0),0)/24,"Yes","No")))</f>
        <v/>
      </c>
      <c r="AN36" s="22" t="str">
        <f aca="false">IF($A36="","",IFERROR(VLOOKUP($C36,Dim_Fund!$A:$AH,34,0),""))</f>
        <v/>
      </c>
      <c r="AO36" s="22" t="str">
        <f aca="false">IF($A36="","",IF($AL36="","",IFERROR(FLOOR(IF(COUNTIFS(Fact_Milestone!$A:$A,$B36,Fact_Milestone!$B:$B,$AL36,Fact_Milestone!$F:$F,"&gt;0")&gt;0,_xlfn.MINIFS(Fact_Milestone!$F:$F,Fact_Milestone!$A:$A,$B36,Fact_Milestone!$B:$B,$AL36,Fact_Milestone!$F:$F,"&gt;0"),VLOOKUP($AL36,Dim_TOP!$A:$E,5,0)),0.5),"")))</f>
        <v/>
      </c>
      <c r="AP36" s="22" t="str">
        <f aca="false">IF($A36="","",IF($U36="","",ROUND(($U36-INT($U36))*24,4)))</f>
        <v/>
      </c>
      <c r="AQ36" s="22" t="str">
        <f aca="false">IF($A36="","",IF($W36="","",ROUND(($W36-INT($W36))*24,4)))</f>
        <v/>
      </c>
      <c r="AR36" s="22" t="str">
        <f aca="false">IF($A36="","",IF($X36="","",ROUND(($X36-INT($X36))*24,4)))</f>
        <v/>
      </c>
      <c r="AS36" s="38" t="str">
        <f aca="false">IF($A36="","",IF(OR($AN36="",$V36="",$S36="",$T36=""),"",ROUND(($V36-($B36+$AN36/24))*1440-$S36-$T36,0)))</f>
        <v/>
      </c>
      <c r="AT36" s="38" t="str">
        <f aca="false">IF($A36="","",IF(OR($AN36="",$U36=""),"",ROUND(($U36-($B36+$AN36/24))*1440,0)))</f>
        <v/>
      </c>
      <c r="AU36" s="38" t="str">
        <f aca="false">IF($A36="","",IF(OR($AD36="",$S36=""),"",ROUND($AD36-$S36,0)))</f>
        <v/>
      </c>
      <c r="AV36" s="38" t="str">
        <f aca="false">IF($A36="","",N($AE36))</f>
        <v/>
      </c>
      <c r="AW36" s="38" t="str">
        <f aca="false">IF($A36="","",IF(OR($AF36="",$T36=""),"",$AF36-$T36))</f>
        <v/>
      </c>
      <c r="AX36" s="38" t="str">
        <f aca="false">IF($A36="","",IF(COUNT($AT36,$AB36,$AU36,$AW36,$AS36,$AH36)&lt;6,"",ROUND($AT36+$AB36+$AU36+$AV36+$AW36-$AS36-$AH36,0)))</f>
        <v/>
      </c>
      <c r="AY36" s="4" t="str">
        <f aca="false">IF($A36="","",IF($AX36="","No",IF(ABS($AX36)&lt;=2,"Yes","No")))</f>
        <v/>
      </c>
      <c r="AZ36" s="4" t="str">
        <f aca="false">IF($A36="","",IF($AI36&lt;&gt;"Yes","n/a",IF(OR($AA36="",$S36="",$T36=""),"Unknown",IF($AA36&lt;$S36+$T36,"Lost on arrival","Lost after arrival"))))</f>
        <v/>
      </c>
      <c r="BA36" s="10" t="str">
        <f aca="false">IF($A36="","",IFERROR(VLOOKUP($C36,Dim_Fund!$A:$D,4,0),""))</f>
        <v/>
      </c>
      <c r="BB36" s="10" t="str">
        <f aca="false">IF($A36="","",IF($AL36="","",IF(COUNTIFS(Fact_Milestone!$A:$A,$B36,Fact_Milestone!$B:$B,$AL36,Fact_Milestone!$I:$I,"No")&gt;0,"No",IF(COUNTIFS(Fact_Milestone!$A:$A,$B36,Fact_Milestone!$B:$B,$AL36,Fact_Milestone!$I:$I,"Yes")&gt;0,"Yes",""))))</f>
        <v/>
      </c>
      <c r="BC36" s="45" t="str">
        <f aca="false">IF($A36="","",IF(OR($L36="",$W36=""),"",IF(COUNTIFS($L:$L,$L36,$B:$B,$B36,$W:$W,"&lt;"&amp;$W36)=0,"",_xlfn.MAXIFS($W:$W,$L:$L,$L36,$B:$B,$B36,$W:$W,"&lt;"&amp;$W36))))</f>
        <v/>
      </c>
      <c r="BD36" s="39" t="str">
        <f aca="false">IF($A36="","",IF($AC36="","",IF(OR($L36="",$AC36=0),0,MIN($AC36,ROUND(ROUND(1440*SUMPRODUCT(($L$2:INDEX($L:$L,COUNTA($C:$C))=$L36)*($B$2:INDEX($B:$B,COUNTA($C:$C))=$B36)*(ROW($L$2:INDEX($L:$L,COUNTA($C:$C)))&lt;&gt;ROW())*((((($W36+$BT$2:INDEX($BT:$BT,COUNTA($C:$C))-ABS($W36-$BT$2:INDEX($BT:$BT,COUNTA($C:$C))))/2)-(($U36+$BS$2:INDEX($BS:$BS,COUNTA($C:$C))+ABS($U36-$BS$2:INDEX($BS:$BS,COUNTA($C:$C))))/2))+ABS(((($W36+$BT$2:INDEX($BT:$BT,COUNTA($C:$C))-ABS($W36-$BT$2:INDEX($BT:$BT,COUNTA($C:$C))))/2)-(($U36+$BS$2:INDEX($BS:$BS,COUNTA($C:$C))+ABS($U36-$BS$2:INDEX($BS:$BS,COUNTA($C:$C))))/2))))/2)),4),0)))))</f>
        <v/>
      </c>
      <c r="BE36" s="39" t="str">
        <f aca="false">IF($A36="","",IF($AC36="","",ROUND(MIN($AC36-$BD36,N($R36)),0)))</f>
        <v/>
      </c>
      <c r="BF36" s="10" t="str">
        <f aca="false">IF($A36="","",IFERROR(VLOOKUP($C36,Dim_Fund!$A:$BD,56,0),""))</f>
        <v/>
      </c>
      <c r="BG36" s="10" t="str">
        <f aca="false">IF($A36="","",IFERROR(VLOOKUP($C36,Dim_Fund!$A:$BH,60,0),""))</f>
        <v/>
      </c>
      <c r="BH36" s="10" t="str">
        <f aca="false">IF($A36="","",IF($AI36&lt;&gt;"Yes","Not breached",IF($AM36="Yes","Pricing late",IF($BG36="Thin custody slack","Thin custody slack",IF($BF36="Yes","Broker-dependent","None of these")))))</f>
        <v/>
      </c>
      <c r="BI36" s="23" t="str">
        <f aca="false">IF($A36="","",IFERROR(IF(VLOOKUP($C36,Dim_Fund!$A:$AI,35,0)&gt;0,VLOOKUP($C36,Dim_Fund!$A:$AI,35,0),""),""))</f>
        <v/>
      </c>
      <c r="BJ36" s="10" t="str">
        <f aca="false">IF($A36="","",$C36&amp;IF($E36="Client","*",""))</f>
        <v/>
      </c>
      <c r="BK36" s="39" t="str">
        <f aca="false">IF($A36="","",IFERROR(ROUND(($Y36-$X36)*1440,0),""))</f>
        <v/>
      </c>
      <c r="BL36" s="39" t="str">
        <f aca="false">IF($A36="","",IF($AH36="","",-$AH36))</f>
        <v/>
      </c>
      <c r="BM36" s="46" t="str">
        <f aca="false">IF($A36="","",IF($AQ36="","",IF($AP36="",$AQ36,MIN($AP36,$AQ36))))</f>
        <v/>
      </c>
      <c r="BN36" s="46" t="str">
        <f aca="false">IF($A36="","",IF($BM36="","",ROUND(N($AC36)/60,4)))</f>
        <v/>
      </c>
      <c r="BO36" s="46" t="str">
        <f aca="false">IF($A36="","",IF(OR($BM36="",$AD36=""),"",ROUND($AD36/60,4)))</f>
        <v/>
      </c>
      <c r="BP36" s="46" t="str">
        <f aca="false">IF($A36="","",IF($BM36="","",ROUND(N($AE36)/60,4)))</f>
        <v/>
      </c>
      <c r="BQ36" s="46" t="str">
        <f aca="false">IF($A36="","",IF(OR($BM36="",$AF36=""),"",ROUND($AF36/60,4)))</f>
        <v/>
      </c>
      <c r="BR36" s="39" t="str">
        <f aca="false">IF($A36="","",IF($AC36="","",$AC36-$BD36-$BE36))</f>
        <v/>
      </c>
      <c r="BS36" s="45" t="str">
        <f aca="false">IF($A36="","",IF(AND(ISNUMBER($Z36),ISNUMBER($W36)),$Z36,0))</f>
        <v/>
      </c>
      <c r="BT36" s="45" t="str">
        <f aca="false">IF($A36="","",IF(ISNUMBER($W36),$W36,0))</f>
        <v/>
      </c>
      <c r="BU36" s="23" t="str">
        <f aca="false">IF($A36="","",IF(ISNUMBER($W36),ROUND(($W36-$B36)*24,4),""))</f>
        <v/>
      </c>
      <c r="BV36" s="23" t="str">
        <f aca="false">IF($A36="","",IF(ISNUMBER($X36),ROUND(($X36-$B36)*24,4),""))</f>
        <v/>
      </c>
      <c r="BW36" s="10" t="str">
        <f aca="false">IF($A36="","",IF(NOT(ISNUMBER($W36)),"Missing Calculated",IF(NOT(ISNUMBER($X36)),IF($E36="Client","Missing FA signed off","Missing Controlled"),IF($X36&lt;$W36,"End before start","OK"))))</f>
        <v/>
      </c>
      <c r="BX36" s="23" t="str">
        <f aca="false">IF($A36="","",IF(NOT(ISNUMBER($Z36)),"",ROUND((IF(ISNUMBER($U36),MIN($U36,$Z36),$Z36)-$B36)*24,4)))</f>
        <v/>
      </c>
      <c r="BY36" s="23" t="str">
        <f aca="false">IF($A36="","",IF(ISNUMBER($Z36),ROUND(($Z36-$B36)*24,4),""))</f>
        <v/>
      </c>
      <c r="BZ36" s="23" t="str">
        <f aca="false">IF($A36="","",IF(AND(ISNUMBER($W36),ISNUMBER($S36)),ROUND(($W36+$S36/1440-$B36)*24,4),""))</f>
        <v/>
      </c>
    </row>
    <row r="37" customFormat="false" ht="15" hidden="false" customHeight="true" outlineLevel="0" collapsed="false">
      <c r="A37" s="47"/>
      <c r="B37" s="47"/>
      <c r="D37" s="4" t="str">
        <f aca="false">IF($A37="","",$B37-$A37)</f>
        <v/>
      </c>
      <c r="E37" s="4" t="str">
        <f aca="false">IF($A37="","",IFERROR(VLOOKUP($C37,Dim_Fund!$A:$X,24,0),""))</f>
        <v/>
      </c>
      <c r="F37" s="37" t="str">
        <f aca="false">IF($A37="","",IF(COUNTIFS(Status_Log!$A:$A,$A37,Status_Log!$B:$B,$B37,Status_Log!$C:$C,$C37,Status_Log!$D:$D,"Changed to the status of Calculated")=0,"",_xlfn.MINIFS(Status_Log!$E:$E,Status_Log!$A:$A,$A37,Status_Log!$B:$B,$B37,Status_Log!$C:$C,$C37,Status_Log!$D:$D,"Changed to the status of Calculated")))</f>
        <v/>
      </c>
      <c r="G37" s="37" t="str">
        <f aca="false">IF($A37="","",IF(COUNTIFS(Status_Log!$A:$A,$A37,Status_Log!$B:$B,$B37,Status_Log!$C:$C,$C37,Status_Log!$D:$D,"Changed to the status of Controlled")=0,"",_xlfn.MAXIFS(Status_Log!$E:$E,Status_Log!$A:$A,$A37,Status_Log!$B:$B,$B37,Status_Log!$C:$C,$C37,Status_Log!$D:$D,"Changed to the status of Controlled")))</f>
        <v/>
      </c>
      <c r="H37" s="37" t="str">
        <f aca="false">IF($A37="","",IF(COUNTIFS(Status_Log!$A:$A,$A37,Status_Log!$B:$B,$B37,Status_Log!$C:$C,$C37,Status_Log!$D:$D,"Changed to the status of Fund accounting signed off")=0,"",_xlfn.MAXIFS(Status_Log!$E:$E,Status_Log!$A:$A,$A37,Status_Log!$B:$B,$B37,Status_Log!$C:$C,$C37,Status_Log!$D:$D,"Changed to the status of Fund accounting signed off")))</f>
        <v/>
      </c>
      <c r="I37" s="37" t="str">
        <f aca="false">IF($A37="","",IF(COUNTIFS(Status_Log!$A:$A,$A37,Status_Log!$B:$B,$B37,Status_Log!$C:$C,$C37,Status_Log!$D:$D,"Changed to the status of signed off")=0,"",_xlfn.MAXIFS(Status_Log!$E:$E,Status_Log!$A:$A,$A37,Status_Log!$B:$B,$B37,Status_Log!$C:$C,$C37,Status_Log!$D:$D,"Changed to the status of signed off")))</f>
        <v/>
      </c>
      <c r="J37" s="4" t="str">
        <f aca="false">IF($A37="","",COUNTIFS(Status_Log!$A:$A,$A37,Status_Log!$B:$B,$B37,Status_Log!$C:$C,$C37,Status_Log!$D:$D,"Changed to the status of Calculated"))</f>
        <v/>
      </c>
      <c r="K37" s="38" t="str">
        <f aca="false">IF($A37="","",IF(J37&lt;=1,0,ROUND((_xlfn.MAXIFS(Status_Log!$E:$E,Status_Log!$A:$A,$A37,Status_Log!$B:$B,$B37,Status_Log!$C:$C,$C37,Status_Log!$D:$D,"Changed to the status of Calculated")-F37)*1440,0)))</f>
        <v/>
      </c>
      <c r="L37" s="4" t="str">
        <f aca="false">IF($A37="","",IFERROR(INDEX(Status_Log!$F:$F,MATCH($A37&amp;"|"&amp;$B37&amp;"|"&amp;$C37&amp;"|Changed to the status of Calculated|"&amp;TEXT(_xlfn.MAXIFS(Status_Log!$E:$E,Status_Log!$A:$A,$A37,Status_Log!$B:$B,$B37,Status_Log!$C:$C,$C37,Status_Log!$D:$D,"Changed to the status of Calculated"),"0.000000"),Status_Log!$H:$H,0)),""))</f>
        <v/>
      </c>
      <c r="M37" s="4" t="str">
        <f aca="false">IF($A37="","",IF(E37="Client","n/a — no control step",IFERROR(INDEX(Status_Log!$F:$F,MATCH($A37&amp;"|"&amp;$B37&amp;"|"&amp;$C37&amp;"|Changed to the status of Controlled|"&amp;TEXT(_xlfn.MAXIFS(Status_Log!$E:$E,Status_Log!$A:$A,$A37,Status_Log!$B:$B,$B37,Status_Log!$C:$C,$C37,Status_Log!$D:$D,"Changed to the status of Controlled"),"0.000000"),Status_Log!$H:$H,0)),"")))</f>
        <v/>
      </c>
      <c r="N37" s="4" t="str">
        <f aca="false">IF($A37="","",IFERROR(VLOOKUP($C37,Dim_Fund!$A:$G,7,0),""))</f>
        <v/>
      </c>
      <c r="O37" s="4" t="str">
        <f aca="false">IF($A37="","",IF(L37=N37,"No","Yes"))</f>
        <v/>
      </c>
      <c r="P37" s="4" t="str">
        <f aca="false">IF($A37="","",IF(E37="Client","n/a",IF(L37=M37,"YES — four-eyes breach","No")))</f>
        <v/>
      </c>
      <c r="Q37" s="38" t="str">
        <f aca="false">IF($A37="","",IFERROR(VLOOKUP($C37,Dim_Fund!$A:$AB,28,0),""))</f>
        <v/>
      </c>
      <c r="R37" s="38" t="str">
        <f aca="false">IF($A37="","",IFERROR(VLOOKUP($C37,Dim_Fund!$A:$AC,29,0),""))</f>
        <v/>
      </c>
      <c r="S37" s="38" t="str">
        <f aca="false">IF($A37="","",IFERROR(VLOOKUP($C37,Dim_Fund!$A:$AD,30,0),""))</f>
        <v/>
      </c>
      <c r="T37" s="38" t="str">
        <f aca="false">IF($A37="","",IFERROR(VLOOKUP($C37,Dim_Fund!$A:$AL,38,0),""))</f>
        <v/>
      </c>
      <c r="U37" s="37" t="str">
        <f aca="false">IF($A37="","",IF(AL37="","",IFERROR(IF(COUNTIFS(Fact_Milestone!$A:$A,$B37,Fact_Milestone!$B:$B,AL37)=0,"",_xlfn.MAXIFS(Fact_Milestone!$C:$C,Fact_Milestone!$A:$A,$B37,Fact_Milestone!$B:$B,AL37)),"")))</f>
        <v/>
      </c>
      <c r="V37" s="37" t="str">
        <f aca="false">IF($A37="","",IFERROR(IF(VLOOKUP($C37,Dim_Fund!$A:$AI,35,0)&gt;0,$B37+VLOOKUP($C37,Dim_Fund!$A:$AI,35,0)/24,""),""))</f>
        <v/>
      </c>
      <c r="W37" s="37" t="str">
        <f aca="false">IF($A37="","",F37)</f>
        <v/>
      </c>
      <c r="X37" s="37" t="str">
        <f aca="false">IF($A37="","",IF(E37="Client",H37,G37))</f>
        <v/>
      </c>
      <c r="Y37" s="37" t="str">
        <f aca="false">IF($A37="","",I37)</f>
        <v/>
      </c>
      <c r="Z37" s="37" t="str">
        <f aca="false">IF($A37="","",IFERROR(W37-R37/1440,""))</f>
        <v/>
      </c>
      <c r="AA37" s="38" t="str">
        <f aca="false">IF($A37="","",IF(OR(U37="",V37=""),"",ROUND((V37-U37)*1440,0)))</f>
        <v/>
      </c>
      <c r="AB37" s="38" t="str">
        <f aca="false">IF($A37="","",IF(U37="","",ROUND((W37-U37)*1440,0)))</f>
        <v/>
      </c>
      <c r="AC37" s="38" t="str">
        <f aca="false">IF($A37="","",IF(AB37="","",MAX(0,AB37)))</f>
        <v/>
      </c>
      <c r="AD37" s="38" t="str">
        <f aca="false">IF($A37="","",IFERROR(ROUND((X37-W37)*1440,0),""))</f>
        <v/>
      </c>
      <c r="AE37" s="38" t="str">
        <f aca="false">IF($A37="","",IF(E37="Client","n/a",IFERROR(ROUND((H37-G37)*1440,0),"")))</f>
        <v/>
      </c>
      <c r="AF37" s="38" t="str">
        <f aca="false">IF($A37="","",IFERROR(ROUND((Y37-H37)*1440,0),""))</f>
        <v/>
      </c>
      <c r="AG37" s="38" t="str">
        <f aca="false">IF($A37="","",IFERROR(ROUND((H37-F37)*1440,0),""))</f>
        <v/>
      </c>
      <c r="AH37" s="38" t="str">
        <f aca="false">IF($A37="","",IFERROR(ROUND((Y37-V37)*1440,0),""))</f>
        <v/>
      </c>
      <c r="AI37" s="4" t="str">
        <f aca="false">IF($A37="","",IF(AH37="","",IF(AH37&gt;0,"Yes","No")))</f>
        <v/>
      </c>
      <c r="AJ37" s="4" t="str">
        <f aca="false">IF($A37="","",IF(AI37&lt;&gt;"Yes","On time",IF(N(AC37)&gt;=MAX(N(AF37),N(K37)),"Wait for analyst",IF(N(AF37)&gt;=N(K37),"External sign-off","Rework"))))</f>
        <v/>
      </c>
      <c r="AK37" s="4" t="str">
        <f aca="false">IF($A37="","",IF(OR(F37="",Y37="",ISNA(MATCH(L37,Dim_Analyst!$A:$A,0))),"CHECK","OK"))</f>
        <v/>
      </c>
      <c r="AL37" s="4" t="str">
        <f aca="false">IF($A37="","",IFERROR(VLOOKUP($C37,Dim_Fund!$A:$U,21,0),""))</f>
        <v/>
      </c>
      <c r="AM37" s="4" t="str">
        <f aca="false">IF($A37="","",IF($U37="","",IF($U37&gt;$B37+IFERROR(VLOOKUP($C37,Dim_Fund!$A:$AH,34,0),0)/24,"Yes","No")))</f>
        <v/>
      </c>
      <c r="AN37" s="22" t="str">
        <f aca="false">IF($A37="","",IFERROR(VLOOKUP($C37,Dim_Fund!$A:$AH,34,0),""))</f>
        <v/>
      </c>
      <c r="AO37" s="22" t="str">
        <f aca="false">IF($A37="","",IF($AL37="","",IFERROR(FLOOR(IF(COUNTIFS(Fact_Milestone!$A:$A,$B37,Fact_Milestone!$B:$B,$AL37,Fact_Milestone!$F:$F,"&gt;0")&gt;0,_xlfn.MINIFS(Fact_Milestone!$F:$F,Fact_Milestone!$A:$A,$B37,Fact_Milestone!$B:$B,$AL37,Fact_Milestone!$F:$F,"&gt;0"),VLOOKUP($AL37,Dim_TOP!$A:$E,5,0)),0.5),"")))</f>
        <v/>
      </c>
      <c r="AP37" s="22" t="str">
        <f aca="false">IF($A37="","",IF($U37="","",ROUND(($U37-INT($U37))*24,4)))</f>
        <v/>
      </c>
      <c r="AQ37" s="22" t="str">
        <f aca="false">IF($A37="","",IF($W37="","",ROUND(($W37-INT($W37))*24,4)))</f>
        <v/>
      </c>
      <c r="AR37" s="22" t="str">
        <f aca="false">IF($A37="","",IF($X37="","",ROUND(($X37-INT($X37))*24,4)))</f>
        <v/>
      </c>
      <c r="AS37" s="38" t="str">
        <f aca="false">IF($A37="","",IF(OR($AN37="",$V37="",$S37="",$T37=""),"",ROUND(($V37-($B37+$AN37/24))*1440-$S37-$T37,0)))</f>
        <v/>
      </c>
      <c r="AT37" s="38" t="str">
        <f aca="false">IF($A37="","",IF(OR($AN37="",$U37=""),"",ROUND(($U37-($B37+$AN37/24))*1440,0)))</f>
        <v/>
      </c>
      <c r="AU37" s="38" t="str">
        <f aca="false">IF($A37="","",IF(OR($AD37="",$S37=""),"",ROUND($AD37-$S37,0)))</f>
        <v/>
      </c>
      <c r="AV37" s="38" t="str">
        <f aca="false">IF($A37="","",N($AE37))</f>
        <v/>
      </c>
      <c r="AW37" s="38" t="str">
        <f aca="false">IF($A37="","",IF(OR($AF37="",$T37=""),"",$AF37-$T37))</f>
        <v/>
      </c>
      <c r="AX37" s="38" t="str">
        <f aca="false">IF($A37="","",IF(COUNT($AT37,$AB37,$AU37,$AW37,$AS37,$AH37)&lt;6,"",ROUND($AT37+$AB37+$AU37+$AV37+$AW37-$AS37-$AH37,0)))</f>
        <v/>
      </c>
      <c r="AY37" s="4" t="str">
        <f aca="false">IF($A37="","",IF($AX37="","No",IF(ABS($AX37)&lt;=2,"Yes","No")))</f>
        <v/>
      </c>
      <c r="AZ37" s="4" t="str">
        <f aca="false">IF($A37="","",IF($AI37&lt;&gt;"Yes","n/a",IF(OR($AA37="",$S37="",$T37=""),"Unknown",IF($AA37&lt;$S37+$T37,"Lost on arrival","Lost after arrival"))))</f>
        <v/>
      </c>
      <c r="BA37" s="10" t="str">
        <f aca="false">IF($A37="","",IFERROR(VLOOKUP($C37,Dim_Fund!$A:$D,4,0),""))</f>
        <v/>
      </c>
      <c r="BB37" s="10" t="str">
        <f aca="false">IF($A37="","",IF($AL37="","",IF(COUNTIFS(Fact_Milestone!$A:$A,$B37,Fact_Milestone!$B:$B,$AL37,Fact_Milestone!$I:$I,"No")&gt;0,"No",IF(COUNTIFS(Fact_Milestone!$A:$A,$B37,Fact_Milestone!$B:$B,$AL37,Fact_Milestone!$I:$I,"Yes")&gt;0,"Yes",""))))</f>
        <v/>
      </c>
      <c r="BC37" s="45" t="str">
        <f aca="false">IF($A37="","",IF(OR($L37="",$W37=""),"",IF(COUNTIFS($L:$L,$L37,$B:$B,$B37,$W:$W,"&lt;"&amp;$W37)=0,"",_xlfn.MAXIFS($W:$W,$L:$L,$L37,$B:$B,$B37,$W:$W,"&lt;"&amp;$W37))))</f>
        <v/>
      </c>
      <c r="BD37" s="39" t="str">
        <f aca="false">IF($A37="","",IF($AC37="","",IF(OR($L37="",$AC37=0),0,MIN($AC37,ROUND(ROUND(1440*SUMPRODUCT(($L$2:INDEX($L:$L,COUNTA($C:$C))=$L37)*($B$2:INDEX($B:$B,COUNTA($C:$C))=$B37)*(ROW($L$2:INDEX($L:$L,COUNTA($C:$C)))&lt;&gt;ROW())*((((($W37+$BT$2:INDEX($BT:$BT,COUNTA($C:$C))-ABS($W37-$BT$2:INDEX($BT:$BT,COUNTA($C:$C))))/2)-(($U37+$BS$2:INDEX($BS:$BS,COUNTA($C:$C))+ABS($U37-$BS$2:INDEX($BS:$BS,COUNTA($C:$C))))/2))+ABS(((($W37+$BT$2:INDEX($BT:$BT,COUNTA($C:$C))-ABS($W37-$BT$2:INDEX($BT:$BT,COUNTA($C:$C))))/2)-(($U37+$BS$2:INDEX($BS:$BS,COUNTA($C:$C))+ABS($U37-$BS$2:INDEX($BS:$BS,COUNTA($C:$C))))/2))))/2)),4),0)))))</f>
        <v/>
      </c>
      <c r="BE37" s="39" t="str">
        <f aca="false">IF($A37="","",IF($AC37="","",ROUND(MIN($AC37-$BD37,N($R37)),0)))</f>
        <v/>
      </c>
      <c r="BF37" s="10" t="str">
        <f aca="false">IF($A37="","",IFERROR(VLOOKUP($C37,Dim_Fund!$A:$BD,56,0),""))</f>
        <v/>
      </c>
      <c r="BG37" s="10" t="str">
        <f aca="false">IF($A37="","",IFERROR(VLOOKUP($C37,Dim_Fund!$A:$BH,60,0),""))</f>
        <v/>
      </c>
      <c r="BH37" s="10" t="str">
        <f aca="false">IF($A37="","",IF($AI37&lt;&gt;"Yes","Not breached",IF($AM37="Yes","Pricing late",IF($BG37="Thin custody slack","Thin custody slack",IF($BF37="Yes","Broker-dependent","None of these")))))</f>
        <v/>
      </c>
      <c r="BI37" s="23" t="str">
        <f aca="false">IF($A37="","",IFERROR(IF(VLOOKUP($C37,Dim_Fund!$A:$AI,35,0)&gt;0,VLOOKUP($C37,Dim_Fund!$A:$AI,35,0),""),""))</f>
        <v/>
      </c>
      <c r="BJ37" s="10" t="str">
        <f aca="false">IF($A37="","",$C37&amp;IF($E37="Client","*",""))</f>
        <v/>
      </c>
      <c r="BK37" s="39" t="str">
        <f aca="false">IF($A37="","",IFERROR(ROUND(($Y37-$X37)*1440,0),""))</f>
        <v/>
      </c>
      <c r="BL37" s="39" t="str">
        <f aca="false">IF($A37="","",IF($AH37="","",-$AH37))</f>
        <v/>
      </c>
      <c r="BM37" s="46" t="str">
        <f aca="false">IF($A37="","",IF($AQ37="","",IF($AP37="",$AQ37,MIN($AP37,$AQ37))))</f>
        <v/>
      </c>
      <c r="BN37" s="46" t="str">
        <f aca="false">IF($A37="","",IF($BM37="","",ROUND(N($AC37)/60,4)))</f>
        <v/>
      </c>
      <c r="BO37" s="46" t="str">
        <f aca="false">IF($A37="","",IF(OR($BM37="",$AD37=""),"",ROUND($AD37/60,4)))</f>
        <v/>
      </c>
      <c r="BP37" s="46" t="str">
        <f aca="false">IF($A37="","",IF($BM37="","",ROUND(N($AE37)/60,4)))</f>
        <v/>
      </c>
      <c r="BQ37" s="46" t="str">
        <f aca="false">IF($A37="","",IF(OR($BM37="",$AF37=""),"",ROUND($AF37/60,4)))</f>
        <v/>
      </c>
      <c r="BR37" s="39" t="str">
        <f aca="false">IF($A37="","",IF($AC37="","",$AC37-$BD37-$BE37))</f>
        <v/>
      </c>
      <c r="BS37" s="45" t="str">
        <f aca="false">IF($A37="","",IF(AND(ISNUMBER($Z37),ISNUMBER($W37)),$Z37,0))</f>
        <v/>
      </c>
      <c r="BT37" s="45" t="str">
        <f aca="false">IF($A37="","",IF(ISNUMBER($W37),$W37,0))</f>
        <v/>
      </c>
      <c r="BU37" s="23" t="str">
        <f aca="false">IF($A37="","",IF(ISNUMBER($W37),ROUND(($W37-$B37)*24,4),""))</f>
        <v/>
      </c>
      <c r="BV37" s="23" t="str">
        <f aca="false">IF($A37="","",IF(ISNUMBER($X37),ROUND(($X37-$B37)*24,4),""))</f>
        <v/>
      </c>
      <c r="BW37" s="10" t="str">
        <f aca="false">IF($A37="","",IF(NOT(ISNUMBER($W37)),"Missing Calculated",IF(NOT(ISNUMBER($X37)),IF($E37="Client","Missing FA signed off","Missing Controlled"),IF($X37&lt;$W37,"End before start","OK"))))</f>
        <v/>
      </c>
      <c r="BX37" s="23" t="str">
        <f aca="false">IF($A37="","",IF(NOT(ISNUMBER($Z37)),"",ROUND((IF(ISNUMBER($U37),MIN($U37,$Z37),$Z37)-$B37)*24,4)))</f>
        <v/>
      </c>
      <c r="BY37" s="23" t="str">
        <f aca="false">IF($A37="","",IF(ISNUMBER($Z37),ROUND(($Z37-$B37)*24,4),""))</f>
        <v/>
      </c>
      <c r="BZ37" s="23" t="str">
        <f aca="false">IF($A37="","",IF(AND(ISNUMBER($W37),ISNUMBER($S37)),ROUND(($W37+$S37/1440-$B37)*24,4),""))</f>
        <v/>
      </c>
    </row>
    <row r="38" customFormat="false" ht="15" hidden="false" customHeight="true" outlineLevel="0" collapsed="false">
      <c r="A38" s="47"/>
      <c r="B38" s="47"/>
      <c r="D38" s="4" t="str">
        <f aca="false">IF($A38="","",$B38-$A38)</f>
        <v/>
      </c>
      <c r="E38" s="4" t="str">
        <f aca="false">IF($A38="","",IFERROR(VLOOKUP($C38,Dim_Fund!$A:$X,24,0),""))</f>
        <v/>
      </c>
      <c r="F38" s="37" t="str">
        <f aca="false">IF($A38="","",IF(COUNTIFS(Status_Log!$A:$A,$A38,Status_Log!$B:$B,$B38,Status_Log!$C:$C,$C38,Status_Log!$D:$D,"Changed to the status of Calculated")=0,"",_xlfn.MINIFS(Status_Log!$E:$E,Status_Log!$A:$A,$A38,Status_Log!$B:$B,$B38,Status_Log!$C:$C,$C38,Status_Log!$D:$D,"Changed to the status of Calculated")))</f>
        <v/>
      </c>
      <c r="G38" s="37" t="str">
        <f aca="false">IF($A38="","",IF(COUNTIFS(Status_Log!$A:$A,$A38,Status_Log!$B:$B,$B38,Status_Log!$C:$C,$C38,Status_Log!$D:$D,"Changed to the status of Controlled")=0,"",_xlfn.MAXIFS(Status_Log!$E:$E,Status_Log!$A:$A,$A38,Status_Log!$B:$B,$B38,Status_Log!$C:$C,$C38,Status_Log!$D:$D,"Changed to the status of Controlled")))</f>
        <v/>
      </c>
      <c r="H38" s="37" t="str">
        <f aca="false">IF($A38="","",IF(COUNTIFS(Status_Log!$A:$A,$A38,Status_Log!$B:$B,$B38,Status_Log!$C:$C,$C38,Status_Log!$D:$D,"Changed to the status of Fund accounting signed off")=0,"",_xlfn.MAXIFS(Status_Log!$E:$E,Status_Log!$A:$A,$A38,Status_Log!$B:$B,$B38,Status_Log!$C:$C,$C38,Status_Log!$D:$D,"Changed to the status of Fund accounting signed off")))</f>
        <v/>
      </c>
      <c r="I38" s="37" t="str">
        <f aca="false">IF($A38="","",IF(COUNTIFS(Status_Log!$A:$A,$A38,Status_Log!$B:$B,$B38,Status_Log!$C:$C,$C38,Status_Log!$D:$D,"Changed to the status of signed off")=0,"",_xlfn.MAXIFS(Status_Log!$E:$E,Status_Log!$A:$A,$A38,Status_Log!$B:$B,$B38,Status_Log!$C:$C,$C38,Status_Log!$D:$D,"Changed to the status of signed off")))</f>
        <v/>
      </c>
      <c r="J38" s="4" t="str">
        <f aca="false">IF($A38="","",COUNTIFS(Status_Log!$A:$A,$A38,Status_Log!$B:$B,$B38,Status_Log!$C:$C,$C38,Status_Log!$D:$D,"Changed to the status of Calculated"))</f>
        <v/>
      </c>
      <c r="K38" s="38" t="str">
        <f aca="false">IF($A38="","",IF(J38&lt;=1,0,ROUND((_xlfn.MAXIFS(Status_Log!$E:$E,Status_Log!$A:$A,$A38,Status_Log!$B:$B,$B38,Status_Log!$C:$C,$C38,Status_Log!$D:$D,"Changed to the status of Calculated")-F38)*1440,0)))</f>
        <v/>
      </c>
      <c r="L38" s="4" t="str">
        <f aca="false">IF($A38="","",IFERROR(INDEX(Status_Log!$F:$F,MATCH($A38&amp;"|"&amp;$B38&amp;"|"&amp;$C38&amp;"|Changed to the status of Calculated|"&amp;TEXT(_xlfn.MAXIFS(Status_Log!$E:$E,Status_Log!$A:$A,$A38,Status_Log!$B:$B,$B38,Status_Log!$C:$C,$C38,Status_Log!$D:$D,"Changed to the status of Calculated"),"0.000000"),Status_Log!$H:$H,0)),""))</f>
        <v/>
      </c>
      <c r="M38" s="4" t="str">
        <f aca="false">IF($A38="","",IF(E38="Client","n/a — no control step",IFERROR(INDEX(Status_Log!$F:$F,MATCH($A38&amp;"|"&amp;$B38&amp;"|"&amp;$C38&amp;"|Changed to the status of Controlled|"&amp;TEXT(_xlfn.MAXIFS(Status_Log!$E:$E,Status_Log!$A:$A,$A38,Status_Log!$B:$B,$B38,Status_Log!$C:$C,$C38,Status_Log!$D:$D,"Changed to the status of Controlled"),"0.000000"),Status_Log!$H:$H,0)),"")))</f>
        <v/>
      </c>
      <c r="N38" s="4" t="str">
        <f aca="false">IF($A38="","",IFERROR(VLOOKUP($C38,Dim_Fund!$A:$G,7,0),""))</f>
        <v/>
      </c>
      <c r="O38" s="4" t="str">
        <f aca="false">IF($A38="","",IF(L38=N38,"No","Yes"))</f>
        <v/>
      </c>
      <c r="P38" s="4" t="str">
        <f aca="false">IF($A38="","",IF(E38="Client","n/a",IF(L38=M38,"YES — four-eyes breach","No")))</f>
        <v/>
      </c>
      <c r="Q38" s="38" t="str">
        <f aca="false">IF($A38="","",IFERROR(VLOOKUP($C38,Dim_Fund!$A:$AB,28,0),""))</f>
        <v/>
      </c>
      <c r="R38" s="38" t="str">
        <f aca="false">IF($A38="","",IFERROR(VLOOKUP($C38,Dim_Fund!$A:$AC,29,0),""))</f>
        <v/>
      </c>
      <c r="S38" s="38" t="str">
        <f aca="false">IF($A38="","",IFERROR(VLOOKUP($C38,Dim_Fund!$A:$AD,30,0),""))</f>
        <v/>
      </c>
      <c r="T38" s="38" t="str">
        <f aca="false">IF($A38="","",IFERROR(VLOOKUP($C38,Dim_Fund!$A:$AL,38,0),""))</f>
        <v/>
      </c>
      <c r="U38" s="37" t="str">
        <f aca="false">IF($A38="","",IF(AL38="","",IFERROR(IF(COUNTIFS(Fact_Milestone!$A:$A,$B38,Fact_Milestone!$B:$B,AL38)=0,"",_xlfn.MAXIFS(Fact_Milestone!$C:$C,Fact_Milestone!$A:$A,$B38,Fact_Milestone!$B:$B,AL38)),"")))</f>
        <v/>
      </c>
      <c r="V38" s="37" t="str">
        <f aca="false">IF($A38="","",IFERROR(IF(VLOOKUP($C38,Dim_Fund!$A:$AI,35,0)&gt;0,$B38+VLOOKUP($C38,Dim_Fund!$A:$AI,35,0)/24,""),""))</f>
        <v/>
      </c>
      <c r="W38" s="37" t="str">
        <f aca="false">IF($A38="","",F38)</f>
        <v/>
      </c>
      <c r="X38" s="37" t="str">
        <f aca="false">IF($A38="","",IF(E38="Client",H38,G38))</f>
        <v/>
      </c>
      <c r="Y38" s="37" t="str">
        <f aca="false">IF($A38="","",I38)</f>
        <v/>
      </c>
      <c r="Z38" s="37" t="str">
        <f aca="false">IF($A38="","",IFERROR(W38-R38/1440,""))</f>
        <v/>
      </c>
      <c r="AA38" s="38" t="str">
        <f aca="false">IF($A38="","",IF(OR(U38="",V38=""),"",ROUND((V38-U38)*1440,0)))</f>
        <v/>
      </c>
      <c r="AB38" s="38" t="str">
        <f aca="false">IF($A38="","",IF(U38="","",ROUND((W38-U38)*1440,0)))</f>
        <v/>
      </c>
      <c r="AC38" s="38" t="str">
        <f aca="false">IF($A38="","",IF(AB38="","",MAX(0,AB38)))</f>
        <v/>
      </c>
      <c r="AD38" s="38" t="str">
        <f aca="false">IF($A38="","",IFERROR(ROUND((X38-W38)*1440,0),""))</f>
        <v/>
      </c>
      <c r="AE38" s="38" t="str">
        <f aca="false">IF($A38="","",IF(E38="Client","n/a",IFERROR(ROUND((H38-G38)*1440,0),"")))</f>
        <v/>
      </c>
      <c r="AF38" s="38" t="str">
        <f aca="false">IF($A38="","",IFERROR(ROUND((Y38-H38)*1440,0),""))</f>
        <v/>
      </c>
      <c r="AG38" s="38" t="str">
        <f aca="false">IF($A38="","",IFERROR(ROUND((H38-F38)*1440,0),""))</f>
        <v/>
      </c>
      <c r="AH38" s="38" t="str">
        <f aca="false">IF($A38="","",IFERROR(ROUND((Y38-V38)*1440,0),""))</f>
        <v/>
      </c>
      <c r="AI38" s="4" t="str">
        <f aca="false">IF($A38="","",IF(AH38="","",IF(AH38&gt;0,"Yes","No")))</f>
        <v/>
      </c>
      <c r="AJ38" s="4" t="str">
        <f aca="false">IF($A38="","",IF(AI38&lt;&gt;"Yes","On time",IF(N(AC38)&gt;=MAX(N(AF38),N(K38)),"Wait for analyst",IF(N(AF38)&gt;=N(K38),"External sign-off","Rework"))))</f>
        <v/>
      </c>
      <c r="AK38" s="4" t="str">
        <f aca="false">IF($A38="","",IF(OR(F38="",Y38="",ISNA(MATCH(L38,Dim_Analyst!$A:$A,0))),"CHECK","OK"))</f>
        <v/>
      </c>
      <c r="AL38" s="4" t="str">
        <f aca="false">IF($A38="","",IFERROR(VLOOKUP($C38,Dim_Fund!$A:$U,21,0),""))</f>
        <v/>
      </c>
      <c r="AM38" s="4" t="str">
        <f aca="false">IF($A38="","",IF($U38="","",IF($U38&gt;$B38+IFERROR(VLOOKUP($C38,Dim_Fund!$A:$AH,34,0),0)/24,"Yes","No")))</f>
        <v/>
      </c>
      <c r="AN38" s="22" t="str">
        <f aca="false">IF($A38="","",IFERROR(VLOOKUP($C38,Dim_Fund!$A:$AH,34,0),""))</f>
        <v/>
      </c>
      <c r="AO38" s="22" t="str">
        <f aca="false">IF($A38="","",IF($AL38="","",IFERROR(FLOOR(IF(COUNTIFS(Fact_Milestone!$A:$A,$B38,Fact_Milestone!$B:$B,$AL38,Fact_Milestone!$F:$F,"&gt;0")&gt;0,_xlfn.MINIFS(Fact_Milestone!$F:$F,Fact_Milestone!$A:$A,$B38,Fact_Milestone!$B:$B,$AL38,Fact_Milestone!$F:$F,"&gt;0"),VLOOKUP($AL38,Dim_TOP!$A:$E,5,0)),0.5),"")))</f>
        <v/>
      </c>
      <c r="AP38" s="22" t="str">
        <f aca="false">IF($A38="","",IF($U38="","",ROUND(($U38-INT($U38))*24,4)))</f>
        <v/>
      </c>
      <c r="AQ38" s="22" t="str">
        <f aca="false">IF($A38="","",IF($W38="","",ROUND(($W38-INT($W38))*24,4)))</f>
        <v/>
      </c>
      <c r="AR38" s="22" t="str">
        <f aca="false">IF($A38="","",IF($X38="","",ROUND(($X38-INT($X38))*24,4)))</f>
        <v/>
      </c>
      <c r="AS38" s="38" t="str">
        <f aca="false">IF($A38="","",IF(OR($AN38="",$V38="",$S38="",$T38=""),"",ROUND(($V38-($B38+$AN38/24))*1440-$S38-$T38,0)))</f>
        <v/>
      </c>
      <c r="AT38" s="38" t="str">
        <f aca="false">IF($A38="","",IF(OR($AN38="",$U38=""),"",ROUND(($U38-($B38+$AN38/24))*1440,0)))</f>
        <v/>
      </c>
      <c r="AU38" s="38" t="str">
        <f aca="false">IF($A38="","",IF(OR($AD38="",$S38=""),"",ROUND($AD38-$S38,0)))</f>
        <v/>
      </c>
      <c r="AV38" s="38" t="str">
        <f aca="false">IF($A38="","",N($AE38))</f>
        <v/>
      </c>
      <c r="AW38" s="38" t="str">
        <f aca="false">IF($A38="","",IF(OR($AF38="",$T38=""),"",$AF38-$T38))</f>
        <v/>
      </c>
      <c r="AX38" s="38" t="str">
        <f aca="false">IF($A38="","",IF(COUNT($AT38,$AB38,$AU38,$AW38,$AS38,$AH38)&lt;6,"",ROUND($AT38+$AB38+$AU38+$AV38+$AW38-$AS38-$AH38,0)))</f>
        <v/>
      </c>
      <c r="AY38" s="4" t="str">
        <f aca="false">IF($A38="","",IF($AX38="","No",IF(ABS($AX38)&lt;=2,"Yes","No")))</f>
        <v/>
      </c>
      <c r="AZ38" s="4" t="str">
        <f aca="false">IF($A38="","",IF($AI38&lt;&gt;"Yes","n/a",IF(OR($AA38="",$S38="",$T38=""),"Unknown",IF($AA38&lt;$S38+$T38,"Lost on arrival","Lost after arrival"))))</f>
        <v/>
      </c>
      <c r="BA38" s="10" t="str">
        <f aca="false">IF($A38="","",IFERROR(VLOOKUP($C38,Dim_Fund!$A:$D,4,0),""))</f>
        <v/>
      </c>
      <c r="BB38" s="10" t="str">
        <f aca="false">IF($A38="","",IF($AL38="","",IF(COUNTIFS(Fact_Milestone!$A:$A,$B38,Fact_Milestone!$B:$B,$AL38,Fact_Milestone!$I:$I,"No")&gt;0,"No",IF(COUNTIFS(Fact_Milestone!$A:$A,$B38,Fact_Milestone!$B:$B,$AL38,Fact_Milestone!$I:$I,"Yes")&gt;0,"Yes",""))))</f>
        <v/>
      </c>
      <c r="BC38" s="45" t="str">
        <f aca="false">IF($A38="","",IF(OR($L38="",$W38=""),"",IF(COUNTIFS($L:$L,$L38,$B:$B,$B38,$W:$W,"&lt;"&amp;$W38)=0,"",_xlfn.MAXIFS($W:$W,$L:$L,$L38,$B:$B,$B38,$W:$W,"&lt;"&amp;$W38))))</f>
        <v/>
      </c>
      <c r="BD38" s="39" t="str">
        <f aca="false">IF($A38="","",IF($AC38="","",IF(OR($L38="",$AC38=0),0,MIN($AC38,ROUND(ROUND(1440*SUMPRODUCT(($L$2:INDEX($L:$L,COUNTA($C:$C))=$L38)*($B$2:INDEX($B:$B,COUNTA($C:$C))=$B38)*(ROW($L$2:INDEX($L:$L,COUNTA($C:$C)))&lt;&gt;ROW())*((((($W38+$BT$2:INDEX($BT:$BT,COUNTA($C:$C))-ABS($W38-$BT$2:INDEX($BT:$BT,COUNTA($C:$C))))/2)-(($U38+$BS$2:INDEX($BS:$BS,COUNTA($C:$C))+ABS($U38-$BS$2:INDEX($BS:$BS,COUNTA($C:$C))))/2))+ABS(((($W38+$BT$2:INDEX($BT:$BT,COUNTA($C:$C))-ABS($W38-$BT$2:INDEX($BT:$BT,COUNTA($C:$C))))/2)-(($U38+$BS$2:INDEX($BS:$BS,COUNTA($C:$C))+ABS($U38-$BS$2:INDEX($BS:$BS,COUNTA($C:$C))))/2))))/2)),4),0)))))</f>
        <v/>
      </c>
      <c r="BE38" s="39" t="str">
        <f aca="false">IF($A38="","",IF($AC38="","",ROUND(MIN($AC38-$BD38,N($R38)),0)))</f>
        <v/>
      </c>
      <c r="BF38" s="10" t="str">
        <f aca="false">IF($A38="","",IFERROR(VLOOKUP($C38,Dim_Fund!$A:$BD,56,0),""))</f>
        <v/>
      </c>
      <c r="BG38" s="10" t="str">
        <f aca="false">IF($A38="","",IFERROR(VLOOKUP($C38,Dim_Fund!$A:$BH,60,0),""))</f>
        <v/>
      </c>
      <c r="BH38" s="10" t="str">
        <f aca="false">IF($A38="","",IF($AI38&lt;&gt;"Yes","Not breached",IF($AM38="Yes","Pricing late",IF($BG38="Thin custody slack","Thin custody slack",IF($BF38="Yes","Broker-dependent","None of these")))))</f>
        <v/>
      </c>
      <c r="BI38" s="23" t="str">
        <f aca="false">IF($A38="","",IFERROR(IF(VLOOKUP($C38,Dim_Fund!$A:$AI,35,0)&gt;0,VLOOKUP($C38,Dim_Fund!$A:$AI,35,0),""),""))</f>
        <v/>
      </c>
      <c r="BJ38" s="10" t="str">
        <f aca="false">IF($A38="","",$C38&amp;IF($E38="Client","*",""))</f>
        <v/>
      </c>
      <c r="BK38" s="39" t="str">
        <f aca="false">IF($A38="","",IFERROR(ROUND(($Y38-$X38)*1440,0),""))</f>
        <v/>
      </c>
      <c r="BL38" s="39" t="str">
        <f aca="false">IF($A38="","",IF($AH38="","",-$AH38))</f>
        <v/>
      </c>
      <c r="BM38" s="46" t="str">
        <f aca="false">IF($A38="","",IF($AQ38="","",IF($AP38="",$AQ38,MIN($AP38,$AQ38))))</f>
        <v/>
      </c>
      <c r="BN38" s="46" t="str">
        <f aca="false">IF($A38="","",IF($BM38="","",ROUND(N($AC38)/60,4)))</f>
        <v/>
      </c>
      <c r="BO38" s="46" t="str">
        <f aca="false">IF($A38="","",IF(OR($BM38="",$AD38=""),"",ROUND($AD38/60,4)))</f>
        <v/>
      </c>
      <c r="BP38" s="46" t="str">
        <f aca="false">IF($A38="","",IF($BM38="","",ROUND(N($AE38)/60,4)))</f>
        <v/>
      </c>
      <c r="BQ38" s="46" t="str">
        <f aca="false">IF($A38="","",IF(OR($BM38="",$AF38=""),"",ROUND($AF38/60,4)))</f>
        <v/>
      </c>
      <c r="BR38" s="39" t="str">
        <f aca="false">IF($A38="","",IF($AC38="","",$AC38-$BD38-$BE38))</f>
        <v/>
      </c>
      <c r="BS38" s="45" t="str">
        <f aca="false">IF($A38="","",IF(AND(ISNUMBER($Z38),ISNUMBER($W38)),$Z38,0))</f>
        <v/>
      </c>
      <c r="BT38" s="45" t="str">
        <f aca="false">IF($A38="","",IF(ISNUMBER($W38),$W38,0))</f>
        <v/>
      </c>
      <c r="BU38" s="23" t="str">
        <f aca="false">IF($A38="","",IF(ISNUMBER($W38),ROUND(($W38-$B38)*24,4),""))</f>
        <v/>
      </c>
      <c r="BV38" s="23" t="str">
        <f aca="false">IF($A38="","",IF(ISNUMBER($X38),ROUND(($X38-$B38)*24,4),""))</f>
        <v/>
      </c>
      <c r="BW38" s="10" t="str">
        <f aca="false">IF($A38="","",IF(NOT(ISNUMBER($W38)),"Missing Calculated",IF(NOT(ISNUMBER($X38)),IF($E38="Client","Missing FA signed off","Missing Controlled"),IF($X38&lt;$W38,"End before start","OK"))))</f>
        <v/>
      </c>
      <c r="BX38" s="23" t="str">
        <f aca="false">IF($A38="","",IF(NOT(ISNUMBER($Z38)),"",ROUND((IF(ISNUMBER($U38),MIN($U38,$Z38),$Z38)-$B38)*24,4)))</f>
        <v/>
      </c>
      <c r="BY38" s="23" t="str">
        <f aca="false">IF($A38="","",IF(ISNUMBER($Z38),ROUND(($Z38-$B38)*24,4),""))</f>
        <v/>
      </c>
      <c r="BZ38" s="23" t="str">
        <f aca="false">IF($A38="","",IF(AND(ISNUMBER($W38),ISNUMBER($S38)),ROUND(($W38+$S38/1440-$B38)*24,4),""))</f>
        <v/>
      </c>
    </row>
    <row r="39" customFormat="false" ht="15" hidden="false" customHeight="true" outlineLevel="0" collapsed="false">
      <c r="A39" s="47"/>
      <c r="B39" s="47"/>
      <c r="D39" s="4" t="str">
        <f aca="false">IF($A39="","",$B39-$A39)</f>
        <v/>
      </c>
      <c r="E39" s="4" t="str">
        <f aca="false">IF($A39="","",IFERROR(VLOOKUP($C39,Dim_Fund!$A:$X,24,0),""))</f>
        <v/>
      </c>
      <c r="F39" s="37" t="str">
        <f aca="false">IF($A39="","",IF(COUNTIFS(Status_Log!$A:$A,$A39,Status_Log!$B:$B,$B39,Status_Log!$C:$C,$C39,Status_Log!$D:$D,"Changed to the status of Calculated")=0,"",_xlfn.MINIFS(Status_Log!$E:$E,Status_Log!$A:$A,$A39,Status_Log!$B:$B,$B39,Status_Log!$C:$C,$C39,Status_Log!$D:$D,"Changed to the status of Calculated")))</f>
        <v/>
      </c>
      <c r="G39" s="37" t="str">
        <f aca="false">IF($A39="","",IF(COUNTIFS(Status_Log!$A:$A,$A39,Status_Log!$B:$B,$B39,Status_Log!$C:$C,$C39,Status_Log!$D:$D,"Changed to the status of Controlled")=0,"",_xlfn.MAXIFS(Status_Log!$E:$E,Status_Log!$A:$A,$A39,Status_Log!$B:$B,$B39,Status_Log!$C:$C,$C39,Status_Log!$D:$D,"Changed to the status of Controlled")))</f>
        <v/>
      </c>
      <c r="H39" s="37" t="str">
        <f aca="false">IF($A39="","",IF(COUNTIFS(Status_Log!$A:$A,$A39,Status_Log!$B:$B,$B39,Status_Log!$C:$C,$C39,Status_Log!$D:$D,"Changed to the status of Fund accounting signed off")=0,"",_xlfn.MAXIFS(Status_Log!$E:$E,Status_Log!$A:$A,$A39,Status_Log!$B:$B,$B39,Status_Log!$C:$C,$C39,Status_Log!$D:$D,"Changed to the status of Fund accounting signed off")))</f>
        <v/>
      </c>
      <c r="I39" s="37" t="str">
        <f aca="false">IF($A39="","",IF(COUNTIFS(Status_Log!$A:$A,$A39,Status_Log!$B:$B,$B39,Status_Log!$C:$C,$C39,Status_Log!$D:$D,"Changed to the status of signed off")=0,"",_xlfn.MAXIFS(Status_Log!$E:$E,Status_Log!$A:$A,$A39,Status_Log!$B:$B,$B39,Status_Log!$C:$C,$C39,Status_Log!$D:$D,"Changed to the status of signed off")))</f>
        <v/>
      </c>
      <c r="J39" s="4" t="str">
        <f aca="false">IF($A39="","",COUNTIFS(Status_Log!$A:$A,$A39,Status_Log!$B:$B,$B39,Status_Log!$C:$C,$C39,Status_Log!$D:$D,"Changed to the status of Calculated"))</f>
        <v/>
      </c>
      <c r="K39" s="38" t="str">
        <f aca="false">IF($A39="","",IF(J39&lt;=1,0,ROUND((_xlfn.MAXIFS(Status_Log!$E:$E,Status_Log!$A:$A,$A39,Status_Log!$B:$B,$B39,Status_Log!$C:$C,$C39,Status_Log!$D:$D,"Changed to the status of Calculated")-F39)*1440,0)))</f>
        <v/>
      </c>
      <c r="L39" s="4" t="str">
        <f aca="false">IF($A39="","",IFERROR(INDEX(Status_Log!$F:$F,MATCH($A39&amp;"|"&amp;$B39&amp;"|"&amp;$C39&amp;"|Changed to the status of Calculated|"&amp;TEXT(_xlfn.MAXIFS(Status_Log!$E:$E,Status_Log!$A:$A,$A39,Status_Log!$B:$B,$B39,Status_Log!$C:$C,$C39,Status_Log!$D:$D,"Changed to the status of Calculated"),"0.000000"),Status_Log!$H:$H,0)),""))</f>
        <v/>
      </c>
      <c r="M39" s="4" t="str">
        <f aca="false">IF($A39="","",IF(E39="Client","n/a — no control step",IFERROR(INDEX(Status_Log!$F:$F,MATCH($A39&amp;"|"&amp;$B39&amp;"|"&amp;$C39&amp;"|Changed to the status of Controlled|"&amp;TEXT(_xlfn.MAXIFS(Status_Log!$E:$E,Status_Log!$A:$A,$A39,Status_Log!$B:$B,$B39,Status_Log!$C:$C,$C39,Status_Log!$D:$D,"Changed to the status of Controlled"),"0.000000"),Status_Log!$H:$H,0)),"")))</f>
        <v/>
      </c>
      <c r="N39" s="4" t="str">
        <f aca="false">IF($A39="","",IFERROR(VLOOKUP($C39,Dim_Fund!$A:$G,7,0),""))</f>
        <v/>
      </c>
      <c r="O39" s="4" t="str">
        <f aca="false">IF($A39="","",IF(L39=N39,"No","Yes"))</f>
        <v/>
      </c>
      <c r="P39" s="4" t="str">
        <f aca="false">IF($A39="","",IF(E39="Client","n/a",IF(L39=M39,"YES — four-eyes breach","No")))</f>
        <v/>
      </c>
      <c r="Q39" s="38" t="str">
        <f aca="false">IF($A39="","",IFERROR(VLOOKUP($C39,Dim_Fund!$A:$AB,28,0),""))</f>
        <v/>
      </c>
      <c r="R39" s="38" t="str">
        <f aca="false">IF($A39="","",IFERROR(VLOOKUP($C39,Dim_Fund!$A:$AC,29,0),""))</f>
        <v/>
      </c>
      <c r="S39" s="38" t="str">
        <f aca="false">IF($A39="","",IFERROR(VLOOKUP($C39,Dim_Fund!$A:$AD,30,0),""))</f>
        <v/>
      </c>
      <c r="T39" s="38" t="str">
        <f aca="false">IF($A39="","",IFERROR(VLOOKUP($C39,Dim_Fund!$A:$AL,38,0),""))</f>
        <v/>
      </c>
      <c r="U39" s="37" t="str">
        <f aca="false">IF($A39="","",IF(AL39="","",IFERROR(IF(COUNTIFS(Fact_Milestone!$A:$A,$B39,Fact_Milestone!$B:$B,AL39)=0,"",_xlfn.MAXIFS(Fact_Milestone!$C:$C,Fact_Milestone!$A:$A,$B39,Fact_Milestone!$B:$B,AL39)),"")))</f>
        <v/>
      </c>
      <c r="V39" s="37" t="str">
        <f aca="false">IF($A39="","",IFERROR(IF(VLOOKUP($C39,Dim_Fund!$A:$AI,35,0)&gt;0,$B39+VLOOKUP($C39,Dim_Fund!$A:$AI,35,0)/24,""),""))</f>
        <v/>
      </c>
      <c r="W39" s="37" t="str">
        <f aca="false">IF($A39="","",F39)</f>
        <v/>
      </c>
      <c r="X39" s="37" t="str">
        <f aca="false">IF($A39="","",IF(E39="Client",H39,G39))</f>
        <v/>
      </c>
      <c r="Y39" s="37" t="str">
        <f aca="false">IF($A39="","",I39)</f>
        <v/>
      </c>
      <c r="Z39" s="37" t="str">
        <f aca="false">IF($A39="","",IFERROR(W39-R39/1440,""))</f>
        <v/>
      </c>
      <c r="AA39" s="38" t="str">
        <f aca="false">IF($A39="","",IF(OR(U39="",V39=""),"",ROUND((V39-U39)*1440,0)))</f>
        <v/>
      </c>
      <c r="AB39" s="38" t="str">
        <f aca="false">IF($A39="","",IF(U39="","",ROUND((W39-U39)*1440,0)))</f>
        <v/>
      </c>
      <c r="AC39" s="38" t="str">
        <f aca="false">IF($A39="","",IF(AB39="","",MAX(0,AB39)))</f>
        <v/>
      </c>
      <c r="AD39" s="38" t="str">
        <f aca="false">IF($A39="","",IFERROR(ROUND((X39-W39)*1440,0),""))</f>
        <v/>
      </c>
      <c r="AE39" s="38" t="str">
        <f aca="false">IF($A39="","",IF(E39="Client","n/a",IFERROR(ROUND((H39-G39)*1440,0),"")))</f>
        <v/>
      </c>
      <c r="AF39" s="38" t="str">
        <f aca="false">IF($A39="","",IFERROR(ROUND((Y39-H39)*1440,0),""))</f>
        <v/>
      </c>
      <c r="AG39" s="38" t="str">
        <f aca="false">IF($A39="","",IFERROR(ROUND((H39-F39)*1440,0),""))</f>
        <v/>
      </c>
      <c r="AH39" s="38" t="str">
        <f aca="false">IF($A39="","",IFERROR(ROUND((Y39-V39)*1440,0),""))</f>
        <v/>
      </c>
      <c r="AI39" s="4" t="str">
        <f aca="false">IF($A39="","",IF(AH39="","",IF(AH39&gt;0,"Yes","No")))</f>
        <v/>
      </c>
      <c r="AJ39" s="4" t="str">
        <f aca="false">IF($A39="","",IF(AI39&lt;&gt;"Yes","On time",IF(N(AC39)&gt;=MAX(N(AF39),N(K39)),"Wait for analyst",IF(N(AF39)&gt;=N(K39),"External sign-off","Rework"))))</f>
        <v/>
      </c>
      <c r="AK39" s="4" t="str">
        <f aca="false">IF($A39="","",IF(OR(F39="",Y39="",ISNA(MATCH(L39,Dim_Analyst!$A:$A,0))),"CHECK","OK"))</f>
        <v/>
      </c>
      <c r="AL39" s="4" t="str">
        <f aca="false">IF($A39="","",IFERROR(VLOOKUP($C39,Dim_Fund!$A:$U,21,0),""))</f>
        <v/>
      </c>
      <c r="AM39" s="4" t="str">
        <f aca="false">IF($A39="","",IF($U39="","",IF($U39&gt;$B39+IFERROR(VLOOKUP($C39,Dim_Fund!$A:$AH,34,0),0)/24,"Yes","No")))</f>
        <v/>
      </c>
      <c r="AN39" s="22" t="str">
        <f aca="false">IF($A39="","",IFERROR(VLOOKUP($C39,Dim_Fund!$A:$AH,34,0),""))</f>
        <v/>
      </c>
      <c r="AO39" s="22" t="str">
        <f aca="false">IF($A39="","",IF($AL39="","",IFERROR(FLOOR(IF(COUNTIFS(Fact_Milestone!$A:$A,$B39,Fact_Milestone!$B:$B,$AL39,Fact_Milestone!$F:$F,"&gt;0")&gt;0,_xlfn.MINIFS(Fact_Milestone!$F:$F,Fact_Milestone!$A:$A,$B39,Fact_Milestone!$B:$B,$AL39,Fact_Milestone!$F:$F,"&gt;0"),VLOOKUP($AL39,Dim_TOP!$A:$E,5,0)),0.5),"")))</f>
        <v/>
      </c>
      <c r="AP39" s="22" t="str">
        <f aca="false">IF($A39="","",IF($U39="","",ROUND(($U39-INT($U39))*24,4)))</f>
        <v/>
      </c>
      <c r="AQ39" s="22" t="str">
        <f aca="false">IF($A39="","",IF($W39="","",ROUND(($W39-INT($W39))*24,4)))</f>
        <v/>
      </c>
      <c r="AR39" s="22" t="str">
        <f aca="false">IF($A39="","",IF($X39="","",ROUND(($X39-INT($X39))*24,4)))</f>
        <v/>
      </c>
      <c r="AS39" s="38" t="str">
        <f aca="false">IF($A39="","",IF(OR($AN39="",$V39="",$S39="",$T39=""),"",ROUND(($V39-($B39+$AN39/24))*1440-$S39-$T39,0)))</f>
        <v/>
      </c>
      <c r="AT39" s="38" t="str">
        <f aca="false">IF($A39="","",IF(OR($AN39="",$U39=""),"",ROUND(($U39-($B39+$AN39/24))*1440,0)))</f>
        <v/>
      </c>
      <c r="AU39" s="38" t="str">
        <f aca="false">IF($A39="","",IF(OR($AD39="",$S39=""),"",ROUND($AD39-$S39,0)))</f>
        <v/>
      </c>
      <c r="AV39" s="38" t="str">
        <f aca="false">IF($A39="","",N($AE39))</f>
        <v/>
      </c>
      <c r="AW39" s="38" t="str">
        <f aca="false">IF($A39="","",IF(OR($AF39="",$T39=""),"",$AF39-$T39))</f>
        <v/>
      </c>
      <c r="AX39" s="38" t="str">
        <f aca="false">IF($A39="","",IF(COUNT($AT39,$AB39,$AU39,$AW39,$AS39,$AH39)&lt;6,"",ROUND($AT39+$AB39+$AU39+$AV39+$AW39-$AS39-$AH39,0)))</f>
        <v/>
      </c>
      <c r="AY39" s="4" t="str">
        <f aca="false">IF($A39="","",IF($AX39="","No",IF(ABS($AX39)&lt;=2,"Yes","No")))</f>
        <v/>
      </c>
      <c r="AZ39" s="4" t="str">
        <f aca="false">IF($A39="","",IF($AI39&lt;&gt;"Yes","n/a",IF(OR($AA39="",$S39="",$T39=""),"Unknown",IF($AA39&lt;$S39+$T39,"Lost on arrival","Lost after arrival"))))</f>
        <v/>
      </c>
      <c r="BA39" s="10" t="str">
        <f aca="false">IF($A39="","",IFERROR(VLOOKUP($C39,Dim_Fund!$A:$D,4,0),""))</f>
        <v/>
      </c>
      <c r="BB39" s="10" t="str">
        <f aca="false">IF($A39="","",IF($AL39="","",IF(COUNTIFS(Fact_Milestone!$A:$A,$B39,Fact_Milestone!$B:$B,$AL39,Fact_Milestone!$I:$I,"No")&gt;0,"No",IF(COUNTIFS(Fact_Milestone!$A:$A,$B39,Fact_Milestone!$B:$B,$AL39,Fact_Milestone!$I:$I,"Yes")&gt;0,"Yes",""))))</f>
        <v/>
      </c>
      <c r="BC39" s="45" t="str">
        <f aca="false">IF($A39="","",IF(OR($L39="",$W39=""),"",IF(COUNTIFS($L:$L,$L39,$B:$B,$B39,$W:$W,"&lt;"&amp;$W39)=0,"",_xlfn.MAXIFS($W:$W,$L:$L,$L39,$B:$B,$B39,$W:$W,"&lt;"&amp;$W39))))</f>
        <v/>
      </c>
      <c r="BD39" s="39" t="str">
        <f aca="false">IF($A39="","",IF($AC39="","",IF(OR($L39="",$AC39=0),0,MIN($AC39,ROUND(ROUND(1440*SUMPRODUCT(($L$2:INDEX($L:$L,COUNTA($C:$C))=$L39)*($B$2:INDEX($B:$B,COUNTA($C:$C))=$B39)*(ROW($L$2:INDEX($L:$L,COUNTA($C:$C)))&lt;&gt;ROW())*((((($W39+$BT$2:INDEX($BT:$BT,COUNTA($C:$C))-ABS($W39-$BT$2:INDEX($BT:$BT,COUNTA($C:$C))))/2)-(($U39+$BS$2:INDEX($BS:$BS,COUNTA($C:$C))+ABS($U39-$BS$2:INDEX($BS:$BS,COUNTA($C:$C))))/2))+ABS(((($W39+$BT$2:INDEX($BT:$BT,COUNTA($C:$C))-ABS($W39-$BT$2:INDEX($BT:$BT,COUNTA($C:$C))))/2)-(($U39+$BS$2:INDEX($BS:$BS,COUNTA($C:$C))+ABS($U39-$BS$2:INDEX($BS:$BS,COUNTA($C:$C))))/2))))/2)),4),0)))))</f>
        <v/>
      </c>
      <c r="BE39" s="39" t="str">
        <f aca="false">IF($A39="","",IF($AC39="","",ROUND(MIN($AC39-$BD39,N($R39)),0)))</f>
        <v/>
      </c>
      <c r="BF39" s="10" t="str">
        <f aca="false">IF($A39="","",IFERROR(VLOOKUP($C39,Dim_Fund!$A:$BD,56,0),""))</f>
        <v/>
      </c>
      <c r="BG39" s="10" t="str">
        <f aca="false">IF($A39="","",IFERROR(VLOOKUP($C39,Dim_Fund!$A:$BH,60,0),""))</f>
        <v/>
      </c>
      <c r="BH39" s="10" t="str">
        <f aca="false">IF($A39="","",IF($AI39&lt;&gt;"Yes","Not breached",IF($AM39="Yes","Pricing late",IF($BG39="Thin custody slack","Thin custody slack",IF($BF39="Yes","Broker-dependent","None of these")))))</f>
        <v/>
      </c>
      <c r="BI39" s="23" t="str">
        <f aca="false">IF($A39="","",IFERROR(IF(VLOOKUP($C39,Dim_Fund!$A:$AI,35,0)&gt;0,VLOOKUP($C39,Dim_Fund!$A:$AI,35,0),""),""))</f>
        <v/>
      </c>
      <c r="BJ39" s="10" t="str">
        <f aca="false">IF($A39="","",$C39&amp;IF($E39="Client","*",""))</f>
        <v/>
      </c>
      <c r="BK39" s="39" t="str">
        <f aca="false">IF($A39="","",IFERROR(ROUND(($Y39-$X39)*1440,0),""))</f>
        <v/>
      </c>
      <c r="BL39" s="39" t="str">
        <f aca="false">IF($A39="","",IF($AH39="","",-$AH39))</f>
        <v/>
      </c>
      <c r="BM39" s="46" t="str">
        <f aca="false">IF($A39="","",IF($AQ39="","",IF($AP39="",$AQ39,MIN($AP39,$AQ39))))</f>
        <v/>
      </c>
      <c r="BN39" s="46" t="str">
        <f aca="false">IF($A39="","",IF($BM39="","",ROUND(N($AC39)/60,4)))</f>
        <v/>
      </c>
      <c r="BO39" s="46" t="str">
        <f aca="false">IF($A39="","",IF(OR($BM39="",$AD39=""),"",ROUND($AD39/60,4)))</f>
        <v/>
      </c>
      <c r="BP39" s="46" t="str">
        <f aca="false">IF($A39="","",IF($BM39="","",ROUND(N($AE39)/60,4)))</f>
        <v/>
      </c>
      <c r="BQ39" s="46" t="str">
        <f aca="false">IF($A39="","",IF(OR($BM39="",$AF39=""),"",ROUND($AF39/60,4)))</f>
        <v/>
      </c>
      <c r="BR39" s="39" t="str">
        <f aca="false">IF($A39="","",IF($AC39="","",$AC39-$BD39-$BE39))</f>
        <v/>
      </c>
      <c r="BS39" s="45" t="str">
        <f aca="false">IF($A39="","",IF(AND(ISNUMBER($Z39),ISNUMBER($W39)),$Z39,0))</f>
        <v/>
      </c>
      <c r="BT39" s="45" t="str">
        <f aca="false">IF($A39="","",IF(ISNUMBER($W39),$W39,0))</f>
        <v/>
      </c>
      <c r="BU39" s="23" t="str">
        <f aca="false">IF($A39="","",IF(ISNUMBER($W39),ROUND(($W39-$B39)*24,4),""))</f>
        <v/>
      </c>
      <c r="BV39" s="23" t="str">
        <f aca="false">IF($A39="","",IF(ISNUMBER($X39),ROUND(($X39-$B39)*24,4),""))</f>
        <v/>
      </c>
      <c r="BW39" s="10" t="str">
        <f aca="false">IF($A39="","",IF(NOT(ISNUMBER($W39)),"Missing Calculated",IF(NOT(ISNUMBER($X39)),IF($E39="Client","Missing FA signed off","Missing Controlled"),IF($X39&lt;$W39,"End before start","OK"))))</f>
        <v/>
      </c>
      <c r="BX39" s="23" t="str">
        <f aca="false">IF($A39="","",IF(NOT(ISNUMBER($Z39)),"",ROUND((IF(ISNUMBER($U39),MIN($U39,$Z39),$Z39)-$B39)*24,4)))</f>
        <v/>
      </c>
      <c r="BY39" s="23" t="str">
        <f aca="false">IF($A39="","",IF(ISNUMBER($Z39),ROUND(($Z39-$B39)*24,4),""))</f>
        <v/>
      </c>
      <c r="BZ39" s="23" t="str">
        <f aca="false">IF($A39="","",IF(AND(ISNUMBER($W39),ISNUMBER($S39)),ROUND(($W39+$S39/1440-$B39)*24,4),""))</f>
        <v/>
      </c>
    </row>
    <row r="40" customFormat="false" ht="15" hidden="false" customHeight="true" outlineLevel="0" collapsed="false">
      <c r="A40" s="47"/>
      <c r="B40" s="47"/>
      <c r="D40" s="4" t="str">
        <f aca="false">IF($A40="","",$B40-$A40)</f>
        <v/>
      </c>
      <c r="E40" s="4" t="str">
        <f aca="false">IF($A40="","",IFERROR(VLOOKUP($C40,Dim_Fund!$A:$X,24,0),""))</f>
        <v/>
      </c>
      <c r="F40" s="37" t="str">
        <f aca="false">IF($A40="","",IF(COUNTIFS(Status_Log!$A:$A,$A40,Status_Log!$B:$B,$B40,Status_Log!$C:$C,$C40,Status_Log!$D:$D,"Changed to the status of Calculated")=0,"",_xlfn.MINIFS(Status_Log!$E:$E,Status_Log!$A:$A,$A40,Status_Log!$B:$B,$B40,Status_Log!$C:$C,$C40,Status_Log!$D:$D,"Changed to the status of Calculated")))</f>
        <v/>
      </c>
      <c r="G40" s="37" t="str">
        <f aca="false">IF($A40="","",IF(COUNTIFS(Status_Log!$A:$A,$A40,Status_Log!$B:$B,$B40,Status_Log!$C:$C,$C40,Status_Log!$D:$D,"Changed to the status of Controlled")=0,"",_xlfn.MAXIFS(Status_Log!$E:$E,Status_Log!$A:$A,$A40,Status_Log!$B:$B,$B40,Status_Log!$C:$C,$C40,Status_Log!$D:$D,"Changed to the status of Controlled")))</f>
        <v/>
      </c>
      <c r="H40" s="37" t="str">
        <f aca="false">IF($A40="","",IF(COUNTIFS(Status_Log!$A:$A,$A40,Status_Log!$B:$B,$B40,Status_Log!$C:$C,$C40,Status_Log!$D:$D,"Changed to the status of Fund accounting signed off")=0,"",_xlfn.MAXIFS(Status_Log!$E:$E,Status_Log!$A:$A,$A40,Status_Log!$B:$B,$B40,Status_Log!$C:$C,$C40,Status_Log!$D:$D,"Changed to the status of Fund accounting signed off")))</f>
        <v/>
      </c>
      <c r="I40" s="37" t="str">
        <f aca="false">IF($A40="","",IF(COUNTIFS(Status_Log!$A:$A,$A40,Status_Log!$B:$B,$B40,Status_Log!$C:$C,$C40,Status_Log!$D:$D,"Changed to the status of signed off")=0,"",_xlfn.MAXIFS(Status_Log!$E:$E,Status_Log!$A:$A,$A40,Status_Log!$B:$B,$B40,Status_Log!$C:$C,$C40,Status_Log!$D:$D,"Changed to the status of signed off")))</f>
        <v/>
      </c>
      <c r="J40" s="4" t="str">
        <f aca="false">IF($A40="","",COUNTIFS(Status_Log!$A:$A,$A40,Status_Log!$B:$B,$B40,Status_Log!$C:$C,$C40,Status_Log!$D:$D,"Changed to the status of Calculated"))</f>
        <v/>
      </c>
      <c r="K40" s="38" t="str">
        <f aca="false">IF($A40="","",IF(J40&lt;=1,0,ROUND((_xlfn.MAXIFS(Status_Log!$E:$E,Status_Log!$A:$A,$A40,Status_Log!$B:$B,$B40,Status_Log!$C:$C,$C40,Status_Log!$D:$D,"Changed to the status of Calculated")-F40)*1440,0)))</f>
        <v/>
      </c>
      <c r="L40" s="4" t="str">
        <f aca="false">IF($A40="","",IFERROR(INDEX(Status_Log!$F:$F,MATCH($A40&amp;"|"&amp;$B40&amp;"|"&amp;$C40&amp;"|Changed to the status of Calculated|"&amp;TEXT(_xlfn.MAXIFS(Status_Log!$E:$E,Status_Log!$A:$A,$A40,Status_Log!$B:$B,$B40,Status_Log!$C:$C,$C40,Status_Log!$D:$D,"Changed to the status of Calculated"),"0.000000"),Status_Log!$H:$H,0)),""))</f>
        <v/>
      </c>
      <c r="M40" s="4" t="str">
        <f aca="false">IF($A40="","",IF(E40="Client","n/a — no control step",IFERROR(INDEX(Status_Log!$F:$F,MATCH($A40&amp;"|"&amp;$B40&amp;"|"&amp;$C40&amp;"|Changed to the status of Controlled|"&amp;TEXT(_xlfn.MAXIFS(Status_Log!$E:$E,Status_Log!$A:$A,$A40,Status_Log!$B:$B,$B40,Status_Log!$C:$C,$C40,Status_Log!$D:$D,"Changed to the status of Controlled"),"0.000000"),Status_Log!$H:$H,0)),"")))</f>
        <v/>
      </c>
      <c r="N40" s="4" t="str">
        <f aca="false">IF($A40="","",IFERROR(VLOOKUP($C40,Dim_Fund!$A:$G,7,0),""))</f>
        <v/>
      </c>
      <c r="O40" s="4" t="str">
        <f aca="false">IF($A40="","",IF(L40=N40,"No","Yes"))</f>
        <v/>
      </c>
      <c r="P40" s="4" t="str">
        <f aca="false">IF($A40="","",IF(E40="Client","n/a",IF(L40=M40,"YES — four-eyes breach","No")))</f>
        <v/>
      </c>
      <c r="Q40" s="38" t="str">
        <f aca="false">IF($A40="","",IFERROR(VLOOKUP($C40,Dim_Fund!$A:$AB,28,0),""))</f>
        <v/>
      </c>
      <c r="R40" s="38" t="str">
        <f aca="false">IF($A40="","",IFERROR(VLOOKUP($C40,Dim_Fund!$A:$AC,29,0),""))</f>
        <v/>
      </c>
      <c r="S40" s="38" t="str">
        <f aca="false">IF($A40="","",IFERROR(VLOOKUP($C40,Dim_Fund!$A:$AD,30,0),""))</f>
        <v/>
      </c>
      <c r="T40" s="38" t="str">
        <f aca="false">IF($A40="","",IFERROR(VLOOKUP($C40,Dim_Fund!$A:$AL,38,0),""))</f>
        <v/>
      </c>
      <c r="U40" s="37" t="str">
        <f aca="false">IF($A40="","",IF(AL40="","",IFERROR(IF(COUNTIFS(Fact_Milestone!$A:$A,$B40,Fact_Milestone!$B:$B,AL40)=0,"",_xlfn.MAXIFS(Fact_Milestone!$C:$C,Fact_Milestone!$A:$A,$B40,Fact_Milestone!$B:$B,AL40)),"")))</f>
        <v/>
      </c>
      <c r="V40" s="37" t="str">
        <f aca="false">IF($A40="","",IFERROR(IF(VLOOKUP($C40,Dim_Fund!$A:$AI,35,0)&gt;0,$B40+VLOOKUP($C40,Dim_Fund!$A:$AI,35,0)/24,""),""))</f>
        <v/>
      </c>
      <c r="W40" s="37" t="str">
        <f aca="false">IF($A40="","",F40)</f>
        <v/>
      </c>
      <c r="X40" s="37" t="str">
        <f aca="false">IF($A40="","",IF(E40="Client",H40,G40))</f>
        <v/>
      </c>
      <c r="Y40" s="37" t="str">
        <f aca="false">IF($A40="","",I40)</f>
        <v/>
      </c>
      <c r="Z40" s="37" t="str">
        <f aca="false">IF($A40="","",IFERROR(W40-R40/1440,""))</f>
        <v/>
      </c>
      <c r="AA40" s="38" t="str">
        <f aca="false">IF($A40="","",IF(OR(U40="",V40=""),"",ROUND((V40-U40)*1440,0)))</f>
        <v/>
      </c>
      <c r="AB40" s="38" t="str">
        <f aca="false">IF($A40="","",IF(U40="","",ROUND((W40-U40)*1440,0)))</f>
        <v/>
      </c>
      <c r="AC40" s="38" t="str">
        <f aca="false">IF($A40="","",IF(AB40="","",MAX(0,AB40)))</f>
        <v/>
      </c>
      <c r="AD40" s="38" t="str">
        <f aca="false">IF($A40="","",IFERROR(ROUND((X40-W40)*1440,0),""))</f>
        <v/>
      </c>
      <c r="AE40" s="38" t="str">
        <f aca="false">IF($A40="","",IF(E40="Client","n/a",IFERROR(ROUND((H40-G40)*1440,0),"")))</f>
        <v/>
      </c>
      <c r="AF40" s="38" t="str">
        <f aca="false">IF($A40="","",IFERROR(ROUND((Y40-H40)*1440,0),""))</f>
        <v/>
      </c>
      <c r="AG40" s="38" t="str">
        <f aca="false">IF($A40="","",IFERROR(ROUND((H40-F40)*1440,0),""))</f>
        <v/>
      </c>
      <c r="AH40" s="38" t="str">
        <f aca="false">IF($A40="","",IFERROR(ROUND((Y40-V40)*1440,0),""))</f>
        <v/>
      </c>
      <c r="AI40" s="4" t="str">
        <f aca="false">IF($A40="","",IF(AH40="","",IF(AH40&gt;0,"Yes","No")))</f>
        <v/>
      </c>
      <c r="AJ40" s="4" t="str">
        <f aca="false">IF($A40="","",IF(AI40&lt;&gt;"Yes","On time",IF(N(AC40)&gt;=MAX(N(AF40),N(K40)),"Wait for analyst",IF(N(AF40)&gt;=N(K40),"External sign-off","Rework"))))</f>
        <v/>
      </c>
      <c r="AK40" s="4" t="str">
        <f aca="false">IF($A40="","",IF(OR(F40="",Y40="",ISNA(MATCH(L40,Dim_Analyst!$A:$A,0))),"CHECK","OK"))</f>
        <v/>
      </c>
      <c r="AL40" s="4" t="str">
        <f aca="false">IF($A40="","",IFERROR(VLOOKUP($C40,Dim_Fund!$A:$U,21,0),""))</f>
        <v/>
      </c>
      <c r="AM40" s="4" t="str">
        <f aca="false">IF($A40="","",IF($U40="","",IF($U40&gt;$B40+IFERROR(VLOOKUP($C40,Dim_Fund!$A:$AH,34,0),0)/24,"Yes","No")))</f>
        <v/>
      </c>
      <c r="AN40" s="22" t="str">
        <f aca="false">IF($A40="","",IFERROR(VLOOKUP($C40,Dim_Fund!$A:$AH,34,0),""))</f>
        <v/>
      </c>
      <c r="AO40" s="22" t="str">
        <f aca="false">IF($A40="","",IF($AL40="","",IFERROR(FLOOR(IF(COUNTIFS(Fact_Milestone!$A:$A,$B40,Fact_Milestone!$B:$B,$AL40,Fact_Milestone!$F:$F,"&gt;0")&gt;0,_xlfn.MINIFS(Fact_Milestone!$F:$F,Fact_Milestone!$A:$A,$B40,Fact_Milestone!$B:$B,$AL40,Fact_Milestone!$F:$F,"&gt;0"),VLOOKUP($AL40,Dim_TOP!$A:$E,5,0)),0.5),"")))</f>
        <v/>
      </c>
      <c r="AP40" s="22" t="str">
        <f aca="false">IF($A40="","",IF($U40="","",ROUND(($U40-INT($U40))*24,4)))</f>
        <v/>
      </c>
      <c r="AQ40" s="22" t="str">
        <f aca="false">IF($A40="","",IF($W40="","",ROUND(($W40-INT($W40))*24,4)))</f>
        <v/>
      </c>
      <c r="AR40" s="22" t="str">
        <f aca="false">IF($A40="","",IF($X40="","",ROUND(($X40-INT($X40))*24,4)))</f>
        <v/>
      </c>
      <c r="AS40" s="38" t="str">
        <f aca="false">IF($A40="","",IF(OR($AN40="",$V40="",$S40="",$T40=""),"",ROUND(($V40-($B40+$AN40/24))*1440-$S40-$T40,0)))</f>
        <v/>
      </c>
      <c r="AT40" s="38" t="str">
        <f aca="false">IF($A40="","",IF(OR($AN40="",$U40=""),"",ROUND(($U40-($B40+$AN40/24))*1440,0)))</f>
        <v/>
      </c>
      <c r="AU40" s="38" t="str">
        <f aca="false">IF($A40="","",IF(OR($AD40="",$S40=""),"",ROUND($AD40-$S40,0)))</f>
        <v/>
      </c>
      <c r="AV40" s="38" t="str">
        <f aca="false">IF($A40="","",N($AE40))</f>
        <v/>
      </c>
      <c r="AW40" s="38" t="str">
        <f aca="false">IF($A40="","",IF(OR($AF40="",$T40=""),"",$AF40-$T40))</f>
        <v/>
      </c>
      <c r="AX40" s="38" t="str">
        <f aca="false">IF($A40="","",IF(COUNT($AT40,$AB40,$AU40,$AW40,$AS40,$AH40)&lt;6,"",ROUND($AT40+$AB40+$AU40+$AV40+$AW40-$AS40-$AH40,0)))</f>
        <v/>
      </c>
      <c r="AY40" s="4" t="str">
        <f aca="false">IF($A40="","",IF($AX40="","No",IF(ABS($AX40)&lt;=2,"Yes","No")))</f>
        <v/>
      </c>
      <c r="AZ40" s="4" t="str">
        <f aca="false">IF($A40="","",IF($AI40&lt;&gt;"Yes","n/a",IF(OR($AA40="",$S40="",$T40=""),"Unknown",IF($AA40&lt;$S40+$T40,"Lost on arrival","Lost after arrival"))))</f>
        <v/>
      </c>
      <c r="BA40" s="10" t="str">
        <f aca="false">IF($A40="","",IFERROR(VLOOKUP($C40,Dim_Fund!$A:$D,4,0),""))</f>
        <v/>
      </c>
      <c r="BB40" s="10" t="str">
        <f aca="false">IF($A40="","",IF($AL40="","",IF(COUNTIFS(Fact_Milestone!$A:$A,$B40,Fact_Milestone!$B:$B,$AL40,Fact_Milestone!$I:$I,"No")&gt;0,"No",IF(COUNTIFS(Fact_Milestone!$A:$A,$B40,Fact_Milestone!$B:$B,$AL40,Fact_Milestone!$I:$I,"Yes")&gt;0,"Yes",""))))</f>
        <v/>
      </c>
      <c r="BC40" s="45" t="str">
        <f aca="false">IF($A40="","",IF(OR($L40="",$W40=""),"",IF(COUNTIFS($L:$L,$L40,$B:$B,$B40,$W:$W,"&lt;"&amp;$W40)=0,"",_xlfn.MAXIFS($W:$W,$L:$L,$L40,$B:$B,$B40,$W:$W,"&lt;"&amp;$W40))))</f>
        <v/>
      </c>
      <c r="BD40" s="39" t="str">
        <f aca="false">IF($A40="","",IF($AC40="","",IF(OR($L40="",$AC40=0),0,MIN($AC40,ROUND(ROUND(1440*SUMPRODUCT(($L$2:INDEX($L:$L,COUNTA($C:$C))=$L40)*($B$2:INDEX($B:$B,COUNTA($C:$C))=$B40)*(ROW($L$2:INDEX($L:$L,COUNTA($C:$C)))&lt;&gt;ROW())*((((($W40+$BT$2:INDEX($BT:$BT,COUNTA($C:$C))-ABS($W40-$BT$2:INDEX($BT:$BT,COUNTA($C:$C))))/2)-(($U40+$BS$2:INDEX($BS:$BS,COUNTA($C:$C))+ABS($U40-$BS$2:INDEX($BS:$BS,COUNTA($C:$C))))/2))+ABS(((($W40+$BT$2:INDEX($BT:$BT,COUNTA($C:$C))-ABS($W40-$BT$2:INDEX($BT:$BT,COUNTA($C:$C))))/2)-(($U40+$BS$2:INDEX($BS:$BS,COUNTA($C:$C))+ABS($U40-$BS$2:INDEX($BS:$BS,COUNTA($C:$C))))/2))))/2)),4),0)))))</f>
        <v/>
      </c>
      <c r="BE40" s="39" t="str">
        <f aca="false">IF($A40="","",IF($AC40="","",ROUND(MIN($AC40-$BD40,N($R40)),0)))</f>
        <v/>
      </c>
      <c r="BF40" s="10" t="str">
        <f aca="false">IF($A40="","",IFERROR(VLOOKUP($C40,Dim_Fund!$A:$BD,56,0),""))</f>
        <v/>
      </c>
      <c r="BG40" s="10" t="str">
        <f aca="false">IF($A40="","",IFERROR(VLOOKUP($C40,Dim_Fund!$A:$BH,60,0),""))</f>
        <v/>
      </c>
      <c r="BH40" s="10" t="str">
        <f aca="false">IF($A40="","",IF($AI40&lt;&gt;"Yes","Not breached",IF($AM40="Yes","Pricing late",IF($BG40="Thin custody slack","Thin custody slack",IF($BF40="Yes","Broker-dependent","None of these")))))</f>
        <v/>
      </c>
      <c r="BI40" s="23" t="str">
        <f aca="false">IF($A40="","",IFERROR(IF(VLOOKUP($C40,Dim_Fund!$A:$AI,35,0)&gt;0,VLOOKUP($C40,Dim_Fund!$A:$AI,35,0),""),""))</f>
        <v/>
      </c>
      <c r="BJ40" s="10" t="str">
        <f aca="false">IF($A40="","",$C40&amp;IF($E40="Client","*",""))</f>
        <v/>
      </c>
      <c r="BK40" s="39" t="str">
        <f aca="false">IF($A40="","",IFERROR(ROUND(($Y40-$X40)*1440,0),""))</f>
        <v/>
      </c>
      <c r="BL40" s="39" t="str">
        <f aca="false">IF($A40="","",IF($AH40="","",-$AH40))</f>
        <v/>
      </c>
      <c r="BM40" s="46" t="str">
        <f aca="false">IF($A40="","",IF($AQ40="","",IF($AP40="",$AQ40,MIN($AP40,$AQ40))))</f>
        <v/>
      </c>
      <c r="BN40" s="46" t="str">
        <f aca="false">IF($A40="","",IF($BM40="","",ROUND(N($AC40)/60,4)))</f>
        <v/>
      </c>
      <c r="BO40" s="46" t="str">
        <f aca="false">IF($A40="","",IF(OR($BM40="",$AD40=""),"",ROUND($AD40/60,4)))</f>
        <v/>
      </c>
      <c r="BP40" s="46" t="str">
        <f aca="false">IF($A40="","",IF($BM40="","",ROUND(N($AE40)/60,4)))</f>
        <v/>
      </c>
      <c r="BQ40" s="46" t="str">
        <f aca="false">IF($A40="","",IF(OR($BM40="",$AF40=""),"",ROUND($AF40/60,4)))</f>
        <v/>
      </c>
      <c r="BR40" s="39" t="str">
        <f aca="false">IF($A40="","",IF($AC40="","",$AC40-$BD40-$BE40))</f>
        <v/>
      </c>
      <c r="BS40" s="45" t="str">
        <f aca="false">IF($A40="","",IF(AND(ISNUMBER($Z40),ISNUMBER($W40)),$Z40,0))</f>
        <v/>
      </c>
      <c r="BT40" s="45" t="str">
        <f aca="false">IF($A40="","",IF(ISNUMBER($W40),$W40,0))</f>
        <v/>
      </c>
      <c r="BU40" s="23" t="str">
        <f aca="false">IF($A40="","",IF(ISNUMBER($W40),ROUND(($W40-$B40)*24,4),""))</f>
        <v/>
      </c>
      <c r="BV40" s="23" t="str">
        <f aca="false">IF($A40="","",IF(ISNUMBER($X40),ROUND(($X40-$B40)*24,4),""))</f>
        <v/>
      </c>
      <c r="BW40" s="10" t="str">
        <f aca="false">IF($A40="","",IF(NOT(ISNUMBER($W40)),"Missing Calculated",IF(NOT(ISNUMBER($X40)),IF($E40="Client","Missing FA signed off","Missing Controlled"),IF($X40&lt;$W40,"End before start","OK"))))</f>
        <v/>
      </c>
      <c r="BX40" s="23" t="str">
        <f aca="false">IF($A40="","",IF(NOT(ISNUMBER($Z40)),"",ROUND((IF(ISNUMBER($U40),MIN($U40,$Z40),$Z40)-$B40)*24,4)))</f>
        <v/>
      </c>
      <c r="BY40" s="23" t="str">
        <f aca="false">IF($A40="","",IF(ISNUMBER($Z40),ROUND(($Z40-$B40)*24,4),""))</f>
        <v/>
      </c>
      <c r="BZ40" s="23" t="str">
        <f aca="false">IF($A40="","",IF(AND(ISNUMBER($W40),ISNUMBER($S40)),ROUND(($W40+$S40/1440-$B40)*24,4),""))</f>
        <v/>
      </c>
    </row>
    <row r="41" customFormat="false" ht="15" hidden="false" customHeight="true" outlineLevel="0" collapsed="false">
      <c r="A41" s="47"/>
      <c r="B41" s="47"/>
      <c r="D41" s="4" t="str">
        <f aca="false">IF($A41="","",$B41-$A41)</f>
        <v/>
      </c>
      <c r="E41" s="4" t="str">
        <f aca="false">IF($A41="","",IFERROR(VLOOKUP($C41,Dim_Fund!$A:$X,24,0),""))</f>
        <v/>
      </c>
      <c r="F41" s="37" t="str">
        <f aca="false">IF($A41="","",IF(COUNTIFS(Status_Log!$A:$A,$A41,Status_Log!$B:$B,$B41,Status_Log!$C:$C,$C41,Status_Log!$D:$D,"Changed to the status of Calculated")=0,"",_xlfn.MINIFS(Status_Log!$E:$E,Status_Log!$A:$A,$A41,Status_Log!$B:$B,$B41,Status_Log!$C:$C,$C41,Status_Log!$D:$D,"Changed to the status of Calculated")))</f>
        <v/>
      </c>
      <c r="G41" s="37" t="str">
        <f aca="false">IF($A41="","",IF(COUNTIFS(Status_Log!$A:$A,$A41,Status_Log!$B:$B,$B41,Status_Log!$C:$C,$C41,Status_Log!$D:$D,"Changed to the status of Controlled")=0,"",_xlfn.MAXIFS(Status_Log!$E:$E,Status_Log!$A:$A,$A41,Status_Log!$B:$B,$B41,Status_Log!$C:$C,$C41,Status_Log!$D:$D,"Changed to the status of Controlled")))</f>
        <v/>
      </c>
      <c r="H41" s="37" t="str">
        <f aca="false">IF($A41="","",IF(COUNTIFS(Status_Log!$A:$A,$A41,Status_Log!$B:$B,$B41,Status_Log!$C:$C,$C41,Status_Log!$D:$D,"Changed to the status of Fund accounting signed off")=0,"",_xlfn.MAXIFS(Status_Log!$E:$E,Status_Log!$A:$A,$A41,Status_Log!$B:$B,$B41,Status_Log!$C:$C,$C41,Status_Log!$D:$D,"Changed to the status of Fund accounting signed off")))</f>
        <v/>
      </c>
      <c r="I41" s="37" t="str">
        <f aca="false">IF($A41="","",IF(COUNTIFS(Status_Log!$A:$A,$A41,Status_Log!$B:$B,$B41,Status_Log!$C:$C,$C41,Status_Log!$D:$D,"Changed to the status of signed off")=0,"",_xlfn.MAXIFS(Status_Log!$E:$E,Status_Log!$A:$A,$A41,Status_Log!$B:$B,$B41,Status_Log!$C:$C,$C41,Status_Log!$D:$D,"Changed to the status of signed off")))</f>
        <v/>
      </c>
      <c r="J41" s="4" t="str">
        <f aca="false">IF($A41="","",COUNTIFS(Status_Log!$A:$A,$A41,Status_Log!$B:$B,$B41,Status_Log!$C:$C,$C41,Status_Log!$D:$D,"Changed to the status of Calculated"))</f>
        <v/>
      </c>
      <c r="K41" s="38" t="str">
        <f aca="false">IF($A41="","",IF(J41&lt;=1,0,ROUND((_xlfn.MAXIFS(Status_Log!$E:$E,Status_Log!$A:$A,$A41,Status_Log!$B:$B,$B41,Status_Log!$C:$C,$C41,Status_Log!$D:$D,"Changed to the status of Calculated")-F41)*1440,0)))</f>
        <v/>
      </c>
      <c r="L41" s="4" t="str">
        <f aca="false">IF($A41="","",IFERROR(INDEX(Status_Log!$F:$F,MATCH($A41&amp;"|"&amp;$B41&amp;"|"&amp;$C41&amp;"|Changed to the status of Calculated|"&amp;TEXT(_xlfn.MAXIFS(Status_Log!$E:$E,Status_Log!$A:$A,$A41,Status_Log!$B:$B,$B41,Status_Log!$C:$C,$C41,Status_Log!$D:$D,"Changed to the status of Calculated"),"0.000000"),Status_Log!$H:$H,0)),""))</f>
        <v/>
      </c>
      <c r="M41" s="4" t="str">
        <f aca="false">IF($A41="","",IF(E41="Client","n/a — no control step",IFERROR(INDEX(Status_Log!$F:$F,MATCH($A41&amp;"|"&amp;$B41&amp;"|"&amp;$C41&amp;"|Changed to the status of Controlled|"&amp;TEXT(_xlfn.MAXIFS(Status_Log!$E:$E,Status_Log!$A:$A,$A41,Status_Log!$B:$B,$B41,Status_Log!$C:$C,$C41,Status_Log!$D:$D,"Changed to the status of Controlled"),"0.000000"),Status_Log!$H:$H,0)),"")))</f>
        <v/>
      </c>
      <c r="N41" s="4" t="str">
        <f aca="false">IF($A41="","",IFERROR(VLOOKUP($C41,Dim_Fund!$A:$G,7,0),""))</f>
        <v/>
      </c>
      <c r="O41" s="4" t="str">
        <f aca="false">IF($A41="","",IF(L41=N41,"No","Yes"))</f>
        <v/>
      </c>
      <c r="P41" s="4" t="str">
        <f aca="false">IF($A41="","",IF(E41="Client","n/a",IF(L41=M41,"YES — four-eyes breach","No")))</f>
        <v/>
      </c>
      <c r="Q41" s="38" t="str">
        <f aca="false">IF($A41="","",IFERROR(VLOOKUP($C41,Dim_Fund!$A:$AB,28,0),""))</f>
        <v/>
      </c>
      <c r="R41" s="38" t="str">
        <f aca="false">IF($A41="","",IFERROR(VLOOKUP($C41,Dim_Fund!$A:$AC,29,0),""))</f>
        <v/>
      </c>
      <c r="S41" s="38" t="str">
        <f aca="false">IF($A41="","",IFERROR(VLOOKUP($C41,Dim_Fund!$A:$AD,30,0),""))</f>
        <v/>
      </c>
      <c r="T41" s="38" t="str">
        <f aca="false">IF($A41="","",IFERROR(VLOOKUP($C41,Dim_Fund!$A:$AL,38,0),""))</f>
        <v/>
      </c>
      <c r="U41" s="37" t="str">
        <f aca="false">IF($A41="","",IF(AL41="","",IFERROR(IF(COUNTIFS(Fact_Milestone!$A:$A,$B41,Fact_Milestone!$B:$B,AL41)=0,"",_xlfn.MAXIFS(Fact_Milestone!$C:$C,Fact_Milestone!$A:$A,$B41,Fact_Milestone!$B:$B,AL41)),"")))</f>
        <v/>
      </c>
      <c r="V41" s="37" t="str">
        <f aca="false">IF($A41="","",IFERROR(IF(VLOOKUP($C41,Dim_Fund!$A:$AI,35,0)&gt;0,$B41+VLOOKUP($C41,Dim_Fund!$A:$AI,35,0)/24,""),""))</f>
        <v/>
      </c>
      <c r="W41" s="37" t="str">
        <f aca="false">IF($A41="","",F41)</f>
        <v/>
      </c>
      <c r="X41" s="37" t="str">
        <f aca="false">IF($A41="","",IF(E41="Client",H41,G41))</f>
        <v/>
      </c>
      <c r="Y41" s="37" t="str">
        <f aca="false">IF($A41="","",I41)</f>
        <v/>
      </c>
      <c r="Z41" s="37" t="str">
        <f aca="false">IF($A41="","",IFERROR(W41-R41/1440,""))</f>
        <v/>
      </c>
      <c r="AA41" s="38" t="str">
        <f aca="false">IF($A41="","",IF(OR(U41="",V41=""),"",ROUND((V41-U41)*1440,0)))</f>
        <v/>
      </c>
      <c r="AB41" s="38" t="str">
        <f aca="false">IF($A41="","",IF(U41="","",ROUND((W41-U41)*1440,0)))</f>
        <v/>
      </c>
      <c r="AC41" s="38" t="str">
        <f aca="false">IF($A41="","",IF(AB41="","",MAX(0,AB41)))</f>
        <v/>
      </c>
      <c r="AD41" s="38" t="str">
        <f aca="false">IF($A41="","",IFERROR(ROUND((X41-W41)*1440,0),""))</f>
        <v/>
      </c>
      <c r="AE41" s="38" t="str">
        <f aca="false">IF($A41="","",IF(E41="Client","n/a",IFERROR(ROUND((H41-G41)*1440,0),"")))</f>
        <v/>
      </c>
      <c r="AF41" s="38" t="str">
        <f aca="false">IF($A41="","",IFERROR(ROUND((Y41-H41)*1440,0),""))</f>
        <v/>
      </c>
      <c r="AG41" s="38" t="str">
        <f aca="false">IF($A41="","",IFERROR(ROUND((H41-F41)*1440,0),""))</f>
        <v/>
      </c>
      <c r="AH41" s="38" t="str">
        <f aca="false">IF($A41="","",IFERROR(ROUND((Y41-V41)*1440,0),""))</f>
        <v/>
      </c>
      <c r="AI41" s="4" t="str">
        <f aca="false">IF($A41="","",IF(AH41="","",IF(AH41&gt;0,"Yes","No")))</f>
        <v/>
      </c>
      <c r="AJ41" s="4" t="str">
        <f aca="false">IF($A41="","",IF(AI41&lt;&gt;"Yes","On time",IF(N(AC41)&gt;=MAX(N(AF41),N(K41)),"Wait for analyst",IF(N(AF41)&gt;=N(K41),"External sign-off","Rework"))))</f>
        <v/>
      </c>
      <c r="AK41" s="4" t="str">
        <f aca="false">IF($A41="","",IF(OR(F41="",Y41="",ISNA(MATCH(L41,Dim_Analyst!$A:$A,0))),"CHECK","OK"))</f>
        <v/>
      </c>
      <c r="AL41" s="4" t="str">
        <f aca="false">IF($A41="","",IFERROR(VLOOKUP($C41,Dim_Fund!$A:$U,21,0),""))</f>
        <v/>
      </c>
      <c r="AM41" s="4" t="str">
        <f aca="false">IF($A41="","",IF($U41="","",IF($U41&gt;$B41+IFERROR(VLOOKUP($C41,Dim_Fund!$A:$AH,34,0),0)/24,"Yes","No")))</f>
        <v/>
      </c>
      <c r="AN41" s="22" t="str">
        <f aca="false">IF($A41="","",IFERROR(VLOOKUP($C41,Dim_Fund!$A:$AH,34,0),""))</f>
        <v/>
      </c>
      <c r="AO41" s="22" t="str">
        <f aca="false">IF($A41="","",IF($AL41="","",IFERROR(FLOOR(IF(COUNTIFS(Fact_Milestone!$A:$A,$B41,Fact_Milestone!$B:$B,$AL41,Fact_Milestone!$F:$F,"&gt;0")&gt;0,_xlfn.MINIFS(Fact_Milestone!$F:$F,Fact_Milestone!$A:$A,$B41,Fact_Milestone!$B:$B,$AL41,Fact_Milestone!$F:$F,"&gt;0"),VLOOKUP($AL41,Dim_TOP!$A:$E,5,0)),0.5),"")))</f>
        <v/>
      </c>
      <c r="AP41" s="22" t="str">
        <f aca="false">IF($A41="","",IF($U41="","",ROUND(($U41-INT($U41))*24,4)))</f>
        <v/>
      </c>
      <c r="AQ41" s="22" t="str">
        <f aca="false">IF($A41="","",IF($W41="","",ROUND(($W41-INT($W41))*24,4)))</f>
        <v/>
      </c>
      <c r="AR41" s="22" t="str">
        <f aca="false">IF($A41="","",IF($X41="","",ROUND(($X41-INT($X41))*24,4)))</f>
        <v/>
      </c>
      <c r="AS41" s="38" t="str">
        <f aca="false">IF($A41="","",IF(OR($AN41="",$V41="",$S41="",$T41=""),"",ROUND(($V41-($B41+$AN41/24))*1440-$S41-$T41,0)))</f>
        <v/>
      </c>
      <c r="AT41" s="38" t="str">
        <f aca="false">IF($A41="","",IF(OR($AN41="",$U41=""),"",ROUND(($U41-($B41+$AN41/24))*1440,0)))</f>
        <v/>
      </c>
      <c r="AU41" s="38" t="str">
        <f aca="false">IF($A41="","",IF(OR($AD41="",$S41=""),"",ROUND($AD41-$S41,0)))</f>
        <v/>
      </c>
      <c r="AV41" s="38" t="str">
        <f aca="false">IF($A41="","",N($AE41))</f>
        <v/>
      </c>
      <c r="AW41" s="38" t="str">
        <f aca="false">IF($A41="","",IF(OR($AF41="",$T41=""),"",$AF41-$T41))</f>
        <v/>
      </c>
      <c r="AX41" s="38" t="str">
        <f aca="false">IF($A41="","",IF(COUNT($AT41,$AB41,$AU41,$AW41,$AS41,$AH41)&lt;6,"",ROUND($AT41+$AB41+$AU41+$AV41+$AW41-$AS41-$AH41,0)))</f>
        <v/>
      </c>
      <c r="AY41" s="4" t="str">
        <f aca="false">IF($A41="","",IF($AX41="","No",IF(ABS($AX41)&lt;=2,"Yes","No")))</f>
        <v/>
      </c>
      <c r="AZ41" s="4" t="str">
        <f aca="false">IF($A41="","",IF($AI41&lt;&gt;"Yes","n/a",IF(OR($AA41="",$S41="",$T41=""),"Unknown",IF($AA41&lt;$S41+$T41,"Lost on arrival","Lost after arrival"))))</f>
        <v/>
      </c>
      <c r="BA41" s="10" t="str">
        <f aca="false">IF($A41="","",IFERROR(VLOOKUP($C41,Dim_Fund!$A:$D,4,0),""))</f>
        <v/>
      </c>
      <c r="BB41" s="10" t="str">
        <f aca="false">IF($A41="","",IF($AL41="","",IF(COUNTIFS(Fact_Milestone!$A:$A,$B41,Fact_Milestone!$B:$B,$AL41,Fact_Milestone!$I:$I,"No")&gt;0,"No",IF(COUNTIFS(Fact_Milestone!$A:$A,$B41,Fact_Milestone!$B:$B,$AL41,Fact_Milestone!$I:$I,"Yes")&gt;0,"Yes",""))))</f>
        <v/>
      </c>
      <c r="BC41" s="45" t="str">
        <f aca="false">IF($A41="","",IF(OR($L41="",$W41=""),"",IF(COUNTIFS($L:$L,$L41,$B:$B,$B41,$W:$W,"&lt;"&amp;$W41)=0,"",_xlfn.MAXIFS($W:$W,$L:$L,$L41,$B:$B,$B41,$W:$W,"&lt;"&amp;$W41))))</f>
        <v/>
      </c>
      <c r="BD41" s="39" t="str">
        <f aca="false">IF($A41="","",IF($AC41="","",IF(OR($L41="",$AC41=0),0,MIN($AC41,ROUND(ROUND(1440*SUMPRODUCT(($L$2:INDEX($L:$L,COUNTA($C:$C))=$L41)*($B$2:INDEX($B:$B,COUNTA($C:$C))=$B41)*(ROW($L$2:INDEX($L:$L,COUNTA($C:$C)))&lt;&gt;ROW())*((((($W41+$BT$2:INDEX($BT:$BT,COUNTA($C:$C))-ABS($W41-$BT$2:INDEX($BT:$BT,COUNTA($C:$C))))/2)-(($U41+$BS$2:INDEX($BS:$BS,COUNTA($C:$C))+ABS($U41-$BS$2:INDEX($BS:$BS,COUNTA($C:$C))))/2))+ABS(((($W41+$BT$2:INDEX($BT:$BT,COUNTA($C:$C))-ABS($W41-$BT$2:INDEX($BT:$BT,COUNTA($C:$C))))/2)-(($U41+$BS$2:INDEX($BS:$BS,COUNTA($C:$C))+ABS($U41-$BS$2:INDEX($BS:$BS,COUNTA($C:$C))))/2))))/2)),4),0)))))</f>
        <v/>
      </c>
      <c r="BE41" s="39" t="str">
        <f aca="false">IF($A41="","",IF($AC41="","",ROUND(MIN($AC41-$BD41,N($R41)),0)))</f>
        <v/>
      </c>
      <c r="BF41" s="10" t="str">
        <f aca="false">IF($A41="","",IFERROR(VLOOKUP($C41,Dim_Fund!$A:$BD,56,0),""))</f>
        <v/>
      </c>
      <c r="BG41" s="10" t="str">
        <f aca="false">IF($A41="","",IFERROR(VLOOKUP($C41,Dim_Fund!$A:$BH,60,0),""))</f>
        <v/>
      </c>
      <c r="BH41" s="10" t="str">
        <f aca="false">IF($A41="","",IF($AI41&lt;&gt;"Yes","Not breached",IF($AM41="Yes","Pricing late",IF($BG41="Thin custody slack","Thin custody slack",IF($BF41="Yes","Broker-dependent","None of these")))))</f>
        <v/>
      </c>
      <c r="BI41" s="23" t="str">
        <f aca="false">IF($A41="","",IFERROR(IF(VLOOKUP($C41,Dim_Fund!$A:$AI,35,0)&gt;0,VLOOKUP($C41,Dim_Fund!$A:$AI,35,0),""),""))</f>
        <v/>
      </c>
      <c r="BJ41" s="10" t="str">
        <f aca="false">IF($A41="","",$C41&amp;IF($E41="Client","*",""))</f>
        <v/>
      </c>
      <c r="BK41" s="39" t="str">
        <f aca="false">IF($A41="","",IFERROR(ROUND(($Y41-$X41)*1440,0),""))</f>
        <v/>
      </c>
      <c r="BL41" s="39" t="str">
        <f aca="false">IF($A41="","",IF($AH41="","",-$AH41))</f>
        <v/>
      </c>
      <c r="BM41" s="46" t="str">
        <f aca="false">IF($A41="","",IF($AQ41="","",IF($AP41="",$AQ41,MIN($AP41,$AQ41))))</f>
        <v/>
      </c>
      <c r="BN41" s="46" t="str">
        <f aca="false">IF($A41="","",IF($BM41="","",ROUND(N($AC41)/60,4)))</f>
        <v/>
      </c>
      <c r="BO41" s="46" t="str">
        <f aca="false">IF($A41="","",IF(OR($BM41="",$AD41=""),"",ROUND($AD41/60,4)))</f>
        <v/>
      </c>
      <c r="BP41" s="46" t="str">
        <f aca="false">IF($A41="","",IF($BM41="","",ROUND(N($AE41)/60,4)))</f>
        <v/>
      </c>
      <c r="BQ41" s="46" t="str">
        <f aca="false">IF($A41="","",IF(OR($BM41="",$AF41=""),"",ROUND($AF41/60,4)))</f>
        <v/>
      </c>
      <c r="BR41" s="39" t="str">
        <f aca="false">IF($A41="","",IF($AC41="","",$AC41-$BD41-$BE41))</f>
        <v/>
      </c>
      <c r="BS41" s="45" t="str">
        <f aca="false">IF($A41="","",IF(AND(ISNUMBER($Z41),ISNUMBER($W41)),$Z41,0))</f>
        <v/>
      </c>
      <c r="BT41" s="45" t="str">
        <f aca="false">IF($A41="","",IF(ISNUMBER($W41),$W41,0))</f>
        <v/>
      </c>
      <c r="BU41" s="23" t="str">
        <f aca="false">IF($A41="","",IF(ISNUMBER($W41),ROUND(($W41-$B41)*24,4),""))</f>
        <v/>
      </c>
      <c r="BV41" s="23" t="str">
        <f aca="false">IF($A41="","",IF(ISNUMBER($X41),ROUND(($X41-$B41)*24,4),""))</f>
        <v/>
      </c>
      <c r="BW41" s="10" t="str">
        <f aca="false">IF($A41="","",IF(NOT(ISNUMBER($W41)),"Missing Calculated",IF(NOT(ISNUMBER($X41)),IF($E41="Client","Missing FA signed off","Missing Controlled"),IF($X41&lt;$W41,"End before start","OK"))))</f>
        <v/>
      </c>
      <c r="BX41" s="23" t="str">
        <f aca="false">IF($A41="","",IF(NOT(ISNUMBER($Z41)),"",ROUND((IF(ISNUMBER($U41),MIN($U41,$Z41),$Z41)-$B41)*24,4)))</f>
        <v/>
      </c>
      <c r="BY41" s="23" t="str">
        <f aca="false">IF($A41="","",IF(ISNUMBER($Z41),ROUND(($Z41-$B41)*24,4),""))</f>
        <v/>
      </c>
      <c r="BZ41" s="23" t="str">
        <f aca="false">IF($A41="","",IF(AND(ISNUMBER($W41),ISNUMBER($S41)),ROUND(($W41+$S41/1440-$B41)*24,4),""))</f>
        <v/>
      </c>
    </row>
    <row r="42" customFormat="false" ht="15" hidden="false" customHeight="true" outlineLevel="0" collapsed="false">
      <c r="A42" s="47"/>
      <c r="B42" s="47"/>
      <c r="D42" s="4" t="str">
        <f aca="false">IF($A42="","",$B42-$A42)</f>
        <v/>
      </c>
      <c r="E42" s="4" t="str">
        <f aca="false">IF($A42="","",IFERROR(VLOOKUP($C42,Dim_Fund!$A:$X,24,0),""))</f>
        <v/>
      </c>
      <c r="F42" s="37" t="str">
        <f aca="false">IF($A42="","",IF(COUNTIFS(Status_Log!$A:$A,$A42,Status_Log!$B:$B,$B42,Status_Log!$C:$C,$C42,Status_Log!$D:$D,"Changed to the status of Calculated")=0,"",_xlfn.MINIFS(Status_Log!$E:$E,Status_Log!$A:$A,$A42,Status_Log!$B:$B,$B42,Status_Log!$C:$C,$C42,Status_Log!$D:$D,"Changed to the status of Calculated")))</f>
        <v/>
      </c>
      <c r="G42" s="37" t="str">
        <f aca="false">IF($A42="","",IF(COUNTIFS(Status_Log!$A:$A,$A42,Status_Log!$B:$B,$B42,Status_Log!$C:$C,$C42,Status_Log!$D:$D,"Changed to the status of Controlled")=0,"",_xlfn.MAXIFS(Status_Log!$E:$E,Status_Log!$A:$A,$A42,Status_Log!$B:$B,$B42,Status_Log!$C:$C,$C42,Status_Log!$D:$D,"Changed to the status of Controlled")))</f>
        <v/>
      </c>
      <c r="H42" s="37" t="str">
        <f aca="false">IF($A42="","",IF(COUNTIFS(Status_Log!$A:$A,$A42,Status_Log!$B:$B,$B42,Status_Log!$C:$C,$C42,Status_Log!$D:$D,"Changed to the status of Fund accounting signed off")=0,"",_xlfn.MAXIFS(Status_Log!$E:$E,Status_Log!$A:$A,$A42,Status_Log!$B:$B,$B42,Status_Log!$C:$C,$C42,Status_Log!$D:$D,"Changed to the status of Fund accounting signed off")))</f>
        <v/>
      </c>
      <c r="I42" s="37" t="str">
        <f aca="false">IF($A42="","",IF(COUNTIFS(Status_Log!$A:$A,$A42,Status_Log!$B:$B,$B42,Status_Log!$C:$C,$C42,Status_Log!$D:$D,"Changed to the status of signed off")=0,"",_xlfn.MAXIFS(Status_Log!$E:$E,Status_Log!$A:$A,$A42,Status_Log!$B:$B,$B42,Status_Log!$C:$C,$C42,Status_Log!$D:$D,"Changed to the status of signed off")))</f>
        <v/>
      </c>
      <c r="J42" s="4" t="str">
        <f aca="false">IF($A42="","",COUNTIFS(Status_Log!$A:$A,$A42,Status_Log!$B:$B,$B42,Status_Log!$C:$C,$C42,Status_Log!$D:$D,"Changed to the status of Calculated"))</f>
        <v/>
      </c>
      <c r="K42" s="38" t="str">
        <f aca="false">IF($A42="","",IF(J42&lt;=1,0,ROUND((_xlfn.MAXIFS(Status_Log!$E:$E,Status_Log!$A:$A,$A42,Status_Log!$B:$B,$B42,Status_Log!$C:$C,$C42,Status_Log!$D:$D,"Changed to the status of Calculated")-F42)*1440,0)))</f>
        <v/>
      </c>
      <c r="L42" s="4" t="str">
        <f aca="false">IF($A42="","",IFERROR(INDEX(Status_Log!$F:$F,MATCH($A42&amp;"|"&amp;$B42&amp;"|"&amp;$C42&amp;"|Changed to the status of Calculated|"&amp;TEXT(_xlfn.MAXIFS(Status_Log!$E:$E,Status_Log!$A:$A,$A42,Status_Log!$B:$B,$B42,Status_Log!$C:$C,$C42,Status_Log!$D:$D,"Changed to the status of Calculated"),"0.000000"),Status_Log!$H:$H,0)),""))</f>
        <v/>
      </c>
      <c r="M42" s="4" t="str">
        <f aca="false">IF($A42="","",IF(E42="Client","n/a — no control step",IFERROR(INDEX(Status_Log!$F:$F,MATCH($A42&amp;"|"&amp;$B42&amp;"|"&amp;$C42&amp;"|Changed to the status of Controlled|"&amp;TEXT(_xlfn.MAXIFS(Status_Log!$E:$E,Status_Log!$A:$A,$A42,Status_Log!$B:$B,$B42,Status_Log!$C:$C,$C42,Status_Log!$D:$D,"Changed to the status of Controlled"),"0.000000"),Status_Log!$H:$H,0)),"")))</f>
        <v/>
      </c>
      <c r="N42" s="4" t="str">
        <f aca="false">IF($A42="","",IFERROR(VLOOKUP($C42,Dim_Fund!$A:$G,7,0),""))</f>
        <v/>
      </c>
      <c r="O42" s="4" t="str">
        <f aca="false">IF($A42="","",IF(L42=N42,"No","Yes"))</f>
        <v/>
      </c>
      <c r="P42" s="4" t="str">
        <f aca="false">IF($A42="","",IF(E42="Client","n/a",IF(L42=M42,"YES — four-eyes breach","No")))</f>
        <v/>
      </c>
      <c r="Q42" s="38" t="str">
        <f aca="false">IF($A42="","",IFERROR(VLOOKUP($C42,Dim_Fund!$A:$AB,28,0),""))</f>
        <v/>
      </c>
      <c r="R42" s="38" t="str">
        <f aca="false">IF($A42="","",IFERROR(VLOOKUP($C42,Dim_Fund!$A:$AC,29,0),""))</f>
        <v/>
      </c>
      <c r="S42" s="38" t="str">
        <f aca="false">IF($A42="","",IFERROR(VLOOKUP($C42,Dim_Fund!$A:$AD,30,0),""))</f>
        <v/>
      </c>
      <c r="T42" s="38" t="str">
        <f aca="false">IF($A42="","",IFERROR(VLOOKUP($C42,Dim_Fund!$A:$AL,38,0),""))</f>
        <v/>
      </c>
      <c r="U42" s="37" t="str">
        <f aca="false">IF($A42="","",IF(AL42="","",IFERROR(IF(COUNTIFS(Fact_Milestone!$A:$A,$B42,Fact_Milestone!$B:$B,AL42)=0,"",_xlfn.MAXIFS(Fact_Milestone!$C:$C,Fact_Milestone!$A:$A,$B42,Fact_Milestone!$B:$B,AL42)),"")))</f>
        <v/>
      </c>
      <c r="V42" s="37" t="str">
        <f aca="false">IF($A42="","",IFERROR(IF(VLOOKUP($C42,Dim_Fund!$A:$AI,35,0)&gt;0,$B42+VLOOKUP($C42,Dim_Fund!$A:$AI,35,0)/24,""),""))</f>
        <v/>
      </c>
      <c r="W42" s="37" t="str">
        <f aca="false">IF($A42="","",F42)</f>
        <v/>
      </c>
      <c r="X42" s="37" t="str">
        <f aca="false">IF($A42="","",IF(E42="Client",H42,G42))</f>
        <v/>
      </c>
      <c r="Y42" s="37" t="str">
        <f aca="false">IF($A42="","",I42)</f>
        <v/>
      </c>
      <c r="Z42" s="37" t="str">
        <f aca="false">IF($A42="","",IFERROR(W42-R42/1440,""))</f>
        <v/>
      </c>
      <c r="AA42" s="38" t="str">
        <f aca="false">IF($A42="","",IF(OR(U42="",V42=""),"",ROUND((V42-U42)*1440,0)))</f>
        <v/>
      </c>
      <c r="AB42" s="38" t="str">
        <f aca="false">IF($A42="","",IF(U42="","",ROUND((W42-U42)*1440,0)))</f>
        <v/>
      </c>
      <c r="AC42" s="38" t="str">
        <f aca="false">IF($A42="","",IF(AB42="","",MAX(0,AB42)))</f>
        <v/>
      </c>
      <c r="AD42" s="38" t="str">
        <f aca="false">IF($A42="","",IFERROR(ROUND((X42-W42)*1440,0),""))</f>
        <v/>
      </c>
      <c r="AE42" s="38" t="str">
        <f aca="false">IF($A42="","",IF(E42="Client","n/a",IFERROR(ROUND((H42-G42)*1440,0),"")))</f>
        <v/>
      </c>
      <c r="AF42" s="38" t="str">
        <f aca="false">IF($A42="","",IFERROR(ROUND((Y42-H42)*1440,0),""))</f>
        <v/>
      </c>
      <c r="AG42" s="38" t="str">
        <f aca="false">IF($A42="","",IFERROR(ROUND((H42-F42)*1440,0),""))</f>
        <v/>
      </c>
      <c r="AH42" s="38" t="str">
        <f aca="false">IF($A42="","",IFERROR(ROUND((Y42-V42)*1440,0),""))</f>
        <v/>
      </c>
      <c r="AI42" s="4" t="str">
        <f aca="false">IF($A42="","",IF(AH42="","",IF(AH42&gt;0,"Yes","No")))</f>
        <v/>
      </c>
      <c r="AJ42" s="4" t="str">
        <f aca="false">IF($A42="","",IF(AI42&lt;&gt;"Yes","On time",IF(N(AC42)&gt;=MAX(N(AF42),N(K42)),"Wait for analyst",IF(N(AF42)&gt;=N(K42),"External sign-off","Rework"))))</f>
        <v/>
      </c>
      <c r="AK42" s="4" t="str">
        <f aca="false">IF($A42="","",IF(OR(F42="",Y42="",ISNA(MATCH(L42,Dim_Analyst!$A:$A,0))),"CHECK","OK"))</f>
        <v/>
      </c>
      <c r="AL42" s="4" t="str">
        <f aca="false">IF($A42="","",IFERROR(VLOOKUP($C42,Dim_Fund!$A:$U,21,0),""))</f>
        <v/>
      </c>
      <c r="AM42" s="4" t="str">
        <f aca="false">IF($A42="","",IF($U42="","",IF($U42&gt;$B42+IFERROR(VLOOKUP($C42,Dim_Fund!$A:$AH,34,0),0)/24,"Yes","No")))</f>
        <v/>
      </c>
      <c r="AN42" s="22" t="str">
        <f aca="false">IF($A42="","",IFERROR(VLOOKUP($C42,Dim_Fund!$A:$AH,34,0),""))</f>
        <v/>
      </c>
      <c r="AO42" s="22" t="str">
        <f aca="false">IF($A42="","",IF($AL42="","",IFERROR(FLOOR(IF(COUNTIFS(Fact_Milestone!$A:$A,$B42,Fact_Milestone!$B:$B,$AL42,Fact_Milestone!$F:$F,"&gt;0")&gt;0,_xlfn.MINIFS(Fact_Milestone!$F:$F,Fact_Milestone!$A:$A,$B42,Fact_Milestone!$B:$B,$AL42,Fact_Milestone!$F:$F,"&gt;0"),VLOOKUP($AL42,Dim_TOP!$A:$E,5,0)),0.5),"")))</f>
        <v/>
      </c>
      <c r="AP42" s="22" t="str">
        <f aca="false">IF($A42="","",IF($U42="","",ROUND(($U42-INT($U42))*24,4)))</f>
        <v/>
      </c>
      <c r="AQ42" s="22" t="str">
        <f aca="false">IF($A42="","",IF($W42="","",ROUND(($W42-INT($W42))*24,4)))</f>
        <v/>
      </c>
      <c r="AR42" s="22" t="str">
        <f aca="false">IF($A42="","",IF($X42="","",ROUND(($X42-INT($X42))*24,4)))</f>
        <v/>
      </c>
      <c r="AS42" s="38" t="str">
        <f aca="false">IF($A42="","",IF(OR($AN42="",$V42="",$S42="",$T42=""),"",ROUND(($V42-($B42+$AN42/24))*1440-$S42-$T42,0)))</f>
        <v/>
      </c>
      <c r="AT42" s="38" t="str">
        <f aca="false">IF($A42="","",IF(OR($AN42="",$U42=""),"",ROUND(($U42-($B42+$AN42/24))*1440,0)))</f>
        <v/>
      </c>
      <c r="AU42" s="38" t="str">
        <f aca="false">IF($A42="","",IF(OR($AD42="",$S42=""),"",ROUND($AD42-$S42,0)))</f>
        <v/>
      </c>
      <c r="AV42" s="38" t="str">
        <f aca="false">IF($A42="","",N($AE42))</f>
        <v/>
      </c>
      <c r="AW42" s="38" t="str">
        <f aca="false">IF($A42="","",IF(OR($AF42="",$T42=""),"",$AF42-$T42))</f>
        <v/>
      </c>
      <c r="AX42" s="38" t="str">
        <f aca="false">IF($A42="","",IF(COUNT($AT42,$AB42,$AU42,$AW42,$AS42,$AH42)&lt;6,"",ROUND($AT42+$AB42+$AU42+$AV42+$AW42-$AS42-$AH42,0)))</f>
        <v/>
      </c>
      <c r="AY42" s="4" t="str">
        <f aca="false">IF($A42="","",IF($AX42="","No",IF(ABS($AX42)&lt;=2,"Yes","No")))</f>
        <v/>
      </c>
      <c r="AZ42" s="4" t="str">
        <f aca="false">IF($A42="","",IF($AI42&lt;&gt;"Yes","n/a",IF(OR($AA42="",$S42="",$T42=""),"Unknown",IF($AA42&lt;$S42+$T42,"Lost on arrival","Lost after arrival"))))</f>
        <v/>
      </c>
      <c r="BA42" s="10" t="str">
        <f aca="false">IF($A42="","",IFERROR(VLOOKUP($C42,Dim_Fund!$A:$D,4,0),""))</f>
        <v/>
      </c>
      <c r="BB42" s="10" t="str">
        <f aca="false">IF($A42="","",IF($AL42="","",IF(COUNTIFS(Fact_Milestone!$A:$A,$B42,Fact_Milestone!$B:$B,$AL42,Fact_Milestone!$I:$I,"No")&gt;0,"No",IF(COUNTIFS(Fact_Milestone!$A:$A,$B42,Fact_Milestone!$B:$B,$AL42,Fact_Milestone!$I:$I,"Yes")&gt;0,"Yes",""))))</f>
        <v/>
      </c>
      <c r="BC42" s="45" t="str">
        <f aca="false">IF($A42="","",IF(OR($L42="",$W42=""),"",IF(COUNTIFS($L:$L,$L42,$B:$B,$B42,$W:$W,"&lt;"&amp;$W42)=0,"",_xlfn.MAXIFS($W:$W,$L:$L,$L42,$B:$B,$B42,$W:$W,"&lt;"&amp;$W42))))</f>
        <v/>
      </c>
      <c r="BD42" s="39" t="str">
        <f aca="false">IF($A42="","",IF($AC42="","",IF(OR($L42="",$AC42=0),0,MIN($AC42,ROUND(ROUND(1440*SUMPRODUCT(($L$2:INDEX($L:$L,COUNTA($C:$C))=$L42)*($B$2:INDEX($B:$B,COUNTA($C:$C))=$B42)*(ROW($L$2:INDEX($L:$L,COUNTA($C:$C)))&lt;&gt;ROW())*((((($W42+$BT$2:INDEX($BT:$BT,COUNTA($C:$C))-ABS($W42-$BT$2:INDEX($BT:$BT,COUNTA($C:$C))))/2)-(($U42+$BS$2:INDEX($BS:$BS,COUNTA($C:$C))+ABS($U42-$BS$2:INDEX($BS:$BS,COUNTA($C:$C))))/2))+ABS(((($W42+$BT$2:INDEX($BT:$BT,COUNTA($C:$C))-ABS($W42-$BT$2:INDEX($BT:$BT,COUNTA($C:$C))))/2)-(($U42+$BS$2:INDEX($BS:$BS,COUNTA($C:$C))+ABS($U42-$BS$2:INDEX($BS:$BS,COUNTA($C:$C))))/2))))/2)),4),0)))))</f>
        <v/>
      </c>
      <c r="BE42" s="39" t="str">
        <f aca="false">IF($A42="","",IF($AC42="","",ROUND(MIN($AC42-$BD42,N($R42)),0)))</f>
        <v/>
      </c>
      <c r="BF42" s="10" t="str">
        <f aca="false">IF($A42="","",IFERROR(VLOOKUP($C42,Dim_Fund!$A:$BD,56,0),""))</f>
        <v/>
      </c>
      <c r="BG42" s="10" t="str">
        <f aca="false">IF($A42="","",IFERROR(VLOOKUP($C42,Dim_Fund!$A:$BH,60,0),""))</f>
        <v/>
      </c>
      <c r="BH42" s="10" t="str">
        <f aca="false">IF($A42="","",IF($AI42&lt;&gt;"Yes","Not breached",IF($AM42="Yes","Pricing late",IF($BG42="Thin custody slack","Thin custody slack",IF($BF42="Yes","Broker-dependent","None of these")))))</f>
        <v/>
      </c>
      <c r="BI42" s="23" t="str">
        <f aca="false">IF($A42="","",IFERROR(IF(VLOOKUP($C42,Dim_Fund!$A:$AI,35,0)&gt;0,VLOOKUP($C42,Dim_Fund!$A:$AI,35,0),""),""))</f>
        <v/>
      </c>
      <c r="BJ42" s="10" t="str">
        <f aca="false">IF($A42="","",$C42&amp;IF($E42="Client","*",""))</f>
        <v/>
      </c>
      <c r="BK42" s="39" t="str">
        <f aca="false">IF($A42="","",IFERROR(ROUND(($Y42-$X42)*1440,0),""))</f>
        <v/>
      </c>
      <c r="BL42" s="39" t="str">
        <f aca="false">IF($A42="","",IF($AH42="","",-$AH42))</f>
        <v/>
      </c>
      <c r="BM42" s="46" t="str">
        <f aca="false">IF($A42="","",IF($AQ42="","",IF($AP42="",$AQ42,MIN($AP42,$AQ42))))</f>
        <v/>
      </c>
      <c r="BN42" s="46" t="str">
        <f aca="false">IF($A42="","",IF($BM42="","",ROUND(N($AC42)/60,4)))</f>
        <v/>
      </c>
      <c r="BO42" s="46" t="str">
        <f aca="false">IF($A42="","",IF(OR($BM42="",$AD42=""),"",ROUND($AD42/60,4)))</f>
        <v/>
      </c>
      <c r="BP42" s="46" t="str">
        <f aca="false">IF($A42="","",IF($BM42="","",ROUND(N($AE42)/60,4)))</f>
        <v/>
      </c>
      <c r="BQ42" s="46" t="str">
        <f aca="false">IF($A42="","",IF(OR($BM42="",$AF42=""),"",ROUND($AF42/60,4)))</f>
        <v/>
      </c>
      <c r="BR42" s="39" t="str">
        <f aca="false">IF($A42="","",IF($AC42="","",$AC42-$BD42-$BE42))</f>
        <v/>
      </c>
      <c r="BS42" s="45" t="str">
        <f aca="false">IF($A42="","",IF(AND(ISNUMBER($Z42),ISNUMBER($W42)),$Z42,0))</f>
        <v/>
      </c>
      <c r="BT42" s="45" t="str">
        <f aca="false">IF($A42="","",IF(ISNUMBER($W42),$W42,0))</f>
        <v/>
      </c>
      <c r="BU42" s="23" t="str">
        <f aca="false">IF($A42="","",IF(ISNUMBER($W42),ROUND(($W42-$B42)*24,4),""))</f>
        <v/>
      </c>
      <c r="BV42" s="23" t="str">
        <f aca="false">IF($A42="","",IF(ISNUMBER($X42),ROUND(($X42-$B42)*24,4),""))</f>
        <v/>
      </c>
      <c r="BW42" s="10" t="str">
        <f aca="false">IF($A42="","",IF(NOT(ISNUMBER($W42)),"Missing Calculated",IF(NOT(ISNUMBER($X42)),IF($E42="Client","Missing FA signed off","Missing Controlled"),IF($X42&lt;$W42,"End before start","OK"))))</f>
        <v/>
      </c>
      <c r="BX42" s="23" t="str">
        <f aca="false">IF($A42="","",IF(NOT(ISNUMBER($Z42)),"",ROUND((IF(ISNUMBER($U42),MIN($U42,$Z42),$Z42)-$B42)*24,4)))</f>
        <v/>
      </c>
      <c r="BY42" s="23" t="str">
        <f aca="false">IF($A42="","",IF(ISNUMBER($Z42),ROUND(($Z42-$B42)*24,4),""))</f>
        <v/>
      </c>
      <c r="BZ42" s="23" t="str">
        <f aca="false">IF($A42="","",IF(AND(ISNUMBER($W42),ISNUMBER($S42)),ROUND(($W42+$S42/1440-$B42)*24,4),""))</f>
        <v/>
      </c>
    </row>
    <row r="43" customFormat="false" ht="15" hidden="false" customHeight="true" outlineLevel="0" collapsed="false">
      <c r="A43" s="47"/>
      <c r="B43" s="47"/>
      <c r="D43" s="4" t="str">
        <f aca="false">IF($A43="","",$B43-$A43)</f>
        <v/>
      </c>
      <c r="E43" s="4" t="str">
        <f aca="false">IF($A43="","",IFERROR(VLOOKUP($C43,Dim_Fund!$A:$X,24,0),""))</f>
        <v/>
      </c>
      <c r="F43" s="37" t="str">
        <f aca="false">IF($A43="","",IF(COUNTIFS(Status_Log!$A:$A,$A43,Status_Log!$B:$B,$B43,Status_Log!$C:$C,$C43,Status_Log!$D:$D,"Changed to the status of Calculated")=0,"",_xlfn.MINIFS(Status_Log!$E:$E,Status_Log!$A:$A,$A43,Status_Log!$B:$B,$B43,Status_Log!$C:$C,$C43,Status_Log!$D:$D,"Changed to the status of Calculated")))</f>
        <v/>
      </c>
      <c r="G43" s="37" t="str">
        <f aca="false">IF($A43="","",IF(COUNTIFS(Status_Log!$A:$A,$A43,Status_Log!$B:$B,$B43,Status_Log!$C:$C,$C43,Status_Log!$D:$D,"Changed to the status of Controlled")=0,"",_xlfn.MAXIFS(Status_Log!$E:$E,Status_Log!$A:$A,$A43,Status_Log!$B:$B,$B43,Status_Log!$C:$C,$C43,Status_Log!$D:$D,"Changed to the status of Controlled")))</f>
        <v/>
      </c>
      <c r="H43" s="37" t="str">
        <f aca="false">IF($A43="","",IF(COUNTIFS(Status_Log!$A:$A,$A43,Status_Log!$B:$B,$B43,Status_Log!$C:$C,$C43,Status_Log!$D:$D,"Changed to the status of Fund accounting signed off")=0,"",_xlfn.MAXIFS(Status_Log!$E:$E,Status_Log!$A:$A,$A43,Status_Log!$B:$B,$B43,Status_Log!$C:$C,$C43,Status_Log!$D:$D,"Changed to the status of Fund accounting signed off")))</f>
        <v/>
      </c>
      <c r="I43" s="37" t="str">
        <f aca="false">IF($A43="","",IF(COUNTIFS(Status_Log!$A:$A,$A43,Status_Log!$B:$B,$B43,Status_Log!$C:$C,$C43,Status_Log!$D:$D,"Changed to the status of signed off")=0,"",_xlfn.MAXIFS(Status_Log!$E:$E,Status_Log!$A:$A,$A43,Status_Log!$B:$B,$B43,Status_Log!$C:$C,$C43,Status_Log!$D:$D,"Changed to the status of signed off")))</f>
        <v/>
      </c>
      <c r="J43" s="4" t="str">
        <f aca="false">IF($A43="","",COUNTIFS(Status_Log!$A:$A,$A43,Status_Log!$B:$B,$B43,Status_Log!$C:$C,$C43,Status_Log!$D:$D,"Changed to the status of Calculated"))</f>
        <v/>
      </c>
      <c r="K43" s="38" t="str">
        <f aca="false">IF($A43="","",IF(J43&lt;=1,0,ROUND((_xlfn.MAXIFS(Status_Log!$E:$E,Status_Log!$A:$A,$A43,Status_Log!$B:$B,$B43,Status_Log!$C:$C,$C43,Status_Log!$D:$D,"Changed to the status of Calculated")-F43)*1440,0)))</f>
        <v/>
      </c>
      <c r="L43" s="4" t="str">
        <f aca="false">IF($A43="","",IFERROR(INDEX(Status_Log!$F:$F,MATCH($A43&amp;"|"&amp;$B43&amp;"|"&amp;$C43&amp;"|Changed to the status of Calculated|"&amp;TEXT(_xlfn.MAXIFS(Status_Log!$E:$E,Status_Log!$A:$A,$A43,Status_Log!$B:$B,$B43,Status_Log!$C:$C,$C43,Status_Log!$D:$D,"Changed to the status of Calculated"),"0.000000"),Status_Log!$H:$H,0)),""))</f>
        <v/>
      </c>
      <c r="M43" s="4" t="str">
        <f aca="false">IF($A43="","",IF(E43="Client","n/a — no control step",IFERROR(INDEX(Status_Log!$F:$F,MATCH($A43&amp;"|"&amp;$B43&amp;"|"&amp;$C43&amp;"|Changed to the status of Controlled|"&amp;TEXT(_xlfn.MAXIFS(Status_Log!$E:$E,Status_Log!$A:$A,$A43,Status_Log!$B:$B,$B43,Status_Log!$C:$C,$C43,Status_Log!$D:$D,"Changed to the status of Controlled"),"0.000000"),Status_Log!$H:$H,0)),"")))</f>
        <v/>
      </c>
      <c r="N43" s="4" t="str">
        <f aca="false">IF($A43="","",IFERROR(VLOOKUP($C43,Dim_Fund!$A:$G,7,0),""))</f>
        <v/>
      </c>
      <c r="O43" s="4" t="str">
        <f aca="false">IF($A43="","",IF(L43=N43,"No","Yes"))</f>
        <v/>
      </c>
      <c r="P43" s="4" t="str">
        <f aca="false">IF($A43="","",IF(E43="Client","n/a",IF(L43=M43,"YES — four-eyes breach","No")))</f>
        <v/>
      </c>
      <c r="Q43" s="38" t="str">
        <f aca="false">IF($A43="","",IFERROR(VLOOKUP($C43,Dim_Fund!$A:$AB,28,0),""))</f>
        <v/>
      </c>
      <c r="R43" s="38" t="str">
        <f aca="false">IF($A43="","",IFERROR(VLOOKUP($C43,Dim_Fund!$A:$AC,29,0),""))</f>
        <v/>
      </c>
      <c r="S43" s="38" t="str">
        <f aca="false">IF($A43="","",IFERROR(VLOOKUP($C43,Dim_Fund!$A:$AD,30,0),""))</f>
        <v/>
      </c>
      <c r="T43" s="38" t="str">
        <f aca="false">IF($A43="","",IFERROR(VLOOKUP($C43,Dim_Fund!$A:$AL,38,0),""))</f>
        <v/>
      </c>
      <c r="U43" s="37" t="str">
        <f aca="false">IF($A43="","",IF(AL43="","",IFERROR(IF(COUNTIFS(Fact_Milestone!$A:$A,$B43,Fact_Milestone!$B:$B,AL43)=0,"",_xlfn.MAXIFS(Fact_Milestone!$C:$C,Fact_Milestone!$A:$A,$B43,Fact_Milestone!$B:$B,AL43)),"")))</f>
        <v/>
      </c>
      <c r="V43" s="37" t="str">
        <f aca="false">IF($A43="","",IFERROR(IF(VLOOKUP($C43,Dim_Fund!$A:$AI,35,0)&gt;0,$B43+VLOOKUP($C43,Dim_Fund!$A:$AI,35,0)/24,""),""))</f>
        <v/>
      </c>
      <c r="W43" s="37" t="str">
        <f aca="false">IF($A43="","",F43)</f>
        <v/>
      </c>
      <c r="X43" s="37" t="str">
        <f aca="false">IF($A43="","",IF(E43="Client",H43,G43))</f>
        <v/>
      </c>
      <c r="Y43" s="37" t="str">
        <f aca="false">IF($A43="","",I43)</f>
        <v/>
      </c>
      <c r="Z43" s="37" t="str">
        <f aca="false">IF($A43="","",IFERROR(W43-R43/1440,""))</f>
        <v/>
      </c>
      <c r="AA43" s="38" t="str">
        <f aca="false">IF($A43="","",IF(OR(U43="",V43=""),"",ROUND((V43-U43)*1440,0)))</f>
        <v/>
      </c>
      <c r="AB43" s="38" t="str">
        <f aca="false">IF($A43="","",IF(U43="","",ROUND((W43-U43)*1440,0)))</f>
        <v/>
      </c>
      <c r="AC43" s="38" t="str">
        <f aca="false">IF($A43="","",IF(AB43="","",MAX(0,AB43)))</f>
        <v/>
      </c>
      <c r="AD43" s="38" t="str">
        <f aca="false">IF($A43="","",IFERROR(ROUND((X43-W43)*1440,0),""))</f>
        <v/>
      </c>
      <c r="AE43" s="38" t="str">
        <f aca="false">IF($A43="","",IF(E43="Client","n/a",IFERROR(ROUND((H43-G43)*1440,0),"")))</f>
        <v/>
      </c>
      <c r="AF43" s="38" t="str">
        <f aca="false">IF($A43="","",IFERROR(ROUND((Y43-H43)*1440,0),""))</f>
        <v/>
      </c>
      <c r="AG43" s="38" t="str">
        <f aca="false">IF($A43="","",IFERROR(ROUND((H43-F43)*1440,0),""))</f>
        <v/>
      </c>
      <c r="AH43" s="38" t="str">
        <f aca="false">IF($A43="","",IFERROR(ROUND((Y43-V43)*1440,0),""))</f>
        <v/>
      </c>
      <c r="AI43" s="4" t="str">
        <f aca="false">IF($A43="","",IF(AH43="","",IF(AH43&gt;0,"Yes","No")))</f>
        <v/>
      </c>
      <c r="AJ43" s="4" t="str">
        <f aca="false">IF($A43="","",IF(AI43&lt;&gt;"Yes","On time",IF(N(AC43)&gt;=MAX(N(AF43),N(K43)),"Wait for analyst",IF(N(AF43)&gt;=N(K43),"External sign-off","Rework"))))</f>
        <v/>
      </c>
      <c r="AK43" s="4" t="str">
        <f aca="false">IF($A43="","",IF(OR(F43="",Y43="",ISNA(MATCH(L43,Dim_Analyst!$A:$A,0))),"CHECK","OK"))</f>
        <v/>
      </c>
      <c r="AL43" s="4" t="str">
        <f aca="false">IF($A43="","",IFERROR(VLOOKUP($C43,Dim_Fund!$A:$U,21,0),""))</f>
        <v/>
      </c>
      <c r="AM43" s="4" t="str">
        <f aca="false">IF($A43="","",IF($U43="","",IF($U43&gt;$B43+IFERROR(VLOOKUP($C43,Dim_Fund!$A:$AH,34,0),0)/24,"Yes","No")))</f>
        <v/>
      </c>
      <c r="AN43" s="22" t="str">
        <f aca="false">IF($A43="","",IFERROR(VLOOKUP($C43,Dim_Fund!$A:$AH,34,0),""))</f>
        <v/>
      </c>
      <c r="AO43" s="22" t="str">
        <f aca="false">IF($A43="","",IF($AL43="","",IFERROR(FLOOR(IF(COUNTIFS(Fact_Milestone!$A:$A,$B43,Fact_Milestone!$B:$B,$AL43,Fact_Milestone!$F:$F,"&gt;0")&gt;0,_xlfn.MINIFS(Fact_Milestone!$F:$F,Fact_Milestone!$A:$A,$B43,Fact_Milestone!$B:$B,$AL43,Fact_Milestone!$F:$F,"&gt;0"),VLOOKUP($AL43,Dim_TOP!$A:$E,5,0)),0.5),"")))</f>
        <v/>
      </c>
      <c r="AP43" s="22" t="str">
        <f aca="false">IF($A43="","",IF($U43="","",ROUND(($U43-INT($U43))*24,4)))</f>
        <v/>
      </c>
      <c r="AQ43" s="22" t="str">
        <f aca="false">IF($A43="","",IF($W43="","",ROUND(($W43-INT($W43))*24,4)))</f>
        <v/>
      </c>
      <c r="AR43" s="22" t="str">
        <f aca="false">IF($A43="","",IF($X43="","",ROUND(($X43-INT($X43))*24,4)))</f>
        <v/>
      </c>
      <c r="AS43" s="38" t="str">
        <f aca="false">IF($A43="","",IF(OR($AN43="",$V43="",$S43="",$T43=""),"",ROUND(($V43-($B43+$AN43/24))*1440-$S43-$T43,0)))</f>
        <v/>
      </c>
      <c r="AT43" s="38" t="str">
        <f aca="false">IF($A43="","",IF(OR($AN43="",$U43=""),"",ROUND(($U43-($B43+$AN43/24))*1440,0)))</f>
        <v/>
      </c>
      <c r="AU43" s="38" t="str">
        <f aca="false">IF($A43="","",IF(OR($AD43="",$S43=""),"",ROUND($AD43-$S43,0)))</f>
        <v/>
      </c>
      <c r="AV43" s="38" t="str">
        <f aca="false">IF($A43="","",N($AE43))</f>
        <v/>
      </c>
      <c r="AW43" s="38" t="str">
        <f aca="false">IF($A43="","",IF(OR($AF43="",$T43=""),"",$AF43-$T43))</f>
        <v/>
      </c>
      <c r="AX43" s="38" t="str">
        <f aca="false">IF($A43="","",IF(COUNT($AT43,$AB43,$AU43,$AW43,$AS43,$AH43)&lt;6,"",ROUND($AT43+$AB43+$AU43+$AV43+$AW43-$AS43-$AH43,0)))</f>
        <v/>
      </c>
      <c r="AY43" s="4" t="str">
        <f aca="false">IF($A43="","",IF($AX43="","No",IF(ABS($AX43)&lt;=2,"Yes","No")))</f>
        <v/>
      </c>
      <c r="AZ43" s="4" t="str">
        <f aca="false">IF($A43="","",IF($AI43&lt;&gt;"Yes","n/a",IF(OR($AA43="",$S43="",$T43=""),"Unknown",IF($AA43&lt;$S43+$T43,"Lost on arrival","Lost after arrival"))))</f>
        <v/>
      </c>
      <c r="BA43" s="10" t="str">
        <f aca="false">IF($A43="","",IFERROR(VLOOKUP($C43,Dim_Fund!$A:$D,4,0),""))</f>
        <v/>
      </c>
      <c r="BB43" s="10" t="str">
        <f aca="false">IF($A43="","",IF($AL43="","",IF(COUNTIFS(Fact_Milestone!$A:$A,$B43,Fact_Milestone!$B:$B,$AL43,Fact_Milestone!$I:$I,"No")&gt;0,"No",IF(COUNTIFS(Fact_Milestone!$A:$A,$B43,Fact_Milestone!$B:$B,$AL43,Fact_Milestone!$I:$I,"Yes")&gt;0,"Yes",""))))</f>
        <v/>
      </c>
      <c r="BC43" s="45" t="str">
        <f aca="false">IF($A43="","",IF(OR($L43="",$W43=""),"",IF(COUNTIFS($L:$L,$L43,$B:$B,$B43,$W:$W,"&lt;"&amp;$W43)=0,"",_xlfn.MAXIFS($W:$W,$L:$L,$L43,$B:$B,$B43,$W:$W,"&lt;"&amp;$W43))))</f>
        <v/>
      </c>
      <c r="BD43" s="39" t="str">
        <f aca="false">IF($A43="","",IF($AC43="","",IF(OR($L43="",$AC43=0),0,MIN($AC43,ROUND(ROUND(1440*SUMPRODUCT(($L$2:INDEX($L:$L,COUNTA($C:$C))=$L43)*($B$2:INDEX($B:$B,COUNTA($C:$C))=$B43)*(ROW($L$2:INDEX($L:$L,COUNTA($C:$C)))&lt;&gt;ROW())*((((($W43+$BT$2:INDEX($BT:$BT,COUNTA($C:$C))-ABS($W43-$BT$2:INDEX($BT:$BT,COUNTA($C:$C))))/2)-(($U43+$BS$2:INDEX($BS:$BS,COUNTA($C:$C))+ABS($U43-$BS$2:INDEX($BS:$BS,COUNTA($C:$C))))/2))+ABS(((($W43+$BT$2:INDEX($BT:$BT,COUNTA($C:$C))-ABS($W43-$BT$2:INDEX($BT:$BT,COUNTA($C:$C))))/2)-(($U43+$BS$2:INDEX($BS:$BS,COUNTA($C:$C))+ABS($U43-$BS$2:INDEX($BS:$BS,COUNTA($C:$C))))/2))))/2)),4),0)))))</f>
        <v/>
      </c>
      <c r="BE43" s="39" t="str">
        <f aca="false">IF($A43="","",IF($AC43="","",ROUND(MIN($AC43-$BD43,N($R43)),0)))</f>
        <v/>
      </c>
      <c r="BF43" s="10" t="str">
        <f aca="false">IF($A43="","",IFERROR(VLOOKUP($C43,Dim_Fund!$A:$BD,56,0),""))</f>
        <v/>
      </c>
      <c r="BG43" s="10" t="str">
        <f aca="false">IF($A43="","",IFERROR(VLOOKUP($C43,Dim_Fund!$A:$BH,60,0),""))</f>
        <v/>
      </c>
      <c r="BH43" s="10" t="str">
        <f aca="false">IF($A43="","",IF($AI43&lt;&gt;"Yes","Not breached",IF($AM43="Yes","Pricing late",IF($BG43="Thin custody slack","Thin custody slack",IF($BF43="Yes","Broker-dependent","None of these")))))</f>
        <v/>
      </c>
      <c r="BI43" s="23" t="str">
        <f aca="false">IF($A43="","",IFERROR(IF(VLOOKUP($C43,Dim_Fund!$A:$AI,35,0)&gt;0,VLOOKUP($C43,Dim_Fund!$A:$AI,35,0),""),""))</f>
        <v/>
      </c>
      <c r="BJ43" s="10" t="str">
        <f aca="false">IF($A43="","",$C43&amp;IF($E43="Client","*",""))</f>
        <v/>
      </c>
      <c r="BK43" s="39" t="str">
        <f aca="false">IF($A43="","",IFERROR(ROUND(($Y43-$X43)*1440,0),""))</f>
        <v/>
      </c>
      <c r="BL43" s="39" t="str">
        <f aca="false">IF($A43="","",IF($AH43="","",-$AH43))</f>
        <v/>
      </c>
      <c r="BM43" s="46" t="str">
        <f aca="false">IF($A43="","",IF($AQ43="","",IF($AP43="",$AQ43,MIN($AP43,$AQ43))))</f>
        <v/>
      </c>
      <c r="BN43" s="46" t="str">
        <f aca="false">IF($A43="","",IF($BM43="","",ROUND(N($AC43)/60,4)))</f>
        <v/>
      </c>
      <c r="BO43" s="46" t="str">
        <f aca="false">IF($A43="","",IF(OR($BM43="",$AD43=""),"",ROUND($AD43/60,4)))</f>
        <v/>
      </c>
      <c r="BP43" s="46" t="str">
        <f aca="false">IF($A43="","",IF($BM43="","",ROUND(N($AE43)/60,4)))</f>
        <v/>
      </c>
      <c r="BQ43" s="46" t="str">
        <f aca="false">IF($A43="","",IF(OR($BM43="",$AF43=""),"",ROUND($AF43/60,4)))</f>
        <v/>
      </c>
      <c r="BR43" s="39" t="str">
        <f aca="false">IF($A43="","",IF($AC43="","",$AC43-$BD43-$BE43))</f>
        <v/>
      </c>
      <c r="BS43" s="45" t="str">
        <f aca="false">IF($A43="","",IF(AND(ISNUMBER($Z43),ISNUMBER($W43)),$Z43,0))</f>
        <v/>
      </c>
      <c r="BT43" s="45" t="str">
        <f aca="false">IF($A43="","",IF(ISNUMBER($W43),$W43,0))</f>
        <v/>
      </c>
      <c r="BU43" s="23" t="str">
        <f aca="false">IF($A43="","",IF(ISNUMBER($W43),ROUND(($W43-$B43)*24,4),""))</f>
        <v/>
      </c>
      <c r="BV43" s="23" t="str">
        <f aca="false">IF($A43="","",IF(ISNUMBER($X43),ROUND(($X43-$B43)*24,4),""))</f>
        <v/>
      </c>
      <c r="BW43" s="10" t="str">
        <f aca="false">IF($A43="","",IF(NOT(ISNUMBER($W43)),"Missing Calculated",IF(NOT(ISNUMBER($X43)),IF($E43="Client","Missing FA signed off","Missing Controlled"),IF($X43&lt;$W43,"End before start","OK"))))</f>
        <v/>
      </c>
      <c r="BX43" s="23" t="str">
        <f aca="false">IF($A43="","",IF(NOT(ISNUMBER($Z43)),"",ROUND((IF(ISNUMBER($U43),MIN($U43,$Z43),$Z43)-$B43)*24,4)))</f>
        <v/>
      </c>
      <c r="BY43" s="23" t="str">
        <f aca="false">IF($A43="","",IF(ISNUMBER($Z43),ROUND(($Z43-$B43)*24,4),""))</f>
        <v/>
      </c>
      <c r="BZ43" s="23" t="str">
        <f aca="false">IF($A43="","",IF(AND(ISNUMBER($W43),ISNUMBER($S43)),ROUND(($W43+$S43/1440-$B43)*24,4),""))</f>
        <v/>
      </c>
    </row>
    <row r="44" customFormat="false" ht="15" hidden="false" customHeight="true" outlineLevel="0" collapsed="false">
      <c r="A44" s="47"/>
      <c r="B44" s="47"/>
      <c r="D44" s="4" t="str">
        <f aca="false">IF($A44="","",$B44-$A44)</f>
        <v/>
      </c>
      <c r="E44" s="4" t="str">
        <f aca="false">IF($A44="","",IFERROR(VLOOKUP($C44,Dim_Fund!$A:$X,24,0),""))</f>
        <v/>
      </c>
      <c r="F44" s="37" t="str">
        <f aca="false">IF($A44="","",IF(COUNTIFS(Status_Log!$A:$A,$A44,Status_Log!$B:$B,$B44,Status_Log!$C:$C,$C44,Status_Log!$D:$D,"Changed to the status of Calculated")=0,"",_xlfn.MINIFS(Status_Log!$E:$E,Status_Log!$A:$A,$A44,Status_Log!$B:$B,$B44,Status_Log!$C:$C,$C44,Status_Log!$D:$D,"Changed to the status of Calculated")))</f>
        <v/>
      </c>
      <c r="G44" s="37" t="str">
        <f aca="false">IF($A44="","",IF(COUNTIFS(Status_Log!$A:$A,$A44,Status_Log!$B:$B,$B44,Status_Log!$C:$C,$C44,Status_Log!$D:$D,"Changed to the status of Controlled")=0,"",_xlfn.MAXIFS(Status_Log!$E:$E,Status_Log!$A:$A,$A44,Status_Log!$B:$B,$B44,Status_Log!$C:$C,$C44,Status_Log!$D:$D,"Changed to the status of Controlled")))</f>
        <v/>
      </c>
      <c r="H44" s="37" t="str">
        <f aca="false">IF($A44="","",IF(COUNTIFS(Status_Log!$A:$A,$A44,Status_Log!$B:$B,$B44,Status_Log!$C:$C,$C44,Status_Log!$D:$D,"Changed to the status of Fund accounting signed off")=0,"",_xlfn.MAXIFS(Status_Log!$E:$E,Status_Log!$A:$A,$A44,Status_Log!$B:$B,$B44,Status_Log!$C:$C,$C44,Status_Log!$D:$D,"Changed to the status of Fund accounting signed off")))</f>
        <v/>
      </c>
      <c r="I44" s="37" t="str">
        <f aca="false">IF($A44="","",IF(COUNTIFS(Status_Log!$A:$A,$A44,Status_Log!$B:$B,$B44,Status_Log!$C:$C,$C44,Status_Log!$D:$D,"Changed to the status of signed off")=0,"",_xlfn.MAXIFS(Status_Log!$E:$E,Status_Log!$A:$A,$A44,Status_Log!$B:$B,$B44,Status_Log!$C:$C,$C44,Status_Log!$D:$D,"Changed to the status of signed off")))</f>
        <v/>
      </c>
      <c r="J44" s="4" t="str">
        <f aca="false">IF($A44="","",COUNTIFS(Status_Log!$A:$A,$A44,Status_Log!$B:$B,$B44,Status_Log!$C:$C,$C44,Status_Log!$D:$D,"Changed to the status of Calculated"))</f>
        <v/>
      </c>
      <c r="K44" s="38" t="str">
        <f aca="false">IF($A44="","",IF(J44&lt;=1,0,ROUND((_xlfn.MAXIFS(Status_Log!$E:$E,Status_Log!$A:$A,$A44,Status_Log!$B:$B,$B44,Status_Log!$C:$C,$C44,Status_Log!$D:$D,"Changed to the status of Calculated")-F44)*1440,0)))</f>
        <v/>
      </c>
      <c r="L44" s="4" t="str">
        <f aca="false">IF($A44="","",IFERROR(INDEX(Status_Log!$F:$F,MATCH($A44&amp;"|"&amp;$B44&amp;"|"&amp;$C44&amp;"|Changed to the status of Calculated|"&amp;TEXT(_xlfn.MAXIFS(Status_Log!$E:$E,Status_Log!$A:$A,$A44,Status_Log!$B:$B,$B44,Status_Log!$C:$C,$C44,Status_Log!$D:$D,"Changed to the status of Calculated"),"0.000000"),Status_Log!$H:$H,0)),""))</f>
        <v/>
      </c>
      <c r="M44" s="4" t="str">
        <f aca="false">IF($A44="","",IF(E44="Client","n/a — no control step",IFERROR(INDEX(Status_Log!$F:$F,MATCH($A44&amp;"|"&amp;$B44&amp;"|"&amp;$C44&amp;"|Changed to the status of Controlled|"&amp;TEXT(_xlfn.MAXIFS(Status_Log!$E:$E,Status_Log!$A:$A,$A44,Status_Log!$B:$B,$B44,Status_Log!$C:$C,$C44,Status_Log!$D:$D,"Changed to the status of Controlled"),"0.000000"),Status_Log!$H:$H,0)),"")))</f>
        <v/>
      </c>
      <c r="N44" s="4" t="str">
        <f aca="false">IF($A44="","",IFERROR(VLOOKUP($C44,Dim_Fund!$A:$G,7,0),""))</f>
        <v/>
      </c>
      <c r="O44" s="4" t="str">
        <f aca="false">IF($A44="","",IF(L44=N44,"No","Yes"))</f>
        <v/>
      </c>
      <c r="P44" s="4" t="str">
        <f aca="false">IF($A44="","",IF(E44="Client","n/a",IF(L44=M44,"YES — four-eyes breach","No")))</f>
        <v/>
      </c>
      <c r="Q44" s="38" t="str">
        <f aca="false">IF($A44="","",IFERROR(VLOOKUP($C44,Dim_Fund!$A:$AB,28,0),""))</f>
        <v/>
      </c>
      <c r="R44" s="38" t="str">
        <f aca="false">IF($A44="","",IFERROR(VLOOKUP($C44,Dim_Fund!$A:$AC,29,0),""))</f>
        <v/>
      </c>
      <c r="S44" s="38" t="str">
        <f aca="false">IF($A44="","",IFERROR(VLOOKUP($C44,Dim_Fund!$A:$AD,30,0),""))</f>
        <v/>
      </c>
      <c r="T44" s="38" t="str">
        <f aca="false">IF($A44="","",IFERROR(VLOOKUP($C44,Dim_Fund!$A:$AL,38,0),""))</f>
        <v/>
      </c>
      <c r="U44" s="37" t="str">
        <f aca="false">IF($A44="","",IF(AL44="","",IFERROR(IF(COUNTIFS(Fact_Milestone!$A:$A,$B44,Fact_Milestone!$B:$B,AL44)=0,"",_xlfn.MAXIFS(Fact_Milestone!$C:$C,Fact_Milestone!$A:$A,$B44,Fact_Milestone!$B:$B,AL44)),"")))</f>
        <v/>
      </c>
      <c r="V44" s="37" t="str">
        <f aca="false">IF($A44="","",IFERROR(IF(VLOOKUP($C44,Dim_Fund!$A:$AI,35,0)&gt;0,$B44+VLOOKUP($C44,Dim_Fund!$A:$AI,35,0)/24,""),""))</f>
        <v/>
      </c>
      <c r="W44" s="37" t="str">
        <f aca="false">IF($A44="","",F44)</f>
        <v/>
      </c>
      <c r="X44" s="37" t="str">
        <f aca="false">IF($A44="","",IF(E44="Client",H44,G44))</f>
        <v/>
      </c>
      <c r="Y44" s="37" t="str">
        <f aca="false">IF($A44="","",I44)</f>
        <v/>
      </c>
      <c r="Z44" s="37" t="str">
        <f aca="false">IF($A44="","",IFERROR(W44-R44/1440,""))</f>
        <v/>
      </c>
      <c r="AA44" s="38" t="str">
        <f aca="false">IF($A44="","",IF(OR(U44="",V44=""),"",ROUND((V44-U44)*1440,0)))</f>
        <v/>
      </c>
      <c r="AB44" s="38" t="str">
        <f aca="false">IF($A44="","",IF(U44="","",ROUND((W44-U44)*1440,0)))</f>
        <v/>
      </c>
      <c r="AC44" s="38" t="str">
        <f aca="false">IF($A44="","",IF(AB44="","",MAX(0,AB44)))</f>
        <v/>
      </c>
      <c r="AD44" s="38" t="str">
        <f aca="false">IF($A44="","",IFERROR(ROUND((X44-W44)*1440,0),""))</f>
        <v/>
      </c>
      <c r="AE44" s="38" t="str">
        <f aca="false">IF($A44="","",IF(E44="Client","n/a",IFERROR(ROUND((H44-G44)*1440,0),"")))</f>
        <v/>
      </c>
      <c r="AF44" s="38" t="str">
        <f aca="false">IF($A44="","",IFERROR(ROUND((Y44-H44)*1440,0),""))</f>
        <v/>
      </c>
      <c r="AG44" s="38" t="str">
        <f aca="false">IF($A44="","",IFERROR(ROUND((H44-F44)*1440,0),""))</f>
        <v/>
      </c>
      <c r="AH44" s="38" t="str">
        <f aca="false">IF($A44="","",IFERROR(ROUND((Y44-V44)*1440,0),""))</f>
        <v/>
      </c>
      <c r="AI44" s="4" t="str">
        <f aca="false">IF($A44="","",IF(AH44="","",IF(AH44&gt;0,"Yes","No")))</f>
        <v/>
      </c>
      <c r="AJ44" s="4" t="str">
        <f aca="false">IF($A44="","",IF(AI44&lt;&gt;"Yes","On time",IF(N(AC44)&gt;=MAX(N(AF44),N(K44)),"Wait for analyst",IF(N(AF44)&gt;=N(K44),"External sign-off","Rework"))))</f>
        <v/>
      </c>
      <c r="AK44" s="4" t="str">
        <f aca="false">IF($A44="","",IF(OR(F44="",Y44="",ISNA(MATCH(L44,Dim_Analyst!$A:$A,0))),"CHECK","OK"))</f>
        <v/>
      </c>
      <c r="AL44" s="4" t="str">
        <f aca="false">IF($A44="","",IFERROR(VLOOKUP($C44,Dim_Fund!$A:$U,21,0),""))</f>
        <v/>
      </c>
      <c r="AM44" s="4" t="str">
        <f aca="false">IF($A44="","",IF($U44="","",IF($U44&gt;$B44+IFERROR(VLOOKUP($C44,Dim_Fund!$A:$AH,34,0),0)/24,"Yes","No")))</f>
        <v/>
      </c>
      <c r="AN44" s="22" t="str">
        <f aca="false">IF($A44="","",IFERROR(VLOOKUP($C44,Dim_Fund!$A:$AH,34,0),""))</f>
        <v/>
      </c>
      <c r="AO44" s="22" t="str">
        <f aca="false">IF($A44="","",IF($AL44="","",IFERROR(FLOOR(IF(COUNTIFS(Fact_Milestone!$A:$A,$B44,Fact_Milestone!$B:$B,$AL44,Fact_Milestone!$F:$F,"&gt;0")&gt;0,_xlfn.MINIFS(Fact_Milestone!$F:$F,Fact_Milestone!$A:$A,$B44,Fact_Milestone!$B:$B,$AL44,Fact_Milestone!$F:$F,"&gt;0"),VLOOKUP($AL44,Dim_TOP!$A:$E,5,0)),0.5),"")))</f>
        <v/>
      </c>
      <c r="AP44" s="22" t="str">
        <f aca="false">IF($A44="","",IF($U44="","",ROUND(($U44-INT($U44))*24,4)))</f>
        <v/>
      </c>
      <c r="AQ44" s="22" t="str">
        <f aca="false">IF($A44="","",IF($W44="","",ROUND(($W44-INT($W44))*24,4)))</f>
        <v/>
      </c>
      <c r="AR44" s="22" t="str">
        <f aca="false">IF($A44="","",IF($X44="","",ROUND(($X44-INT($X44))*24,4)))</f>
        <v/>
      </c>
      <c r="AS44" s="38" t="str">
        <f aca="false">IF($A44="","",IF(OR($AN44="",$V44="",$S44="",$T44=""),"",ROUND(($V44-($B44+$AN44/24))*1440-$S44-$T44,0)))</f>
        <v/>
      </c>
      <c r="AT44" s="38" t="str">
        <f aca="false">IF($A44="","",IF(OR($AN44="",$U44=""),"",ROUND(($U44-($B44+$AN44/24))*1440,0)))</f>
        <v/>
      </c>
      <c r="AU44" s="38" t="str">
        <f aca="false">IF($A44="","",IF(OR($AD44="",$S44=""),"",ROUND($AD44-$S44,0)))</f>
        <v/>
      </c>
      <c r="AV44" s="38" t="str">
        <f aca="false">IF($A44="","",N($AE44))</f>
        <v/>
      </c>
      <c r="AW44" s="38" t="str">
        <f aca="false">IF($A44="","",IF(OR($AF44="",$T44=""),"",$AF44-$T44))</f>
        <v/>
      </c>
      <c r="AX44" s="38" t="str">
        <f aca="false">IF($A44="","",IF(COUNT($AT44,$AB44,$AU44,$AW44,$AS44,$AH44)&lt;6,"",ROUND($AT44+$AB44+$AU44+$AV44+$AW44-$AS44-$AH44,0)))</f>
        <v/>
      </c>
      <c r="AY44" s="4" t="str">
        <f aca="false">IF($A44="","",IF($AX44="","No",IF(ABS($AX44)&lt;=2,"Yes","No")))</f>
        <v/>
      </c>
      <c r="AZ44" s="4" t="str">
        <f aca="false">IF($A44="","",IF($AI44&lt;&gt;"Yes","n/a",IF(OR($AA44="",$S44="",$T44=""),"Unknown",IF($AA44&lt;$S44+$T44,"Lost on arrival","Lost after arrival"))))</f>
        <v/>
      </c>
      <c r="BA44" s="10" t="str">
        <f aca="false">IF($A44="","",IFERROR(VLOOKUP($C44,Dim_Fund!$A:$D,4,0),""))</f>
        <v/>
      </c>
      <c r="BB44" s="10" t="str">
        <f aca="false">IF($A44="","",IF($AL44="","",IF(COUNTIFS(Fact_Milestone!$A:$A,$B44,Fact_Milestone!$B:$B,$AL44,Fact_Milestone!$I:$I,"No")&gt;0,"No",IF(COUNTIFS(Fact_Milestone!$A:$A,$B44,Fact_Milestone!$B:$B,$AL44,Fact_Milestone!$I:$I,"Yes")&gt;0,"Yes",""))))</f>
        <v/>
      </c>
      <c r="BC44" s="45" t="str">
        <f aca="false">IF($A44="","",IF(OR($L44="",$W44=""),"",IF(COUNTIFS($L:$L,$L44,$B:$B,$B44,$W:$W,"&lt;"&amp;$W44)=0,"",_xlfn.MAXIFS($W:$W,$L:$L,$L44,$B:$B,$B44,$W:$W,"&lt;"&amp;$W44))))</f>
        <v/>
      </c>
      <c r="BD44" s="39" t="str">
        <f aca="false">IF($A44="","",IF($AC44="","",IF(OR($L44="",$AC44=0),0,MIN($AC44,ROUND(ROUND(1440*SUMPRODUCT(($L$2:INDEX($L:$L,COUNTA($C:$C))=$L44)*($B$2:INDEX($B:$B,COUNTA($C:$C))=$B44)*(ROW($L$2:INDEX($L:$L,COUNTA($C:$C)))&lt;&gt;ROW())*((((($W44+$BT$2:INDEX($BT:$BT,COUNTA($C:$C))-ABS($W44-$BT$2:INDEX($BT:$BT,COUNTA($C:$C))))/2)-(($U44+$BS$2:INDEX($BS:$BS,COUNTA($C:$C))+ABS($U44-$BS$2:INDEX($BS:$BS,COUNTA($C:$C))))/2))+ABS(((($W44+$BT$2:INDEX($BT:$BT,COUNTA($C:$C))-ABS($W44-$BT$2:INDEX($BT:$BT,COUNTA($C:$C))))/2)-(($U44+$BS$2:INDEX($BS:$BS,COUNTA($C:$C))+ABS($U44-$BS$2:INDEX($BS:$BS,COUNTA($C:$C))))/2))))/2)),4),0)))))</f>
        <v/>
      </c>
      <c r="BE44" s="39" t="str">
        <f aca="false">IF($A44="","",IF($AC44="","",ROUND(MIN($AC44-$BD44,N($R44)),0)))</f>
        <v/>
      </c>
      <c r="BF44" s="10" t="str">
        <f aca="false">IF($A44="","",IFERROR(VLOOKUP($C44,Dim_Fund!$A:$BD,56,0),""))</f>
        <v/>
      </c>
      <c r="BG44" s="10" t="str">
        <f aca="false">IF($A44="","",IFERROR(VLOOKUP($C44,Dim_Fund!$A:$BH,60,0),""))</f>
        <v/>
      </c>
      <c r="BH44" s="10" t="str">
        <f aca="false">IF($A44="","",IF($AI44&lt;&gt;"Yes","Not breached",IF($AM44="Yes","Pricing late",IF($BG44="Thin custody slack","Thin custody slack",IF($BF44="Yes","Broker-dependent","None of these")))))</f>
        <v/>
      </c>
      <c r="BI44" s="23" t="str">
        <f aca="false">IF($A44="","",IFERROR(IF(VLOOKUP($C44,Dim_Fund!$A:$AI,35,0)&gt;0,VLOOKUP($C44,Dim_Fund!$A:$AI,35,0),""),""))</f>
        <v/>
      </c>
      <c r="BJ44" s="10" t="str">
        <f aca="false">IF($A44="","",$C44&amp;IF($E44="Client","*",""))</f>
        <v/>
      </c>
      <c r="BK44" s="39" t="str">
        <f aca="false">IF($A44="","",IFERROR(ROUND(($Y44-$X44)*1440,0),""))</f>
        <v/>
      </c>
      <c r="BL44" s="39" t="str">
        <f aca="false">IF($A44="","",IF($AH44="","",-$AH44))</f>
        <v/>
      </c>
      <c r="BM44" s="46" t="str">
        <f aca="false">IF($A44="","",IF($AQ44="","",IF($AP44="",$AQ44,MIN($AP44,$AQ44))))</f>
        <v/>
      </c>
      <c r="BN44" s="46" t="str">
        <f aca="false">IF($A44="","",IF($BM44="","",ROUND(N($AC44)/60,4)))</f>
        <v/>
      </c>
      <c r="BO44" s="46" t="str">
        <f aca="false">IF($A44="","",IF(OR($BM44="",$AD44=""),"",ROUND($AD44/60,4)))</f>
        <v/>
      </c>
      <c r="BP44" s="46" t="str">
        <f aca="false">IF($A44="","",IF($BM44="","",ROUND(N($AE44)/60,4)))</f>
        <v/>
      </c>
      <c r="BQ44" s="46" t="str">
        <f aca="false">IF($A44="","",IF(OR($BM44="",$AF44=""),"",ROUND($AF44/60,4)))</f>
        <v/>
      </c>
      <c r="BR44" s="39" t="str">
        <f aca="false">IF($A44="","",IF($AC44="","",$AC44-$BD44-$BE44))</f>
        <v/>
      </c>
      <c r="BS44" s="45" t="str">
        <f aca="false">IF($A44="","",IF(AND(ISNUMBER($Z44),ISNUMBER($W44)),$Z44,0))</f>
        <v/>
      </c>
      <c r="BT44" s="45" t="str">
        <f aca="false">IF($A44="","",IF(ISNUMBER($W44),$W44,0))</f>
        <v/>
      </c>
      <c r="BU44" s="23" t="str">
        <f aca="false">IF($A44="","",IF(ISNUMBER($W44),ROUND(($W44-$B44)*24,4),""))</f>
        <v/>
      </c>
      <c r="BV44" s="23" t="str">
        <f aca="false">IF($A44="","",IF(ISNUMBER($X44),ROUND(($X44-$B44)*24,4),""))</f>
        <v/>
      </c>
      <c r="BW44" s="10" t="str">
        <f aca="false">IF($A44="","",IF(NOT(ISNUMBER($W44)),"Missing Calculated",IF(NOT(ISNUMBER($X44)),IF($E44="Client","Missing FA signed off","Missing Controlled"),IF($X44&lt;$W44,"End before start","OK"))))</f>
        <v/>
      </c>
      <c r="BX44" s="23" t="str">
        <f aca="false">IF($A44="","",IF(NOT(ISNUMBER($Z44)),"",ROUND((IF(ISNUMBER($U44),MIN($U44,$Z44),$Z44)-$B44)*24,4)))</f>
        <v/>
      </c>
      <c r="BY44" s="23" t="str">
        <f aca="false">IF($A44="","",IF(ISNUMBER($Z44),ROUND(($Z44-$B44)*24,4),""))</f>
        <v/>
      </c>
      <c r="BZ44" s="23" t="str">
        <f aca="false">IF($A44="","",IF(AND(ISNUMBER($W44),ISNUMBER($S44)),ROUND(($W44+$S44/1440-$B44)*24,4),""))</f>
        <v/>
      </c>
    </row>
    <row r="45" customFormat="false" ht="15" hidden="false" customHeight="true" outlineLevel="0" collapsed="false">
      <c r="A45" s="47"/>
      <c r="B45" s="47"/>
      <c r="D45" s="4" t="str">
        <f aca="false">IF($A45="","",$B45-$A45)</f>
        <v/>
      </c>
      <c r="E45" s="4" t="str">
        <f aca="false">IF($A45="","",IFERROR(VLOOKUP($C45,Dim_Fund!$A:$X,24,0),""))</f>
        <v/>
      </c>
      <c r="F45" s="37" t="str">
        <f aca="false">IF($A45="","",IF(COUNTIFS(Status_Log!$A:$A,$A45,Status_Log!$B:$B,$B45,Status_Log!$C:$C,$C45,Status_Log!$D:$D,"Changed to the status of Calculated")=0,"",_xlfn.MINIFS(Status_Log!$E:$E,Status_Log!$A:$A,$A45,Status_Log!$B:$B,$B45,Status_Log!$C:$C,$C45,Status_Log!$D:$D,"Changed to the status of Calculated")))</f>
        <v/>
      </c>
      <c r="G45" s="37" t="str">
        <f aca="false">IF($A45="","",IF(COUNTIFS(Status_Log!$A:$A,$A45,Status_Log!$B:$B,$B45,Status_Log!$C:$C,$C45,Status_Log!$D:$D,"Changed to the status of Controlled")=0,"",_xlfn.MAXIFS(Status_Log!$E:$E,Status_Log!$A:$A,$A45,Status_Log!$B:$B,$B45,Status_Log!$C:$C,$C45,Status_Log!$D:$D,"Changed to the status of Controlled")))</f>
        <v/>
      </c>
      <c r="H45" s="37" t="str">
        <f aca="false">IF($A45="","",IF(COUNTIFS(Status_Log!$A:$A,$A45,Status_Log!$B:$B,$B45,Status_Log!$C:$C,$C45,Status_Log!$D:$D,"Changed to the status of Fund accounting signed off")=0,"",_xlfn.MAXIFS(Status_Log!$E:$E,Status_Log!$A:$A,$A45,Status_Log!$B:$B,$B45,Status_Log!$C:$C,$C45,Status_Log!$D:$D,"Changed to the status of Fund accounting signed off")))</f>
        <v/>
      </c>
      <c r="I45" s="37" t="str">
        <f aca="false">IF($A45="","",IF(COUNTIFS(Status_Log!$A:$A,$A45,Status_Log!$B:$B,$B45,Status_Log!$C:$C,$C45,Status_Log!$D:$D,"Changed to the status of signed off")=0,"",_xlfn.MAXIFS(Status_Log!$E:$E,Status_Log!$A:$A,$A45,Status_Log!$B:$B,$B45,Status_Log!$C:$C,$C45,Status_Log!$D:$D,"Changed to the status of signed off")))</f>
        <v/>
      </c>
      <c r="J45" s="4" t="str">
        <f aca="false">IF($A45="","",COUNTIFS(Status_Log!$A:$A,$A45,Status_Log!$B:$B,$B45,Status_Log!$C:$C,$C45,Status_Log!$D:$D,"Changed to the status of Calculated"))</f>
        <v/>
      </c>
      <c r="K45" s="38" t="str">
        <f aca="false">IF($A45="","",IF(J45&lt;=1,0,ROUND((_xlfn.MAXIFS(Status_Log!$E:$E,Status_Log!$A:$A,$A45,Status_Log!$B:$B,$B45,Status_Log!$C:$C,$C45,Status_Log!$D:$D,"Changed to the status of Calculated")-F45)*1440,0)))</f>
        <v/>
      </c>
      <c r="L45" s="4" t="str">
        <f aca="false">IF($A45="","",IFERROR(INDEX(Status_Log!$F:$F,MATCH($A45&amp;"|"&amp;$B45&amp;"|"&amp;$C45&amp;"|Changed to the status of Calculated|"&amp;TEXT(_xlfn.MAXIFS(Status_Log!$E:$E,Status_Log!$A:$A,$A45,Status_Log!$B:$B,$B45,Status_Log!$C:$C,$C45,Status_Log!$D:$D,"Changed to the status of Calculated"),"0.000000"),Status_Log!$H:$H,0)),""))</f>
        <v/>
      </c>
      <c r="M45" s="4" t="str">
        <f aca="false">IF($A45="","",IF(E45="Client","n/a — no control step",IFERROR(INDEX(Status_Log!$F:$F,MATCH($A45&amp;"|"&amp;$B45&amp;"|"&amp;$C45&amp;"|Changed to the status of Controlled|"&amp;TEXT(_xlfn.MAXIFS(Status_Log!$E:$E,Status_Log!$A:$A,$A45,Status_Log!$B:$B,$B45,Status_Log!$C:$C,$C45,Status_Log!$D:$D,"Changed to the status of Controlled"),"0.000000"),Status_Log!$H:$H,0)),"")))</f>
        <v/>
      </c>
      <c r="N45" s="4" t="str">
        <f aca="false">IF($A45="","",IFERROR(VLOOKUP($C45,Dim_Fund!$A:$G,7,0),""))</f>
        <v/>
      </c>
      <c r="O45" s="4" t="str">
        <f aca="false">IF($A45="","",IF(L45=N45,"No","Yes"))</f>
        <v/>
      </c>
      <c r="P45" s="4" t="str">
        <f aca="false">IF($A45="","",IF(E45="Client","n/a",IF(L45=M45,"YES — four-eyes breach","No")))</f>
        <v/>
      </c>
      <c r="Q45" s="38" t="str">
        <f aca="false">IF($A45="","",IFERROR(VLOOKUP($C45,Dim_Fund!$A:$AB,28,0),""))</f>
        <v/>
      </c>
      <c r="R45" s="38" t="str">
        <f aca="false">IF($A45="","",IFERROR(VLOOKUP($C45,Dim_Fund!$A:$AC,29,0),""))</f>
        <v/>
      </c>
      <c r="S45" s="38" t="str">
        <f aca="false">IF($A45="","",IFERROR(VLOOKUP($C45,Dim_Fund!$A:$AD,30,0),""))</f>
        <v/>
      </c>
      <c r="T45" s="38" t="str">
        <f aca="false">IF($A45="","",IFERROR(VLOOKUP($C45,Dim_Fund!$A:$AL,38,0),""))</f>
        <v/>
      </c>
      <c r="U45" s="37" t="str">
        <f aca="false">IF($A45="","",IF(AL45="","",IFERROR(IF(COUNTIFS(Fact_Milestone!$A:$A,$B45,Fact_Milestone!$B:$B,AL45)=0,"",_xlfn.MAXIFS(Fact_Milestone!$C:$C,Fact_Milestone!$A:$A,$B45,Fact_Milestone!$B:$B,AL45)),"")))</f>
        <v/>
      </c>
      <c r="V45" s="37" t="str">
        <f aca="false">IF($A45="","",IFERROR(IF(VLOOKUP($C45,Dim_Fund!$A:$AI,35,0)&gt;0,$B45+VLOOKUP($C45,Dim_Fund!$A:$AI,35,0)/24,""),""))</f>
        <v/>
      </c>
      <c r="W45" s="37" t="str">
        <f aca="false">IF($A45="","",F45)</f>
        <v/>
      </c>
      <c r="X45" s="37" t="str">
        <f aca="false">IF($A45="","",IF(E45="Client",H45,G45))</f>
        <v/>
      </c>
      <c r="Y45" s="37" t="str">
        <f aca="false">IF($A45="","",I45)</f>
        <v/>
      </c>
      <c r="Z45" s="37" t="str">
        <f aca="false">IF($A45="","",IFERROR(W45-R45/1440,""))</f>
        <v/>
      </c>
      <c r="AA45" s="38" t="str">
        <f aca="false">IF($A45="","",IF(OR(U45="",V45=""),"",ROUND((V45-U45)*1440,0)))</f>
        <v/>
      </c>
      <c r="AB45" s="38" t="str">
        <f aca="false">IF($A45="","",IF(U45="","",ROUND((W45-U45)*1440,0)))</f>
        <v/>
      </c>
      <c r="AC45" s="38" t="str">
        <f aca="false">IF($A45="","",IF(AB45="","",MAX(0,AB45)))</f>
        <v/>
      </c>
      <c r="AD45" s="38" t="str">
        <f aca="false">IF($A45="","",IFERROR(ROUND((X45-W45)*1440,0),""))</f>
        <v/>
      </c>
      <c r="AE45" s="38" t="str">
        <f aca="false">IF($A45="","",IF(E45="Client","n/a",IFERROR(ROUND((H45-G45)*1440,0),"")))</f>
        <v/>
      </c>
      <c r="AF45" s="38" t="str">
        <f aca="false">IF($A45="","",IFERROR(ROUND((Y45-H45)*1440,0),""))</f>
        <v/>
      </c>
      <c r="AG45" s="38" t="str">
        <f aca="false">IF($A45="","",IFERROR(ROUND((H45-F45)*1440,0),""))</f>
        <v/>
      </c>
      <c r="AH45" s="38" t="str">
        <f aca="false">IF($A45="","",IFERROR(ROUND((Y45-V45)*1440,0),""))</f>
        <v/>
      </c>
      <c r="AI45" s="4" t="str">
        <f aca="false">IF($A45="","",IF(AH45="","",IF(AH45&gt;0,"Yes","No")))</f>
        <v/>
      </c>
      <c r="AJ45" s="4" t="str">
        <f aca="false">IF($A45="","",IF(AI45&lt;&gt;"Yes","On time",IF(N(AC45)&gt;=MAX(N(AF45),N(K45)),"Wait for analyst",IF(N(AF45)&gt;=N(K45),"External sign-off","Rework"))))</f>
        <v/>
      </c>
      <c r="AK45" s="4" t="str">
        <f aca="false">IF($A45="","",IF(OR(F45="",Y45="",ISNA(MATCH(L45,Dim_Analyst!$A:$A,0))),"CHECK","OK"))</f>
        <v/>
      </c>
      <c r="AL45" s="4" t="str">
        <f aca="false">IF($A45="","",IFERROR(VLOOKUP($C45,Dim_Fund!$A:$U,21,0),""))</f>
        <v/>
      </c>
      <c r="AM45" s="4" t="str">
        <f aca="false">IF($A45="","",IF($U45="","",IF($U45&gt;$B45+IFERROR(VLOOKUP($C45,Dim_Fund!$A:$AH,34,0),0)/24,"Yes","No")))</f>
        <v/>
      </c>
      <c r="AN45" s="22" t="str">
        <f aca="false">IF($A45="","",IFERROR(VLOOKUP($C45,Dim_Fund!$A:$AH,34,0),""))</f>
        <v/>
      </c>
      <c r="AO45" s="22" t="str">
        <f aca="false">IF($A45="","",IF($AL45="","",IFERROR(FLOOR(IF(COUNTIFS(Fact_Milestone!$A:$A,$B45,Fact_Milestone!$B:$B,$AL45,Fact_Milestone!$F:$F,"&gt;0")&gt;0,_xlfn.MINIFS(Fact_Milestone!$F:$F,Fact_Milestone!$A:$A,$B45,Fact_Milestone!$B:$B,$AL45,Fact_Milestone!$F:$F,"&gt;0"),VLOOKUP($AL45,Dim_TOP!$A:$E,5,0)),0.5),"")))</f>
        <v/>
      </c>
      <c r="AP45" s="22" t="str">
        <f aca="false">IF($A45="","",IF($U45="","",ROUND(($U45-INT($U45))*24,4)))</f>
        <v/>
      </c>
      <c r="AQ45" s="22" t="str">
        <f aca="false">IF($A45="","",IF($W45="","",ROUND(($W45-INT($W45))*24,4)))</f>
        <v/>
      </c>
      <c r="AR45" s="22" t="str">
        <f aca="false">IF($A45="","",IF($X45="","",ROUND(($X45-INT($X45))*24,4)))</f>
        <v/>
      </c>
      <c r="AS45" s="38" t="str">
        <f aca="false">IF($A45="","",IF(OR($AN45="",$V45="",$S45="",$T45=""),"",ROUND(($V45-($B45+$AN45/24))*1440-$S45-$T45,0)))</f>
        <v/>
      </c>
      <c r="AT45" s="38" t="str">
        <f aca="false">IF($A45="","",IF(OR($AN45="",$U45=""),"",ROUND(($U45-($B45+$AN45/24))*1440,0)))</f>
        <v/>
      </c>
      <c r="AU45" s="38" t="str">
        <f aca="false">IF($A45="","",IF(OR($AD45="",$S45=""),"",ROUND($AD45-$S45,0)))</f>
        <v/>
      </c>
      <c r="AV45" s="38" t="str">
        <f aca="false">IF($A45="","",N($AE45))</f>
        <v/>
      </c>
      <c r="AW45" s="38" t="str">
        <f aca="false">IF($A45="","",IF(OR($AF45="",$T45=""),"",$AF45-$T45))</f>
        <v/>
      </c>
      <c r="AX45" s="38" t="str">
        <f aca="false">IF($A45="","",IF(COUNT($AT45,$AB45,$AU45,$AW45,$AS45,$AH45)&lt;6,"",ROUND($AT45+$AB45+$AU45+$AV45+$AW45-$AS45-$AH45,0)))</f>
        <v/>
      </c>
      <c r="AY45" s="4" t="str">
        <f aca="false">IF($A45="","",IF($AX45="","No",IF(ABS($AX45)&lt;=2,"Yes","No")))</f>
        <v/>
      </c>
      <c r="AZ45" s="4" t="str">
        <f aca="false">IF($A45="","",IF($AI45&lt;&gt;"Yes","n/a",IF(OR($AA45="",$S45="",$T45=""),"Unknown",IF($AA45&lt;$S45+$T45,"Lost on arrival","Lost after arrival"))))</f>
        <v/>
      </c>
      <c r="BA45" s="10" t="str">
        <f aca="false">IF($A45="","",IFERROR(VLOOKUP($C45,Dim_Fund!$A:$D,4,0),""))</f>
        <v/>
      </c>
      <c r="BB45" s="10" t="str">
        <f aca="false">IF($A45="","",IF($AL45="","",IF(COUNTIFS(Fact_Milestone!$A:$A,$B45,Fact_Milestone!$B:$B,$AL45,Fact_Milestone!$I:$I,"No")&gt;0,"No",IF(COUNTIFS(Fact_Milestone!$A:$A,$B45,Fact_Milestone!$B:$B,$AL45,Fact_Milestone!$I:$I,"Yes")&gt;0,"Yes",""))))</f>
        <v/>
      </c>
      <c r="BC45" s="45" t="str">
        <f aca="false">IF($A45="","",IF(OR($L45="",$W45=""),"",IF(COUNTIFS($L:$L,$L45,$B:$B,$B45,$W:$W,"&lt;"&amp;$W45)=0,"",_xlfn.MAXIFS($W:$W,$L:$L,$L45,$B:$B,$B45,$W:$W,"&lt;"&amp;$W45))))</f>
        <v/>
      </c>
      <c r="BD45" s="39" t="str">
        <f aca="false">IF($A45="","",IF($AC45="","",IF(OR($L45="",$AC45=0),0,MIN($AC45,ROUND(ROUND(1440*SUMPRODUCT(($L$2:INDEX($L:$L,COUNTA($C:$C))=$L45)*($B$2:INDEX($B:$B,COUNTA($C:$C))=$B45)*(ROW($L$2:INDEX($L:$L,COUNTA($C:$C)))&lt;&gt;ROW())*((((($W45+$BT$2:INDEX($BT:$BT,COUNTA($C:$C))-ABS($W45-$BT$2:INDEX($BT:$BT,COUNTA($C:$C))))/2)-(($U45+$BS$2:INDEX($BS:$BS,COUNTA($C:$C))+ABS($U45-$BS$2:INDEX($BS:$BS,COUNTA($C:$C))))/2))+ABS(((($W45+$BT$2:INDEX($BT:$BT,COUNTA($C:$C))-ABS($W45-$BT$2:INDEX($BT:$BT,COUNTA($C:$C))))/2)-(($U45+$BS$2:INDEX($BS:$BS,COUNTA($C:$C))+ABS($U45-$BS$2:INDEX($BS:$BS,COUNTA($C:$C))))/2))))/2)),4),0)))))</f>
        <v/>
      </c>
      <c r="BE45" s="39" t="str">
        <f aca="false">IF($A45="","",IF($AC45="","",ROUND(MIN($AC45-$BD45,N($R45)),0)))</f>
        <v/>
      </c>
      <c r="BF45" s="10" t="str">
        <f aca="false">IF($A45="","",IFERROR(VLOOKUP($C45,Dim_Fund!$A:$BD,56,0),""))</f>
        <v/>
      </c>
      <c r="BG45" s="10" t="str">
        <f aca="false">IF($A45="","",IFERROR(VLOOKUP($C45,Dim_Fund!$A:$BH,60,0),""))</f>
        <v/>
      </c>
      <c r="BH45" s="10" t="str">
        <f aca="false">IF($A45="","",IF($AI45&lt;&gt;"Yes","Not breached",IF($AM45="Yes","Pricing late",IF($BG45="Thin custody slack","Thin custody slack",IF($BF45="Yes","Broker-dependent","None of these")))))</f>
        <v/>
      </c>
      <c r="BI45" s="23" t="str">
        <f aca="false">IF($A45="","",IFERROR(IF(VLOOKUP($C45,Dim_Fund!$A:$AI,35,0)&gt;0,VLOOKUP($C45,Dim_Fund!$A:$AI,35,0),""),""))</f>
        <v/>
      </c>
      <c r="BJ45" s="10" t="str">
        <f aca="false">IF($A45="","",$C45&amp;IF($E45="Client","*",""))</f>
        <v/>
      </c>
      <c r="BK45" s="39" t="str">
        <f aca="false">IF($A45="","",IFERROR(ROUND(($Y45-$X45)*1440,0),""))</f>
        <v/>
      </c>
      <c r="BL45" s="39" t="str">
        <f aca="false">IF($A45="","",IF($AH45="","",-$AH45))</f>
        <v/>
      </c>
      <c r="BM45" s="46" t="str">
        <f aca="false">IF($A45="","",IF($AQ45="","",IF($AP45="",$AQ45,MIN($AP45,$AQ45))))</f>
        <v/>
      </c>
      <c r="BN45" s="46" t="str">
        <f aca="false">IF($A45="","",IF($BM45="","",ROUND(N($AC45)/60,4)))</f>
        <v/>
      </c>
      <c r="BO45" s="46" t="str">
        <f aca="false">IF($A45="","",IF(OR($BM45="",$AD45=""),"",ROUND($AD45/60,4)))</f>
        <v/>
      </c>
      <c r="BP45" s="46" t="str">
        <f aca="false">IF($A45="","",IF($BM45="","",ROUND(N($AE45)/60,4)))</f>
        <v/>
      </c>
      <c r="BQ45" s="46" t="str">
        <f aca="false">IF($A45="","",IF(OR($BM45="",$AF45=""),"",ROUND($AF45/60,4)))</f>
        <v/>
      </c>
      <c r="BR45" s="39" t="str">
        <f aca="false">IF($A45="","",IF($AC45="","",$AC45-$BD45-$BE45))</f>
        <v/>
      </c>
      <c r="BS45" s="45" t="str">
        <f aca="false">IF($A45="","",IF(AND(ISNUMBER($Z45),ISNUMBER($W45)),$Z45,0))</f>
        <v/>
      </c>
      <c r="BT45" s="45" t="str">
        <f aca="false">IF($A45="","",IF(ISNUMBER($W45),$W45,0))</f>
        <v/>
      </c>
      <c r="BU45" s="23" t="str">
        <f aca="false">IF($A45="","",IF(ISNUMBER($W45),ROUND(($W45-$B45)*24,4),""))</f>
        <v/>
      </c>
      <c r="BV45" s="23" t="str">
        <f aca="false">IF($A45="","",IF(ISNUMBER($X45),ROUND(($X45-$B45)*24,4),""))</f>
        <v/>
      </c>
      <c r="BW45" s="10" t="str">
        <f aca="false">IF($A45="","",IF(NOT(ISNUMBER($W45)),"Missing Calculated",IF(NOT(ISNUMBER($X45)),IF($E45="Client","Missing FA signed off","Missing Controlled"),IF($X45&lt;$W45,"End before start","OK"))))</f>
        <v/>
      </c>
      <c r="BX45" s="23" t="str">
        <f aca="false">IF($A45="","",IF(NOT(ISNUMBER($Z45)),"",ROUND((IF(ISNUMBER($U45),MIN($U45,$Z45),$Z45)-$B45)*24,4)))</f>
        <v/>
      </c>
      <c r="BY45" s="23" t="str">
        <f aca="false">IF($A45="","",IF(ISNUMBER($Z45),ROUND(($Z45-$B45)*24,4),""))</f>
        <v/>
      </c>
      <c r="BZ45" s="23" t="str">
        <f aca="false">IF($A45="","",IF(AND(ISNUMBER($W45),ISNUMBER($S45)),ROUND(($W45+$S45/1440-$B45)*24,4),""))</f>
        <v/>
      </c>
    </row>
    <row r="46" customFormat="false" ht="15" hidden="false" customHeight="true" outlineLevel="0" collapsed="false">
      <c r="A46" s="47"/>
      <c r="B46" s="47"/>
      <c r="D46" s="4" t="str">
        <f aca="false">IF($A46="","",$B46-$A46)</f>
        <v/>
      </c>
      <c r="E46" s="4" t="str">
        <f aca="false">IF($A46="","",IFERROR(VLOOKUP($C46,Dim_Fund!$A:$X,24,0),""))</f>
        <v/>
      </c>
      <c r="F46" s="37" t="str">
        <f aca="false">IF($A46="","",IF(COUNTIFS(Status_Log!$A:$A,$A46,Status_Log!$B:$B,$B46,Status_Log!$C:$C,$C46,Status_Log!$D:$D,"Changed to the status of Calculated")=0,"",_xlfn.MINIFS(Status_Log!$E:$E,Status_Log!$A:$A,$A46,Status_Log!$B:$B,$B46,Status_Log!$C:$C,$C46,Status_Log!$D:$D,"Changed to the status of Calculated")))</f>
        <v/>
      </c>
      <c r="G46" s="37" t="str">
        <f aca="false">IF($A46="","",IF(COUNTIFS(Status_Log!$A:$A,$A46,Status_Log!$B:$B,$B46,Status_Log!$C:$C,$C46,Status_Log!$D:$D,"Changed to the status of Controlled")=0,"",_xlfn.MAXIFS(Status_Log!$E:$E,Status_Log!$A:$A,$A46,Status_Log!$B:$B,$B46,Status_Log!$C:$C,$C46,Status_Log!$D:$D,"Changed to the status of Controlled")))</f>
        <v/>
      </c>
      <c r="H46" s="37" t="str">
        <f aca="false">IF($A46="","",IF(COUNTIFS(Status_Log!$A:$A,$A46,Status_Log!$B:$B,$B46,Status_Log!$C:$C,$C46,Status_Log!$D:$D,"Changed to the status of Fund accounting signed off")=0,"",_xlfn.MAXIFS(Status_Log!$E:$E,Status_Log!$A:$A,$A46,Status_Log!$B:$B,$B46,Status_Log!$C:$C,$C46,Status_Log!$D:$D,"Changed to the status of Fund accounting signed off")))</f>
        <v/>
      </c>
      <c r="I46" s="37" t="str">
        <f aca="false">IF($A46="","",IF(COUNTIFS(Status_Log!$A:$A,$A46,Status_Log!$B:$B,$B46,Status_Log!$C:$C,$C46,Status_Log!$D:$D,"Changed to the status of signed off")=0,"",_xlfn.MAXIFS(Status_Log!$E:$E,Status_Log!$A:$A,$A46,Status_Log!$B:$B,$B46,Status_Log!$C:$C,$C46,Status_Log!$D:$D,"Changed to the status of signed off")))</f>
        <v/>
      </c>
      <c r="J46" s="4" t="str">
        <f aca="false">IF($A46="","",COUNTIFS(Status_Log!$A:$A,$A46,Status_Log!$B:$B,$B46,Status_Log!$C:$C,$C46,Status_Log!$D:$D,"Changed to the status of Calculated"))</f>
        <v/>
      </c>
      <c r="K46" s="38" t="str">
        <f aca="false">IF($A46="","",IF(J46&lt;=1,0,ROUND((_xlfn.MAXIFS(Status_Log!$E:$E,Status_Log!$A:$A,$A46,Status_Log!$B:$B,$B46,Status_Log!$C:$C,$C46,Status_Log!$D:$D,"Changed to the status of Calculated")-F46)*1440,0)))</f>
        <v/>
      </c>
      <c r="L46" s="4" t="str">
        <f aca="false">IF($A46="","",IFERROR(INDEX(Status_Log!$F:$F,MATCH($A46&amp;"|"&amp;$B46&amp;"|"&amp;$C46&amp;"|Changed to the status of Calculated|"&amp;TEXT(_xlfn.MAXIFS(Status_Log!$E:$E,Status_Log!$A:$A,$A46,Status_Log!$B:$B,$B46,Status_Log!$C:$C,$C46,Status_Log!$D:$D,"Changed to the status of Calculated"),"0.000000"),Status_Log!$H:$H,0)),""))</f>
        <v/>
      </c>
      <c r="M46" s="4" t="str">
        <f aca="false">IF($A46="","",IF(E46="Client","n/a — no control step",IFERROR(INDEX(Status_Log!$F:$F,MATCH($A46&amp;"|"&amp;$B46&amp;"|"&amp;$C46&amp;"|Changed to the status of Controlled|"&amp;TEXT(_xlfn.MAXIFS(Status_Log!$E:$E,Status_Log!$A:$A,$A46,Status_Log!$B:$B,$B46,Status_Log!$C:$C,$C46,Status_Log!$D:$D,"Changed to the status of Controlled"),"0.000000"),Status_Log!$H:$H,0)),"")))</f>
        <v/>
      </c>
      <c r="N46" s="4" t="str">
        <f aca="false">IF($A46="","",IFERROR(VLOOKUP($C46,Dim_Fund!$A:$G,7,0),""))</f>
        <v/>
      </c>
      <c r="O46" s="4" t="str">
        <f aca="false">IF($A46="","",IF(L46=N46,"No","Yes"))</f>
        <v/>
      </c>
      <c r="P46" s="4" t="str">
        <f aca="false">IF($A46="","",IF(E46="Client","n/a",IF(L46=M46,"YES — four-eyes breach","No")))</f>
        <v/>
      </c>
      <c r="Q46" s="38" t="str">
        <f aca="false">IF($A46="","",IFERROR(VLOOKUP($C46,Dim_Fund!$A:$AB,28,0),""))</f>
        <v/>
      </c>
      <c r="R46" s="38" t="str">
        <f aca="false">IF($A46="","",IFERROR(VLOOKUP($C46,Dim_Fund!$A:$AC,29,0),""))</f>
        <v/>
      </c>
      <c r="S46" s="38" t="str">
        <f aca="false">IF($A46="","",IFERROR(VLOOKUP($C46,Dim_Fund!$A:$AD,30,0),""))</f>
        <v/>
      </c>
      <c r="T46" s="38" t="str">
        <f aca="false">IF($A46="","",IFERROR(VLOOKUP($C46,Dim_Fund!$A:$AL,38,0),""))</f>
        <v/>
      </c>
      <c r="U46" s="37" t="str">
        <f aca="false">IF($A46="","",IF(AL46="","",IFERROR(IF(COUNTIFS(Fact_Milestone!$A:$A,$B46,Fact_Milestone!$B:$B,AL46)=0,"",_xlfn.MAXIFS(Fact_Milestone!$C:$C,Fact_Milestone!$A:$A,$B46,Fact_Milestone!$B:$B,AL46)),"")))</f>
        <v/>
      </c>
      <c r="V46" s="37" t="str">
        <f aca="false">IF($A46="","",IFERROR(IF(VLOOKUP($C46,Dim_Fund!$A:$AI,35,0)&gt;0,$B46+VLOOKUP($C46,Dim_Fund!$A:$AI,35,0)/24,""),""))</f>
        <v/>
      </c>
      <c r="W46" s="37" t="str">
        <f aca="false">IF($A46="","",F46)</f>
        <v/>
      </c>
      <c r="X46" s="37" t="str">
        <f aca="false">IF($A46="","",IF(E46="Client",H46,G46))</f>
        <v/>
      </c>
      <c r="Y46" s="37" t="str">
        <f aca="false">IF($A46="","",I46)</f>
        <v/>
      </c>
      <c r="Z46" s="37" t="str">
        <f aca="false">IF($A46="","",IFERROR(W46-R46/1440,""))</f>
        <v/>
      </c>
      <c r="AA46" s="38" t="str">
        <f aca="false">IF($A46="","",IF(OR(U46="",V46=""),"",ROUND((V46-U46)*1440,0)))</f>
        <v/>
      </c>
      <c r="AB46" s="38" t="str">
        <f aca="false">IF($A46="","",IF(U46="","",ROUND((W46-U46)*1440,0)))</f>
        <v/>
      </c>
      <c r="AC46" s="38" t="str">
        <f aca="false">IF($A46="","",IF(AB46="","",MAX(0,AB46)))</f>
        <v/>
      </c>
      <c r="AD46" s="38" t="str">
        <f aca="false">IF($A46="","",IFERROR(ROUND((X46-W46)*1440,0),""))</f>
        <v/>
      </c>
      <c r="AE46" s="38" t="str">
        <f aca="false">IF($A46="","",IF(E46="Client","n/a",IFERROR(ROUND((H46-G46)*1440,0),"")))</f>
        <v/>
      </c>
      <c r="AF46" s="38" t="str">
        <f aca="false">IF($A46="","",IFERROR(ROUND((Y46-H46)*1440,0),""))</f>
        <v/>
      </c>
      <c r="AG46" s="38" t="str">
        <f aca="false">IF($A46="","",IFERROR(ROUND((H46-F46)*1440,0),""))</f>
        <v/>
      </c>
      <c r="AH46" s="38" t="str">
        <f aca="false">IF($A46="","",IFERROR(ROUND((Y46-V46)*1440,0),""))</f>
        <v/>
      </c>
      <c r="AI46" s="4" t="str">
        <f aca="false">IF($A46="","",IF(AH46="","",IF(AH46&gt;0,"Yes","No")))</f>
        <v/>
      </c>
      <c r="AJ46" s="4" t="str">
        <f aca="false">IF($A46="","",IF(AI46&lt;&gt;"Yes","On time",IF(N(AC46)&gt;=MAX(N(AF46),N(K46)),"Wait for analyst",IF(N(AF46)&gt;=N(K46),"External sign-off","Rework"))))</f>
        <v/>
      </c>
      <c r="AK46" s="4" t="str">
        <f aca="false">IF($A46="","",IF(OR(F46="",Y46="",ISNA(MATCH(L46,Dim_Analyst!$A:$A,0))),"CHECK","OK"))</f>
        <v/>
      </c>
      <c r="AL46" s="4" t="str">
        <f aca="false">IF($A46="","",IFERROR(VLOOKUP($C46,Dim_Fund!$A:$U,21,0),""))</f>
        <v/>
      </c>
      <c r="AM46" s="4" t="str">
        <f aca="false">IF($A46="","",IF($U46="","",IF($U46&gt;$B46+IFERROR(VLOOKUP($C46,Dim_Fund!$A:$AH,34,0),0)/24,"Yes","No")))</f>
        <v/>
      </c>
      <c r="AN46" s="22" t="str">
        <f aca="false">IF($A46="","",IFERROR(VLOOKUP($C46,Dim_Fund!$A:$AH,34,0),""))</f>
        <v/>
      </c>
      <c r="AO46" s="22" t="str">
        <f aca="false">IF($A46="","",IF($AL46="","",IFERROR(FLOOR(IF(COUNTIFS(Fact_Milestone!$A:$A,$B46,Fact_Milestone!$B:$B,$AL46,Fact_Milestone!$F:$F,"&gt;0")&gt;0,_xlfn.MINIFS(Fact_Milestone!$F:$F,Fact_Milestone!$A:$A,$B46,Fact_Milestone!$B:$B,$AL46,Fact_Milestone!$F:$F,"&gt;0"),VLOOKUP($AL46,Dim_TOP!$A:$E,5,0)),0.5),"")))</f>
        <v/>
      </c>
      <c r="AP46" s="22" t="str">
        <f aca="false">IF($A46="","",IF($U46="","",ROUND(($U46-INT($U46))*24,4)))</f>
        <v/>
      </c>
      <c r="AQ46" s="22" t="str">
        <f aca="false">IF($A46="","",IF($W46="","",ROUND(($W46-INT($W46))*24,4)))</f>
        <v/>
      </c>
      <c r="AR46" s="22" t="str">
        <f aca="false">IF($A46="","",IF($X46="","",ROUND(($X46-INT($X46))*24,4)))</f>
        <v/>
      </c>
      <c r="AS46" s="38" t="str">
        <f aca="false">IF($A46="","",IF(OR($AN46="",$V46="",$S46="",$T46=""),"",ROUND(($V46-($B46+$AN46/24))*1440-$S46-$T46,0)))</f>
        <v/>
      </c>
      <c r="AT46" s="38" t="str">
        <f aca="false">IF($A46="","",IF(OR($AN46="",$U46=""),"",ROUND(($U46-($B46+$AN46/24))*1440,0)))</f>
        <v/>
      </c>
      <c r="AU46" s="38" t="str">
        <f aca="false">IF($A46="","",IF(OR($AD46="",$S46=""),"",ROUND($AD46-$S46,0)))</f>
        <v/>
      </c>
      <c r="AV46" s="38" t="str">
        <f aca="false">IF($A46="","",N($AE46))</f>
        <v/>
      </c>
      <c r="AW46" s="38" t="str">
        <f aca="false">IF($A46="","",IF(OR($AF46="",$T46=""),"",$AF46-$T46))</f>
        <v/>
      </c>
      <c r="AX46" s="38" t="str">
        <f aca="false">IF($A46="","",IF(COUNT($AT46,$AB46,$AU46,$AW46,$AS46,$AH46)&lt;6,"",ROUND($AT46+$AB46+$AU46+$AV46+$AW46-$AS46-$AH46,0)))</f>
        <v/>
      </c>
      <c r="AY46" s="4" t="str">
        <f aca="false">IF($A46="","",IF($AX46="","No",IF(ABS($AX46)&lt;=2,"Yes","No")))</f>
        <v/>
      </c>
      <c r="AZ46" s="4" t="str">
        <f aca="false">IF($A46="","",IF($AI46&lt;&gt;"Yes","n/a",IF(OR($AA46="",$S46="",$T46=""),"Unknown",IF($AA46&lt;$S46+$T46,"Lost on arrival","Lost after arrival"))))</f>
        <v/>
      </c>
      <c r="BA46" s="10" t="str">
        <f aca="false">IF($A46="","",IFERROR(VLOOKUP($C46,Dim_Fund!$A:$D,4,0),""))</f>
        <v/>
      </c>
      <c r="BB46" s="10" t="str">
        <f aca="false">IF($A46="","",IF($AL46="","",IF(COUNTIFS(Fact_Milestone!$A:$A,$B46,Fact_Milestone!$B:$B,$AL46,Fact_Milestone!$I:$I,"No")&gt;0,"No",IF(COUNTIFS(Fact_Milestone!$A:$A,$B46,Fact_Milestone!$B:$B,$AL46,Fact_Milestone!$I:$I,"Yes")&gt;0,"Yes",""))))</f>
        <v/>
      </c>
      <c r="BC46" s="45" t="str">
        <f aca="false">IF($A46="","",IF(OR($L46="",$W46=""),"",IF(COUNTIFS($L:$L,$L46,$B:$B,$B46,$W:$W,"&lt;"&amp;$W46)=0,"",_xlfn.MAXIFS($W:$W,$L:$L,$L46,$B:$B,$B46,$W:$W,"&lt;"&amp;$W46))))</f>
        <v/>
      </c>
      <c r="BD46" s="39" t="str">
        <f aca="false">IF($A46="","",IF($AC46="","",IF(OR($L46="",$AC46=0),0,MIN($AC46,ROUND(ROUND(1440*SUMPRODUCT(($L$2:INDEX($L:$L,COUNTA($C:$C))=$L46)*($B$2:INDEX($B:$B,COUNTA($C:$C))=$B46)*(ROW($L$2:INDEX($L:$L,COUNTA($C:$C)))&lt;&gt;ROW())*((((($W46+$BT$2:INDEX($BT:$BT,COUNTA($C:$C))-ABS($W46-$BT$2:INDEX($BT:$BT,COUNTA($C:$C))))/2)-(($U46+$BS$2:INDEX($BS:$BS,COUNTA($C:$C))+ABS($U46-$BS$2:INDEX($BS:$BS,COUNTA($C:$C))))/2))+ABS(((($W46+$BT$2:INDEX($BT:$BT,COUNTA($C:$C))-ABS($W46-$BT$2:INDEX($BT:$BT,COUNTA($C:$C))))/2)-(($U46+$BS$2:INDEX($BS:$BS,COUNTA($C:$C))+ABS($U46-$BS$2:INDEX($BS:$BS,COUNTA($C:$C))))/2))))/2)),4),0)))))</f>
        <v/>
      </c>
      <c r="BE46" s="39" t="str">
        <f aca="false">IF($A46="","",IF($AC46="","",ROUND(MIN($AC46-$BD46,N($R46)),0)))</f>
        <v/>
      </c>
      <c r="BF46" s="10" t="str">
        <f aca="false">IF($A46="","",IFERROR(VLOOKUP($C46,Dim_Fund!$A:$BD,56,0),""))</f>
        <v/>
      </c>
      <c r="BG46" s="10" t="str">
        <f aca="false">IF($A46="","",IFERROR(VLOOKUP($C46,Dim_Fund!$A:$BH,60,0),""))</f>
        <v/>
      </c>
      <c r="BH46" s="10" t="str">
        <f aca="false">IF($A46="","",IF($AI46&lt;&gt;"Yes","Not breached",IF($AM46="Yes","Pricing late",IF($BG46="Thin custody slack","Thin custody slack",IF($BF46="Yes","Broker-dependent","None of these")))))</f>
        <v/>
      </c>
      <c r="BI46" s="23" t="str">
        <f aca="false">IF($A46="","",IFERROR(IF(VLOOKUP($C46,Dim_Fund!$A:$AI,35,0)&gt;0,VLOOKUP($C46,Dim_Fund!$A:$AI,35,0),""),""))</f>
        <v/>
      </c>
      <c r="BJ46" s="10" t="str">
        <f aca="false">IF($A46="","",$C46&amp;IF($E46="Client","*",""))</f>
        <v/>
      </c>
      <c r="BK46" s="39" t="str">
        <f aca="false">IF($A46="","",IFERROR(ROUND(($Y46-$X46)*1440,0),""))</f>
        <v/>
      </c>
      <c r="BL46" s="39" t="str">
        <f aca="false">IF($A46="","",IF($AH46="","",-$AH46))</f>
        <v/>
      </c>
      <c r="BM46" s="46" t="str">
        <f aca="false">IF($A46="","",IF($AQ46="","",IF($AP46="",$AQ46,MIN($AP46,$AQ46))))</f>
        <v/>
      </c>
      <c r="BN46" s="46" t="str">
        <f aca="false">IF($A46="","",IF($BM46="","",ROUND(N($AC46)/60,4)))</f>
        <v/>
      </c>
      <c r="BO46" s="46" t="str">
        <f aca="false">IF($A46="","",IF(OR($BM46="",$AD46=""),"",ROUND($AD46/60,4)))</f>
        <v/>
      </c>
      <c r="BP46" s="46" t="str">
        <f aca="false">IF($A46="","",IF($BM46="","",ROUND(N($AE46)/60,4)))</f>
        <v/>
      </c>
      <c r="BQ46" s="46" t="str">
        <f aca="false">IF($A46="","",IF(OR($BM46="",$AF46=""),"",ROUND($AF46/60,4)))</f>
        <v/>
      </c>
      <c r="BR46" s="39" t="str">
        <f aca="false">IF($A46="","",IF($AC46="","",$AC46-$BD46-$BE46))</f>
        <v/>
      </c>
      <c r="BS46" s="45" t="str">
        <f aca="false">IF($A46="","",IF(AND(ISNUMBER($Z46),ISNUMBER($W46)),$Z46,0))</f>
        <v/>
      </c>
      <c r="BT46" s="45" t="str">
        <f aca="false">IF($A46="","",IF(ISNUMBER($W46),$W46,0))</f>
        <v/>
      </c>
      <c r="BU46" s="23" t="str">
        <f aca="false">IF($A46="","",IF(ISNUMBER($W46),ROUND(($W46-$B46)*24,4),""))</f>
        <v/>
      </c>
      <c r="BV46" s="23" t="str">
        <f aca="false">IF($A46="","",IF(ISNUMBER($X46),ROUND(($X46-$B46)*24,4),""))</f>
        <v/>
      </c>
      <c r="BW46" s="10" t="str">
        <f aca="false">IF($A46="","",IF(NOT(ISNUMBER($W46)),"Missing Calculated",IF(NOT(ISNUMBER($X46)),IF($E46="Client","Missing FA signed off","Missing Controlled"),IF($X46&lt;$W46,"End before start","OK"))))</f>
        <v/>
      </c>
      <c r="BX46" s="23" t="str">
        <f aca="false">IF($A46="","",IF(NOT(ISNUMBER($Z46)),"",ROUND((IF(ISNUMBER($U46),MIN($U46,$Z46),$Z46)-$B46)*24,4)))</f>
        <v/>
      </c>
      <c r="BY46" s="23" t="str">
        <f aca="false">IF($A46="","",IF(ISNUMBER($Z46),ROUND(($Z46-$B46)*24,4),""))</f>
        <v/>
      </c>
      <c r="BZ46" s="23" t="str">
        <f aca="false">IF($A46="","",IF(AND(ISNUMBER($W46),ISNUMBER($S46)),ROUND(($W46+$S46/1440-$B46)*24,4),""))</f>
        <v/>
      </c>
    </row>
    <row r="47" customFormat="false" ht="15" hidden="false" customHeight="true" outlineLevel="0" collapsed="false">
      <c r="A47" s="47"/>
      <c r="B47" s="47"/>
      <c r="D47" s="4" t="str">
        <f aca="false">IF($A47="","",$B47-$A47)</f>
        <v/>
      </c>
      <c r="E47" s="4" t="str">
        <f aca="false">IF($A47="","",IFERROR(VLOOKUP($C47,Dim_Fund!$A:$X,24,0),""))</f>
        <v/>
      </c>
      <c r="F47" s="37" t="str">
        <f aca="false">IF($A47="","",IF(COUNTIFS(Status_Log!$A:$A,$A47,Status_Log!$B:$B,$B47,Status_Log!$C:$C,$C47,Status_Log!$D:$D,"Changed to the status of Calculated")=0,"",_xlfn.MINIFS(Status_Log!$E:$E,Status_Log!$A:$A,$A47,Status_Log!$B:$B,$B47,Status_Log!$C:$C,$C47,Status_Log!$D:$D,"Changed to the status of Calculated")))</f>
        <v/>
      </c>
      <c r="G47" s="37" t="str">
        <f aca="false">IF($A47="","",IF(COUNTIFS(Status_Log!$A:$A,$A47,Status_Log!$B:$B,$B47,Status_Log!$C:$C,$C47,Status_Log!$D:$D,"Changed to the status of Controlled")=0,"",_xlfn.MAXIFS(Status_Log!$E:$E,Status_Log!$A:$A,$A47,Status_Log!$B:$B,$B47,Status_Log!$C:$C,$C47,Status_Log!$D:$D,"Changed to the status of Controlled")))</f>
        <v/>
      </c>
      <c r="H47" s="37" t="str">
        <f aca="false">IF($A47="","",IF(COUNTIFS(Status_Log!$A:$A,$A47,Status_Log!$B:$B,$B47,Status_Log!$C:$C,$C47,Status_Log!$D:$D,"Changed to the status of Fund accounting signed off")=0,"",_xlfn.MAXIFS(Status_Log!$E:$E,Status_Log!$A:$A,$A47,Status_Log!$B:$B,$B47,Status_Log!$C:$C,$C47,Status_Log!$D:$D,"Changed to the status of Fund accounting signed off")))</f>
        <v/>
      </c>
      <c r="I47" s="37" t="str">
        <f aca="false">IF($A47="","",IF(COUNTIFS(Status_Log!$A:$A,$A47,Status_Log!$B:$B,$B47,Status_Log!$C:$C,$C47,Status_Log!$D:$D,"Changed to the status of signed off")=0,"",_xlfn.MAXIFS(Status_Log!$E:$E,Status_Log!$A:$A,$A47,Status_Log!$B:$B,$B47,Status_Log!$C:$C,$C47,Status_Log!$D:$D,"Changed to the status of signed off")))</f>
        <v/>
      </c>
      <c r="J47" s="4" t="str">
        <f aca="false">IF($A47="","",COUNTIFS(Status_Log!$A:$A,$A47,Status_Log!$B:$B,$B47,Status_Log!$C:$C,$C47,Status_Log!$D:$D,"Changed to the status of Calculated"))</f>
        <v/>
      </c>
      <c r="K47" s="38" t="str">
        <f aca="false">IF($A47="","",IF(J47&lt;=1,0,ROUND((_xlfn.MAXIFS(Status_Log!$E:$E,Status_Log!$A:$A,$A47,Status_Log!$B:$B,$B47,Status_Log!$C:$C,$C47,Status_Log!$D:$D,"Changed to the status of Calculated")-F47)*1440,0)))</f>
        <v/>
      </c>
      <c r="L47" s="4" t="str">
        <f aca="false">IF($A47="","",IFERROR(INDEX(Status_Log!$F:$F,MATCH($A47&amp;"|"&amp;$B47&amp;"|"&amp;$C47&amp;"|Changed to the status of Calculated|"&amp;TEXT(_xlfn.MAXIFS(Status_Log!$E:$E,Status_Log!$A:$A,$A47,Status_Log!$B:$B,$B47,Status_Log!$C:$C,$C47,Status_Log!$D:$D,"Changed to the status of Calculated"),"0.000000"),Status_Log!$H:$H,0)),""))</f>
        <v/>
      </c>
      <c r="M47" s="4" t="str">
        <f aca="false">IF($A47="","",IF(E47="Client","n/a — no control step",IFERROR(INDEX(Status_Log!$F:$F,MATCH($A47&amp;"|"&amp;$B47&amp;"|"&amp;$C47&amp;"|Changed to the status of Controlled|"&amp;TEXT(_xlfn.MAXIFS(Status_Log!$E:$E,Status_Log!$A:$A,$A47,Status_Log!$B:$B,$B47,Status_Log!$C:$C,$C47,Status_Log!$D:$D,"Changed to the status of Controlled"),"0.000000"),Status_Log!$H:$H,0)),"")))</f>
        <v/>
      </c>
      <c r="N47" s="4" t="str">
        <f aca="false">IF($A47="","",IFERROR(VLOOKUP($C47,Dim_Fund!$A:$G,7,0),""))</f>
        <v/>
      </c>
      <c r="O47" s="4" t="str">
        <f aca="false">IF($A47="","",IF(L47=N47,"No","Yes"))</f>
        <v/>
      </c>
      <c r="P47" s="4" t="str">
        <f aca="false">IF($A47="","",IF(E47="Client","n/a",IF(L47=M47,"YES — four-eyes breach","No")))</f>
        <v/>
      </c>
      <c r="Q47" s="38" t="str">
        <f aca="false">IF($A47="","",IFERROR(VLOOKUP($C47,Dim_Fund!$A:$AB,28,0),""))</f>
        <v/>
      </c>
      <c r="R47" s="38" t="str">
        <f aca="false">IF($A47="","",IFERROR(VLOOKUP($C47,Dim_Fund!$A:$AC,29,0),""))</f>
        <v/>
      </c>
      <c r="S47" s="38" t="str">
        <f aca="false">IF($A47="","",IFERROR(VLOOKUP($C47,Dim_Fund!$A:$AD,30,0),""))</f>
        <v/>
      </c>
      <c r="T47" s="38" t="str">
        <f aca="false">IF($A47="","",IFERROR(VLOOKUP($C47,Dim_Fund!$A:$AL,38,0),""))</f>
        <v/>
      </c>
      <c r="U47" s="37" t="str">
        <f aca="false">IF($A47="","",IF(AL47="","",IFERROR(IF(COUNTIFS(Fact_Milestone!$A:$A,$B47,Fact_Milestone!$B:$B,AL47)=0,"",_xlfn.MAXIFS(Fact_Milestone!$C:$C,Fact_Milestone!$A:$A,$B47,Fact_Milestone!$B:$B,AL47)),"")))</f>
        <v/>
      </c>
      <c r="V47" s="37" t="str">
        <f aca="false">IF($A47="","",IFERROR(IF(VLOOKUP($C47,Dim_Fund!$A:$AI,35,0)&gt;0,$B47+VLOOKUP($C47,Dim_Fund!$A:$AI,35,0)/24,""),""))</f>
        <v/>
      </c>
      <c r="W47" s="37" t="str">
        <f aca="false">IF($A47="","",F47)</f>
        <v/>
      </c>
      <c r="X47" s="37" t="str">
        <f aca="false">IF($A47="","",IF(E47="Client",H47,G47))</f>
        <v/>
      </c>
      <c r="Y47" s="37" t="str">
        <f aca="false">IF($A47="","",I47)</f>
        <v/>
      </c>
      <c r="Z47" s="37" t="str">
        <f aca="false">IF($A47="","",IFERROR(W47-R47/1440,""))</f>
        <v/>
      </c>
      <c r="AA47" s="38" t="str">
        <f aca="false">IF($A47="","",IF(OR(U47="",V47=""),"",ROUND((V47-U47)*1440,0)))</f>
        <v/>
      </c>
      <c r="AB47" s="38" t="str">
        <f aca="false">IF($A47="","",IF(U47="","",ROUND((W47-U47)*1440,0)))</f>
        <v/>
      </c>
      <c r="AC47" s="38" t="str">
        <f aca="false">IF($A47="","",IF(AB47="","",MAX(0,AB47)))</f>
        <v/>
      </c>
      <c r="AD47" s="38" t="str">
        <f aca="false">IF($A47="","",IFERROR(ROUND((X47-W47)*1440,0),""))</f>
        <v/>
      </c>
      <c r="AE47" s="38" t="str">
        <f aca="false">IF($A47="","",IF(E47="Client","n/a",IFERROR(ROUND((H47-G47)*1440,0),"")))</f>
        <v/>
      </c>
      <c r="AF47" s="38" t="str">
        <f aca="false">IF($A47="","",IFERROR(ROUND((Y47-H47)*1440,0),""))</f>
        <v/>
      </c>
      <c r="AG47" s="38" t="str">
        <f aca="false">IF($A47="","",IFERROR(ROUND((H47-F47)*1440,0),""))</f>
        <v/>
      </c>
      <c r="AH47" s="38" t="str">
        <f aca="false">IF($A47="","",IFERROR(ROUND((Y47-V47)*1440,0),""))</f>
        <v/>
      </c>
      <c r="AI47" s="4" t="str">
        <f aca="false">IF($A47="","",IF(AH47="","",IF(AH47&gt;0,"Yes","No")))</f>
        <v/>
      </c>
      <c r="AJ47" s="4" t="str">
        <f aca="false">IF($A47="","",IF(AI47&lt;&gt;"Yes","On time",IF(N(AC47)&gt;=MAX(N(AF47),N(K47)),"Wait for analyst",IF(N(AF47)&gt;=N(K47),"External sign-off","Rework"))))</f>
        <v/>
      </c>
      <c r="AK47" s="4" t="str">
        <f aca="false">IF($A47="","",IF(OR(F47="",Y47="",ISNA(MATCH(L47,Dim_Analyst!$A:$A,0))),"CHECK","OK"))</f>
        <v/>
      </c>
      <c r="AL47" s="4" t="str">
        <f aca="false">IF($A47="","",IFERROR(VLOOKUP($C47,Dim_Fund!$A:$U,21,0),""))</f>
        <v/>
      </c>
      <c r="AM47" s="4" t="str">
        <f aca="false">IF($A47="","",IF($U47="","",IF($U47&gt;$B47+IFERROR(VLOOKUP($C47,Dim_Fund!$A:$AH,34,0),0)/24,"Yes","No")))</f>
        <v/>
      </c>
      <c r="AN47" s="22" t="str">
        <f aca="false">IF($A47="","",IFERROR(VLOOKUP($C47,Dim_Fund!$A:$AH,34,0),""))</f>
        <v/>
      </c>
      <c r="AO47" s="22" t="str">
        <f aca="false">IF($A47="","",IF($AL47="","",IFERROR(FLOOR(IF(COUNTIFS(Fact_Milestone!$A:$A,$B47,Fact_Milestone!$B:$B,$AL47,Fact_Milestone!$F:$F,"&gt;0")&gt;0,_xlfn.MINIFS(Fact_Milestone!$F:$F,Fact_Milestone!$A:$A,$B47,Fact_Milestone!$B:$B,$AL47,Fact_Milestone!$F:$F,"&gt;0"),VLOOKUP($AL47,Dim_TOP!$A:$E,5,0)),0.5),"")))</f>
        <v/>
      </c>
      <c r="AP47" s="22" t="str">
        <f aca="false">IF($A47="","",IF($U47="","",ROUND(($U47-INT($U47))*24,4)))</f>
        <v/>
      </c>
      <c r="AQ47" s="22" t="str">
        <f aca="false">IF($A47="","",IF($W47="","",ROUND(($W47-INT($W47))*24,4)))</f>
        <v/>
      </c>
      <c r="AR47" s="22" t="str">
        <f aca="false">IF($A47="","",IF($X47="","",ROUND(($X47-INT($X47))*24,4)))</f>
        <v/>
      </c>
      <c r="AS47" s="38" t="str">
        <f aca="false">IF($A47="","",IF(OR($AN47="",$V47="",$S47="",$T47=""),"",ROUND(($V47-($B47+$AN47/24))*1440-$S47-$T47,0)))</f>
        <v/>
      </c>
      <c r="AT47" s="38" t="str">
        <f aca="false">IF($A47="","",IF(OR($AN47="",$U47=""),"",ROUND(($U47-($B47+$AN47/24))*1440,0)))</f>
        <v/>
      </c>
      <c r="AU47" s="38" t="str">
        <f aca="false">IF($A47="","",IF(OR($AD47="",$S47=""),"",ROUND($AD47-$S47,0)))</f>
        <v/>
      </c>
      <c r="AV47" s="38" t="str">
        <f aca="false">IF($A47="","",N($AE47))</f>
        <v/>
      </c>
      <c r="AW47" s="38" t="str">
        <f aca="false">IF($A47="","",IF(OR($AF47="",$T47=""),"",$AF47-$T47))</f>
        <v/>
      </c>
      <c r="AX47" s="38" t="str">
        <f aca="false">IF($A47="","",IF(COUNT($AT47,$AB47,$AU47,$AW47,$AS47,$AH47)&lt;6,"",ROUND($AT47+$AB47+$AU47+$AV47+$AW47-$AS47-$AH47,0)))</f>
        <v/>
      </c>
      <c r="AY47" s="4" t="str">
        <f aca="false">IF($A47="","",IF($AX47="","No",IF(ABS($AX47)&lt;=2,"Yes","No")))</f>
        <v/>
      </c>
      <c r="AZ47" s="4" t="str">
        <f aca="false">IF($A47="","",IF($AI47&lt;&gt;"Yes","n/a",IF(OR($AA47="",$S47="",$T47=""),"Unknown",IF($AA47&lt;$S47+$T47,"Lost on arrival","Lost after arrival"))))</f>
        <v/>
      </c>
      <c r="BA47" s="10" t="str">
        <f aca="false">IF($A47="","",IFERROR(VLOOKUP($C47,Dim_Fund!$A:$D,4,0),""))</f>
        <v/>
      </c>
      <c r="BB47" s="10" t="str">
        <f aca="false">IF($A47="","",IF($AL47="","",IF(COUNTIFS(Fact_Milestone!$A:$A,$B47,Fact_Milestone!$B:$B,$AL47,Fact_Milestone!$I:$I,"No")&gt;0,"No",IF(COUNTIFS(Fact_Milestone!$A:$A,$B47,Fact_Milestone!$B:$B,$AL47,Fact_Milestone!$I:$I,"Yes")&gt;0,"Yes",""))))</f>
        <v/>
      </c>
      <c r="BC47" s="45" t="str">
        <f aca="false">IF($A47="","",IF(OR($L47="",$W47=""),"",IF(COUNTIFS($L:$L,$L47,$B:$B,$B47,$W:$W,"&lt;"&amp;$W47)=0,"",_xlfn.MAXIFS($W:$W,$L:$L,$L47,$B:$B,$B47,$W:$W,"&lt;"&amp;$W47))))</f>
        <v/>
      </c>
      <c r="BD47" s="39" t="str">
        <f aca="false">IF($A47="","",IF($AC47="","",IF(OR($L47="",$AC47=0),0,MIN($AC47,ROUND(ROUND(1440*SUMPRODUCT(($L$2:INDEX($L:$L,COUNTA($C:$C))=$L47)*($B$2:INDEX($B:$B,COUNTA($C:$C))=$B47)*(ROW($L$2:INDEX($L:$L,COUNTA($C:$C)))&lt;&gt;ROW())*((((($W47+$BT$2:INDEX($BT:$BT,COUNTA($C:$C))-ABS($W47-$BT$2:INDEX($BT:$BT,COUNTA($C:$C))))/2)-(($U47+$BS$2:INDEX($BS:$BS,COUNTA($C:$C))+ABS($U47-$BS$2:INDEX($BS:$BS,COUNTA($C:$C))))/2))+ABS(((($W47+$BT$2:INDEX($BT:$BT,COUNTA($C:$C))-ABS($W47-$BT$2:INDEX($BT:$BT,COUNTA($C:$C))))/2)-(($U47+$BS$2:INDEX($BS:$BS,COUNTA($C:$C))+ABS($U47-$BS$2:INDEX($BS:$BS,COUNTA($C:$C))))/2))))/2)),4),0)))))</f>
        <v/>
      </c>
      <c r="BE47" s="39" t="str">
        <f aca="false">IF($A47="","",IF($AC47="","",ROUND(MIN($AC47-$BD47,N($R47)),0)))</f>
        <v/>
      </c>
      <c r="BF47" s="10" t="str">
        <f aca="false">IF($A47="","",IFERROR(VLOOKUP($C47,Dim_Fund!$A:$BD,56,0),""))</f>
        <v/>
      </c>
      <c r="BG47" s="10" t="str">
        <f aca="false">IF($A47="","",IFERROR(VLOOKUP($C47,Dim_Fund!$A:$BH,60,0),""))</f>
        <v/>
      </c>
      <c r="BH47" s="10" t="str">
        <f aca="false">IF($A47="","",IF($AI47&lt;&gt;"Yes","Not breached",IF($AM47="Yes","Pricing late",IF($BG47="Thin custody slack","Thin custody slack",IF($BF47="Yes","Broker-dependent","None of these")))))</f>
        <v/>
      </c>
      <c r="BI47" s="23" t="str">
        <f aca="false">IF($A47="","",IFERROR(IF(VLOOKUP($C47,Dim_Fund!$A:$AI,35,0)&gt;0,VLOOKUP($C47,Dim_Fund!$A:$AI,35,0),""),""))</f>
        <v/>
      </c>
      <c r="BJ47" s="10" t="str">
        <f aca="false">IF($A47="","",$C47&amp;IF($E47="Client","*",""))</f>
        <v/>
      </c>
      <c r="BK47" s="39" t="str">
        <f aca="false">IF($A47="","",IFERROR(ROUND(($Y47-$X47)*1440,0),""))</f>
        <v/>
      </c>
      <c r="BL47" s="39" t="str">
        <f aca="false">IF($A47="","",IF($AH47="","",-$AH47))</f>
        <v/>
      </c>
      <c r="BM47" s="46" t="str">
        <f aca="false">IF($A47="","",IF($AQ47="","",IF($AP47="",$AQ47,MIN($AP47,$AQ47))))</f>
        <v/>
      </c>
      <c r="BN47" s="46" t="str">
        <f aca="false">IF($A47="","",IF($BM47="","",ROUND(N($AC47)/60,4)))</f>
        <v/>
      </c>
      <c r="BO47" s="46" t="str">
        <f aca="false">IF($A47="","",IF(OR($BM47="",$AD47=""),"",ROUND($AD47/60,4)))</f>
        <v/>
      </c>
      <c r="BP47" s="46" t="str">
        <f aca="false">IF($A47="","",IF($BM47="","",ROUND(N($AE47)/60,4)))</f>
        <v/>
      </c>
      <c r="BQ47" s="46" t="str">
        <f aca="false">IF($A47="","",IF(OR($BM47="",$AF47=""),"",ROUND($AF47/60,4)))</f>
        <v/>
      </c>
      <c r="BR47" s="39" t="str">
        <f aca="false">IF($A47="","",IF($AC47="","",$AC47-$BD47-$BE47))</f>
        <v/>
      </c>
      <c r="BS47" s="45" t="str">
        <f aca="false">IF($A47="","",IF(AND(ISNUMBER($Z47),ISNUMBER($W47)),$Z47,0))</f>
        <v/>
      </c>
      <c r="BT47" s="45" t="str">
        <f aca="false">IF($A47="","",IF(ISNUMBER($W47),$W47,0))</f>
        <v/>
      </c>
      <c r="BU47" s="23" t="str">
        <f aca="false">IF($A47="","",IF(ISNUMBER($W47),ROUND(($W47-$B47)*24,4),""))</f>
        <v/>
      </c>
      <c r="BV47" s="23" t="str">
        <f aca="false">IF($A47="","",IF(ISNUMBER($X47),ROUND(($X47-$B47)*24,4),""))</f>
        <v/>
      </c>
      <c r="BW47" s="10" t="str">
        <f aca="false">IF($A47="","",IF(NOT(ISNUMBER($W47)),"Missing Calculated",IF(NOT(ISNUMBER($X47)),IF($E47="Client","Missing FA signed off","Missing Controlled"),IF($X47&lt;$W47,"End before start","OK"))))</f>
        <v/>
      </c>
      <c r="BX47" s="23" t="str">
        <f aca="false">IF($A47="","",IF(NOT(ISNUMBER($Z47)),"",ROUND((IF(ISNUMBER($U47),MIN($U47,$Z47),$Z47)-$B47)*24,4)))</f>
        <v/>
      </c>
      <c r="BY47" s="23" t="str">
        <f aca="false">IF($A47="","",IF(ISNUMBER($Z47),ROUND(($Z47-$B47)*24,4),""))</f>
        <v/>
      </c>
      <c r="BZ47" s="23" t="str">
        <f aca="false">IF($A47="","",IF(AND(ISNUMBER($W47),ISNUMBER($S47)),ROUND(($W47+$S47/1440-$B47)*24,4),""))</f>
        <v/>
      </c>
    </row>
    <row r="48" customFormat="false" ht="15" hidden="false" customHeight="true" outlineLevel="0" collapsed="false">
      <c r="A48" s="47"/>
      <c r="B48" s="47"/>
      <c r="D48" s="4" t="str">
        <f aca="false">IF($A48="","",$B48-$A48)</f>
        <v/>
      </c>
      <c r="E48" s="4" t="str">
        <f aca="false">IF($A48="","",IFERROR(VLOOKUP($C48,Dim_Fund!$A:$X,24,0),""))</f>
        <v/>
      </c>
      <c r="F48" s="37" t="str">
        <f aca="false">IF($A48="","",IF(COUNTIFS(Status_Log!$A:$A,$A48,Status_Log!$B:$B,$B48,Status_Log!$C:$C,$C48,Status_Log!$D:$D,"Changed to the status of Calculated")=0,"",_xlfn.MINIFS(Status_Log!$E:$E,Status_Log!$A:$A,$A48,Status_Log!$B:$B,$B48,Status_Log!$C:$C,$C48,Status_Log!$D:$D,"Changed to the status of Calculated")))</f>
        <v/>
      </c>
      <c r="G48" s="37" t="str">
        <f aca="false">IF($A48="","",IF(COUNTIFS(Status_Log!$A:$A,$A48,Status_Log!$B:$B,$B48,Status_Log!$C:$C,$C48,Status_Log!$D:$D,"Changed to the status of Controlled")=0,"",_xlfn.MAXIFS(Status_Log!$E:$E,Status_Log!$A:$A,$A48,Status_Log!$B:$B,$B48,Status_Log!$C:$C,$C48,Status_Log!$D:$D,"Changed to the status of Controlled")))</f>
        <v/>
      </c>
      <c r="H48" s="37" t="str">
        <f aca="false">IF($A48="","",IF(COUNTIFS(Status_Log!$A:$A,$A48,Status_Log!$B:$B,$B48,Status_Log!$C:$C,$C48,Status_Log!$D:$D,"Changed to the status of Fund accounting signed off")=0,"",_xlfn.MAXIFS(Status_Log!$E:$E,Status_Log!$A:$A,$A48,Status_Log!$B:$B,$B48,Status_Log!$C:$C,$C48,Status_Log!$D:$D,"Changed to the status of Fund accounting signed off")))</f>
        <v/>
      </c>
      <c r="I48" s="37" t="str">
        <f aca="false">IF($A48="","",IF(COUNTIFS(Status_Log!$A:$A,$A48,Status_Log!$B:$B,$B48,Status_Log!$C:$C,$C48,Status_Log!$D:$D,"Changed to the status of signed off")=0,"",_xlfn.MAXIFS(Status_Log!$E:$E,Status_Log!$A:$A,$A48,Status_Log!$B:$B,$B48,Status_Log!$C:$C,$C48,Status_Log!$D:$D,"Changed to the status of signed off")))</f>
        <v/>
      </c>
      <c r="J48" s="4" t="str">
        <f aca="false">IF($A48="","",COUNTIFS(Status_Log!$A:$A,$A48,Status_Log!$B:$B,$B48,Status_Log!$C:$C,$C48,Status_Log!$D:$D,"Changed to the status of Calculated"))</f>
        <v/>
      </c>
      <c r="K48" s="38" t="str">
        <f aca="false">IF($A48="","",IF(J48&lt;=1,0,ROUND((_xlfn.MAXIFS(Status_Log!$E:$E,Status_Log!$A:$A,$A48,Status_Log!$B:$B,$B48,Status_Log!$C:$C,$C48,Status_Log!$D:$D,"Changed to the status of Calculated")-F48)*1440,0)))</f>
        <v/>
      </c>
      <c r="L48" s="4" t="str">
        <f aca="false">IF($A48="","",IFERROR(INDEX(Status_Log!$F:$F,MATCH($A48&amp;"|"&amp;$B48&amp;"|"&amp;$C48&amp;"|Changed to the status of Calculated|"&amp;TEXT(_xlfn.MAXIFS(Status_Log!$E:$E,Status_Log!$A:$A,$A48,Status_Log!$B:$B,$B48,Status_Log!$C:$C,$C48,Status_Log!$D:$D,"Changed to the status of Calculated"),"0.000000"),Status_Log!$H:$H,0)),""))</f>
        <v/>
      </c>
      <c r="M48" s="4" t="str">
        <f aca="false">IF($A48="","",IF(E48="Client","n/a — no control step",IFERROR(INDEX(Status_Log!$F:$F,MATCH($A48&amp;"|"&amp;$B48&amp;"|"&amp;$C48&amp;"|Changed to the status of Controlled|"&amp;TEXT(_xlfn.MAXIFS(Status_Log!$E:$E,Status_Log!$A:$A,$A48,Status_Log!$B:$B,$B48,Status_Log!$C:$C,$C48,Status_Log!$D:$D,"Changed to the status of Controlled"),"0.000000"),Status_Log!$H:$H,0)),"")))</f>
        <v/>
      </c>
      <c r="N48" s="4" t="str">
        <f aca="false">IF($A48="","",IFERROR(VLOOKUP($C48,Dim_Fund!$A:$G,7,0),""))</f>
        <v/>
      </c>
      <c r="O48" s="4" t="str">
        <f aca="false">IF($A48="","",IF(L48=N48,"No","Yes"))</f>
        <v/>
      </c>
      <c r="P48" s="4" t="str">
        <f aca="false">IF($A48="","",IF(E48="Client","n/a",IF(L48=M48,"YES — four-eyes breach","No")))</f>
        <v/>
      </c>
      <c r="Q48" s="38" t="str">
        <f aca="false">IF($A48="","",IFERROR(VLOOKUP($C48,Dim_Fund!$A:$AB,28,0),""))</f>
        <v/>
      </c>
      <c r="R48" s="38" t="str">
        <f aca="false">IF($A48="","",IFERROR(VLOOKUP($C48,Dim_Fund!$A:$AC,29,0),""))</f>
        <v/>
      </c>
      <c r="S48" s="38" t="str">
        <f aca="false">IF($A48="","",IFERROR(VLOOKUP($C48,Dim_Fund!$A:$AD,30,0),""))</f>
        <v/>
      </c>
      <c r="T48" s="38" t="str">
        <f aca="false">IF($A48="","",IFERROR(VLOOKUP($C48,Dim_Fund!$A:$AL,38,0),""))</f>
        <v/>
      </c>
      <c r="U48" s="37" t="str">
        <f aca="false">IF($A48="","",IF(AL48="","",IFERROR(IF(COUNTIFS(Fact_Milestone!$A:$A,$B48,Fact_Milestone!$B:$B,AL48)=0,"",_xlfn.MAXIFS(Fact_Milestone!$C:$C,Fact_Milestone!$A:$A,$B48,Fact_Milestone!$B:$B,AL48)),"")))</f>
        <v/>
      </c>
      <c r="V48" s="37" t="str">
        <f aca="false">IF($A48="","",IFERROR(IF(VLOOKUP($C48,Dim_Fund!$A:$AI,35,0)&gt;0,$B48+VLOOKUP($C48,Dim_Fund!$A:$AI,35,0)/24,""),""))</f>
        <v/>
      </c>
      <c r="W48" s="37" t="str">
        <f aca="false">IF($A48="","",F48)</f>
        <v/>
      </c>
      <c r="X48" s="37" t="str">
        <f aca="false">IF($A48="","",IF(E48="Client",H48,G48))</f>
        <v/>
      </c>
      <c r="Y48" s="37" t="str">
        <f aca="false">IF($A48="","",I48)</f>
        <v/>
      </c>
      <c r="Z48" s="37" t="str">
        <f aca="false">IF($A48="","",IFERROR(W48-R48/1440,""))</f>
        <v/>
      </c>
      <c r="AA48" s="38" t="str">
        <f aca="false">IF($A48="","",IF(OR(U48="",V48=""),"",ROUND((V48-U48)*1440,0)))</f>
        <v/>
      </c>
      <c r="AB48" s="38" t="str">
        <f aca="false">IF($A48="","",IF(U48="","",ROUND((W48-U48)*1440,0)))</f>
        <v/>
      </c>
      <c r="AC48" s="38" t="str">
        <f aca="false">IF($A48="","",IF(AB48="","",MAX(0,AB48)))</f>
        <v/>
      </c>
      <c r="AD48" s="38" t="str">
        <f aca="false">IF($A48="","",IFERROR(ROUND((X48-W48)*1440,0),""))</f>
        <v/>
      </c>
      <c r="AE48" s="38" t="str">
        <f aca="false">IF($A48="","",IF(E48="Client","n/a",IFERROR(ROUND((H48-G48)*1440,0),"")))</f>
        <v/>
      </c>
      <c r="AF48" s="38" t="str">
        <f aca="false">IF($A48="","",IFERROR(ROUND((Y48-H48)*1440,0),""))</f>
        <v/>
      </c>
      <c r="AG48" s="38" t="str">
        <f aca="false">IF($A48="","",IFERROR(ROUND((H48-F48)*1440,0),""))</f>
        <v/>
      </c>
      <c r="AH48" s="38" t="str">
        <f aca="false">IF($A48="","",IFERROR(ROUND((Y48-V48)*1440,0),""))</f>
        <v/>
      </c>
      <c r="AI48" s="4" t="str">
        <f aca="false">IF($A48="","",IF(AH48="","",IF(AH48&gt;0,"Yes","No")))</f>
        <v/>
      </c>
      <c r="AJ48" s="4" t="str">
        <f aca="false">IF($A48="","",IF(AI48&lt;&gt;"Yes","On time",IF(N(AC48)&gt;=MAX(N(AF48),N(K48)),"Wait for analyst",IF(N(AF48)&gt;=N(K48),"External sign-off","Rework"))))</f>
        <v/>
      </c>
      <c r="AK48" s="4" t="str">
        <f aca="false">IF($A48="","",IF(OR(F48="",Y48="",ISNA(MATCH(L48,Dim_Analyst!$A:$A,0))),"CHECK","OK"))</f>
        <v/>
      </c>
      <c r="AL48" s="4" t="str">
        <f aca="false">IF($A48="","",IFERROR(VLOOKUP($C48,Dim_Fund!$A:$U,21,0),""))</f>
        <v/>
      </c>
      <c r="AM48" s="4" t="str">
        <f aca="false">IF($A48="","",IF($U48="","",IF($U48&gt;$B48+IFERROR(VLOOKUP($C48,Dim_Fund!$A:$AH,34,0),0)/24,"Yes","No")))</f>
        <v/>
      </c>
      <c r="AN48" s="22" t="str">
        <f aca="false">IF($A48="","",IFERROR(VLOOKUP($C48,Dim_Fund!$A:$AH,34,0),""))</f>
        <v/>
      </c>
      <c r="AO48" s="22" t="str">
        <f aca="false">IF($A48="","",IF($AL48="","",IFERROR(FLOOR(IF(COUNTIFS(Fact_Milestone!$A:$A,$B48,Fact_Milestone!$B:$B,$AL48,Fact_Milestone!$F:$F,"&gt;0")&gt;0,_xlfn.MINIFS(Fact_Milestone!$F:$F,Fact_Milestone!$A:$A,$B48,Fact_Milestone!$B:$B,$AL48,Fact_Milestone!$F:$F,"&gt;0"),VLOOKUP($AL48,Dim_TOP!$A:$E,5,0)),0.5),"")))</f>
        <v/>
      </c>
      <c r="AP48" s="22" t="str">
        <f aca="false">IF($A48="","",IF($U48="","",ROUND(($U48-INT($U48))*24,4)))</f>
        <v/>
      </c>
      <c r="AQ48" s="22" t="str">
        <f aca="false">IF($A48="","",IF($W48="","",ROUND(($W48-INT($W48))*24,4)))</f>
        <v/>
      </c>
      <c r="AR48" s="22" t="str">
        <f aca="false">IF($A48="","",IF($X48="","",ROUND(($X48-INT($X48))*24,4)))</f>
        <v/>
      </c>
      <c r="AS48" s="38" t="str">
        <f aca="false">IF($A48="","",IF(OR($AN48="",$V48="",$S48="",$T48=""),"",ROUND(($V48-($B48+$AN48/24))*1440-$S48-$T48,0)))</f>
        <v/>
      </c>
      <c r="AT48" s="38" t="str">
        <f aca="false">IF($A48="","",IF(OR($AN48="",$U48=""),"",ROUND(($U48-($B48+$AN48/24))*1440,0)))</f>
        <v/>
      </c>
      <c r="AU48" s="38" t="str">
        <f aca="false">IF($A48="","",IF(OR($AD48="",$S48=""),"",ROUND($AD48-$S48,0)))</f>
        <v/>
      </c>
      <c r="AV48" s="38" t="str">
        <f aca="false">IF($A48="","",N($AE48))</f>
        <v/>
      </c>
      <c r="AW48" s="38" t="str">
        <f aca="false">IF($A48="","",IF(OR($AF48="",$T48=""),"",$AF48-$T48))</f>
        <v/>
      </c>
      <c r="AX48" s="38" t="str">
        <f aca="false">IF($A48="","",IF(COUNT($AT48,$AB48,$AU48,$AW48,$AS48,$AH48)&lt;6,"",ROUND($AT48+$AB48+$AU48+$AV48+$AW48-$AS48-$AH48,0)))</f>
        <v/>
      </c>
      <c r="AY48" s="4" t="str">
        <f aca="false">IF($A48="","",IF($AX48="","No",IF(ABS($AX48)&lt;=2,"Yes","No")))</f>
        <v/>
      </c>
      <c r="AZ48" s="4" t="str">
        <f aca="false">IF($A48="","",IF($AI48&lt;&gt;"Yes","n/a",IF(OR($AA48="",$S48="",$T48=""),"Unknown",IF($AA48&lt;$S48+$T48,"Lost on arrival","Lost after arrival"))))</f>
        <v/>
      </c>
      <c r="BA48" s="10" t="str">
        <f aca="false">IF($A48="","",IFERROR(VLOOKUP($C48,Dim_Fund!$A:$D,4,0),""))</f>
        <v/>
      </c>
      <c r="BB48" s="10" t="str">
        <f aca="false">IF($A48="","",IF($AL48="","",IF(COUNTIFS(Fact_Milestone!$A:$A,$B48,Fact_Milestone!$B:$B,$AL48,Fact_Milestone!$I:$I,"No")&gt;0,"No",IF(COUNTIFS(Fact_Milestone!$A:$A,$B48,Fact_Milestone!$B:$B,$AL48,Fact_Milestone!$I:$I,"Yes")&gt;0,"Yes",""))))</f>
        <v/>
      </c>
      <c r="BC48" s="45" t="str">
        <f aca="false">IF($A48="","",IF(OR($L48="",$W48=""),"",IF(COUNTIFS($L:$L,$L48,$B:$B,$B48,$W:$W,"&lt;"&amp;$W48)=0,"",_xlfn.MAXIFS($W:$W,$L:$L,$L48,$B:$B,$B48,$W:$W,"&lt;"&amp;$W48))))</f>
        <v/>
      </c>
      <c r="BD48" s="39" t="str">
        <f aca="false">IF($A48="","",IF($AC48="","",IF(OR($L48="",$AC48=0),0,MIN($AC48,ROUND(ROUND(1440*SUMPRODUCT(($L$2:INDEX($L:$L,COUNTA($C:$C))=$L48)*($B$2:INDEX($B:$B,COUNTA($C:$C))=$B48)*(ROW($L$2:INDEX($L:$L,COUNTA($C:$C)))&lt;&gt;ROW())*((((($W48+$BT$2:INDEX($BT:$BT,COUNTA($C:$C))-ABS($W48-$BT$2:INDEX($BT:$BT,COUNTA($C:$C))))/2)-(($U48+$BS$2:INDEX($BS:$BS,COUNTA($C:$C))+ABS($U48-$BS$2:INDEX($BS:$BS,COUNTA($C:$C))))/2))+ABS(((($W48+$BT$2:INDEX($BT:$BT,COUNTA($C:$C))-ABS($W48-$BT$2:INDEX($BT:$BT,COUNTA($C:$C))))/2)-(($U48+$BS$2:INDEX($BS:$BS,COUNTA($C:$C))+ABS($U48-$BS$2:INDEX($BS:$BS,COUNTA($C:$C))))/2))))/2)),4),0)))))</f>
        <v/>
      </c>
      <c r="BE48" s="39" t="str">
        <f aca="false">IF($A48="","",IF($AC48="","",ROUND(MIN($AC48-$BD48,N($R48)),0)))</f>
        <v/>
      </c>
      <c r="BF48" s="10" t="str">
        <f aca="false">IF($A48="","",IFERROR(VLOOKUP($C48,Dim_Fund!$A:$BD,56,0),""))</f>
        <v/>
      </c>
      <c r="BG48" s="10" t="str">
        <f aca="false">IF($A48="","",IFERROR(VLOOKUP($C48,Dim_Fund!$A:$BH,60,0),""))</f>
        <v/>
      </c>
      <c r="BH48" s="10" t="str">
        <f aca="false">IF($A48="","",IF($AI48&lt;&gt;"Yes","Not breached",IF($AM48="Yes","Pricing late",IF($BG48="Thin custody slack","Thin custody slack",IF($BF48="Yes","Broker-dependent","None of these")))))</f>
        <v/>
      </c>
      <c r="BI48" s="23" t="str">
        <f aca="false">IF($A48="","",IFERROR(IF(VLOOKUP($C48,Dim_Fund!$A:$AI,35,0)&gt;0,VLOOKUP($C48,Dim_Fund!$A:$AI,35,0),""),""))</f>
        <v/>
      </c>
      <c r="BJ48" s="10" t="str">
        <f aca="false">IF($A48="","",$C48&amp;IF($E48="Client","*",""))</f>
        <v/>
      </c>
      <c r="BK48" s="39" t="str">
        <f aca="false">IF($A48="","",IFERROR(ROUND(($Y48-$X48)*1440,0),""))</f>
        <v/>
      </c>
      <c r="BL48" s="39" t="str">
        <f aca="false">IF($A48="","",IF($AH48="","",-$AH48))</f>
        <v/>
      </c>
      <c r="BM48" s="46" t="str">
        <f aca="false">IF($A48="","",IF($AQ48="","",IF($AP48="",$AQ48,MIN($AP48,$AQ48))))</f>
        <v/>
      </c>
      <c r="BN48" s="46" t="str">
        <f aca="false">IF($A48="","",IF($BM48="","",ROUND(N($AC48)/60,4)))</f>
        <v/>
      </c>
      <c r="BO48" s="46" t="str">
        <f aca="false">IF($A48="","",IF(OR($BM48="",$AD48=""),"",ROUND($AD48/60,4)))</f>
        <v/>
      </c>
      <c r="BP48" s="46" t="str">
        <f aca="false">IF($A48="","",IF($BM48="","",ROUND(N($AE48)/60,4)))</f>
        <v/>
      </c>
      <c r="BQ48" s="46" t="str">
        <f aca="false">IF($A48="","",IF(OR($BM48="",$AF48=""),"",ROUND($AF48/60,4)))</f>
        <v/>
      </c>
      <c r="BR48" s="39" t="str">
        <f aca="false">IF($A48="","",IF($AC48="","",$AC48-$BD48-$BE48))</f>
        <v/>
      </c>
      <c r="BS48" s="45" t="str">
        <f aca="false">IF($A48="","",IF(AND(ISNUMBER($Z48),ISNUMBER($W48)),$Z48,0))</f>
        <v/>
      </c>
      <c r="BT48" s="45" t="str">
        <f aca="false">IF($A48="","",IF(ISNUMBER($W48),$W48,0))</f>
        <v/>
      </c>
      <c r="BU48" s="23" t="str">
        <f aca="false">IF($A48="","",IF(ISNUMBER($W48),ROUND(($W48-$B48)*24,4),""))</f>
        <v/>
      </c>
      <c r="BV48" s="23" t="str">
        <f aca="false">IF($A48="","",IF(ISNUMBER($X48),ROUND(($X48-$B48)*24,4),""))</f>
        <v/>
      </c>
      <c r="BW48" s="10" t="str">
        <f aca="false">IF($A48="","",IF(NOT(ISNUMBER($W48)),"Missing Calculated",IF(NOT(ISNUMBER($X48)),IF($E48="Client","Missing FA signed off","Missing Controlled"),IF($X48&lt;$W48,"End before start","OK"))))</f>
        <v/>
      </c>
      <c r="BX48" s="23" t="str">
        <f aca="false">IF($A48="","",IF(NOT(ISNUMBER($Z48)),"",ROUND((IF(ISNUMBER($U48),MIN($U48,$Z48),$Z48)-$B48)*24,4)))</f>
        <v/>
      </c>
      <c r="BY48" s="23" t="str">
        <f aca="false">IF($A48="","",IF(ISNUMBER($Z48),ROUND(($Z48-$B48)*24,4),""))</f>
        <v/>
      </c>
      <c r="BZ48" s="23" t="str">
        <f aca="false">IF($A48="","",IF(AND(ISNUMBER($W48),ISNUMBER($S48)),ROUND(($W48+$S48/1440-$B48)*24,4),""))</f>
        <v/>
      </c>
    </row>
    <row r="49" customFormat="false" ht="15" hidden="false" customHeight="true" outlineLevel="0" collapsed="false">
      <c r="A49" s="47"/>
      <c r="B49" s="47"/>
      <c r="D49" s="4" t="str">
        <f aca="false">IF($A49="","",$B49-$A49)</f>
        <v/>
      </c>
      <c r="E49" s="4" t="str">
        <f aca="false">IF($A49="","",IFERROR(VLOOKUP($C49,Dim_Fund!$A:$X,24,0),""))</f>
        <v/>
      </c>
      <c r="F49" s="37" t="str">
        <f aca="false">IF($A49="","",IF(COUNTIFS(Status_Log!$A:$A,$A49,Status_Log!$B:$B,$B49,Status_Log!$C:$C,$C49,Status_Log!$D:$D,"Changed to the status of Calculated")=0,"",_xlfn.MINIFS(Status_Log!$E:$E,Status_Log!$A:$A,$A49,Status_Log!$B:$B,$B49,Status_Log!$C:$C,$C49,Status_Log!$D:$D,"Changed to the status of Calculated")))</f>
        <v/>
      </c>
      <c r="G49" s="37" t="str">
        <f aca="false">IF($A49="","",IF(COUNTIFS(Status_Log!$A:$A,$A49,Status_Log!$B:$B,$B49,Status_Log!$C:$C,$C49,Status_Log!$D:$D,"Changed to the status of Controlled")=0,"",_xlfn.MAXIFS(Status_Log!$E:$E,Status_Log!$A:$A,$A49,Status_Log!$B:$B,$B49,Status_Log!$C:$C,$C49,Status_Log!$D:$D,"Changed to the status of Controlled")))</f>
        <v/>
      </c>
      <c r="H49" s="37" t="str">
        <f aca="false">IF($A49="","",IF(COUNTIFS(Status_Log!$A:$A,$A49,Status_Log!$B:$B,$B49,Status_Log!$C:$C,$C49,Status_Log!$D:$D,"Changed to the status of Fund accounting signed off")=0,"",_xlfn.MAXIFS(Status_Log!$E:$E,Status_Log!$A:$A,$A49,Status_Log!$B:$B,$B49,Status_Log!$C:$C,$C49,Status_Log!$D:$D,"Changed to the status of Fund accounting signed off")))</f>
        <v/>
      </c>
      <c r="I49" s="37" t="str">
        <f aca="false">IF($A49="","",IF(COUNTIFS(Status_Log!$A:$A,$A49,Status_Log!$B:$B,$B49,Status_Log!$C:$C,$C49,Status_Log!$D:$D,"Changed to the status of signed off")=0,"",_xlfn.MAXIFS(Status_Log!$E:$E,Status_Log!$A:$A,$A49,Status_Log!$B:$B,$B49,Status_Log!$C:$C,$C49,Status_Log!$D:$D,"Changed to the status of signed off")))</f>
        <v/>
      </c>
      <c r="J49" s="4" t="str">
        <f aca="false">IF($A49="","",COUNTIFS(Status_Log!$A:$A,$A49,Status_Log!$B:$B,$B49,Status_Log!$C:$C,$C49,Status_Log!$D:$D,"Changed to the status of Calculated"))</f>
        <v/>
      </c>
      <c r="K49" s="38" t="str">
        <f aca="false">IF($A49="","",IF(J49&lt;=1,0,ROUND((_xlfn.MAXIFS(Status_Log!$E:$E,Status_Log!$A:$A,$A49,Status_Log!$B:$B,$B49,Status_Log!$C:$C,$C49,Status_Log!$D:$D,"Changed to the status of Calculated")-F49)*1440,0)))</f>
        <v/>
      </c>
      <c r="L49" s="4" t="str">
        <f aca="false">IF($A49="","",IFERROR(INDEX(Status_Log!$F:$F,MATCH($A49&amp;"|"&amp;$B49&amp;"|"&amp;$C49&amp;"|Changed to the status of Calculated|"&amp;TEXT(_xlfn.MAXIFS(Status_Log!$E:$E,Status_Log!$A:$A,$A49,Status_Log!$B:$B,$B49,Status_Log!$C:$C,$C49,Status_Log!$D:$D,"Changed to the status of Calculated"),"0.000000"),Status_Log!$H:$H,0)),""))</f>
        <v/>
      </c>
      <c r="M49" s="4" t="str">
        <f aca="false">IF($A49="","",IF(E49="Client","n/a — no control step",IFERROR(INDEX(Status_Log!$F:$F,MATCH($A49&amp;"|"&amp;$B49&amp;"|"&amp;$C49&amp;"|Changed to the status of Controlled|"&amp;TEXT(_xlfn.MAXIFS(Status_Log!$E:$E,Status_Log!$A:$A,$A49,Status_Log!$B:$B,$B49,Status_Log!$C:$C,$C49,Status_Log!$D:$D,"Changed to the status of Controlled"),"0.000000"),Status_Log!$H:$H,0)),"")))</f>
        <v/>
      </c>
      <c r="N49" s="4" t="str">
        <f aca="false">IF($A49="","",IFERROR(VLOOKUP($C49,Dim_Fund!$A:$G,7,0),""))</f>
        <v/>
      </c>
      <c r="O49" s="4" t="str">
        <f aca="false">IF($A49="","",IF(L49=N49,"No","Yes"))</f>
        <v/>
      </c>
      <c r="P49" s="4" t="str">
        <f aca="false">IF($A49="","",IF(E49="Client","n/a",IF(L49=M49,"YES — four-eyes breach","No")))</f>
        <v/>
      </c>
      <c r="Q49" s="38" t="str">
        <f aca="false">IF($A49="","",IFERROR(VLOOKUP($C49,Dim_Fund!$A:$AB,28,0),""))</f>
        <v/>
      </c>
      <c r="R49" s="38" t="str">
        <f aca="false">IF($A49="","",IFERROR(VLOOKUP($C49,Dim_Fund!$A:$AC,29,0),""))</f>
        <v/>
      </c>
      <c r="S49" s="38" t="str">
        <f aca="false">IF($A49="","",IFERROR(VLOOKUP($C49,Dim_Fund!$A:$AD,30,0),""))</f>
        <v/>
      </c>
      <c r="T49" s="38" t="str">
        <f aca="false">IF($A49="","",IFERROR(VLOOKUP($C49,Dim_Fund!$A:$AL,38,0),""))</f>
        <v/>
      </c>
      <c r="U49" s="37" t="str">
        <f aca="false">IF($A49="","",IF(AL49="","",IFERROR(IF(COUNTIFS(Fact_Milestone!$A:$A,$B49,Fact_Milestone!$B:$B,AL49)=0,"",_xlfn.MAXIFS(Fact_Milestone!$C:$C,Fact_Milestone!$A:$A,$B49,Fact_Milestone!$B:$B,AL49)),"")))</f>
        <v/>
      </c>
      <c r="V49" s="37" t="str">
        <f aca="false">IF($A49="","",IFERROR(IF(VLOOKUP($C49,Dim_Fund!$A:$AI,35,0)&gt;0,$B49+VLOOKUP($C49,Dim_Fund!$A:$AI,35,0)/24,""),""))</f>
        <v/>
      </c>
      <c r="W49" s="37" t="str">
        <f aca="false">IF($A49="","",F49)</f>
        <v/>
      </c>
      <c r="X49" s="37" t="str">
        <f aca="false">IF($A49="","",IF(E49="Client",H49,G49))</f>
        <v/>
      </c>
      <c r="Y49" s="37" t="str">
        <f aca="false">IF($A49="","",I49)</f>
        <v/>
      </c>
      <c r="Z49" s="37" t="str">
        <f aca="false">IF($A49="","",IFERROR(W49-R49/1440,""))</f>
        <v/>
      </c>
      <c r="AA49" s="38" t="str">
        <f aca="false">IF($A49="","",IF(OR(U49="",V49=""),"",ROUND((V49-U49)*1440,0)))</f>
        <v/>
      </c>
      <c r="AB49" s="38" t="str">
        <f aca="false">IF($A49="","",IF(U49="","",ROUND((W49-U49)*1440,0)))</f>
        <v/>
      </c>
      <c r="AC49" s="38" t="str">
        <f aca="false">IF($A49="","",IF(AB49="","",MAX(0,AB49)))</f>
        <v/>
      </c>
      <c r="AD49" s="38" t="str">
        <f aca="false">IF($A49="","",IFERROR(ROUND((X49-W49)*1440,0),""))</f>
        <v/>
      </c>
      <c r="AE49" s="38" t="str">
        <f aca="false">IF($A49="","",IF(E49="Client","n/a",IFERROR(ROUND((H49-G49)*1440,0),"")))</f>
        <v/>
      </c>
      <c r="AF49" s="38" t="str">
        <f aca="false">IF($A49="","",IFERROR(ROUND((Y49-H49)*1440,0),""))</f>
        <v/>
      </c>
      <c r="AG49" s="38" t="str">
        <f aca="false">IF($A49="","",IFERROR(ROUND((H49-F49)*1440,0),""))</f>
        <v/>
      </c>
      <c r="AH49" s="38" t="str">
        <f aca="false">IF($A49="","",IFERROR(ROUND((Y49-V49)*1440,0),""))</f>
        <v/>
      </c>
      <c r="AI49" s="4" t="str">
        <f aca="false">IF($A49="","",IF(AH49="","",IF(AH49&gt;0,"Yes","No")))</f>
        <v/>
      </c>
      <c r="AJ49" s="4" t="str">
        <f aca="false">IF($A49="","",IF(AI49&lt;&gt;"Yes","On time",IF(N(AC49)&gt;=MAX(N(AF49),N(K49)),"Wait for analyst",IF(N(AF49)&gt;=N(K49),"External sign-off","Rework"))))</f>
        <v/>
      </c>
      <c r="AK49" s="4" t="str">
        <f aca="false">IF($A49="","",IF(OR(F49="",Y49="",ISNA(MATCH(L49,Dim_Analyst!$A:$A,0))),"CHECK","OK"))</f>
        <v/>
      </c>
      <c r="AL49" s="4" t="str">
        <f aca="false">IF($A49="","",IFERROR(VLOOKUP($C49,Dim_Fund!$A:$U,21,0),""))</f>
        <v/>
      </c>
      <c r="AM49" s="4" t="str">
        <f aca="false">IF($A49="","",IF($U49="","",IF($U49&gt;$B49+IFERROR(VLOOKUP($C49,Dim_Fund!$A:$AH,34,0),0)/24,"Yes","No")))</f>
        <v/>
      </c>
      <c r="AN49" s="22" t="str">
        <f aca="false">IF($A49="","",IFERROR(VLOOKUP($C49,Dim_Fund!$A:$AH,34,0),""))</f>
        <v/>
      </c>
      <c r="AO49" s="22" t="str">
        <f aca="false">IF($A49="","",IF($AL49="","",IFERROR(FLOOR(IF(COUNTIFS(Fact_Milestone!$A:$A,$B49,Fact_Milestone!$B:$B,$AL49,Fact_Milestone!$F:$F,"&gt;0")&gt;0,_xlfn.MINIFS(Fact_Milestone!$F:$F,Fact_Milestone!$A:$A,$B49,Fact_Milestone!$B:$B,$AL49,Fact_Milestone!$F:$F,"&gt;0"),VLOOKUP($AL49,Dim_TOP!$A:$E,5,0)),0.5),"")))</f>
        <v/>
      </c>
      <c r="AP49" s="22" t="str">
        <f aca="false">IF($A49="","",IF($U49="","",ROUND(($U49-INT($U49))*24,4)))</f>
        <v/>
      </c>
      <c r="AQ49" s="22" t="str">
        <f aca="false">IF($A49="","",IF($W49="","",ROUND(($W49-INT($W49))*24,4)))</f>
        <v/>
      </c>
      <c r="AR49" s="22" t="str">
        <f aca="false">IF($A49="","",IF($X49="","",ROUND(($X49-INT($X49))*24,4)))</f>
        <v/>
      </c>
      <c r="AS49" s="38" t="str">
        <f aca="false">IF($A49="","",IF(OR($AN49="",$V49="",$S49="",$T49=""),"",ROUND(($V49-($B49+$AN49/24))*1440-$S49-$T49,0)))</f>
        <v/>
      </c>
      <c r="AT49" s="38" t="str">
        <f aca="false">IF($A49="","",IF(OR($AN49="",$U49=""),"",ROUND(($U49-($B49+$AN49/24))*1440,0)))</f>
        <v/>
      </c>
      <c r="AU49" s="38" t="str">
        <f aca="false">IF($A49="","",IF(OR($AD49="",$S49=""),"",ROUND($AD49-$S49,0)))</f>
        <v/>
      </c>
      <c r="AV49" s="38" t="str">
        <f aca="false">IF($A49="","",N($AE49))</f>
        <v/>
      </c>
      <c r="AW49" s="38" t="str">
        <f aca="false">IF($A49="","",IF(OR($AF49="",$T49=""),"",$AF49-$T49))</f>
        <v/>
      </c>
      <c r="AX49" s="38" t="str">
        <f aca="false">IF($A49="","",IF(COUNT($AT49,$AB49,$AU49,$AW49,$AS49,$AH49)&lt;6,"",ROUND($AT49+$AB49+$AU49+$AV49+$AW49-$AS49-$AH49,0)))</f>
        <v/>
      </c>
      <c r="AY49" s="4" t="str">
        <f aca="false">IF($A49="","",IF($AX49="","No",IF(ABS($AX49)&lt;=2,"Yes","No")))</f>
        <v/>
      </c>
      <c r="AZ49" s="4" t="str">
        <f aca="false">IF($A49="","",IF($AI49&lt;&gt;"Yes","n/a",IF(OR($AA49="",$S49="",$T49=""),"Unknown",IF($AA49&lt;$S49+$T49,"Lost on arrival","Lost after arrival"))))</f>
        <v/>
      </c>
      <c r="BA49" s="10" t="str">
        <f aca="false">IF($A49="","",IFERROR(VLOOKUP($C49,Dim_Fund!$A:$D,4,0),""))</f>
        <v/>
      </c>
      <c r="BB49" s="10" t="str">
        <f aca="false">IF($A49="","",IF($AL49="","",IF(COUNTIFS(Fact_Milestone!$A:$A,$B49,Fact_Milestone!$B:$B,$AL49,Fact_Milestone!$I:$I,"No")&gt;0,"No",IF(COUNTIFS(Fact_Milestone!$A:$A,$B49,Fact_Milestone!$B:$B,$AL49,Fact_Milestone!$I:$I,"Yes")&gt;0,"Yes",""))))</f>
        <v/>
      </c>
      <c r="BC49" s="45" t="str">
        <f aca="false">IF($A49="","",IF(OR($L49="",$W49=""),"",IF(COUNTIFS($L:$L,$L49,$B:$B,$B49,$W:$W,"&lt;"&amp;$W49)=0,"",_xlfn.MAXIFS($W:$W,$L:$L,$L49,$B:$B,$B49,$W:$W,"&lt;"&amp;$W49))))</f>
        <v/>
      </c>
      <c r="BD49" s="39" t="str">
        <f aca="false">IF($A49="","",IF($AC49="","",IF(OR($L49="",$AC49=0),0,MIN($AC49,ROUND(ROUND(1440*SUMPRODUCT(($L$2:INDEX($L:$L,COUNTA($C:$C))=$L49)*($B$2:INDEX($B:$B,COUNTA($C:$C))=$B49)*(ROW($L$2:INDEX($L:$L,COUNTA($C:$C)))&lt;&gt;ROW())*((((($W49+$BT$2:INDEX($BT:$BT,COUNTA($C:$C))-ABS($W49-$BT$2:INDEX($BT:$BT,COUNTA($C:$C))))/2)-(($U49+$BS$2:INDEX($BS:$BS,COUNTA($C:$C))+ABS($U49-$BS$2:INDEX($BS:$BS,COUNTA($C:$C))))/2))+ABS(((($W49+$BT$2:INDEX($BT:$BT,COUNTA($C:$C))-ABS($W49-$BT$2:INDEX($BT:$BT,COUNTA($C:$C))))/2)-(($U49+$BS$2:INDEX($BS:$BS,COUNTA($C:$C))+ABS($U49-$BS$2:INDEX($BS:$BS,COUNTA($C:$C))))/2))))/2)),4),0)))))</f>
        <v/>
      </c>
      <c r="BE49" s="39" t="str">
        <f aca="false">IF($A49="","",IF($AC49="","",ROUND(MIN($AC49-$BD49,N($R49)),0)))</f>
        <v/>
      </c>
      <c r="BF49" s="10" t="str">
        <f aca="false">IF($A49="","",IFERROR(VLOOKUP($C49,Dim_Fund!$A:$BD,56,0),""))</f>
        <v/>
      </c>
      <c r="BG49" s="10" t="str">
        <f aca="false">IF($A49="","",IFERROR(VLOOKUP($C49,Dim_Fund!$A:$BH,60,0),""))</f>
        <v/>
      </c>
      <c r="BH49" s="10" t="str">
        <f aca="false">IF($A49="","",IF($AI49&lt;&gt;"Yes","Not breached",IF($AM49="Yes","Pricing late",IF($BG49="Thin custody slack","Thin custody slack",IF($BF49="Yes","Broker-dependent","None of these")))))</f>
        <v/>
      </c>
      <c r="BI49" s="23" t="str">
        <f aca="false">IF($A49="","",IFERROR(IF(VLOOKUP($C49,Dim_Fund!$A:$AI,35,0)&gt;0,VLOOKUP($C49,Dim_Fund!$A:$AI,35,0),""),""))</f>
        <v/>
      </c>
      <c r="BJ49" s="10" t="str">
        <f aca="false">IF($A49="","",$C49&amp;IF($E49="Client","*",""))</f>
        <v/>
      </c>
      <c r="BK49" s="39" t="str">
        <f aca="false">IF($A49="","",IFERROR(ROUND(($Y49-$X49)*1440,0),""))</f>
        <v/>
      </c>
      <c r="BL49" s="39" t="str">
        <f aca="false">IF($A49="","",IF($AH49="","",-$AH49))</f>
        <v/>
      </c>
      <c r="BM49" s="46" t="str">
        <f aca="false">IF($A49="","",IF($AQ49="","",IF($AP49="",$AQ49,MIN($AP49,$AQ49))))</f>
        <v/>
      </c>
      <c r="BN49" s="46" t="str">
        <f aca="false">IF($A49="","",IF($BM49="","",ROUND(N($AC49)/60,4)))</f>
        <v/>
      </c>
      <c r="BO49" s="46" t="str">
        <f aca="false">IF($A49="","",IF(OR($BM49="",$AD49=""),"",ROUND($AD49/60,4)))</f>
        <v/>
      </c>
      <c r="BP49" s="46" t="str">
        <f aca="false">IF($A49="","",IF($BM49="","",ROUND(N($AE49)/60,4)))</f>
        <v/>
      </c>
      <c r="BQ49" s="46" t="str">
        <f aca="false">IF($A49="","",IF(OR($BM49="",$AF49=""),"",ROUND($AF49/60,4)))</f>
        <v/>
      </c>
      <c r="BR49" s="39" t="str">
        <f aca="false">IF($A49="","",IF($AC49="","",$AC49-$BD49-$BE49))</f>
        <v/>
      </c>
      <c r="BS49" s="45" t="str">
        <f aca="false">IF($A49="","",IF(AND(ISNUMBER($Z49),ISNUMBER($W49)),$Z49,0))</f>
        <v/>
      </c>
      <c r="BT49" s="45" t="str">
        <f aca="false">IF($A49="","",IF(ISNUMBER($W49),$W49,0))</f>
        <v/>
      </c>
      <c r="BU49" s="23" t="str">
        <f aca="false">IF($A49="","",IF(ISNUMBER($W49),ROUND(($W49-$B49)*24,4),""))</f>
        <v/>
      </c>
      <c r="BV49" s="23" t="str">
        <f aca="false">IF($A49="","",IF(ISNUMBER($X49),ROUND(($X49-$B49)*24,4),""))</f>
        <v/>
      </c>
      <c r="BW49" s="10" t="str">
        <f aca="false">IF($A49="","",IF(NOT(ISNUMBER($W49)),"Missing Calculated",IF(NOT(ISNUMBER($X49)),IF($E49="Client","Missing FA signed off","Missing Controlled"),IF($X49&lt;$W49,"End before start","OK"))))</f>
        <v/>
      </c>
      <c r="BX49" s="23" t="str">
        <f aca="false">IF($A49="","",IF(NOT(ISNUMBER($Z49)),"",ROUND((IF(ISNUMBER($U49),MIN($U49,$Z49),$Z49)-$B49)*24,4)))</f>
        <v/>
      </c>
      <c r="BY49" s="23" t="str">
        <f aca="false">IF($A49="","",IF(ISNUMBER($Z49),ROUND(($Z49-$B49)*24,4),""))</f>
        <v/>
      </c>
      <c r="BZ49" s="23" t="str">
        <f aca="false">IF($A49="","",IF(AND(ISNUMBER($W49),ISNUMBER($S49)),ROUND(($W49+$S49/1440-$B49)*24,4),""))</f>
        <v/>
      </c>
    </row>
    <row r="50" customFormat="false" ht="15" hidden="false" customHeight="true" outlineLevel="0" collapsed="false">
      <c r="A50" s="47"/>
      <c r="B50" s="47"/>
      <c r="D50" s="4" t="str">
        <f aca="false">IF($A50="","",$B50-$A50)</f>
        <v/>
      </c>
      <c r="E50" s="4" t="str">
        <f aca="false">IF($A50="","",IFERROR(VLOOKUP($C50,Dim_Fund!$A:$X,24,0),""))</f>
        <v/>
      </c>
      <c r="F50" s="37" t="str">
        <f aca="false">IF($A50="","",IF(COUNTIFS(Status_Log!$A:$A,$A50,Status_Log!$B:$B,$B50,Status_Log!$C:$C,$C50,Status_Log!$D:$D,"Changed to the status of Calculated")=0,"",_xlfn.MINIFS(Status_Log!$E:$E,Status_Log!$A:$A,$A50,Status_Log!$B:$B,$B50,Status_Log!$C:$C,$C50,Status_Log!$D:$D,"Changed to the status of Calculated")))</f>
        <v/>
      </c>
      <c r="G50" s="37" t="str">
        <f aca="false">IF($A50="","",IF(COUNTIFS(Status_Log!$A:$A,$A50,Status_Log!$B:$B,$B50,Status_Log!$C:$C,$C50,Status_Log!$D:$D,"Changed to the status of Controlled")=0,"",_xlfn.MAXIFS(Status_Log!$E:$E,Status_Log!$A:$A,$A50,Status_Log!$B:$B,$B50,Status_Log!$C:$C,$C50,Status_Log!$D:$D,"Changed to the status of Controlled")))</f>
        <v/>
      </c>
      <c r="H50" s="37" t="str">
        <f aca="false">IF($A50="","",IF(COUNTIFS(Status_Log!$A:$A,$A50,Status_Log!$B:$B,$B50,Status_Log!$C:$C,$C50,Status_Log!$D:$D,"Changed to the status of Fund accounting signed off")=0,"",_xlfn.MAXIFS(Status_Log!$E:$E,Status_Log!$A:$A,$A50,Status_Log!$B:$B,$B50,Status_Log!$C:$C,$C50,Status_Log!$D:$D,"Changed to the status of Fund accounting signed off")))</f>
        <v/>
      </c>
      <c r="I50" s="37" t="str">
        <f aca="false">IF($A50="","",IF(COUNTIFS(Status_Log!$A:$A,$A50,Status_Log!$B:$B,$B50,Status_Log!$C:$C,$C50,Status_Log!$D:$D,"Changed to the status of signed off")=0,"",_xlfn.MAXIFS(Status_Log!$E:$E,Status_Log!$A:$A,$A50,Status_Log!$B:$B,$B50,Status_Log!$C:$C,$C50,Status_Log!$D:$D,"Changed to the status of signed off")))</f>
        <v/>
      </c>
      <c r="J50" s="4" t="str">
        <f aca="false">IF($A50="","",COUNTIFS(Status_Log!$A:$A,$A50,Status_Log!$B:$B,$B50,Status_Log!$C:$C,$C50,Status_Log!$D:$D,"Changed to the status of Calculated"))</f>
        <v/>
      </c>
      <c r="K50" s="38" t="str">
        <f aca="false">IF($A50="","",IF(J50&lt;=1,0,ROUND((_xlfn.MAXIFS(Status_Log!$E:$E,Status_Log!$A:$A,$A50,Status_Log!$B:$B,$B50,Status_Log!$C:$C,$C50,Status_Log!$D:$D,"Changed to the status of Calculated")-F50)*1440,0)))</f>
        <v/>
      </c>
      <c r="L50" s="4" t="str">
        <f aca="false">IF($A50="","",IFERROR(INDEX(Status_Log!$F:$F,MATCH($A50&amp;"|"&amp;$B50&amp;"|"&amp;$C50&amp;"|Changed to the status of Calculated|"&amp;TEXT(_xlfn.MAXIFS(Status_Log!$E:$E,Status_Log!$A:$A,$A50,Status_Log!$B:$B,$B50,Status_Log!$C:$C,$C50,Status_Log!$D:$D,"Changed to the status of Calculated"),"0.000000"),Status_Log!$H:$H,0)),""))</f>
        <v/>
      </c>
      <c r="M50" s="4" t="str">
        <f aca="false">IF($A50="","",IF(E50="Client","n/a — no control step",IFERROR(INDEX(Status_Log!$F:$F,MATCH($A50&amp;"|"&amp;$B50&amp;"|"&amp;$C50&amp;"|Changed to the status of Controlled|"&amp;TEXT(_xlfn.MAXIFS(Status_Log!$E:$E,Status_Log!$A:$A,$A50,Status_Log!$B:$B,$B50,Status_Log!$C:$C,$C50,Status_Log!$D:$D,"Changed to the status of Controlled"),"0.000000"),Status_Log!$H:$H,0)),"")))</f>
        <v/>
      </c>
      <c r="N50" s="4" t="str">
        <f aca="false">IF($A50="","",IFERROR(VLOOKUP($C50,Dim_Fund!$A:$G,7,0),""))</f>
        <v/>
      </c>
      <c r="O50" s="4" t="str">
        <f aca="false">IF($A50="","",IF(L50=N50,"No","Yes"))</f>
        <v/>
      </c>
      <c r="P50" s="4" t="str">
        <f aca="false">IF($A50="","",IF(E50="Client","n/a",IF(L50=M50,"YES — four-eyes breach","No")))</f>
        <v/>
      </c>
      <c r="Q50" s="38" t="str">
        <f aca="false">IF($A50="","",IFERROR(VLOOKUP($C50,Dim_Fund!$A:$AB,28,0),""))</f>
        <v/>
      </c>
      <c r="R50" s="38" t="str">
        <f aca="false">IF($A50="","",IFERROR(VLOOKUP($C50,Dim_Fund!$A:$AC,29,0),""))</f>
        <v/>
      </c>
      <c r="S50" s="38" t="str">
        <f aca="false">IF($A50="","",IFERROR(VLOOKUP($C50,Dim_Fund!$A:$AD,30,0),""))</f>
        <v/>
      </c>
      <c r="T50" s="38" t="str">
        <f aca="false">IF($A50="","",IFERROR(VLOOKUP($C50,Dim_Fund!$A:$AL,38,0),""))</f>
        <v/>
      </c>
      <c r="U50" s="37" t="str">
        <f aca="false">IF($A50="","",IF(AL50="","",IFERROR(IF(COUNTIFS(Fact_Milestone!$A:$A,$B50,Fact_Milestone!$B:$B,AL50)=0,"",_xlfn.MAXIFS(Fact_Milestone!$C:$C,Fact_Milestone!$A:$A,$B50,Fact_Milestone!$B:$B,AL50)),"")))</f>
        <v/>
      </c>
      <c r="V50" s="37" t="str">
        <f aca="false">IF($A50="","",IFERROR(IF(VLOOKUP($C50,Dim_Fund!$A:$AI,35,0)&gt;0,$B50+VLOOKUP($C50,Dim_Fund!$A:$AI,35,0)/24,""),""))</f>
        <v/>
      </c>
      <c r="W50" s="37" t="str">
        <f aca="false">IF($A50="","",F50)</f>
        <v/>
      </c>
      <c r="X50" s="37" t="str">
        <f aca="false">IF($A50="","",IF(E50="Client",H50,G50))</f>
        <v/>
      </c>
      <c r="Y50" s="37" t="str">
        <f aca="false">IF($A50="","",I50)</f>
        <v/>
      </c>
      <c r="Z50" s="37" t="str">
        <f aca="false">IF($A50="","",IFERROR(W50-R50/1440,""))</f>
        <v/>
      </c>
      <c r="AA50" s="38" t="str">
        <f aca="false">IF($A50="","",IF(OR(U50="",V50=""),"",ROUND((V50-U50)*1440,0)))</f>
        <v/>
      </c>
      <c r="AB50" s="38" t="str">
        <f aca="false">IF($A50="","",IF(U50="","",ROUND((W50-U50)*1440,0)))</f>
        <v/>
      </c>
      <c r="AC50" s="38" t="str">
        <f aca="false">IF($A50="","",IF(AB50="","",MAX(0,AB50)))</f>
        <v/>
      </c>
      <c r="AD50" s="38" t="str">
        <f aca="false">IF($A50="","",IFERROR(ROUND((X50-W50)*1440,0),""))</f>
        <v/>
      </c>
      <c r="AE50" s="38" t="str">
        <f aca="false">IF($A50="","",IF(E50="Client","n/a",IFERROR(ROUND((H50-G50)*1440,0),"")))</f>
        <v/>
      </c>
      <c r="AF50" s="38" t="str">
        <f aca="false">IF($A50="","",IFERROR(ROUND((Y50-H50)*1440,0),""))</f>
        <v/>
      </c>
      <c r="AG50" s="38" t="str">
        <f aca="false">IF($A50="","",IFERROR(ROUND((H50-F50)*1440,0),""))</f>
        <v/>
      </c>
      <c r="AH50" s="38" t="str">
        <f aca="false">IF($A50="","",IFERROR(ROUND((Y50-V50)*1440,0),""))</f>
        <v/>
      </c>
      <c r="AI50" s="4" t="str">
        <f aca="false">IF($A50="","",IF(AH50="","",IF(AH50&gt;0,"Yes","No")))</f>
        <v/>
      </c>
      <c r="AJ50" s="4" t="str">
        <f aca="false">IF($A50="","",IF(AI50&lt;&gt;"Yes","On time",IF(N(AC50)&gt;=MAX(N(AF50),N(K50)),"Wait for analyst",IF(N(AF50)&gt;=N(K50),"External sign-off","Rework"))))</f>
        <v/>
      </c>
      <c r="AK50" s="4" t="str">
        <f aca="false">IF($A50="","",IF(OR(F50="",Y50="",ISNA(MATCH(L50,Dim_Analyst!$A:$A,0))),"CHECK","OK"))</f>
        <v/>
      </c>
      <c r="AL50" s="4" t="str">
        <f aca="false">IF($A50="","",IFERROR(VLOOKUP($C50,Dim_Fund!$A:$U,21,0),""))</f>
        <v/>
      </c>
      <c r="AM50" s="4" t="str">
        <f aca="false">IF($A50="","",IF($U50="","",IF($U50&gt;$B50+IFERROR(VLOOKUP($C50,Dim_Fund!$A:$AH,34,0),0)/24,"Yes","No")))</f>
        <v/>
      </c>
      <c r="AN50" s="22" t="str">
        <f aca="false">IF($A50="","",IFERROR(VLOOKUP($C50,Dim_Fund!$A:$AH,34,0),""))</f>
        <v/>
      </c>
      <c r="AO50" s="22" t="str">
        <f aca="false">IF($A50="","",IF($AL50="","",IFERROR(FLOOR(IF(COUNTIFS(Fact_Milestone!$A:$A,$B50,Fact_Milestone!$B:$B,$AL50,Fact_Milestone!$F:$F,"&gt;0")&gt;0,_xlfn.MINIFS(Fact_Milestone!$F:$F,Fact_Milestone!$A:$A,$B50,Fact_Milestone!$B:$B,$AL50,Fact_Milestone!$F:$F,"&gt;0"),VLOOKUP($AL50,Dim_TOP!$A:$E,5,0)),0.5),"")))</f>
        <v/>
      </c>
      <c r="AP50" s="22" t="str">
        <f aca="false">IF($A50="","",IF($U50="","",ROUND(($U50-INT($U50))*24,4)))</f>
        <v/>
      </c>
      <c r="AQ50" s="22" t="str">
        <f aca="false">IF($A50="","",IF($W50="","",ROUND(($W50-INT($W50))*24,4)))</f>
        <v/>
      </c>
      <c r="AR50" s="22" t="str">
        <f aca="false">IF($A50="","",IF($X50="","",ROUND(($X50-INT($X50))*24,4)))</f>
        <v/>
      </c>
      <c r="AS50" s="38" t="str">
        <f aca="false">IF($A50="","",IF(OR($AN50="",$V50="",$S50="",$T50=""),"",ROUND(($V50-($B50+$AN50/24))*1440-$S50-$T50,0)))</f>
        <v/>
      </c>
      <c r="AT50" s="38" t="str">
        <f aca="false">IF($A50="","",IF(OR($AN50="",$U50=""),"",ROUND(($U50-($B50+$AN50/24))*1440,0)))</f>
        <v/>
      </c>
      <c r="AU50" s="38" t="str">
        <f aca="false">IF($A50="","",IF(OR($AD50="",$S50=""),"",ROUND($AD50-$S50,0)))</f>
        <v/>
      </c>
      <c r="AV50" s="38" t="str">
        <f aca="false">IF($A50="","",N($AE50))</f>
        <v/>
      </c>
      <c r="AW50" s="38" t="str">
        <f aca="false">IF($A50="","",IF(OR($AF50="",$T50=""),"",$AF50-$T50))</f>
        <v/>
      </c>
      <c r="AX50" s="38" t="str">
        <f aca="false">IF($A50="","",IF(COUNT($AT50,$AB50,$AU50,$AW50,$AS50,$AH50)&lt;6,"",ROUND($AT50+$AB50+$AU50+$AV50+$AW50-$AS50-$AH50,0)))</f>
        <v/>
      </c>
      <c r="AY50" s="4" t="str">
        <f aca="false">IF($A50="","",IF($AX50="","No",IF(ABS($AX50)&lt;=2,"Yes","No")))</f>
        <v/>
      </c>
      <c r="AZ50" s="4" t="str">
        <f aca="false">IF($A50="","",IF($AI50&lt;&gt;"Yes","n/a",IF(OR($AA50="",$S50="",$T50=""),"Unknown",IF($AA50&lt;$S50+$T50,"Lost on arrival","Lost after arrival"))))</f>
        <v/>
      </c>
      <c r="BA50" s="10" t="str">
        <f aca="false">IF($A50="","",IFERROR(VLOOKUP($C50,Dim_Fund!$A:$D,4,0),""))</f>
        <v/>
      </c>
      <c r="BB50" s="10" t="str">
        <f aca="false">IF($A50="","",IF($AL50="","",IF(COUNTIFS(Fact_Milestone!$A:$A,$B50,Fact_Milestone!$B:$B,$AL50,Fact_Milestone!$I:$I,"No")&gt;0,"No",IF(COUNTIFS(Fact_Milestone!$A:$A,$B50,Fact_Milestone!$B:$B,$AL50,Fact_Milestone!$I:$I,"Yes")&gt;0,"Yes",""))))</f>
        <v/>
      </c>
      <c r="BC50" s="45" t="str">
        <f aca="false">IF($A50="","",IF(OR($L50="",$W50=""),"",IF(COUNTIFS($L:$L,$L50,$B:$B,$B50,$W:$W,"&lt;"&amp;$W50)=0,"",_xlfn.MAXIFS($W:$W,$L:$L,$L50,$B:$B,$B50,$W:$W,"&lt;"&amp;$W50))))</f>
        <v/>
      </c>
      <c r="BD50" s="39" t="str">
        <f aca="false">IF($A50="","",IF($AC50="","",IF(OR($L50="",$AC50=0),0,MIN($AC50,ROUND(ROUND(1440*SUMPRODUCT(($L$2:INDEX($L:$L,COUNTA($C:$C))=$L50)*($B$2:INDEX($B:$B,COUNTA($C:$C))=$B50)*(ROW($L$2:INDEX($L:$L,COUNTA($C:$C)))&lt;&gt;ROW())*((((($W50+$BT$2:INDEX($BT:$BT,COUNTA($C:$C))-ABS($W50-$BT$2:INDEX($BT:$BT,COUNTA($C:$C))))/2)-(($U50+$BS$2:INDEX($BS:$BS,COUNTA($C:$C))+ABS($U50-$BS$2:INDEX($BS:$BS,COUNTA($C:$C))))/2))+ABS(((($W50+$BT$2:INDEX($BT:$BT,COUNTA($C:$C))-ABS($W50-$BT$2:INDEX($BT:$BT,COUNTA($C:$C))))/2)-(($U50+$BS$2:INDEX($BS:$BS,COUNTA($C:$C))+ABS($U50-$BS$2:INDEX($BS:$BS,COUNTA($C:$C))))/2))))/2)),4),0)))))</f>
        <v/>
      </c>
      <c r="BE50" s="39" t="str">
        <f aca="false">IF($A50="","",IF($AC50="","",ROUND(MIN($AC50-$BD50,N($R50)),0)))</f>
        <v/>
      </c>
      <c r="BF50" s="10" t="str">
        <f aca="false">IF($A50="","",IFERROR(VLOOKUP($C50,Dim_Fund!$A:$BD,56,0),""))</f>
        <v/>
      </c>
      <c r="BG50" s="10" t="str">
        <f aca="false">IF($A50="","",IFERROR(VLOOKUP($C50,Dim_Fund!$A:$BH,60,0),""))</f>
        <v/>
      </c>
      <c r="BH50" s="10" t="str">
        <f aca="false">IF($A50="","",IF($AI50&lt;&gt;"Yes","Not breached",IF($AM50="Yes","Pricing late",IF($BG50="Thin custody slack","Thin custody slack",IF($BF50="Yes","Broker-dependent","None of these")))))</f>
        <v/>
      </c>
      <c r="BI50" s="23" t="str">
        <f aca="false">IF($A50="","",IFERROR(IF(VLOOKUP($C50,Dim_Fund!$A:$AI,35,0)&gt;0,VLOOKUP($C50,Dim_Fund!$A:$AI,35,0),""),""))</f>
        <v/>
      </c>
      <c r="BJ50" s="10" t="str">
        <f aca="false">IF($A50="","",$C50&amp;IF($E50="Client","*",""))</f>
        <v/>
      </c>
      <c r="BK50" s="39" t="str">
        <f aca="false">IF($A50="","",IFERROR(ROUND(($Y50-$X50)*1440,0),""))</f>
        <v/>
      </c>
      <c r="BL50" s="39" t="str">
        <f aca="false">IF($A50="","",IF($AH50="","",-$AH50))</f>
        <v/>
      </c>
      <c r="BM50" s="46" t="str">
        <f aca="false">IF($A50="","",IF($AQ50="","",IF($AP50="",$AQ50,MIN($AP50,$AQ50))))</f>
        <v/>
      </c>
      <c r="BN50" s="46" t="str">
        <f aca="false">IF($A50="","",IF($BM50="","",ROUND(N($AC50)/60,4)))</f>
        <v/>
      </c>
      <c r="BO50" s="46" t="str">
        <f aca="false">IF($A50="","",IF(OR($BM50="",$AD50=""),"",ROUND($AD50/60,4)))</f>
        <v/>
      </c>
      <c r="BP50" s="46" t="str">
        <f aca="false">IF($A50="","",IF($BM50="","",ROUND(N($AE50)/60,4)))</f>
        <v/>
      </c>
      <c r="BQ50" s="46" t="str">
        <f aca="false">IF($A50="","",IF(OR($BM50="",$AF50=""),"",ROUND($AF50/60,4)))</f>
        <v/>
      </c>
      <c r="BR50" s="39" t="str">
        <f aca="false">IF($A50="","",IF($AC50="","",$AC50-$BD50-$BE50))</f>
        <v/>
      </c>
      <c r="BS50" s="45" t="str">
        <f aca="false">IF($A50="","",IF(AND(ISNUMBER($Z50),ISNUMBER($W50)),$Z50,0))</f>
        <v/>
      </c>
      <c r="BT50" s="45" t="str">
        <f aca="false">IF($A50="","",IF(ISNUMBER($W50),$W50,0))</f>
        <v/>
      </c>
      <c r="BU50" s="23" t="str">
        <f aca="false">IF($A50="","",IF(ISNUMBER($W50),ROUND(($W50-$B50)*24,4),""))</f>
        <v/>
      </c>
      <c r="BV50" s="23" t="str">
        <f aca="false">IF($A50="","",IF(ISNUMBER($X50),ROUND(($X50-$B50)*24,4),""))</f>
        <v/>
      </c>
      <c r="BW50" s="10" t="str">
        <f aca="false">IF($A50="","",IF(NOT(ISNUMBER($W50)),"Missing Calculated",IF(NOT(ISNUMBER($X50)),IF($E50="Client","Missing FA signed off","Missing Controlled"),IF($X50&lt;$W50,"End before start","OK"))))</f>
        <v/>
      </c>
      <c r="BX50" s="23" t="str">
        <f aca="false">IF($A50="","",IF(NOT(ISNUMBER($Z50)),"",ROUND((IF(ISNUMBER($U50),MIN($U50,$Z50),$Z50)-$B50)*24,4)))</f>
        <v/>
      </c>
      <c r="BY50" s="23" t="str">
        <f aca="false">IF($A50="","",IF(ISNUMBER($Z50),ROUND(($Z50-$B50)*24,4),""))</f>
        <v/>
      </c>
      <c r="BZ50" s="23" t="str">
        <f aca="false">IF($A50="","",IF(AND(ISNUMBER($W50),ISNUMBER($S50)),ROUND(($W50+$S50/1440-$B50)*24,4),""))</f>
        <v/>
      </c>
    </row>
    <row r="51" customFormat="false" ht="15" hidden="false" customHeight="true" outlineLevel="0" collapsed="false">
      <c r="A51" s="47"/>
      <c r="B51" s="47"/>
      <c r="D51" s="4" t="str">
        <f aca="false">IF($A51="","",$B51-$A51)</f>
        <v/>
      </c>
      <c r="E51" s="4" t="str">
        <f aca="false">IF($A51="","",IFERROR(VLOOKUP($C51,Dim_Fund!$A:$X,24,0),""))</f>
        <v/>
      </c>
      <c r="F51" s="37" t="str">
        <f aca="false">IF($A51="","",IF(COUNTIFS(Status_Log!$A:$A,$A51,Status_Log!$B:$B,$B51,Status_Log!$C:$C,$C51,Status_Log!$D:$D,"Changed to the status of Calculated")=0,"",_xlfn.MINIFS(Status_Log!$E:$E,Status_Log!$A:$A,$A51,Status_Log!$B:$B,$B51,Status_Log!$C:$C,$C51,Status_Log!$D:$D,"Changed to the status of Calculated")))</f>
        <v/>
      </c>
      <c r="G51" s="37" t="str">
        <f aca="false">IF($A51="","",IF(COUNTIFS(Status_Log!$A:$A,$A51,Status_Log!$B:$B,$B51,Status_Log!$C:$C,$C51,Status_Log!$D:$D,"Changed to the status of Controlled")=0,"",_xlfn.MAXIFS(Status_Log!$E:$E,Status_Log!$A:$A,$A51,Status_Log!$B:$B,$B51,Status_Log!$C:$C,$C51,Status_Log!$D:$D,"Changed to the status of Controlled")))</f>
        <v/>
      </c>
      <c r="H51" s="37" t="str">
        <f aca="false">IF($A51="","",IF(COUNTIFS(Status_Log!$A:$A,$A51,Status_Log!$B:$B,$B51,Status_Log!$C:$C,$C51,Status_Log!$D:$D,"Changed to the status of Fund accounting signed off")=0,"",_xlfn.MAXIFS(Status_Log!$E:$E,Status_Log!$A:$A,$A51,Status_Log!$B:$B,$B51,Status_Log!$C:$C,$C51,Status_Log!$D:$D,"Changed to the status of Fund accounting signed off")))</f>
        <v/>
      </c>
      <c r="I51" s="37" t="str">
        <f aca="false">IF($A51="","",IF(COUNTIFS(Status_Log!$A:$A,$A51,Status_Log!$B:$B,$B51,Status_Log!$C:$C,$C51,Status_Log!$D:$D,"Changed to the status of signed off")=0,"",_xlfn.MAXIFS(Status_Log!$E:$E,Status_Log!$A:$A,$A51,Status_Log!$B:$B,$B51,Status_Log!$C:$C,$C51,Status_Log!$D:$D,"Changed to the status of signed off")))</f>
        <v/>
      </c>
      <c r="J51" s="4" t="str">
        <f aca="false">IF($A51="","",COUNTIFS(Status_Log!$A:$A,$A51,Status_Log!$B:$B,$B51,Status_Log!$C:$C,$C51,Status_Log!$D:$D,"Changed to the status of Calculated"))</f>
        <v/>
      </c>
      <c r="K51" s="38" t="str">
        <f aca="false">IF($A51="","",IF(J51&lt;=1,0,ROUND((_xlfn.MAXIFS(Status_Log!$E:$E,Status_Log!$A:$A,$A51,Status_Log!$B:$B,$B51,Status_Log!$C:$C,$C51,Status_Log!$D:$D,"Changed to the status of Calculated")-F51)*1440,0)))</f>
        <v/>
      </c>
      <c r="L51" s="4" t="str">
        <f aca="false">IF($A51="","",IFERROR(INDEX(Status_Log!$F:$F,MATCH($A51&amp;"|"&amp;$B51&amp;"|"&amp;$C51&amp;"|Changed to the status of Calculated|"&amp;TEXT(_xlfn.MAXIFS(Status_Log!$E:$E,Status_Log!$A:$A,$A51,Status_Log!$B:$B,$B51,Status_Log!$C:$C,$C51,Status_Log!$D:$D,"Changed to the status of Calculated"),"0.000000"),Status_Log!$H:$H,0)),""))</f>
        <v/>
      </c>
      <c r="M51" s="4" t="str">
        <f aca="false">IF($A51="","",IF(E51="Client","n/a — no control step",IFERROR(INDEX(Status_Log!$F:$F,MATCH($A51&amp;"|"&amp;$B51&amp;"|"&amp;$C51&amp;"|Changed to the status of Controlled|"&amp;TEXT(_xlfn.MAXIFS(Status_Log!$E:$E,Status_Log!$A:$A,$A51,Status_Log!$B:$B,$B51,Status_Log!$C:$C,$C51,Status_Log!$D:$D,"Changed to the status of Controlled"),"0.000000"),Status_Log!$H:$H,0)),"")))</f>
        <v/>
      </c>
      <c r="N51" s="4" t="str">
        <f aca="false">IF($A51="","",IFERROR(VLOOKUP($C51,Dim_Fund!$A:$G,7,0),""))</f>
        <v/>
      </c>
      <c r="O51" s="4" t="str">
        <f aca="false">IF($A51="","",IF(L51=N51,"No","Yes"))</f>
        <v/>
      </c>
      <c r="P51" s="4" t="str">
        <f aca="false">IF($A51="","",IF(E51="Client","n/a",IF(L51=M51,"YES — four-eyes breach","No")))</f>
        <v/>
      </c>
      <c r="Q51" s="38" t="str">
        <f aca="false">IF($A51="","",IFERROR(VLOOKUP($C51,Dim_Fund!$A:$AB,28,0),""))</f>
        <v/>
      </c>
      <c r="R51" s="38" t="str">
        <f aca="false">IF($A51="","",IFERROR(VLOOKUP($C51,Dim_Fund!$A:$AC,29,0),""))</f>
        <v/>
      </c>
      <c r="S51" s="38" t="str">
        <f aca="false">IF($A51="","",IFERROR(VLOOKUP($C51,Dim_Fund!$A:$AD,30,0),""))</f>
        <v/>
      </c>
      <c r="T51" s="38" t="str">
        <f aca="false">IF($A51="","",IFERROR(VLOOKUP($C51,Dim_Fund!$A:$AL,38,0),""))</f>
        <v/>
      </c>
      <c r="U51" s="37" t="str">
        <f aca="false">IF($A51="","",IF(AL51="","",IFERROR(IF(COUNTIFS(Fact_Milestone!$A:$A,$B51,Fact_Milestone!$B:$B,AL51)=0,"",_xlfn.MAXIFS(Fact_Milestone!$C:$C,Fact_Milestone!$A:$A,$B51,Fact_Milestone!$B:$B,AL51)),"")))</f>
        <v/>
      </c>
      <c r="V51" s="37" t="str">
        <f aca="false">IF($A51="","",IFERROR(IF(VLOOKUP($C51,Dim_Fund!$A:$AI,35,0)&gt;0,$B51+VLOOKUP($C51,Dim_Fund!$A:$AI,35,0)/24,""),""))</f>
        <v/>
      </c>
      <c r="W51" s="37" t="str">
        <f aca="false">IF($A51="","",F51)</f>
        <v/>
      </c>
      <c r="X51" s="37" t="str">
        <f aca="false">IF($A51="","",IF(E51="Client",H51,G51))</f>
        <v/>
      </c>
      <c r="Y51" s="37" t="str">
        <f aca="false">IF($A51="","",I51)</f>
        <v/>
      </c>
      <c r="Z51" s="37" t="str">
        <f aca="false">IF($A51="","",IFERROR(W51-R51/1440,""))</f>
        <v/>
      </c>
      <c r="AA51" s="38" t="str">
        <f aca="false">IF($A51="","",IF(OR(U51="",V51=""),"",ROUND((V51-U51)*1440,0)))</f>
        <v/>
      </c>
      <c r="AB51" s="38" t="str">
        <f aca="false">IF($A51="","",IF(U51="","",ROUND((W51-U51)*1440,0)))</f>
        <v/>
      </c>
      <c r="AC51" s="38" t="str">
        <f aca="false">IF($A51="","",IF(AB51="","",MAX(0,AB51)))</f>
        <v/>
      </c>
      <c r="AD51" s="38" t="str">
        <f aca="false">IF($A51="","",IFERROR(ROUND((X51-W51)*1440,0),""))</f>
        <v/>
      </c>
      <c r="AE51" s="38" t="str">
        <f aca="false">IF($A51="","",IF(E51="Client","n/a",IFERROR(ROUND((H51-G51)*1440,0),"")))</f>
        <v/>
      </c>
      <c r="AF51" s="38" t="str">
        <f aca="false">IF($A51="","",IFERROR(ROUND((Y51-H51)*1440,0),""))</f>
        <v/>
      </c>
      <c r="AG51" s="38" t="str">
        <f aca="false">IF($A51="","",IFERROR(ROUND((H51-F51)*1440,0),""))</f>
        <v/>
      </c>
      <c r="AH51" s="38" t="str">
        <f aca="false">IF($A51="","",IFERROR(ROUND((Y51-V51)*1440,0),""))</f>
        <v/>
      </c>
      <c r="AI51" s="4" t="str">
        <f aca="false">IF($A51="","",IF(AH51="","",IF(AH51&gt;0,"Yes","No")))</f>
        <v/>
      </c>
      <c r="AJ51" s="4" t="str">
        <f aca="false">IF($A51="","",IF(AI51&lt;&gt;"Yes","On time",IF(N(AC51)&gt;=MAX(N(AF51),N(K51)),"Wait for analyst",IF(N(AF51)&gt;=N(K51),"External sign-off","Rework"))))</f>
        <v/>
      </c>
      <c r="AK51" s="4" t="str">
        <f aca="false">IF($A51="","",IF(OR(F51="",Y51="",ISNA(MATCH(L51,Dim_Analyst!$A:$A,0))),"CHECK","OK"))</f>
        <v/>
      </c>
      <c r="AL51" s="4" t="str">
        <f aca="false">IF($A51="","",IFERROR(VLOOKUP($C51,Dim_Fund!$A:$U,21,0),""))</f>
        <v/>
      </c>
      <c r="AM51" s="4" t="str">
        <f aca="false">IF($A51="","",IF($U51="","",IF($U51&gt;$B51+IFERROR(VLOOKUP($C51,Dim_Fund!$A:$AH,34,0),0)/24,"Yes","No")))</f>
        <v/>
      </c>
      <c r="AN51" s="22" t="str">
        <f aca="false">IF($A51="","",IFERROR(VLOOKUP($C51,Dim_Fund!$A:$AH,34,0),""))</f>
        <v/>
      </c>
      <c r="AO51" s="22" t="str">
        <f aca="false">IF($A51="","",IF($AL51="","",IFERROR(FLOOR(IF(COUNTIFS(Fact_Milestone!$A:$A,$B51,Fact_Milestone!$B:$B,$AL51,Fact_Milestone!$F:$F,"&gt;0")&gt;0,_xlfn.MINIFS(Fact_Milestone!$F:$F,Fact_Milestone!$A:$A,$B51,Fact_Milestone!$B:$B,$AL51,Fact_Milestone!$F:$F,"&gt;0"),VLOOKUP($AL51,Dim_TOP!$A:$E,5,0)),0.5),"")))</f>
        <v/>
      </c>
      <c r="AP51" s="22" t="str">
        <f aca="false">IF($A51="","",IF($U51="","",ROUND(($U51-INT($U51))*24,4)))</f>
        <v/>
      </c>
      <c r="AQ51" s="22" t="str">
        <f aca="false">IF($A51="","",IF($W51="","",ROUND(($W51-INT($W51))*24,4)))</f>
        <v/>
      </c>
      <c r="AR51" s="22" t="str">
        <f aca="false">IF($A51="","",IF($X51="","",ROUND(($X51-INT($X51))*24,4)))</f>
        <v/>
      </c>
      <c r="AS51" s="38" t="str">
        <f aca="false">IF($A51="","",IF(OR($AN51="",$V51="",$S51="",$T51=""),"",ROUND(($V51-($B51+$AN51/24))*1440-$S51-$T51,0)))</f>
        <v/>
      </c>
      <c r="AT51" s="38" t="str">
        <f aca="false">IF($A51="","",IF(OR($AN51="",$U51=""),"",ROUND(($U51-($B51+$AN51/24))*1440,0)))</f>
        <v/>
      </c>
      <c r="AU51" s="38" t="str">
        <f aca="false">IF($A51="","",IF(OR($AD51="",$S51=""),"",ROUND($AD51-$S51,0)))</f>
        <v/>
      </c>
      <c r="AV51" s="38" t="str">
        <f aca="false">IF($A51="","",N($AE51))</f>
        <v/>
      </c>
      <c r="AW51" s="38" t="str">
        <f aca="false">IF($A51="","",IF(OR($AF51="",$T51=""),"",$AF51-$T51))</f>
        <v/>
      </c>
      <c r="AX51" s="38" t="str">
        <f aca="false">IF($A51="","",IF(COUNT($AT51,$AB51,$AU51,$AW51,$AS51,$AH51)&lt;6,"",ROUND($AT51+$AB51+$AU51+$AV51+$AW51-$AS51-$AH51,0)))</f>
        <v/>
      </c>
      <c r="AY51" s="4" t="str">
        <f aca="false">IF($A51="","",IF($AX51="","No",IF(ABS($AX51)&lt;=2,"Yes","No")))</f>
        <v/>
      </c>
      <c r="AZ51" s="4" t="str">
        <f aca="false">IF($A51="","",IF($AI51&lt;&gt;"Yes","n/a",IF(OR($AA51="",$S51="",$T51=""),"Unknown",IF($AA51&lt;$S51+$T51,"Lost on arrival","Lost after arrival"))))</f>
        <v/>
      </c>
      <c r="BA51" s="10" t="str">
        <f aca="false">IF($A51="","",IFERROR(VLOOKUP($C51,Dim_Fund!$A:$D,4,0),""))</f>
        <v/>
      </c>
      <c r="BB51" s="10" t="str">
        <f aca="false">IF($A51="","",IF($AL51="","",IF(COUNTIFS(Fact_Milestone!$A:$A,$B51,Fact_Milestone!$B:$B,$AL51,Fact_Milestone!$I:$I,"No")&gt;0,"No",IF(COUNTIFS(Fact_Milestone!$A:$A,$B51,Fact_Milestone!$B:$B,$AL51,Fact_Milestone!$I:$I,"Yes")&gt;0,"Yes",""))))</f>
        <v/>
      </c>
      <c r="BC51" s="45" t="str">
        <f aca="false">IF($A51="","",IF(OR($L51="",$W51=""),"",IF(COUNTIFS($L:$L,$L51,$B:$B,$B51,$W:$W,"&lt;"&amp;$W51)=0,"",_xlfn.MAXIFS($W:$W,$L:$L,$L51,$B:$B,$B51,$W:$W,"&lt;"&amp;$W51))))</f>
        <v/>
      </c>
      <c r="BD51" s="39" t="str">
        <f aca="false">IF($A51="","",IF($AC51="","",IF(OR($L51="",$AC51=0),0,MIN($AC51,ROUND(ROUND(1440*SUMPRODUCT(($L$2:INDEX($L:$L,COUNTA($C:$C))=$L51)*($B$2:INDEX($B:$B,COUNTA($C:$C))=$B51)*(ROW($L$2:INDEX($L:$L,COUNTA($C:$C)))&lt;&gt;ROW())*((((($W51+$BT$2:INDEX($BT:$BT,COUNTA($C:$C))-ABS($W51-$BT$2:INDEX($BT:$BT,COUNTA($C:$C))))/2)-(($U51+$BS$2:INDEX($BS:$BS,COUNTA($C:$C))+ABS($U51-$BS$2:INDEX($BS:$BS,COUNTA($C:$C))))/2))+ABS(((($W51+$BT$2:INDEX($BT:$BT,COUNTA($C:$C))-ABS($W51-$BT$2:INDEX($BT:$BT,COUNTA($C:$C))))/2)-(($U51+$BS$2:INDEX($BS:$BS,COUNTA($C:$C))+ABS($U51-$BS$2:INDEX($BS:$BS,COUNTA($C:$C))))/2))))/2)),4),0)))))</f>
        <v/>
      </c>
      <c r="BE51" s="39" t="str">
        <f aca="false">IF($A51="","",IF($AC51="","",ROUND(MIN($AC51-$BD51,N($R51)),0)))</f>
        <v/>
      </c>
      <c r="BF51" s="10" t="str">
        <f aca="false">IF($A51="","",IFERROR(VLOOKUP($C51,Dim_Fund!$A:$BD,56,0),""))</f>
        <v/>
      </c>
      <c r="BG51" s="10" t="str">
        <f aca="false">IF($A51="","",IFERROR(VLOOKUP($C51,Dim_Fund!$A:$BH,60,0),""))</f>
        <v/>
      </c>
      <c r="BH51" s="10" t="str">
        <f aca="false">IF($A51="","",IF($AI51&lt;&gt;"Yes","Not breached",IF($AM51="Yes","Pricing late",IF($BG51="Thin custody slack","Thin custody slack",IF($BF51="Yes","Broker-dependent","None of these")))))</f>
        <v/>
      </c>
      <c r="BI51" s="23" t="str">
        <f aca="false">IF($A51="","",IFERROR(IF(VLOOKUP($C51,Dim_Fund!$A:$AI,35,0)&gt;0,VLOOKUP($C51,Dim_Fund!$A:$AI,35,0),""),""))</f>
        <v/>
      </c>
      <c r="BJ51" s="10" t="str">
        <f aca="false">IF($A51="","",$C51&amp;IF($E51="Client","*",""))</f>
        <v/>
      </c>
      <c r="BK51" s="39" t="str">
        <f aca="false">IF($A51="","",IFERROR(ROUND(($Y51-$X51)*1440,0),""))</f>
        <v/>
      </c>
      <c r="BL51" s="39" t="str">
        <f aca="false">IF($A51="","",IF($AH51="","",-$AH51))</f>
        <v/>
      </c>
      <c r="BM51" s="46" t="str">
        <f aca="false">IF($A51="","",IF($AQ51="","",IF($AP51="",$AQ51,MIN($AP51,$AQ51))))</f>
        <v/>
      </c>
      <c r="BN51" s="46" t="str">
        <f aca="false">IF($A51="","",IF($BM51="","",ROUND(N($AC51)/60,4)))</f>
        <v/>
      </c>
      <c r="BO51" s="46" t="str">
        <f aca="false">IF($A51="","",IF(OR($BM51="",$AD51=""),"",ROUND($AD51/60,4)))</f>
        <v/>
      </c>
      <c r="BP51" s="46" t="str">
        <f aca="false">IF($A51="","",IF($BM51="","",ROUND(N($AE51)/60,4)))</f>
        <v/>
      </c>
      <c r="BQ51" s="46" t="str">
        <f aca="false">IF($A51="","",IF(OR($BM51="",$AF51=""),"",ROUND($AF51/60,4)))</f>
        <v/>
      </c>
      <c r="BR51" s="39" t="str">
        <f aca="false">IF($A51="","",IF($AC51="","",$AC51-$BD51-$BE51))</f>
        <v/>
      </c>
      <c r="BS51" s="45" t="str">
        <f aca="false">IF($A51="","",IF(AND(ISNUMBER($Z51),ISNUMBER($W51)),$Z51,0))</f>
        <v/>
      </c>
      <c r="BT51" s="45" t="str">
        <f aca="false">IF($A51="","",IF(ISNUMBER($W51),$W51,0))</f>
        <v/>
      </c>
      <c r="BU51" s="23" t="str">
        <f aca="false">IF($A51="","",IF(ISNUMBER($W51),ROUND(($W51-$B51)*24,4),""))</f>
        <v/>
      </c>
      <c r="BV51" s="23" t="str">
        <f aca="false">IF($A51="","",IF(ISNUMBER($X51),ROUND(($X51-$B51)*24,4),""))</f>
        <v/>
      </c>
      <c r="BW51" s="10" t="str">
        <f aca="false">IF($A51="","",IF(NOT(ISNUMBER($W51)),"Missing Calculated",IF(NOT(ISNUMBER($X51)),IF($E51="Client","Missing FA signed off","Missing Controlled"),IF($X51&lt;$W51,"End before start","OK"))))</f>
        <v/>
      </c>
      <c r="BX51" s="23" t="str">
        <f aca="false">IF($A51="","",IF(NOT(ISNUMBER($Z51)),"",ROUND((IF(ISNUMBER($U51),MIN($U51,$Z51),$Z51)-$B51)*24,4)))</f>
        <v/>
      </c>
      <c r="BY51" s="23" t="str">
        <f aca="false">IF($A51="","",IF(ISNUMBER($Z51),ROUND(($Z51-$B51)*24,4),""))</f>
        <v/>
      </c>
      <c r="BZ51" s="23" t="str">
        <f aca="false">IF($A51="","",IF(AND(ISNUMBER($W51),ISNUMBER($S51)),ROUND(($W51+$S51/1440-$B51)*24,4),""))</f>
        <v/>
      </c>
    </row>
    <row r="52" customFormat="false" ht="15" hidden="false" customHeight="true" outlineLevel="0" collapsed="false">
      <c r="A52" s="47"/>
      <c r="B52" s="47"/>
      <c r="D52" s="4" t="str">
        <f aca="false">IF($A52="","",$B52-$A52)</f>
        <v/>
      </c>
      <c r="E52" s="4" t="str">
        <f aca="false">IF($A52="","",IFERROR(VLOOKUP($C52,Dim_Fund!$A:$X,24,0),""))</f>
        <v/>
      </c>
      <c r="F52" s="37" t="str">
        <f aca="false">IF($A52="","",IF(COUNTIFS(Status_Log!$A:$A,$A52,Status_Log!$B:$B,$B52,Status_Log!$C:$C,$C52,Status_Log!$D:$D,"Changed to the status of Calculated")=0,"",_xlfn.MINIFS(Status_Log!$E:$E,Status_Log!$A:$A,$A52,Status_Log!$B:$B,$B52,Status_Log!$C:$C,$C52,Status_Log!$D:$D,"Changed to the status of Calculated")))</f>
        <v/>
      </c>
      <c r="G52" s="37" t="str">
        <f aca="false">IF($A52="","",IF(COUNTIFS(Status_Log!$A:$A,$A52,Status_Log!$B:$B,$B52,Status_Log!$C:$C,$C52,Status_Log!$D:$D,"Changed to the status of Controlled")=0,"",_xlfn.MAXIFS(Status_Log!$E:$E,Status_Log!$A:$A,$A52,Status_Log!$B:$B,$B52,Status_Log!$C:$C,$C52,Status_Log!$D:$D,"Changed to the status of Controlled")))</f>
        <v/>
      </c>
      <c r="H52" s="37" t="str">
        <f aca="false">IF($A52="","",IF(COUNTIFS(Status_Log!$A:$A,$A52,Status_Log!$B:$B,$B52,Status_Log!$C:$C,$C52,Status_Log!$D:$D,"Changed to the status of Fund accounting signed off")=0,"",_xlfn.MAXIFS(Status_Log!$E:$E,Status_Log!$A:$A,$A52,Status_Log!$B:$B,$B52,Status_Log!$C:$C,$C52,Status_Log!$D:$D,"Changed to the status of Fund accounting signed off")))</f>
        <v/>
      </c>
      <c r="I52" s="37" t="str">
        <f aca="false">IF($A52="","",IF(COUNTIFS(Status_Log!$A:$A,$A52,Status_Log!$B:$B,$B52,Status_Log!$C:$C,$C52,Status_Log!$D:$D,"Changed to the status of signed off")=0,"",_xlfn.MAXIFS(Status_Log!$E:$E,Status_Log!$A:$A,$A52,Status_Log!$B:$B,$B52,Status_Log!$C:$C,$C52,Status_Log!$D:$D,"Changed to the status of signed off")))</f>
        <v/>
      </c>
      <c r="J52" s="4" t="str">
        <f aca="false">IF($A52="","",COUNTIFS(Status_Log!$A:$A,$A52,Status_Log!$B:$B,$B52,Status_Log!$C:$C,$C52,Status_Log!$D:$D,"Changed to the status of Calculated"))</f>
        <v/>
      </c>
      <c r="K52" s="38" t="str">
        <f aca="false">IF($A52="","",IF(J52&lt;=1,0,ROUND((_xlfn.MAXIFS(Status_Log!$E:$E,Status_Log!$A:$A,$A52,Status_Log!$B:$B,$B52,Status_Log!$C:$C,$C52,Status_Log!$D:$D,"Changed to the status of Calculated")-F52)*1440,0)))</f>
        <v/>
      </c>
      <c r="L52" s="4" t="str">
        <f aca="false">IF($A52="","",IFERROR(INDEX(Status_Log!$F:$F,MATCH($A52&amp;"|"&amp;$B52&amp;"|"&amp;$C52&amp;"|Changed to the status of Calculated|"&amp;TEXT(_xlfn.MAXIFS(Status_Log!$E:$E,Status_Log!$A:$A,$A52,Status_Log!$B:$B,$B52,Status_Log!$C:$C,$C52,Status_Log!$D:$D,"Changed to the status of Calculated"),"0.000000"),Status_Log!$H:$H,0)),""))</f>
        <v/>
      </c>
      <c r="M52" s="4" t="str">
        <f aca="false">IF($A52="","",IF(E52="Client","n/a — no control step",IFERROR(INDEX(Status_Log!$F:$F,MATCH($A52&amp;"|"&amp;$B52&amp;"|"&amp;$C52&amp;"|Changed to the status of Controlled|"&amp;TEXT(_xlfn.MAXIFS(Status_Log!$E:$E,Status_Log!$A:$A,$A52,Status_Log!$B:$B,$B52,Status_Log!$C:$C,$C52,Status_Log!$D:$D,"Changed to the status of Controlled"),"0.000000"),Status_Log!$H:$H,0)),"")))</f>
        <v/>
      </c>
      <c r="N52" s="4" t="str">
        <f aca="false">IF($A52="","",IFERROR(VLOOKUP($C52,Dim_Fund!$A:$G,7,0),""))</f>
        <v/>
      </c>
      <c r="O52" s="4" t="str">
        <f aca="false">IF($A52="","",IF(L52=N52,"No","Yes"))</f>
        <v/>
      </c>
      <c r="P52" s="4" t="str">
        <f aca="false">IF($A52="","",IF(E52="Client","n/a",IF(L52=M52,"YES — four-eyes breach","No")))</f>
        <v/>
      </c>
      <c r="Q52" s="38" t="str">
        <f aca="false">IF($A52="","",IFERROR(VLOOKUP($C52,Dim_Fund!$A:$AB,28,0),""))</f>
        <v/>
      </c>
      <c r="R52" s="38" t="str">
        <f aca="false">IF($A52="","",IFERROR(VLOOKUP($C52,Dim_Fund!$A:$AC,29,0),""))</f>
        <v/>
      </c>
      <c r="S52" s="38" t="str">
        <f aca="false">IF($A52="","",IFERROR(VLOOKUP($C52,Dim_Fund!$A:$AD,30,0),""))</f>
        <v/>
      </c>
      <c r="T52" s="38" t="str">
        <f aca="false">IF($A52="","",IFERROR(VLOOKUP($C52,Dim_Fund!$A:$AL,38,0),""))</f>
        <v/>
      </c>
      <c r="U52" s="37" t="str">
        <f aca="false">IF($A52="","",IF(AL52="","",IFERROR(IF(COUNTIFS(Fact_Milestone!$A:$A,$B52,Fact_Milestone!$B:$B,AL52)=0,"",_xlfn.MAXIFS(Fact_Milestone!$C:$C,Fact_Milestone!$A:$A,$B52,Fact_Milestone!$B:$B,AL52)),"")))</f>
        <v/>
      </c>
      <c r="V52" s="37" t="str">
        <f aca="false">IF($A52="","",IFERROR(IF(VLOOKUP($C52,Dim_Fund!$A:$AI,35,0)&gt;0,$B52+VLOOKUP($C52,Dim_Fund!$A:$AI,35,0)/24,""),""))</f>
        <v/>
      </c>
      <c r="W52" s="37" t="str">
        <f aca="false">IF($A52="","",F52)</f>
        <v/>
      </c>
      <c r="X52" s="37" t="str">
        <f aca="false">IF($A52="","",IF(E52="Client",H52,G52))</f>
        <v/>
      </c>
      <c r="Y52" s="37" t="str">
        <f aca="false">IF($A52="","",I52)</f>
        <v/>
      </c>
      <c r="Z52" s="37" t="str">
        <f aca="false">IF($A52="","",IFERROR(W52-R52/1440,""))</f>
        <v/>
      </c>
      <c r="AA52" s="38" t="str">
        <f aca="false">IF($A52="","",IF(OR(U52="",V52=""),"",ROUND((V52-U52)*1440,0)))</f>
        <v/>
      </c>
      <c r="AB52" s="38" t="str">
        <f aca="false">IF($A52="","",IF(U52="","",ROUND((W52-U52)*1440,0)))</f>
        <v/>
      </c>
      <c r="AC52" s="38" t="str">
        <f aca="false">IF($A52="","",IF(AB52="","",MAX(0,AB52)))</f>
        <v/>
      </c>
      <c r="AD52" s="38" t="str">
        <f aca="false">IF($A52="","",IFERROR(ROUND((X52-W52)*1440,0),""))</f>
        <v/>
      </c>
      <c r="AE52" s="38" t="str">
        <f aca="false">IF($A52="","",IF(E52="Client","n/a",IFERROR(ROUND((H52-G52)*1440,0),"")))</f>
        <v/>
      </c>
      <c r="AF52" s="38" t="str">
        <f aca="false">IF($A52="","",IFERROR(ROUND((Y52-H52)*1440,0),""))</f>
        <v/>
      </c>
      <c r="AG52" s="38" t="str">
        <f aca="false">IF($A52="","",IFERROR(ROUND((H52-F52)*1440,0),""))</f>
        <v/>
      </c>
      <c r="AH52" s="38" t="str">
        <f aca="false">IF($A52="","",IFERROR(ROUND((Y52-V52)*1440,0),""))</f>
        <v/>
      </c>
      <c r="AI52" s="4" t="str">
        <f aca="false">IF($A52="","",IF(AH52="","",IF(AH52&gt;0,"Yes","No")))</f>
        <v/>
      </c>
      <c r="AJ52" s="4" t="str">
        <f aca="false">IF($A52="","",IF(AI52&lt;&gt;"Yes","On time",IF(N(AC52)&gt;=MAX(N(AF52),N(K52)),"Wait for analyst",IF(N(AF52)&gt;=N(K52),"External sign-off","Rework"))))</f>
        <v/>
      </c>
      <c r="AK52" s="4" t="str">
        <f aca="false">IF($A52="","",IF(OR(F52="",Y52="",ISNA(MATCH(L52,Dim_Analyst!$A:$A,0))),"CHECK","OK"))</f>
        <v/>
      </c>
      <c r="AL52" s="4" t="str">
        <f aca="false">IF($A52="","",IFERROR(VLOOKUP($C52,Dim_Fund!$A:$U,21,0),""))</f>
        <v/>
      </c>
      <c r="AM52" s="4" t="str">
        <f aca="false">IF($A52="","",IF($U52="","",IF($U52&gt;$B52+IFERROR(VLOOKUP($C52,Dim_Fund!$A:$AH,34,0),0)/24,"Yes","No")))</f>
        <v/>
      </c>
      <c r="AN52" s="22" t="str">
        <f aca="false">IF($A52="","",IFERROR(VLOOKUP($C52,Dim_Fund!$A:$AH,34,0),""))</f>
        <v/>
      </c>
      <c r="AO52" s="22" t="str">
        <f aca="false">IF($A52="","",IF($AL52="","",IFERROR(FLOOR(IF(COUNTIFS(Fact_Milestone!$A:$A,$B52,Fact_Milestone!$B:$B,$AL52,Fact_Milestone!$F:$F,"&gt;0")&gt;0,_xlfn.MINIFS(Fact_Milestone!$F:$F,Fact_Milestone!$A:$A,$B52,Fact_Milestone!$B:$B,$AL52,Fact_Milestone!$F:$F,"&gt;0"),VLOOKUP($AL52,Dim_TOP!$A:$E,5,0)),0.5),"")))</f>
        <v/>
      </c>
      <c r="AP52" s="22" t="str">
        <f aca="false">IF($A52="","",IF($U52="","",ROUND(($U52-INT($U52))*24,4)))</f>
        <v/>
      </c>
      <c r="AQ52" s="22" t="str">
        <f aca="false">IF($A52="","",IF($W52="","",ROUND(($W52-INT($W52))*24,4)))</f>
        <v/>
      </c>
      <c r="AR52" s="22" t="str">
        <f aca="false">IF($A52="","",IF($X52="","",ROUND(($X52-INT($X52))*24,4)))</f>
        <v/>
      </c>
      <c r="AS52" s="38" t="str">
        <f aca="false">IF($A52="","",IF(OR($AN52="",$V52="",$S52="",$T52=""),"",ROUND(($V52-($B52+$AN52/24))*1440-$S52-$T52,0)))</f>
        <v/>
      </c>
      <c r="AT52" s="38" t="str">
        <f aca="false">IF($A52="","",IF(OR($AN52="",$U52=""),"",ROUND(($U52-($B52+$AN52/24))*1440,0)))</f>
        <v/>
      </c>
      <c r="AU52" s="38" t="str">
        <f aca="false">IF($A52="","",IF(OR($AD52="",$S52=""),"",ROUND($AD52-$S52,0)))</f>
        <v/>
      </c>
      <c r="AV52" s="38" t="str">
        <f aca="false">IF($A52="","",N($AE52))</f>
        <v/>
      </c>
      <c r="AW52" s="38" t="str">
        <f aca="false">IF($A52="","",IF(OR($AF52="",$T52=""),"",$AF52-$T52))</f>
        <v/>
      </c>
      <c r="AX52" s="38" t="str">
        <f aca="false">IF($A52="","",IF(COUNT($AT52,$AB52,$AU52,$AW52,$AS52,$AH52)&lt;6,"",ROUND($AT52+$AB52+$AU52+$AV52+$AW52-$AS52-$AH52,0)))</f>
        <v/>
      </c>
      <c r="AY52" s="4" t="str">
        <f aca="false">IF($A52="","",IF($AX52="","No",IF(ABS($AX52)&lt;=2,"Yes","No")))</f>
        <v/>
      </c>
      <c r="AZ52" s="4" t="str">
        <f aca="false">IF($A52="","",IF($AI52&lt;&gt;"Yes","n/a",IF(OR($AA52="",$S52="",$T52=""),"Unknown",IF($AA52&lt;$S52+$T52,"Lost on arrival","Lost after arrival"))))</f>
        <v/>
      </c>
      <c r="BA52" s="10" t="str">
        <f aca="false">IF($A52="","",IFERROR(VLOOKUP($C52,Dim_Fund!$A:$D,4,0),""))</f>
        <v/>
      </c>
      <c r="BB52" s="10" t="str">
        <f aca="false">IF($A52="","",IF($AL52="","",IF(COUNTIFS(Fact_Milestone!$A:$A,$B52,Fact_Milestone!$B:$B,$AL52,Fact_Milestone!$I:$I,"No")&gt;0,"No",IF(COUNTIFS(Fact_Milestone!$A:$A,$B52,Fact_Milestone!$B:$B,$AL52,Fact_Milestone!$I:$I,"Yes")&gt;0,"Yes",""))))</f>
        <v/>
      </c>
      <c r="BC52" s="45" t="str">
        <f aca="false">IF($A52="","",IF(OR($L52="",$W52=""),"",IF(COUNTIFS($L:$L,$L52,$B:$B,$B52,$W:$W,"&lt;"&amp;$W52)=0,"",_xlfn.MAXIFS($W:$W,$L:$L,$L52,$B:$B,$B52,$W:$W,"&lt;"&amp;$W52))))</f>
        <v/>
      </c>
      <c r="BD52" s="39" t="str">
        <f aca="false">IF($A52="","",IF($AC52="","",IF(OR($L52="",$AC52=0),0,MIN($AC52,ROUND(ROUND(1440*SUMPRODUCT(($L$2:INDEX($L:$L,COUNTA($C:$C))=$L52)*($B$2:INDEX($B:$B,COUNTA($C:$C))=$B52)*(ROW($L$2:INDEX($L:$L,COUNTA($C:$C)))&lt;&gt;ROW())*((((($W52+$BT$2:INDEX($BT:$BT,COUNTA($C:$C))-ABS($W52-$BT$2:INDEX($BT:$BT,COUNTA($C:$C))))/2)-(($U52+$BS$2:INDEX($BS:$BS,COUNTA($C:$C))+ABS($U52-$BS$2:INDEX($BS:$BS,COUNTA($C:$C))))/2))+ABS(((($W52+$BT$2:INDEX($BT:$BT,COUNTA($C:$C))-ABS($W52-$BT$2:INDEX($BT:$BT,COUNTA($C:$C))))/2)-(($U52+$BS$2:INDEX($BS:$BS,COUNTA($C:$C))+ABS($U52-$BS$2:INDEX($BS:$BS,COUNTA($C:$C))))/2))))/2)),4),0)))))</f>
        <v/>
      </c>
      <c r="BE52" s="39" t="str">
        <f aca="false">IF($A52="","",IF($AC52="","",ROUND(MIN($AC52-$BD52,N($R52)),0)))</f>
        <v/>
      </c>
      <c r="BF52" s="10" t="str">
        <f aca="false">IF($A52="","",IFERROR(VLOOKUP($C52,Dim_Fund!$A:$BD,56,0),""))</f>
        <v/>
      </c>
      <c r="BG52" s="10" t="str">
        <f aca="false">IF($A52="","",IFERROR(VLOOKUP($C52,Dim_Fund!$A:$BH,60,0),""))</f>
        <v/>
      </c>
      <c r="BH52" s="10" t="str">
        <f aca="false">IF($A52="","",IF($AI52&lt;&gt;"Yes","Not breached",IF($AM52="Yes","Pricing late",IF($BG52="Thin custody slack","Thin custody slack",IF($BF52="Yes","Broker-dependent","None of these")))))</f>
        <v/>
      </c>
      <c r="BI52" s="23" t="str">
        <f aca="false">IF($A52="","",IFERROR(IF(VLOOKUP($C52,Dim_Fund!$A:$AI,35,0)&gt;0,VLOOKUP($C52,Dim_Fund!$A:$AI,35,0),""),""))</f>
        <v/>
      </c>
      <c r="BJ52" s="10" t="str">
        <f aca="false">IF($A52="","",$C52&amp;IF($E52="Client","*",""))</f>
        <v/>
      </c>
      <c r="BK52" s="39" t="str">
        <f aca="false">IF($A52="","",IFERROR(ROUND(($Y52-$X52)*1440,0),""))</f>
        <v/>
      </c>
      <c r="BL52" s="39" t="str">
        <f aca="false">IF($A52="","",IF($AH52="","",-$AH52))</f>
        <v/>
      </c>
      <c r="BM52" s="46" t="str">
        <f aca="false">IF($A52="","",IF($AQ52="","",IF($AP52="",$AQ52,MIN($AP52,$AQ52))))</f>
        <v/>
      </c>
      <c r="BN52" s="46" t="str">
        <f aca="false">IF($A52="","",IF($BM52="","",ROUND(N($AC52)/60,4)))</f>
        <v/>
      </c>
      <c r="BO52" s="46" t="str">
        <f aca="false">IF($A52="","",IF(OR($BM52="",$AD52=""),"",ROUND($AD52/60,4)))</f>
        <v/>
      </c>
      <c r="BP52" s="46" t="str">
        <f aca="false">IF($A52="","",IF($BM52="","",ROUND(N($AE52)/60,4)))</f>
        <v/>
      </c>
      <c r="BQ52" s="46" t="str">
        <f aca="false">IF($A52="","",IF(OR($BM52="",$AF52=""),"",ROUND($AF52/60,4)))</f>
        <v/>
      </c>
      <c r="BR52" s="39" t="str">
        <f aca="false">IF($A52="","",IF($AC52="","",$AC52-$BD52-$BE52))</f>
        <v/>
      </c>
      <c r="BS52" s="45" t="str">
        <f aca="false">IF($A52="","",IF(AND(ISNUMBER($Z52),ISNUMBER($W52)),$Z52,0))</f>
        <v/>
      </c>
      <c r="BT52" s="45" t="str">
        <f aca="false">IF($A52="","",IF(ISNUMBER($W52),$W52,0))</f>
        <v/>
      </c>
      <c r="BU52" s="23" t="str">
        <f aca="false">IF($A52="","",IF(ISNUMBER($W52),ROUND(($W52-$B52)*24,4),""))</f>
        <v/>
      </c>
      <c r="BV52" s="23" t="str">
        <f aca="false">IF($A52="","",IF(ISNUMBER($X52),ROUND(($X52-$B52)*24,4),""))</f>
        <v/>
      </c>
      <c r="BW52" s="10" t="str">
        <f aca="false">IF($A52="","",IF(NOT(ISNUMBER($W52)),"Missing Calculated",IF(NOT(ISNUMBER($X52)),IF($E52="Client","Missing FA signed off","Missing Controlled"),IF($X52&lt;$W52,"End before start","OK"))))</f>
        <v/>
      </c>
      <c r="BX52" s="23" t="str">
        <f aca="false">IF($A52="","",IF(NOT(ISNUMBER($Z52)),"",ROUND((IF(ISNUMBER($U52),MIN($U52,$Z52),$Z52)-$B52)*24,4)))</f>
        <v/>
      </c>
      <c r="BY52" s="23" t="str">
        <f aca="false">IF($A52="","",IF(ISNUMBER($Z52),ROUND(($Z52-$B52)*24,4),""))</f>
        <v/>
      </c>
      <c r="BZ52" s="23" t="str">
        <f aca="false">IF($A52="","",IF(AND(ISNUMBER($W52),ISNUMBER($S52)),ROUND(($W52+$S52/1440-$B52)*24,4),""))</f>
        <v/>
      </c>
    </row>
    <row r="53" customFormat="false" ht="15" hidden="false" customHeight="true" outlineLevel="0" collapsed="false">
      <c r="A53" s="47"/>
      <c r="B53" s="47"/>
      <c r="D53" s="4" t="str">
        <f aca="false">IF($A53="","",$B53-$A53)</f>
        <v/>
      </c>
      <c r="E53" s="4" t="str">
        <f aca="false">IF($A53="","",IFERROR(VLOOKUP($C53,Dim_Fund!$A:$X,24,0),""))</f>
        <v/>
      </c>
      <c r="F53" s="37" t="str">
        <f aca="false">IF($A53="","",IF(COUNTIFS(Status_Log!$A:$A,$A53,Status_Log!$B:$B,$B53,Status_Log!$C:$C,$C53,Status_Log!$D:$D,"Changed to the status of Calculated")=0,"",_xlfn.MINIFS(Status_Log!$E:$E,Status_Log!$A:$A,$A53,Status_Log!$B:$B,$B53,Status_Log!$C:$C,$C53,Status_Log!$D:$D,"Changed to the status of Calculated")))</f>
        <v/>
      </c>
      <c r="G53" s="37" t="str">
        <f aca="false">IF($A53="","",IF(COUNTIFS(Status_Log!$A:$A,$A53,Status_Log!$B:$B,$B53,Status_Log!$C:$C,$C53,Status_Log!$D:$D,"Changed to the status of Controlled")=0,"",_xlfn.MAXIFS(Status_Log!$E:$E,Status_Log!$A:$A,$A53,Status_Log!$B:$B,$B53,Status_Log!$C:$C,$C53,Status_Log!$D:$D,"Changed to the status of Controlled")))</f>
        <v/>
      </c>
      <c r="H53" s="37" t="str">
        <f aca="false">IF($A53="","",IF(COUNTIFS(Status_Log!$A:$A,$A53,Status_Log!$B:$B,$B53,Status_Log!$C:$C,$C53,Status_Log!$D:$D,"Changed to the status of Fund accounting signed off")=0,"",_xlfn.MAXIFS(Status_Log!$E:$E,Status_Log!$A:$A,$A53,Status_Log!$B:$B,$B53,Status_Log!$C:$C,$C53,Status_Log!$D:$D,"Changed to the status of Fund accounting signed off")))</f>
        <v/>
      </c>
      <c r="I53" s="37" t="str">
        <f aca="false">IF($A53="","",IF(COUNTIFS(Status_Log!$A:$A,$A53,Status_Log!$B:$B,$B53,Status_Log!$C:$C,$C53,Status_Log!$D:$D,"Changed to the status of signed off")=0,"",_xlfn.MAXIFS(Status_Log!$E:$E,Status_Log!$A:$A,$A53,Status_Log!$B:$B,$B53,Status_Log!$C:$C,$C53,Status_Log!$D:$D,"Changed to the status of signed off")))</f>
        <v/>
      </c>
      <c r="J53" s="4" t="str">
        <f aca="false">IF($A53="","",COUNTIFS(Status_Log!$A:$A,$A53,Status_Log!$B:$B,$B53,Status_Log!$C:$C,$C53,Status_Log!$D:$D,"Changed to the status of Calculated"))</f>
        <v/>
      </c>
      <c r="K53" s="38" t="str">
        <f aca="false">IF($A53="","",IF(J53&lt;=1,0,ROUND((_xlfn.MAXIFS(Status_Log!$E:$E,Status_Log!$A:$A,$A53,Status_Log!$B:$B,$B53,Status_Log!$C:$C,$C53,Status_Log!$D:$D,"Changed to the status of Calculated")-F53)*1440,0)))</f>
        <v/>
      </c>
      <c r="L53" s="4" t="str">
        <f aca="false">IF($A53="","",IFERROR(INDEX(Status_Log!$F:$F,MATCH($A53&amp;"|"&amp;$B53&amp;"|"&amp;$C53&amp;"|Changed to the status of Calculated|"&amp;TEXT(_xlfn.MAXIFS(Status_Log!$E:$E,Status_Log!$A:$A,$A53,Status_Log!$B:$B,$B53,Status_Log!$C:$C,$C53,Status_Log!$D:$D,"Changed to the status of Calculated"),"0.000000"),Status_Log!$H:$H,0)),""))</f>
        <v/>
      </c>
      <c r="M53" s="4" t="str">
        <f aca="false">IF($A53="","",IF(E53="Client","n/a — no control step",IFERROR(INDEX(Status_Log!$F:$F,MATCH($A53&amp;"|"&amp;$B53&amp;"|"&amp;$C53&amp;"|Changed to the status of Controlled|"&amp;TEXT(_xlfn.MAXIFS(Status_Log!$E:$E,Status_Log!$A:$A,$A53,Status_Log!$B:$B,$B53,Status_Log!$C:$C,$C53,Status_Log!$D:$D,"Changed to the status of Controlled"),"0.000000"),Status_Log!$H:$H,0)),"")))</f>
        <v/>
      </c>
      <c r="N53" s="4" t="str">
        <f aca="false">IF($A53="","",IFERROR(VLOOKUP($C53,Dim_Fund!$A:$G,7,0),""))</f>
        <v/>
      </c>
      <c r="O53" s="4" t="str">
        <f aca="false">IF($A53="","",IF(L53=N53,"No","Yes"))</f>
        <v/>
      </c>
      <c r="P53" s="4" t="str">
        <f aca="false">IF($A53="","",IF(E53="Client","n/a",IF(L53=M53,"YES — four-eyes breach","No")))</f>
        <v/>
      </c>
      <c r="Q53" s="38" t="str">
        <f aca="false">IF($A53="","",IFERROR(VLOOKUP($C53,Dim_Fund!$A:$AB,28,0),""))</f>
        <v/>
      </c>
      <c r="R53" s="38" t="str">
        <f aca="false">IF($A53="","",IFERROR(VLOOKUP($C53,Dim_Fund!$A:$AC,29,0),""))</f>
        <v/>
      </c>
      <c r="S53" s="38" t="str">
        <f aca="false">IF($A53="","",IFERROR(VLOOKUP($C53,Dim_Fund!$A:$AD,30,0),""))</f>
        <v/>
      </c>
      <c r="T53" s="38" t="str">
        <f aca="false">IF($A53="","",IFERROR(VLOOKUP($C53,Dim_Fund!$A:$AL,38,0),""))</f>
        <v/>
      </c>
      <c r="U53" s="37" t="str">
        <f aca="false">IF($A53="","",IF(AL53="","",IFERROR(IF(COUNTIFS(Fact_Milestone!$A:$A,$B53,Fact_Milestone!$B:$B,AL53)=0,"",_xlfn.MAXIFS(Fact_Milestone!$C:$C,Fact_Milestone!$A:$A,$B53,Fact_Milestone!$B:$B,AL53)),"")))</f>
        <v/>
      </c>
      <c r="V53" s="37" t="str">
        <f aca="false">IF($A53="","",IFERROR(IF(VLOOKUP($C53,Dim_Fund!$A:$AI,35,0)&gt;0,$B53+VLOOKUP($C53,Dim_Fund!$A:$AI,35,0)/24,""),""))</f>
        <v/>
      </c>
      <c r="W53" s="37" t="str">
        <f aca="false">IF($A53="","",F53)</f>
        <v/>
      </c>
      <c r="X53" s="37" t="str">
        <f aca="false">IF($A53="","",IF(E53="Client",H53,G53))</f>
        <v/>
      </c>
      <c r="Y53" s="37" t="str">
        <f aca="false">IF($A53="","",I53)</f>
        <v/>
      </c>
      <c r="Z53" s="37" t="str">
        <f aca="false">IF($A53="","",IFERROR(W53-R53/1440,""))</f>
        <v/>
      </c>
      <c r="AA53" s="38" t="str">
        <f aca="false">IF($A53="","",IF(OR(U53="",V53=""),"",ROUND((V53-U53)*1440,0)))</f>
        <v/>
      </c>
      <c r="AB53" s="38" t="str">
        <f aca="false">IF($A53="","",IF(U53="","",ROUND((W53-U53)*1440,0)))</f>
        <v/>
      </c>
      <c r="AC53" s="38" t="str">
        <f aca="false">IF($A53="","",IF(AB53="","",MAX(0,AB53)))</f>
        <v/>
      </c>
      <c r="AD53" s="38" t="str">
        <f aca="false">IF($A53="","",IFERROR(ROUND((X53-W53)*1440,0),""))</f>
        <v/>
      </c>
      <c r="AE53" s="38" t="str">
        <f aca="false">IF($A53="","",IF(E53="Client","n/a",IFERROR(ROUND((H53-G53)*1440,0),"")))</f>
        <v/>
      </c>
      <c r="AF53" s="38" t="str">
        <f aca="false">IF($A53="","",IFERROR(ROUND((Y53-H53)*1440,0),""))</f>
        <v/>
      </c>
      <c r="AG53" s="38" t="str">
        <f aca="false">IF($A53="","",IFERROR(ROUND((H53-F53)*1440,0),""))</f>
        <v/>
      </c>
      <c r="AH53" s="38" t="str">
        <f aca="false">IF($A53="","",IFERROR(ROUND((Y53-V53)*1440,0),""))</f>
        <v/>
      </c>
      <c r="AI53" s="4" t="str">
        <f aca="false">IF($A53="","",IF(AH53="","",IF(AH53&gt;0,"Yes","No")))</f>
        <v/>
      </c>
      <c r="AJ53" s="4" t="str">
        <f aca="false">IF($A53="","",IF(AI53&lt;&gt;"Yes","On time",IF(N(AC53)&gt;=MAX(N(AF53),N(K53)),"Wait for analyst",IF(N(AF53)&gt;=N(K53),"External sign-off","Rework"))))</f>
        <v/>
      </c>
      <c r="AK53" s="4" t="str">
        <f aca="false">IF($A53="","",IF(OR(F53="",Y53="",ISNA(MATCH(L53,Dim_Analyst!$A:$A,0))),"CHECK","OK"))</f>
        <v/>
      </c>
      <c r="AL53" s="4" t="str">
        <f aca="false">IF($A53="","",IFERROR(VLOOKUP($C53,Dim_Fund!$A:$U,21,0),""))</f>
        <v/>
      </c>
      <c r="AM53" s="4" t="str">
        <f aca="false">IF($A53="","",IF($U53="","",IF($U53&gt;$B53+IFERROR(VLOOKUP($C53,Dim_Fund!$A:$AH,34,0),0)/24,"Yes","No")))</f>
        <v/>
      </c>
      <c r="AN53" s="22" t="str">
        <f aca="false">IF($A53="","",IFERROR(VLOOKUP($C53,Dim_Fund!$A:$AH,34,0),""))</f>
        <v/>
      </c>
      <c r="AO53" s="22" t="str">
        <f aca="false">IF($A53="","",IF($AL53="","",IFERROR(FLOOR(IF(COUNTIFS(Fact_Milestone!$A:$A,$B53,Fact_Milestone!$B:$B,$AL53,Fact_Milestone!$F:$F,"&gt;0")&gt;0,_xlfn.MINIFS(Fact_Milestone!$F:$F,Fact_Milestone!$A:$A,$B53,Fact_Milestone!$B:$B,$AL53,Fact_Milestone!$F:$F,"&gt;0"),VLOOKUP($AL53,Dim_TOP!$A:$E,5,0)),0.5),"")))</f>
        <v/>
      </c>
      <c r="AP53" s="22" t="str">
        <f aca="false">IF($A53="","",IF($U53="","",ROUND(($U53-INT($U53))*24,4)))</f>
        <v/>
      </c>
      <c r="AQ53" s="22" t="str">
        <f aca="false">IF($A53="","",IF($W53="","",ROUND(($W53-INT($W53))*24,4)))</f>
        <v/>
      </c>
      <c r="AR53" s="22" t="str">
        <f aca="false">IF($A53="","",IF($X53="","",ROUND(($X53-INT($X53))*24,4)))</f>
        <v/>
      </c>
      <c r="AS53" s="38" t="str">
        <f aca="false">IF($A53="","",IF(OR($AN53="",$V53="",$S53="",$T53=""),"",ROUND(($V53-($B53+$AN53/24))*1440-$S53-$T53,0)))</f>
        <v/>
      </c>
      <c r="AT53" s="38" t="str">
        <f aca="false">IF($A53="","",IF(OR($AN53="",$U53=""),"",ROUND(($U53-($B53+$AN53/24))*1440,0)))</f>
        <v/>
      </c>
      <c r="AU53" s="38" t="str">
        <f aca="false">IF($A53="","",IF(OR($AD53="",$S53=""),"",ROUND($AD53-$S53,0)))</f>
        <v/>
      </c>
      <c r="AV53" s="38" t="str">
        <f aca="false">IF($A53="","",N($AE53))</f>
        <v/>
      </c>
      <c r="AW53" s="38" t="str">
        <f aca="false">IF($A53="","",IF(OR($AF53="",$T53=""),"",$AF53-$T53))</f>
        <v/>
      </c>
      <c r="AX53" s="38" t="str">
        <f aca="false">IF($A53="","",IF(COUNT($AT53,$AB53,$AU53,$AW53,$AS53,$AH53)&lt;6,"",ROUND($AT53+$AB53+$AU53+$AV53+$AW53-$AS53-$AH53,0)))</f>
        <v/>
      </c>
      <c r="AY53" s="4" t="str">
        <f aca="false">IF($A53="","",IF($AX53="","No",IF(ABS($AX53)&lt;=2,"Yes","No")))</f>
        <v/>
      </c>
      <c r="AZ53" s="4" t="str">
        <f aca="false">IF($A53="","",IF($AI53&lt;&gt;"Yes","n/a",IF(OR($AA53="",$S53="",$T53=""),"Unknown",IF($AA53&lt;$S53+$T53,"Lost on arrival","Lost after arrival"))))</f>
        <v/>
      </c>
      <c r="BA53" s="10" t="str">
        <f aca="false">IF($A53="","",IFERROR(VLOOKUP($C53,Dim_Fund!$A:$D,4,0),""))</f>
        <v/>
      </c>
      <c r="BB53" s="10" t="str">
        <f aca="false">IF($A53="","",IF($AL53="","",IF(COUNTIFS(Fact_Milestone!$A:$A,$B53,Fact_Milestone!$B:$B,$AL53,Fact_Milestone!$I:$I,"No")&gt;0,"No",IF(COUNTIFS(Fact_Milestone!$A:$A,$B53,Fact_Milestone!$B:$B,$AL53,Fact_Milestone!$I:$I,"Yes")&gt;0,"Yes",""))))</f>
        <v/>
      </c>
      <c r="BC53" s="45" t="str">
        <f aca="false">IF($A53="","",IF(OR($L53="",$W53=""),"",IF(COUNTIFS($L:$L,$L53,$B:$B,$B53,$W:$W,"&lt;"&amp;$W53)=0,"",_xlfn.MAXIFS($W:$W,$L:$L,$L53,$B:$B,$B53,$W:$W,"&lt;"&amp;$W53))))</f>
        <v/>
      </c>
      <c r="BD53" s="39" t="str">
        <f aca="false">IF($A53="","",IF($AC53="","",IF(OR($L53="",$AC53=0),0,MIN($AC53,ROUND(ROUND(1440*SUMPRODUCT(($L$2:INDEX($L:$L,COUNTA($C:$C))=$L53)*($B$2:INDEX($B:$B,COUNTA($C:$C))=$B53)*(ROW($L$2:INDEX($L:$L,COUNTA($C:$C)))&lt;&gt;ROW())*((((($W53+$BT$2:INDEX($BT:$BT,COUNTA($C:$C))-ABS($W53-$BT$2:INDEX($BT:$BT,COUNTA($C:$C))))/2)-(($U53+$BS$2:INDEX($BS:$BS,COUNTA($C:$C))+ABS($U53-$BS$2:INDEX($BS:$BS,COUNTA($C:$C))))/2))+ABS(((($W53+$BT$2:INDEX($BT:$BT,COUNTA($C:$C))-ABS($W53-$BT$2:INDEX($BT:$BT,COUNTA($C:$C))))/2)-(($U53+$BS$2:INDEX($BS:$BS,COUNTA($C:$C))+ABS($U53-$BS$2:INDEX($BS:$BS,COUNTA($C:$C))))/2))))/2)),4),0)))))</f>
        <v/>
      </c>
      <c r="BE53" s="39" t="str">
        <f aca="false">IF($A53="","",IF($AC53="","",ROUND(MIN($AC53-$BD53,N($R53)),0)))</f>
        <v/>
      </c>
      <c r="BF53" s="10" t="str">
        <f aca="false">IF($A53="","",IFERROR(VLOOKUP($C53,Dim_Fund!$A:$BD,56,0),""))</f>
        <v/>
      </c>
      <c r="BG53" s="10" t="str">
        <f aca="false">IF($A53="","",IFERROR(VLOOKUP($C53,Dim_Fund!$A:$BH,60,0),""))</f>
        <v/>
      </c>
      <c r="BH53" s="10" t="str">
        <f aca="false">IF($A53="","",IF($AI53&lt;&gt;"Yes","Not breached",IF($AM53="Yes","Pricing late",IF($BG53="Thin custody slack","Thin custody slack",IF($BF53="Yes","Broker-dependent","None of these")))))</f>
        <v/>
      </c>
      <c r="BI53" s="23" t="str">
        <f aca="false">IF($A53="","",IFERROR(IF(VLOOKUP($C53,Dim_Fund!$A:$AI,35,0)&gt;0,VLOOKUP($C53,Dim_Fund!$A:$AI,35,0),""),""))</f>
        <v/>
      </c>
      <c r="BJ53" s="10" t="str">
        <f aca="false">IF($A53="","",$C53&amp;IF($E53="Client","*",""))</f>
        <v/>
      </c>
      <c r="BK53" s="39" t="str">
        <f aca="false">IF($A53="","",IFERROR(ROUND(($Y53-$X53)*1440,0),""))</f>
        <v/>
      </c>
      <c r="BL53" s="39" t="str">
        <f aca="false">IF($A53="","",IF($AH53="","",-$AH53))</f>
        <v/>
      </c>
      <c r="BM53" s="46" t="str">
        <f aca="false">IF($A53="","",IF($AQ53="","",IF($AP53="",$AQ53,MIN($AP53,$AQ53))))</f>
        <v/>
      </c>
      <c r="BN53" s="46" t="str">
        <f aca="false">IF($A53="","",IF($BM53="","",ROUND(N($AC53)/60,4)))</f>
        <v/>
      </c>
      <c r="BO53" s="46" t="str">
        <f aca="false">IF($A53="","",IF(OR($BM53="",$AD53=""),"",ROUND($AD53/60,4)))</f>
        <v/>
      </c>
      <c r="BP53" s="46" t="str">
        <f aca="false">IF($A53="","",IF($BM53="","",ROUND(N($AE53)/60,4)))</f>
        <v/>
      </c>
      <c r="BQ53" s="46" t="str">
        <f aca="false">IF($A53="","",IF(OR($BM53="",$AF53=""),"",ROUND($AF53/60,4)))</f>
        <v/>
      </c>
      <c r="BR53" s="39" t="str">
        <f aca="false">IF($A53="","",IF($AC53="","",$AC53-$BD53-$BE53))</f>
        <v/>
      </c>
      <c r="BS53" s="45" t="str">
        <f aca="false">IF($A53="","",IF(AND(ISNUMBER($Z53),ISNUMBER($W53)),$Z53,0))</f>
        <v/>
      </c>
      <c r="BT53" s="45" t="str">
        <f aca="false">IF($A53="","",IF(ISNUMBER($W53),$W53,0))</f>
        <v/>
      </c>
      <c r="BU53" s="23" t="str">
        <f aca="false">IF($A53="","",IF(ISNUMBER($W53),ROUND(($W53-$B53)*24,4),""))</f>
        <v/>
      </c>
      <c r="BV53" s="23" t="str">
        <f aca="false">IF($A53="","",IF(ISNUMBER($X53),ROUND(($X53-$B53)*24,4),""))</f>
        <v/>
      </c>
      <c r="BW53" s="10" t="str">
        <f aca="false">IF($A53="","",IF(NOT(ISNUMBER($W53)),"Missing Calculated",IF(NOT(ISNUMBER($X53)),IF($E53="Client","Missing FA signed off","Missing Controlled"),IF($X53&lt;$W53,"End before start","OK"))))</f>
        <v/>
      </c>
      <c r="BX53" s="23" t="str">
        <f aca="false">IF($A53="","",IF(NOT(ISNUMBER($Z53)),"",ROUND((IF(ISNUMBER($U53),MIN($U53,$Z53),$Z53)-$B53)*24,4)))</f>
        <v/>
      </c>
      <c r="BY53" s="23" t="str">
        <f aca="false">IF($A53="","",IF(ISNUMBER($Z53),ROUND(($Z53-$B53)*24,4),""))</f>
        <v/>
      </c>
      <c r="BZ53" s="23" t="str">
        <f aca="false">IF($A53="","",IF(AND(ISNUMBER($W53),ISNUMBER($S53)),ROUND(($W53+$S53/1440-$B53)*24,4),""))</f>
        <v/>
      </c>
    </row>
    <row r="54" customFormat="false" ht="15" hidden="false" customHeight="true" outlineLevel="0" collapsed="false">
      <c r="A54" s="47"/>
      <c r="B54" s="47"/>
      <c r="D54" s="4" t="str">
        <f aca="false">IF($A54="","",$B54-$A54)</f>
        <v/>
      </c>
      <c r="E54" s="4" t="str">
        <f aca="false">IF($A54="","",IFERROR(VLOOKUP($C54,Dim_Fund!$A:$X,24,0),""))</f>
        <v/>
      </c>
      <c r="F54" s="37" t="str">
        <f aca="false">IF($A54="","",IF(COUNTIFS(Status_Log!$A:$A,$A54,Status_Log!$B:$B,$B54,Status_Log!$C:$C,$C54,Status_Log!$D:$D,"Changed to the status of Calculated")=0,"",_xlfn.MINIFS(Status_Log!$E:$E,Status_Log!$A:$A,$A54,Status_Log!$B:$B,$B54,Status_Log!$C:$C,$C54,Status_Log!$D:$D,"Changed to the status of Calculated")))</f>
        <v/>
      </c>
      <c r="G54" s="37" t="str">
        <f aca="false">IF($A54="","",IF(COUNTIFS(Status_Log!$A:$A,$A54,Status_Log!$B:$B,$B54,Status_Log!$C:$C,$C54,Status_Log!$D:$D,"Changed to the status of Controlled")=0,"",_xlfn.MAXIFS(Status_Log!$E:$E,Status_Log!$A:$A,$A54,Status_Log!$B:$B,$B54,Status_Log!$C:$C,$C54,Status_Log!$D:$D,"Changed to the status of Controlled")))</f>
        <v/>
      </c>
      <c r="H54" s="37" t="str">
        <f aca="false">IF($A54="","",IF(COUNTIFS(Status_Log!$A:$A,$A54,Status_Log!$B:$B,$B54,Status_Log!$C:$C,$C54,Status_Log!$D:$D,"Changed to the status of Fund accounting signed off")=0,"",_xlfn.MAXIFS(Status_Log!$E:$E,Status_Log!$A:$A,$A54,Status_Log!$B:$B,$B54,Status_Log!$C:$C,$C54,Status_Log!$D:$D,"Changed to the status of Fund accounting signed off")))</f>
        <v/>
      </c>
      <c r="I54" s="37" t="str">
        <f aca="false">IF($A54="","",IF(COUNTIFS(Status_Log!$A:$A,$A54,Status_Log!$B:$B,$B54,Status_Log!$C:$C,$C54,Status_Log!$D:$D,"Changed to the status of signed off")=0,"",_xlfn.MAXIFS(Status_Log!$E:$E,Status_Log!$A:$A,$A54,Status_Log!$B:$B,$B54,Status_Log!$C:$C,$C54,Status_Log!$D:$D,"Changed to the status of signed off")))</f>
        <v/>
      </c>
      <c r="J54" s="4" t="str">
        <f aca="false">IF($A54="","",COUNTIFS(Status_Log!$A:$A,$A54,Status_Log!$B:$B,$B54,Status_Log!$C:$C,$C54,Status_Log!$D:$D,"Changed to the status of Calculated"))</f>
        <v/>
      </c>
      <c r="K54" s="38" t="str">
        <f aca="false">IF($A54="","",IF(J54&lt;=1,0,ROUND((_xlfn.MAXIFS(Status_Log!$E:$E,Status_Log!$A:$A,$A54,Status_Log!$B:$B,$B54,Status_Log!$C:$C,$C54,Status_Log!$D:$D,"Changed to the status of Calculated")-F54)*1440,0)))</f>
        <v/>
      </c>
      <c r="L54" s="4" t="str">
        <f aca="false">IF($A54="","",IFERROR(INDEX(Status_Log!$F:$F,MATCH($A54&amp;"|"&amp;$B54&amp;"|"&amp;$C54&amp;"|Changed to the status of Calculated|"&amp;TEXT(_xlfn.MAXIFS(Status_Log!$E:$E,Status_Log!$A:$A,$A54,Status_Log!$B:$B,$B54,Status_Log!$C:$C,$C54,Status_Log!$D:$D,"Changed to the status of Calculated"),"0.000000"),Status_Log!$H:$H,0)),""))</f>
        <v/>
      </c>
      <c r="M54" s="4" t="str">
        <f aca="false">IF($A54="","",IF(E54="Client","n/a — no control step",IFERROR(INDEX(Status_Log!$F:$F,MATCH($A54&amp;"|"&amp;$B54&amp;"|"&amp;$C54&amp;"|Changed to the status of Controlled|"&amp;TEXT(_xlfn.MAXIFS(Status_Log!$E:$E,Status_Log!$A:$A,$A54,Status_Log!$B:$B,$B54,Status_Log!$C:$C,$C54,Status_Log!$D:$D,"Changed to the status of Controlled"),"0.000000"),Status_Log!$H:$H,0)),"")))</f>
        <v/>
      </c>
      <c r="N54" s="4" t="str">
        <f aca="false">IF($A54="","",IFERROR(VLOOKUP($C54,Dim_Fund!$A:$G,7,0),""))</f>
        <v/>
      </c>
      <c r="O54" s="4" t="str">
        <f aca="false">IF($A54="","",IF(L54=N54,"No","Yes"))</f>
        <v/>
      </c>
      <c r="P54" s="4" t="str">
        <f aca="false">IF($A54="","",IF(E54="Client","n/a",IF(L54=M54,"YES — four-eyes breach","No")))</f>
        <v/>
      </c>
      <c r="Q54" s="38" t="str">
        <f aca="false">IF($A54="","",IFERROR(VLOOKUP($C54,Dim_Fund!$A:$AB,28,0),""))</f>
        <v/>
      </c>
      <c r="R54" s="38" t="str">
        <f aca="false">IF($A54="","",IFERROR(VLOOKUP($C54,Dim_Fund!$A:$AC,29,0),""))</f>
        <v/>
      </c>
      <c r="S54" s="38" t="str">
        <f aca="false">IF($A54="","",IFERROR(VLOOKUP($C54,Dim_Fund!$A:$AD,30,0),""))</f>
        <v/>
      </c>
      <c r="T54" s="38" t="str">
        <f aca="false">IF($A54="","",IFERROR(VLOOKUP($C54,Dim_Fund!$A:$AL,38,0),""))</f>
        <v/>
      </c>
      <c r="U54" s="37" t="str">
        <f aca="false">IF($A54="","",IF(AL54="","",IFERROR(IF(COUNTIFS(Fact_Milestone!$A:$A,$B54,Fact_Milestone!$B:$B,AL54)=0,"",_xlfn.MAXIFS(Fact_Milestone!$C:$C,Fact_Milestone!$A:$A,$B54,Fact_Milestone!$B:$B,AL54)),"")))</f>
        <v/>
      </c>
      <c r="V54" s="37" t="str">
        <f aca="false">IF($A54="","",IFERROR(IF(VLOOKUP($C54,Dim_Fund!$A:$AI,35,0)&gt;0,$B54+VLOOKUP($C54,Dim_Fund!$A:$AI,35,0)/24,""),""))</f>
        <v/>
      </c>
      <c r="W54" s="37" t="str">
        <f aca="false">IF($A54="","",F54)</f>
        <v/>
      </c>
      <c r="X54" s="37" t="str">
        <f aca="false">IF($A54="","",IF(E54="Client",H54,G54))</f>
        <v/>
      </c>
      <c r="Y54" s="37" t="str">
        <f aca="false">IF($A54="","",I54)</f>
        <v/>
      </c>
      <c r="Z54" s="37" t="str">
        <f aca="false">IF($A54="","",IFERROR(W54-R54/1440,""))</f>
        <v/>
      </c>
      <c r="AA54" s="38" t="str">
        <f aca="false">IF($A54="","",IF(OR(U54="",V54=""),"",ROUND((V54-U54)*1440,0)))</f>
        <v/>
      </c>
      <c r="AB54" s="38" t="str">
        <f aca="false">IF($A54="","",IF(U54="","",ROUND((W54-U54)*1440,0)))</f>
        <v/>
      </c>
      <c r="AC54" s="38" t="str">
        <f aca="false">IF($A54="","",IF(AB54="","",MAX(0,AB54)))</f>
        <v/>
      </c>
      <c r="AD54" s="38" t="str">
        <f aca="false">IF($A54="","",IFERROR(ROUND((X54-W54)*1440,0),""))</f>
        <v/>
      </c>
      <c r="AE54" s="38" t="str">
        <f aca="false">IF($A54="","",IF(E54="Client","n/a",IFERROR(ROUND((H54-G54)*1440,0),"")))</f>
        <v/>
      </c>
      <c r="AF54" s="38" t="str">
        <f aca="false">IF($A54="","",IFERROR(ROUND((Y54-H54)*1440,0),""))</f>
        <v/>
      </c>
      <c r="AG54" s="38" t="str">
        <f aca="false">IF($A54="","",IFERROR(ROUND((H54-F54)*1440,0),""))</f>
        <v/>
      </c>
      <c r="AH54" s="38" t="str">
        <f aca="false">IF($A54="","",IFERROR(ROUND((Y54-V54)*1440,0),""))</f>
        <v/>
      </c>
      <c r="AI54" s="4" t="str">
        <f aca="false">IF($A54="","",IF(AH54="","",IF(AH54&gt;0,"Yes","No")))</f>
        <v/>
      </c>
      <c r="AJ54" s="4" t="str">
        <f aca="false">IF($A54="","",IF(AI54&lt;&gt;"Yes","On time",IF(N(AC54)&gt;=MAX(N(AF54),N(K54)),"Wait for analyst",IF(N(AF54)&gt;=N(K54),"External sign-off","Rework"))))</f>
        <v/>
      </c>
      <c r="AK54" s="4" t="str">
        <f aca="false">IF($A54="","",IF(OR(F54="",Y54="",ISNA(MATCH(L54,Dim_Analyst!$A:$A,0))),"CHECK","OK"))</f>
        <v/>
      </c>
      <c r="AL54" s="4" t="str">
        <f aca="false">IF($A54="","",IFERROR(VLOOKUP($C54,Dim_Fund!$A:$U,21,0),""))</f>
        <v/>
      </c>
      <c r="AM54" s="4" t="str">
        <f aca="false">IF($A54="","",IF($U54="","",IF($U54&gt;$B54+IFERROR(VLOOKUP($C54,Dim_Fund!$A:$AH,34,0),0)/24,"Yes","No")))</f>
        <v/>
      </c>
      <c r="AN54" s="22" t="str">
        <f aca="false">IF($A54="","",IFERROR(VLOOKUP($C54,Dim_Fund!$A:$AH,34,0),""))</f>
        <v/>
      </c>
      <c r="AO54" s="22" t="str">
        <f aca="false">IF($A54="","",IF($AL54="","",IFERROR(FLOOR(IF(COUNTIFS(Fact_Milestone!$A:$A,$B54,Fact_Milestone!$B:$B,$AL54,Fact_Milestone!$F:$F,"&gt;0")&gt;0,_xlfn.MINIFS(Fact_Milestone!$F:$F,Fact_Milestone!$A:$A,$B54,Fact_Milestone!$B:$B,$AL54,Fact_Milestone!$F:$F,"&gt;0"),VLOOKUP($AL54,Dim_TOP!$A:$E,5,0)),0.5),"")))</f>
        <v/>
      </c>
      <c r="AP54" s="22" t="str">
        <f aca="false">IF($A54="","",IF($U54="","",ROUND(($U54-INT($U54))*24,4)))</f>
        <v/>
      </c>
      <c r="AQ54" s="22" t="str">
        <f aca="false">IF($A54="","",IF($W54="","",ROUND(($W54-INT($W54))*24,4)))</f>
        <v/>
      </c>
      <c r="AR54" s="22" t="str">
        <f aca="false">IF($A54="","",IF($X54="","",ROUND(($X54-INT($X54))*24,4)))</f>
        <v/>
      </c>
      <c r="AS54" s="38" t="str">
        <f aca="false">IF($A54="","",IF(OR($AN54="",$V54="",$S54="",$T54=""),"",ROUND(($V54-($B54+$AN54/24))*1440-$S54-$T54,0)))</f>
        <v/>
      </c>
      <c r="AT54" s="38" t="str">
        <f aca="false">IF($A54="","",IF(OR($AN54="",$U54=""),"",ROUND(($U54-($B54+$AN54/24))*1440,0)))</f>
        <v/>
      </c>
      <c r="AU54" s="38" t="str">
        <f aca="false">IF($A54="","",IF(OR($AD54="",$S54=""),"",ROUND($AD54-$S54,0)))</f>
        <v/>
      </c>
      <c r="AV54" s="38" t="str">
        <f aca="false">IF($A54="","",N($AE54))</f>
        <v/>
      </c>
      <c r="AW54" s="38" t="str">
        <f aca="false">IF($A54="","",IF(OR($AF54="",$T54=""),"",$AF54-$T54))</f>
        <v/>
      </c>
      <c r="AX54" s="38" t="str">
        <f aca="false">IF($A54="","",IF(COUNT($AT54,$AB54,$AU54,$AW54,$AS54,$AH54)&lt;6,"",ROUND($AT54+$AB54+$AU54+$AV54+$AW54-$AS54-$AH54,0)))</f>
        <v/>
      </c>
      <c r="AY54" s="4" t="str">
        <f aca="false">IF($A54="","",IF($AX54="","No",IF(ABS($AX54)&lt;=2,"Yes","No")))</f>
        <v/>
      </c>
      <c r="AZ54" s="4" t="str">
        <f aca="false">IF($A54="","",IF($AI54&lt;&gt;"Yes","n/a",IF(OR($AA54="",$S54="",$T54=""),"Unknown",IF($AA54&lt;$S54+$T54,"Lost on arrival","Lost after arrival"))))</f>
        <v/>
      </c>
      <c r="BA54" s="10" t="str">
        <f aca="false">IF($A54="","",IFERROR(VLOOKUP($C54,Dim_Fund!$A:$D,4,0),""))</f>
        <v/>
      </c>
      <c r="BB54" s="10" t="str">
        <f aca="false">IF($A54="","",IF($AL54="","",IF(COUNTIFS(Fact_Milestone!$A:$A,$B54,Fact_Milestone!$B:$B,$AL54,Fact_Milestone!$I:$I,"No")&gt;0,"No",IF(COUNTIFS(Fact_Milestone!$A:$A,$B54,Fact_Milestone!$B:$B,$AL54,Fact_Milestone!$I:$I,"Yes")&gt;0,"Yes",""))))</f>
        <v/>
      </c>
      <c r="BC54" s="45" t="str">
        <f aca="false">IF($A54="","",IF(OR($L54="",$W54=""),"",IF(COUNTIFS($L:$L,$L54,$B:$B,$B54,$W:$W,"&lt;"&amp;$W54)=0,"",_xlfn.MAXIFS($W:$W,$L:$L,$L54,$B:$B,$B54,$W:$W,"&lt;"&amp;$W54))))</f>
        <v/>
      </c>
      <c r="BD54" s="39" t="str">
        <f aca="false">IF($A54="","",IF($AC54="","",IF(OR($L54="",$AC54=0),0,MIN($AC54,ROUND(ROUND(1440*SUMPRODUCT(($L$2:INDEX($L:$L,COUNTA($C:$C))=$L54)*($B$2:INDEX($B:$B,COUNTA($C:$C))=$B54)*(ROW($L$2:INDEX($L:$L,COUNTA($C:$C)))&lt;&gt;ROW())*((((($W54+$BT$2:INDEX($BT:$BT,COUNTA($C:$C))-ABS($W54-$BT$2:INDEX($BT:$BT,COUNTA($C:$C))))/2)-(($U54+$BS$2:INDEX($BS:$BS,COUNTA($C:$C))+ABS($U54-$BS$2:INDEX($BS:$BS,COUNTA($C:$C))))/2))+ABS(((($W54+$BT$2:INDEX($BT:$BT,COUNTA($C:$C))-ABS($W54-$BT$2:INDEX($BT:$BT,COUNTA($C:$C))))/2)-(($U54+$BS$2:INDEX($BS:$BS,COUNTA($C:$C))+ABS($U54-$BS$2:INDEX($BS:$BS,COUNTA($C:$C))))/2))))/2)),4),0)))))</f>
        <v/>
      </c>
      <c r="BE54" s="39" t="str">
        <f aca="false">IF($A54="","",IF($AC54="","",ROUND(MIN($AC54-$BD54,N($R54)),0)))</f>
        <v/>
      </c>
      <c r="BF54" s="10" t="str">
        <f aca="false">IF($A54="","",IFERROR(VLOOKUP($C54,Dim_Fund!$A:$BD,56,0),""))</f>
        <v/>
      </c>
      <c r="BG54" s="10" t="str">
        <f aca="false">IF($A54="","",IFERROR(VLOOKUP($C54,Dim_Fund!$A:$BH,60,0),""))</f>
        <v/>
      </c>
      <c r="BH54" s="10" t="str">
        <f aca="false">IF($A54="","",IF($AI54&lt;&gt;"Yes","Not breached",IF($AM54="Yes","Pricing late",IF($BG54="Thin custody slack","Thin custody slack",IF($BF54="Yes","Broker-dependent","None of these")))))</f>
        <v/>
      </c>
      <c r="BI54" s="23" t="str">
        <f aca="false">IF($A54="","",IFERROR(IF(VLOOKUP($C54,Dim_Fund!$A:$AI,35,0)&gt;0,VLOOKUP($C54,Dim_Fund!$A:$AI,35,0),""),""))</f>
        <v/>
      </c>
      <c r="BJ54" s="10" t="str">
        <f aca="false">IF($A54="","",$C54&amp;IF($E54="Client","*",""))</f>
        <v/>
      </c>
      <c r="BK54" s="39" t="str">
        <f aca="false">IF($A54="","",IFERROR(ROUND(($Y54-$X54)*1440,0),""))</f>
        <v/>
      </c>
      <c r="BL54" s="39" t="str">
        <f aca="false">IF($A54="","",IF($AH54="","",-$AH54))</f>
        <v/>
      </c>
      <c r="BM54" s="46" t="str">
        <f aca="false">IF($A54="","",IF($AQ54="","",IF($AP54="",$AQ54,MIN($AP54,$AQ54))))</f>
        <v/>
      </c>
      <c r="BN54" s="46" t="str">
        <f aca="false">IF($A54="","",IF($BM54="","",ROUND(N($AC54)/60,4)))</f>
        <v/>
      </c>
      <c r="BO54" s="46" t="str">
        <f aca="false">IF($A54="","",IF(OR($BM54="",$AD54=""),"",ROUND($AD54/60,4)))</f>
        <v/>
      </c>
      <c r="BP54" s="46" t="str">
        <f aca="false">IF($A54="","",IF($BM54="","",ROUND(N($AE54)/60,4)))</f>
        <v/>
      </c>
      <c r="BQ54" s="46" t="str">
        <f aca="false">IF($A54="","",IF(OR($BM54="",$AF54=""),"",ROUND($AF54/60,4)))</f>
        <v/>
      </c>
      <c r="BR54" s="39" t="str">
        <f aca="false">IF($A54="","",IF($AC54="","",$AC54-$BD54-$BE54))</f>
        <v/>
      </c>
      <c r="BS54" s="45" t="str">
        <f aca="false">IF($A54="","",IF(AND(ISNUMBER($Z54),ISNUMBER($W54)),$Z54,0))</f>
        <v/>
      </c>
      <c r="BT54" s="45" t="str">
        <f aca="false">IF($A54="","",IF(ISNUMBER($W54),$W54,0))</f>
        <v/>
      </c>
      <c r="BU54" s="23" t="str">
        <f aca="false">IF($A54="","",IF(ISNUMBER($W54),ROUND(($W54-$B54)*24,4),""))</f>
        <v/>
      </c>
      <c r="BV54" s="23" t="str">
        <f aca="false">IF($A54="","",IF(ISNUMBER($X54),ROUND(($X54-$B54)*24,4),""))</f>
        <v/>
      </c>
      <c r="BW54" s="10" t="str">
        <f aca="false">IF($A54="","",IF(NOT(ISNUMBER($W54)),"Missing Calculated",IF(NOT(ISNUMBER($X54)),IF($E54="Client","Missing FA signed off","Missing Controlled"),IF($X54&lt;$W54,"End before start","OK"))))</f>
        <v/>
      </c>
      <c r="BX54" s="23" t="str">
        <f aca="false">IF($A54="","",IF(NOT(ISNUMBER($Z54)),"",ROUND((IF(ISNUMBER($U54),MIN($U54,$Z54),$Z54)-$B54)*24,4)))</f>
        <v/>
      </c>
      <c r="BY54" s="23" t="str">
        <f aca="false">IF($A54="","",IF(ISNUMBER($Z54),ROUND(($Z54-$B54)*24,4),""))</f>
        <v/>
      </c>
      <c r="BZ54" s="23" t="str">
        <f aca="false">IF($A54="","",IF(AND(ISNUMBER($W54),ISNUMBER($S54)),ROUND(($W54+$S54/1440-$B54)*24,4),""))</f>
        <v/>
      </c>
    </row>
    <row r="55" customFormat="false" ht="15" hidden="false" customHeight="true" outlineLevel="0" collapsed="false">
      <c r="A55" s="47"/>
      <c r="B55" s="47"/>
      <c r="D55" s="4" t="str">
        <f aca="false">IF($A55="","",$B55-$A55)</f>
        <v/>
      </c>
      <c r="E55" s="4" t="str">
        <f aca="false">IF($A55="","",IFERROR(VLOOKUP($C55,Dim_Fund!$A:$X,24,0),""))</f>
        <v/>
      </c>
      <c r="F55" s="37" t="str">
        <f aca="false">IF($A55="","",IF(COUNTIFS(Status_Log!$A:$A,$A55,Status_Log!$B:$B,$B55,Status_Log!$C:$C,$C55,Status_Log!$D:$D,"Changed to the status of Calculated")=0,"",_xlfn.MINIFS(Status_Log!$E:$E,Status_Log!$A:$A,$A55,Status_Log!$B:$B,$B55,Status_Log!$C:$C,$C55,Status_Log!$D:$D,"Changed to the status of Calculated")))</f>
        <v/>
      </c>
      <c r="G55" s="37" t="str">
        <f aca="false">IF($A55="","",IF(COUNTIFS(Status_Log!$A:$A,$A55,Status_Log!$B:$B,$B55,Status_Log!$C:$C,$C55,Status_Log!$D:$D,"Changed to the status of Controlled")=0,"",_xlfn.MAXIFS(Status_Log!$E:$E,Status_Log!$A:$A,$A55,Status_Log!$B:$B,$B55,Status_Log!$C:$C,$C55,Status_Log!$D:$D,"Changed to the status of Controlled")))</f>
        <v/>
      </c>
      <c r="H55" s="37" t="str">
        <f aca="false">IF($A55="","",IF(COUNTIFS(Status_Log!$A:$A,$A55,Status_Log!$B:$B,$B55,Status_Log!$C:$C,$C55,Status_Log!$D:$D,"Changed to the status of Fund accounting signed off")=0,"",_xlfn.MAXIFS(Status_Log!$E:$E,Status_Log!$A:$A,$A55,Status_Log!$B:$B,$B55,Status_Log!$C:$C,$C55,Status_Log!$D:$D,"Changed to the status of Fund accounting signed off")))</f>
        <v/>
      </c>
      <c r="I55" s="37" t="str">
        <f aca="false">IF($A55="","",IF(COUNTIFS(Status_Log!$A:$A,$A55,Status_Log!$B:$B,$B55,Status_Log!$C:$C,$C55,Status_Log!$D:$D,"Changed to the status of signed off")=0,"",_xlfn.MAXIFS(Status_Log!$E:$E,Status_Log!$A:$A,$A55,Status_Log!$B:$B,$B55,Status_Log!$C:$C,$C55,Status_Log!$D:$D,"Changed to the status of signed off")))</f>
        <v/>
      </c>
      <c r="J55" s="4" t="str">
        <f aca="false">IF($A55="","",COUNTIFS(Status_Log!$A:$A,$A55,Status_Log!$B:$B,$B55,Status_Log!$C:$C,$C55,Status_Log!$D:$D,"Changed to the status of Calculated"))</f>
        <v/>
      </c>
      <c r="K55" s="38" t="str">
        <f aca="false">IF($A55="","",IF(J55&lt;=1,0,ROUND((_xlfn.MAXIFS(Status_Log!$E:$E,Status_Log!$A:$A,$A55,Status_Log!$B:$B,$B55,Status_Log!$C:$C,$C55,Status_Log!$D:$D,"Changed to the status of Calculated")-F55)*1440,0)))</f>
        <v/>
      </c>
      <c r="L55" s="4" t="str">
        <f aca="false">IF($A55="","",IFERROR(INDEX(Status_Log!$F:$F,MATCH($A55&amp;"|"&amp;$B55&amp;"|"&amp;$C55&amp;"|Changed to the status of Calculated|"&amp;TEXT(_xlfn.MAXIFS(Status_Log!$E:$E,Status_Log!$A:$A,$A55,Status_Log!$B:$B,$B55,Status_Log!$C:$C,$C55,Status_Log!$D:$D,"Changed to the status of Calculated"),"0.000000"),Status_Log!$H:$H,0)),""))</f>
        <v/>
      </c>
      <c r="M55" s="4" t="str">
        <f aca="false">IF($A55="","",IF(E55="Client","n/a — no control step",IFERROR(INDEX(Status_Log!$F:$F,MATCH($A55&amp;"|"&amp;$B55&amp;"|"&amp;$C55&amp;"|Changed to the status of Controlled|"&amp;TEXT(_xlfn.MAXIFS(Status_Log!$E:$E,Status_Log!$A:$A,$A55,Status_Log!$B:$B,$B55,Status_Log!$C:$C,$C55,Status_Log!$D:$D,"Changed to the status of Controlled"),"0.000000"),Status_Log!$H:$H,0)),"")))</f>
        <v/>
      </c>
      <c r="N55" s="4" t="str">
        <f aca="false">IF($A55="","",IFERROR(VLOOKUP($C55,Dim_Fund!$A:$G,7,0),""))</f>
        <v/>
      </c>
      <c r="O55" s="4" t="str">
        <f aca="false">IF($A55="","",IF(L55=N55,"No","Yes"))</f>
        <v/>
      </c>
      <c r="P55" s="4" t="str">
        <f aca="false">IF($A55="","",IF(E55="Client","n/a",IF(L55=M55,"YES — four-eyes breach","No")))</f>
        <v/>
      </c>
      <c r="Q55" s="38" t="str">
        <f aca="false">IF($A55="","",IFERROR(VLOOKUP($C55,Dim_Fund!$A:$AB,28,0),""))</f>
        <v/>
      </c>
      <c r="R55" s="38" t="str">
        <f aca="false">IF($A55="","",IFERROR(VLOOKUP($C55,Dim_Fund!$A:$AC,29,0),""))</f>
        <v/>
      </c>
      <c r="S55" s="38" t="str">
        <f aca="false">IF($A55="","",IFERROR(VLOOKUP($C55,Dim_Fund!$A:$AD,30,0),""))</f>
        <v/>
      </c>
      <c r="T55" s="38" t="str">
        <f aca="false">IF($A55="","",IFERROR(VLOOKUP($C55,Dim_Fund!$A:$AL,38,0),""))</f>
        <v/>
      </c>
      <c r="U55" s="37" t="str">
        <f aca="false">IF($A55="","",IF(AL55="","",IFERROR(IF(COUNTIFS(Fact_Milestone!$A:$A,$B55,Fact_Milestone!$B:$B,AL55)=0,"",_xlfn.MAXIFS(Fact_Milestone!$C:$C,Fact_Milestone!$A:$A,$B55,Fact_Milestone!$B:$B,AL55)),"")))</f>
        <v/>
      </c>
      <c r="V55" s="37" t="str">
        <f aca="false">IF($A55="","",IFERROR(IF(VLOOKUP($C55,Dim_Fund!$A:$AI,35,0)&gt;0,$B55+VLOOKUP($C55,Dim_Fund!$A:$AI,35,0)/24,""),""))</f>
        <v/>
      </c>
      <c r="W55" s="37" t="str">
        <f aca="false">IF($A55="","",F55)</f>
        <v/>
      </c>
      <c r="X55" s="37" t="str">
        <f aca="false">IF($A55="","",IF(E55="Client",H55,G55))</f>
        <v/>
      </c>
      <c r="Y55" s="37" t="str">
        <f aca="false">IF($A55="","",I55)</f>
        <v/>
      </c>
      <c r="Z55" s="37" t="str">
        <f aca="false">IF($A55="","",IFERROR(W55-R55/1440,""))</f>
        <v/>
      </c>
      <c r="AA55" s="38" t="str">
        <f aca="false">IF($A55="","",IF(OR(U55="",V55=""),"",ROUND((V55-U55)*1440,0)))</f>
        <v/>
      </c>
      <c r="AB55" s="38" t="str">
        <f aca="false">IF($A55="","",IF(U55="","",ROUND((W55-U55)*1440,0)))</f>
        <v/>
      </c>
      <c r="AC55" s="38" t="str">
        <f aca="false">IF($A55="","",IF(AB55="","",MAX(0,AB55)))</f>
        <v/>
      </c>
      <c r="AD55" s="38" t="str">
        <f aca="false">IF($A55="","",IFERROR(ROUND((X55-W55)*1440,0),""))</f>
        <v/>
      </c>
      <c r="AE55" s="38" t="str">
        <f aca="false">IF($A55="","",IF(E55="Client","n/a",IFERROR(ROUND((H55-G55)*1440,0),"")))</f>
        <v/>
      </c>
      <c r="AF55" s="38" t="str">
        <f aca="false">IF($A55="","",IFERROR(ROUND((Y55-H55)*1440,0),""))</f>
        <v/>
      </c>
      <c r="AG55" s="38" t="str">
        <f aca="false">IF($A55="","",IFERROR(ROUND((H55-F55)*1440,0),""))</f>
        <v/>
      </c>
      <c r="AH55" s="38" t="str">
        <f aca="false">IF($A55="","",IFERROR(ROUND((Y55-V55)*1440,0),""))</f>
        <v/>
      </c>
      <c r="AI55" s="4" t="str">
        <f aca="false">IF($A55="","",IF(AH55="","",IF(AH55&gt;0,"Yes","No")))</f>
        <v/>
      </c>
      <c r="AJ55" s="4" t="str">
        <f aca="false">IF($A55="","",IF(AI55&lt;&gt;"Yes","On time",IF(N(AC55)&gt;=MAX(N(AF55),N(K55)),"Wait for analyst",IF(N(AF55)&gt;=N(K55),"External sign-off","Rework"))))</f>
        <v/>
      </c>
      <c r="AK55" s="4" t="str">
        <f aca="false">IF($A55="","",IF(OR(F55="",Y55="",ISNA(MATCH(L55,Dim_Analyst!$A:$A,0))),"CHECK","OK"))</f>
        <v/>
      </c>
      <c r="AL55" s="4" t="str">
        <f aca="false">IF($A55="","",IFERROR(VLOOKUP($C55,Dim_Fund!$A:$U,21,0),""))</f>
        <v/>
      </c>
      <c r="AM55" s="4" t="str">
        <f aca="false">IF($A55="","",IF($U55="","",IF($U55&gt;$B55+IFERROR(VLOOKUP($C55,Dim_Fund!$A:$AH,34,0),0)/24,"Yes","No")))</f>
        <v/>
      </c>
      <c r="AN55" s="22" t="str">
        <f aca="false">IF($A55="","",IFERROR(VLOOKUP($C55,Dim_Fund!$A:$AH,34,0),""))</f>
        <v/>
      </c>
      <c r="AO55" s="22" t="str">
        <f aca="false">IF($A55="","",IF($AL55="","",IFERROR(FLOOR(IF(COUNTIFS(Fact_Milestone!$A:$A,$B55,Fact_Milestone!$B:$B,$AL55,Fact_Milestone!$F:$F,"&gt;0")&gt;0,_xlfn.MINIFS(Fact_Milestone!$F:$F,Fact_Milestone!$A:$A,$B55,Fact_Milestone!$B:$B,$AL55,Fact_Milestone!$F:$F,"&gt;0"),VLOOKUP($AL55,Dim_TOP!$A:$E,5,0)),0.5),"")))</f>
        <v/>
      </c>
      <c r="AP55" s="22" t="str">
        <f aca="false">IF($A55="","",IF($U55="","",ROUND(($U55-INT($U55))*24,4)))</f>
        <v/>
      </c>
      <c r="AQ55" s="22" t="str">
        <f aca="false">IF($A55="","",IF($W55="","",ROUND(($W55-INT($W55))*24,4)))</f>
        <v/>
      </c>
      <c r="AR55" s="22" t="str">
        <f aca="false">IF($A55="","",IF($X55="","",ROUND(($X55-INT($X55))*24,4)))</f>
        <v/>
      </c>
      <c r="AS55" s="38" t="str">
        <f aca="false">IF($A55="","",IF(OR($AN55="",$V55="",$S55="",$T55=""),"",ROUND(($V55-($B55+$AN55/24))*1440-$S55-$T55,0)))</f>
        <v/>
      </c>
      <c r="AT55" s="38" t="str">
        <f aca="false">IF($A55="","",IF(OR($AN55="",$U55=""),"",ROUND(($U55-($B55+$AN55/24))*1440,0)))</f>
        <v/>
      </c>
      <c r="AU55" s="38" t="str">
        <f aca="false">IF($A55="","",IF(OR($AD55="",$S55=""),"",ROUND($AD55-$S55,0)))</f>
        <v/>
      </c>
      <c r="AV55" s="38" t="str">
        <f aca="false">IF($A55="","",N($AE55))</f>
        <v/>
      </c>
      <c r="AW55" s="38" t="str">
        <f aca="false">IF($A55="","",IF(OR($AF55="",$T55=""),"",$AF55-$T55))</f>
        <v/>
      </c>
      <c r="AX55" s="38" t="str">
        <f aca="false">IF($A55="","",IF(COUNT($AT55,$AB55,$AU55,$AW55,$AS55,$AH55)&lt;6,"",ROUND($AT55+$AB55+$AU55+$AV55+$AW55-$AS55-$AH55,0)))</f>
        <v/>
      </c>
      <c r="AY55" s="4" t="str">
        <f aca="false">IF($A55="","",IF($AX55="","No",IF(ABS($AX55)&lt;=2,"Yes","No")))</f>
        <v/>
      </c>
      <c r="AZ55" s="4" t="str">
        <f aca="false">IF($A55="","",IF($AI55&lt;&gt;"Yes","n/a",IF(OR($AA55="",$S55="",$T55=""),"Unknown",IF($AA55&lt;$S55+$T55,"Lost on arrival","Lost after arrival"))))</f>
        <v/>
      </c>
      <c r="BA55" s="10" t="str">
        <f aca="false">IF($A55="","",IFERROR(VLOOKUP($C55,Dim_Fund!$A:$D,4,0),""))</f>
        <v/>
      </c>
      <c r="BB55" s="10" t="str">
        <f aca="false">IF($A55="","",IF($AL55="","",IF(COUNTIFS(Fact_Milestone!$A:$A,$B55,Fact_Milestone!$B:$B,$AL55,Fact_Milestone!$I:$I,"No")&gt;0,"No",IF(COUNTIFS(Fact_Milestone!$A:$A,$B55,Fact_Milestone!$B:$B,$AL55,Fact_Milestone!$I:$I,"Yes")&gt;0,"Yes",""))))</f>
        <v/>
      </c>
      <c r="BC55" s="45" t="str">
        <f aca="false">IF($A55="","",IF(OR($L55="",$W55=""),"",IF(COUNTIFS($L:$L,$L55,$B:$B,$B55,$W:$W,"&lt;"&amp;$W55)=0,"",_xlfn.MAXIFS($W:$W,$L:$L,$L55,$B:$B,$B55,$W:$W,"&lt;"&amp;$W55))))</f>
        <v/>
      </c>
      <c r="BD55" s="39" t="str">
        <f aca="false">IF($A55="","",IF($AC55="","",IF(OR($L55="",$AC55=0),0,MIN($AC55,ROUND(ROUND(1440*SUMPRODUCT(($L$2:INDEX($L:$L,COUNTA($C:$C))=$L55)*($B$2:INDEX($B:$B,COUNTA($C:$C))=$B55)*(ROW($L$2:INDEX($L:$L,COUNTA($C:$C)))&lt;&gt;ROW())*((((($W55+$BT$2:INDEX($BT:$BT,COUNTA($C:$C))-ABS($W55-$BT$2:INDEX($BT:$BT,COUNTA($C:$C))))/2)-(($U55+$BS$2:INDEX($BS:$BS,COUNTA($C:$C))+ABS($U55-$BS$2:INDEX($BS:$BS,COUNTA($C:$C))))/2))+ABS(((($W55+$BT$2:INDEX($BT:$BT,COUNTA($C:$C))-ABS($W55-$BT$2:INDEX($BT:$BT,COUNTA($C:$C))))/2)-(($U55+$BS$2:INDEX($BS:$BS,COUNTA($C:$C))+ABS($U55-$BS$2:INDEX($BS:$BS,COUNTA($C:$C))))/2))))/2)),4),0)))))</f>
        <v/>
      </c>
      <c r="BE55" s="39" t="str">
        <f aca="false">IF($A55="","",IF($AC55="","",ROUND(MIN($AC55-$BD55,N($R55)),0)))</f>
        <v/>
      </c>
      <c r="BF55" s="10" t="str">
        <f aca="false">IF($A55="","",IFERROR(VLOOKUP($C55,Dim_Fund!$A:$BD,56,0),""))</f>
        <v/>
      </c>
      <c r="BG55" s="10" t="str">
        <f aca="false">IF($A55="","",IFERROR(VLOOKUP($C55,Dim_Fund!$A:$BH,60,0),""))</f>
        <v/>
      </c>
      <c r="BH55" s="10" t="str">
        <f aca="false">IF($A55="","",IF($AI55&lt;&gt;"Yes","Not breached",IF($AM55="Yes","Pricing late",IF($BG55="Thin custody slack","Thin custody slack",IF($BF55="Yes","Broker-dependent","None of these")))))</f>
        <v/>
      </c>
      <c r="BI55" s="23" t="str">
        <f aca="false">IF($A55="","",IFERROR(IF(VLOOKUP($C55,Dim_Fund!$A:$AI,35,0)&gt;0,VLOOKUP($C55,Dim_Fund!$A:$AI,35,0),""),""))</f>
        <v/>
      </c>
      <c r="BJ55" s="10" t="str">
        <f aca="false">IF($A55="","",$C55&amp;IF($E55="Client","*",""))</f>
        <v/>
      </c>
      <c r="BK55" s="39" t="str">
        <f aca="false">IF($A55="","",IFERROR(ROUND(($Y55-$X55)*1440,0),""))</f>
        <v/>
      </c>
      <c r="BL55" s="39" t="str">
        <f aca="false">IF($A55="","",IF($AH55="","",-$AH55))</f>
        <v/>
      </c>
      <c r="BM55" s="46" t="str">
        <f aca="false">IF($A55="","",IF($AQ55="","",IF($AP55="",$AQ55,MIN($AP55,$AQ55))))</f>
        <v/>
      </c>
      <c r="BN55" s="46" t="str">
        <f aca="false">IF($A55="","",IF($BM55="","",ROUND(N($AC55)/60,4)))</f>
        <v/>
      </c>
      <c r="BO55" s="46" t="str">
        <f aca="false">IF($A55="","",IF(OR($BM55="",$AD55=""),"",ROUND($AD55/60,4)))</f>
        <v/>
      </c>
      <c r="BP55" s="46" t="str">
        <f aca="false">IF($A55="","",IF($BM55="","",ROUND(N($AE55)/60,4)))</f>
        <v/>
      </c>
      <c r="BQ55" s="46" t="str">
        <f aca="false">IF($A55="","",IF(OR($BM55="",$AF55=""),"",ROUND($AF55/60,4)))</f>
        <v/>
      </c>
      <c r="BR55" s="39" t="str">
        <f aca="false">IF($A55="","",IF($AC55="","",$AC55-$BD55-$BE55))</f>
        <v/>
      </c>
      <c r="BS55" s="45" t="str">
        <f aca="false">IF($A55="","",IF(AND(ISNUMBER($Z55),ISNUMBER($W55)),$Z55,0))</f>
        <v/>
      </c>
      <c r="BT55" s="45" t="str">
        <f aca="false">IF($A55="","",IF(ISNUMBER($W55),$W55,0))</f>
        <v/>
      </c>
      <c r="BU55" s="23" t="str">
        <f aca="false">IF($A55="","",IF(ISNUMBER($W55),ROUND(($W55-$B55)*24,4),""))</f>
        <v/>
      </c>
      <c r="BV55" s="23" t="str">
        <f aca="false">IF($A55="","",IF(ISNUMBER($X55),ROUND(($X55-$B55)*24,4),""))</f>
        <v/>
      </c>
      <c r="BW55" s="10" t="str">
        <f aca="false">IF($A55="","",IF(NOT(ISNUMBER($W55)),"Missing Calculated",IF(NOT(ISNUMBER($X55)),IF($E55="Client","Missing FA signed off","Missing Controlled"),IF($X55&lt;$W55,"End before start","OK"))))</f>
        <v/>
      </c>
      <c r="BX55" s="23" t="str">
        <f aca="false">IF($A55="","",IF(NOT(ISNUMBER($Z55)),"",ROUND((IF(ISNUMBER($U55),MIN($U55,$Z55),$Z55)-$B55)*24,4)))</f>
        <v/>
      </c>
      <c r="BY55" s="23" t="str">
        <f aca="false">IF($A55="","",IF(ISNUMBER($Z55),ROUND(($Z55-$B55)*24,4),""))</f>
        <v/>
      </c>
      <c r="BZ55" s="23" t="str">
        <f aca="false">IF($A55="","",IF(AND(ISNUMBER($W55),ISNUMBER($S55)),ROUND(($W55+$S55/1440-$B55)*24,4),""))</f>
        <v/>
      </c>
    </row>
    <row r="56" customFormat="false" ht="15" hidden="false" customHeight="true" outlineLevel="0" collapsed="false">
      <c r="A56" s="47"/>
      <c r="B56" s="47"/>
      <c r="D56" s="4" t="str">
        <f aca="false">IF($A56="","",$B56-$A56)</f>
        <v/>
      </c>
      <c r="E56" s="4" t="str">
        <f aca="false">IF($A56="","",IFERROR(VLOOKUP($C56,Dim_Fund!$A:$X,24,0),""))</f>
        <v/>
      </c>
      <c r="F56" s="37" t="str">
        <f aca="false">IF($A56="","",IF(COUNTIFS(Status_Log!$A:$A,$A56,Status_Log!$B:$B,$B56,Status_Log!$C:$C,$C56,Status_Log!$D:$D,"Changed to the status of Calculated")=0,"",_xlfn.MINIFS(Status_Log!$E:$E,Status_Log!$A:$A,$A56,Status_Log!$B:$B,$B56,Status_Log!$C:$C,$C56,Status_Log!$D:$D,"Changed to the status of Calculated")))</f>
        <v/>
      </c>
      <c r="G56" s="37" t="str">
        <f aca="false">IF($A56="","",IF(COUNTIFS(Status_Log!$A:$A,$A56,Status_Log!$B:$B,$B56,Status_Log!$C:$C,$C56,Status_Log!$D:$D,"Changed to the status of Controlled")=0,"",_xlfn.MAXIFS(Status_Log!$E:$E,Status_Log!$A:$A,$A56,Status_Log!$B:$B,$B56,Status_Log!$C:$C,$C56,Status_Log!$D:$D,"Changed to the status of Controlled")))</f>
        <v/>
      </c>
      <c r="H56" s="37" t="str">
        <f aca="false">IF($A56="","",IF(COUNTIFS(Status_Log!$A:$A,$A56,Status_Log!$B:$B,$B56,Status_Log!$C:$C,$C56,Status_Log!$D:$D,"Changed to the status of Fund accounting signed off")=0,"",_xlfn.MAXIFS(Status_Log!$E:$E,Status_Log!$A:$A,$A56,Status_Log!$B:$B,$B56,Status_Log!$C:$C,$C56,Status_Log!$D:$D,"Changed to the status of Fund accounting signed off")))</f>
        <v/>
      </c>
      <c r="I56" s="37" t="str">
        <f aca="false">IF($A56="","",IF(COUNTIFS(Status_Log!$A:$A,$A56,Status_Log!$B:$B,$B56,Status_Log!$C:$C,$C56,Status_Log!$D:$D,"Changed to the status of signed off")=0,"",_xlfn.MAXIFS(Status_Log!$E:$E,Status_Log!$A:$A,$A56,Status_Log!$B:$B,$B56,Status_Log!$C:$C,$C56,Status_Log!$D:$D,"Changed to the status of signed off")))</f>
        <v/>
      </c>
      <c r="J56" s="4" t="str">
        <f aca="false">IF($A56="","",COUNTIFS(Status_Log!$A:$A,$A56,Status_Log!$B:$B,$B56,Status_Log!$C:$C,$C56,Status_Log!$D:$D,"Changed to the status of Calculated"))</f>
        <v/>
      </c>
      <c r="K56" s="38" t="str">
        <f aca="false">IF($A56="","",IF(J56&lt;=1,0,ROUND((_xlfn.MAXIFS(Status_Log!$E:$E,Status_Log!$A:$A,$A56,Status_Log!$B:$B,$B56,Status_Log!$C:$C,$C56,Status_Log!$D:$D,"Changed to the status of Calculated")-F56)*1440,0)))</f>
        <v/>
      </c>
      <c r="L56" s="4" t="str">
        <f aca="false">IF($A56="","",IFERROR(INDEX(Status_Log!$F:$F,MATCH($A56&amp;"|"&amp;$B56&amp;"|"&amp;$C56&amp;"|Changed to the status of Calculated|"&amp;TEXT(_xlfn.MAXIFS(Status_Log!$E:$E,Status_Log!$A:$A,$A56,Status_Log!$B:$B,$B56,Status_Log!$C:$C,$C56,Status_Log!$D:$D,"Changed to the status of Calculated"),"0.000000"),Status_Log!$H:$H,0)),""))</f>
        <v/>
      </c>
      <c r="M56" s="4" t="str">
        <f aca="false">IF($A56="","",IF(E56="Client","n/a — no control step",IFERROR(INDEX(Status_Log!$F:$F,MATCH($A56&amp;"|"&amp;$B56&amp;"|"&amp;$C56&amp;"|Changed to the status of Controlled|"&amp;TEXT(_xlfn.MAXIFS(Status_Log!$E:$E,Status_Log!$A:$A,$A56,Status_Log!$B:$B,$B56,Status_Log!$C:$C,$C56,Status_Log!$D:$D,"Changed to the status of Controlled"),"0.000000"),Status_Log!$H:$H,0)),"")))</f>
        <v/>
      </c>
      <c r="N56" s="4" t="str">
        <f aca="false">IF($A56="","",IFERROR(VLOOKUP($C56,Dim_Fund!$A:$G,7,0),""))</f>
        <v/>
      </c>
      <c r="O56" s="4" t="str">
        <f aca="false">IF($A56="","",IF(L56=N56,"No","Yes"))</f>
        <v/>
      </c>
      <c r="P56" s="4" t="str">
        <f aca="false">IF($A56="","",IF(E56="Client","n/a",IF(L56=M56,"YES — four-eyes breach","No")))</f>
        <v/>
      </c>
      <c r="Q56" s="38" t="str">
        <f aca="false">IF($A56="","",IFERROR(VLOOKUP($C56,Dim_Fund!$A:$AB,28,0),""))</f>
        <v/>
      </c>
      <c r="R56" s="38" t="str">
        <f aca="false">IF($A56="","",IFERROR(VLOOKUP($C56,Dim_Fund!$A:$AC,29,0),""))</f>
        <v/>
      </c>
      <c r="S56" s="38" t="str">
        <f aca="false">IF($A56="","",IFERROR(VLOOKUP($C56,Dim_Fund!$A:$AD,30,0),""))</f>
        <v/>
      </c>
      <c r="T56" s="38" t="str">
        <f aca="false">IF($A56="","",IFERROR(VLOOKUP($C56,Dim_Fund!$A:$AL,38,0),""))</f>
        <v/>
      </c>
      <c r="U56" s="37" t="str">
        <f aca="false">IF($A56="","",IF(AL56="","",IFERROR(IF(COUNTIFS(Fact_Milestone!$A:$A,$B56,Fact_Milestone!$B:$B,AL56)=0,"",_xlfn.MAXIFS(Fact_Milestone!$C:$C,Fact_Milestone!$A:$A,$B56,Fact_Milestone!$B:$B,AL56)),"")))</f>
        <v/>
      </c>
      <c r="V56" s="37" t="str">
        <f aca="false">IF($A56="","",IFERROR(IF(VLOOKUP($C56,Dim_Fund!$A:$AI,35,0)&gt;0,$B56+VLOOKUP($C56,Dim_Fund!$A:$AI,35,0)/24,""),""))</f>
        <v/>
      </c>
      <c r="W56" s="37" t="str">
        <f aca="false">IF($A56="","",F56)</f>
        <v/>
      </c>
      <c r="X56" s="37" t="str">
        <f aca="false">IF($A56="","",IF(E56="Client",H56,G56))</f>
        <v/>
      </c>
      <c r="Y56" s="37" t="str">
        <f aca="false">IF($A56="","",I56)</f>
        <v/>
      </c>
      <c r="Z56" s="37" t="str">
        <f aca="false">IF($A56="","",IFERROR(W56-R56/1440,""))</f>
        <v/>
      </c>
      <c r="AA56" s="38" t="str">
        <f aca="false">IF($A56="","",IF(OR(U56="",V56=""),"",ROUND((V56-U56)*1440,0)))</f>
        <v/>
      </c>
      <c r="AB56" s="38" t="str">
        <f aca="false">IF($A56="","",IF(U56="","",ROUND((W56-U56)*1440,0)))</f>
        <v/>
      </c>
      <c r="AC56" s="38" t="str">
        <f aca="false">IF($A56="","",IF(AB56="","",MAX(0,AB56)))</f>
        <v/>
      </c>
      <c r="AD56" s="38" t="str">
        <f aca="false">IF($A56="","",IFERROR(ROUND((X56-W56)*1440,0),""))</f>
        <v/>
      </c>
      <c r="AE56" s="38" t="str">
        <f aca="false">IF($A56="","",IF(E56="Client","n/a",IFERROR(ROUND((H56-G56)*1440,0),"")))</f>
        <v/>
      </c>
      <c r="AF56" s="38" t="str">
        <f aca="false">IF($A56="","",IFERROR(ROUND((Y56-H56)*1440,0),""))</f>
        <v/>
      </c>
      <c r="AG56" s="38" t="str">
        <f aca="false">IF($A56="","",IFERROR(ROUND((H56-F56)*1440,0),""))</f>
        <v/>
      </c>
      <c r="AH56" s="38" t="str">
        <f aca="false">IF($A56="","",IFERROR(ROUND((Y56-V56)*1440,0),""))</f>
        <v/>
      </c>
      <c r="AI56" s="4" t="str">
        <f aca="false">IF($A56="","",IF(AH56="","",IF(AH56&gt;0,"Yes","No")))</f>
        <v/>
      </c>
      <c r="AJ56" s="4" t="str">
        <f aca="false">IF($A56="","",IF(AI56&lt;&gt;"Yes","On time",IF(N(AC56)&gt;=MAX(N(AF56),N(K56)),"Wait for analyst",IF(N(AF56)&gt;=N(K56),"External sign-off","Rework"))))</f>
        <v/>
      </c>
      <c r="AK56" s="4" t="str">
        <f aca="false">IF($A56="","",IF(OR(F56="",Y56="",ISNA(MATCH(L56,Dim_Analyst!$A:$A,0))),"CHECK","OK"))</f>
        <v/>
      </c>
      <c r="AL56" s="4" t="str">
        <f aca="false">IF($A56="","",IFERROR(VLOOKUP($C56,Dim_Fund!$A:$U,21,0),""))</f>
        <v/>
      </c>
      <c r="AM56" s="4" t="str">
        <f aca="false">IF($A56="","",IF($U56="","",IF($U56&gt;$B56+IFERROR(VLOOKUP($C56,Dim_Fund!$A:$AH,34,0),0)/24,"Yes","No")))</f>
        <v/>
      </c>
      <c r="AN56" s="22" t="str">
        <f aca="false">IF($A56="","",IFERROR(VLOOKUP($C56,Dim_Fund!$A:$AH,34,0),""))</f>
        <v/>
      </c>
      <c r="AO56" s="22" t="str">
        <f aca="false">IF($A56="","",IF($AL56="","",IFERROR(FLOOR(IF(COUNTIFS(Fact_Milestone!$A:$A,$B56,Fact_Milestone!$B:$B,$AL56,Fact_Milestone!$F:$F,"&gt;0")&gt;0,_xlfn.MINIFS(Fact_Milestone!$F:$F,Fact_Milestone!$A:$A,$B56,Fact_Milestone!$B:$B,$AL56,Fact_Milestone!$F:$F,"&gt;0"),VLOOKUP($AL56,Dim_TOP!$A:$E,5,0)),0.5),"")))</f>
        <v/>
      </c>
      <c r="AP56" s="22" t="str">
        <f aca="false">IF($A56="","",IF($U56="","",ROUND(($U56-INT($U56))*24,4)))</f>
        <v/>
      </c>
      <c r="AQ56" s="22" t="str">
        <f aca="false">IF($A56="","",IF($W56="","",ROUND(($W56-INT($W56))*24,4)))</f>
        <v/>
      </c>
      <c r="AR56" s="22" t="str">
        <f aca="false">IF($A56="","",IF($X56="","",ROUND(($X56-INT($X56))*24,4)))</f>
        <v/>
      </c>
      <c r="AS56" s="38" t="str">
        <f aca="false">IF($A56="","",IF(OR($AN56="",$V56="",$S56="",$T56=""),"",ROUND(($V56-($B56+$AN56/24))*1440-$S56-$T56,0)))</f>
        <v/>
      </c>
      <c r="AT56" s="38" t="str">
        <f aca="false">IF($A56="","",IF(OR($AN56="",$U56=""),"",ROUND(($U56-($B56+$AN56/24))*1440,0)))</f>
        <v/>
      </c>
      <c r="AU56" s="38" t="str">
        <f aca="false">IF($A56="","",IF(OR($AD56="",$S56=""),"",ROUND($AD56-$S56,0)))</f>
        <v/>
      </c>
      <c r="AV56" s="38" t="str">
        <f aca="false">IF($A56="","",N($AE56))</f>
        <v/>
      </c>
      <c r="AW56" s="38" t="str">
        <f aca="false">IF($A56="","",IF(OR($AF56="",$T56=""),"",$AF56-$T56))</f>
        <v/>
      </c>
      <c r="AX56" s="38" t="str">
        <f aca="false">IF($A56="","",IF(COUNT($AT56,$AB56,$AU56,$AW56,$AS56,$AH56)&lt;6,"",ROUND($AT56+$AB56+$AU56+$AV56+$AW56-$AS56-$AH56,0)))</f>
        <v/>
      </c>
      <c r="AY56" s="4" t="str">
        <f aca="false">IF($A56="","",IF($AX56="","No",IF(ABS($AX56)&lt;=2,"Yes","No")))</f>
        <v/>
      </c>
      <c r="AZ56" s="4" t="str">
        <f aca="false">IF($A56="","",IF($AI56&lt;&gt;"Yes","n/a",IF(OR($AA56="",$S56="",$T56=""),"Unknown",IF($AA56&lt;$S56+$T56,"Lost on arrival","Lost after arrival"))))</f>
        <v/>
      </c>
      <c r="BA56" s="10" t="str">
        <f aca="false">IF($A56="","",IFERROR(VLOOKUP($C56,Dim_Fund!$A:$D,4,0),""))</f>
        <v/>
      </c>
      <c r="BB56" s="10" t="str">
        <f aca="false">IF($A56="","",IF($AL56="","",IF(COUNTIFS(Fact_Milestone!$A:$A,$B56,Fact_Milestone!$B:$B,$AL56,Fact_Milestone!$I:$I,"No")&gt;0,"No",IF(COUNTIFS(Fact_Milestone!$A:$A,$B56,Fact_Milestone!$B:$B,$AL56,Fact_Milestone!$I:$I,"Yes")&gt;0,"Yes",""))))</f>
        <v/>
      </c>
      <c r="BC56" s="45" t="str">
        <f aca="false">IF($A56="","",IF(OR($L56="",$W56=""),"",IF(COUNTIFS($L:$L,$L56,$B:$B,$B56,$W:$W,"&lt;"&amp;$W56)=0,"",_xlfn.MAXIFS($W:$W,$L:$L,$L56,$B:$B,$B56,$W:$W,"&lt;"&amp;$W56))))</f>
        <v/>
      </c>
      <c r="BD56" s="39" t="str">
        <f aca="false">IF($A56="","",IF($AC56="","",IF(OR($L56="",$AC56=0),0,MIN($AC56,ROUND(ROUND(1440*SUMPRODUCT(($L$2:INDEX($L:$L,COUNTA($C:$C))=$L56)*($B$2:INDEX($B:$B,COUNTA($C:$C))=$B56)*(ROW($L$2:INDEX($L:$L,COUNTA($C:$C)))&lt;&gt;ROW())*((((($W56+$BT$2:INDEX($BT:$BT,COUNTA($C:$C))-ABS($W56-$BT$2:INDEX($BT:$BT,COUNTA($C:$C))))/2)-(($U56+$BS$2:INDEX($BS:$BS,COUNTA($C:$C))+ABS($U56-$BS$2:INDEX($BS:$BS,COUNTA($C:$C))))/2))+ABS(((($W56+$BT$2:INDEX($BT:$BT,COUNTA($C:$C))-ABS($W56-$BT$2:INDEX($BT:$BT,COUNTA($C:$C))))/2)-(($U56+$BS$2:INDEX($BS:$BS,COUNTA($C:$C))+ABS($U56-$BS$2:INDEX($BS:$BS,COUNTA($C:$C))))/2))))/2)),4),0)))))</f>
        <v/>
      </c>
      <c r="BE56" s="39" t="str">
        <f aca="false">IF($A56="","",IF($AC56="","",ROUND(MIN($AC56-$BD56,N($R56)),0)))</f>
        <v/>
      </c>
      <c r="BF56" s="10" t="str">
        <f aca="false">IF($A56="","",IFERROR(VLOOKUP($C56,Dim_Fund!$A:$BD,56,0),""))</f>
        <v/>
      </c>
      <c r="BG56" s="10" t="str">
        <f aca="false">IF($A56="","",IFERROR(VLOOKUP($C56,Dim_Fund!$A:$BH,60,0),""))</f>
        <v/>
      </c>
      <c r="BH56" s="10" t="str">
        <f aca="false">IF($A56="","",IF($AI56&lt;&gt;"Yes","Not breached",IF($AM56="Yes","Pricing late",IF($BG56="Thin custody slack","Thin custody slack",IF($BF56="Yes","Broker-dependent","None of these")))))</f>
        <v/>
      </c>
      <c r="BI56" s="23" t="str">
        <f aca="false">IF($A56="","",IFERROR(IF(VLOOKUP($C56,Dim_Fund!$A:$AI,35,0)&gt;0,VLOOKUP($C56,Dim_Fund!$A:$AI,35,0),""),""))</f>
        <v/>
      </c>
      <c r="BJ56" s="10" t="str">
        <f aca="false">IF($A56="","",$C56&amp;IF($E56="Client","*",""))</f>
        <v/>
      </c>
      <c r="BK56" s="39" t="str">
        <f aca="false">IF($A56="","",IFERROR(ROUND(($Y56-$X56)*1440,0),""))</f>
        <v/>
      </c>
      <c r="BL56" s="39" t="str">
        <f aca="false">IF($A56="","",IF($AH56="","",-$AH56))</f>
        <v/>
      </c>
      <c r="BM56" s="46" t="str">
        <f aca="false">IF($A56="","",IF($AQ56="","",IF($AP56="",$AQ56,MIN($AP56,$AQ56))))</f>
        <v/>
      </c>
      <c r="BN56" s="46" t="str">
        <f aca="false">IF($A56="","",IF($BM56="","",ROUND(N($AC56)/60,4)))</f>
        <v/>
      </c>
      <c r="BO56" s="46" t="str">
        <f aca="false">IF($A56="","",IF(OR($BM56="",$AD56=""),"",ROUND($AD56/60,4)))</f>
        <v/>
      </c>
      <c r="BP56" s="46" t="str">
        <f aca="false">IF($A56="","",IF($BM56="","",ROUND(N($AE56)/60,4)))</f>
        <v/>
      </c>
      <c r="BQ56" s="46" t="str">
        <f aca="false">IF($A56="","",IF(OR($BM56="",$AF56=""),"",ROUND($AF56/60,4)))</f>
        <v/>
      </c>
      <c r="BR56" s="39" t="str">
        <f aca="false">IF($A56="","",IF($AC56="","",$AC56-$BD56-$BE56))</f>
        <v/>
      </c>
      <c r="BS56" s="45" t="str">
        <f aca="false">IF($A56="","",IF(AND(ISNUMBER($Z56),ISNUMBER($W56)),$Z56,0))</f>
        <v/>
      </c>
      <c r="BT56" s="45" t="str">
        <f aca="false">IF($A56="","",IF(ISNUMBER($W56),$W56,0))</f>
        <v/>
      </c>
      <c r="BU56" s="23" t="str">
        <f aca="false">IF($A56="","",IF(ISNUMBER($W56),ROUND(($W56-$B56)*24,4),""))</f>
        <v/>
      </c>
      <c r="BV56" s="23" t="str">
        <f aca="false">IF($A56="","",IF(ISNUMBER($X56),ROUND(($X56-$B56)*24,4),""))</f>
        <v/>
      </c>
      <c r="BW56" s="10" t="str">
        <f aca="false">IF($A56="","",IF(NOT(ISNUMBER($W56)),"Missing Calculated",IF(NOT(ISNUMBER($X56)),IF($E56="Client","Missing FA signed off","Missing Controlled"),IF($X56&lt;$W56,"End before start","OK"))))</f>
        <v/>
      </c>
      <c r="BX56" s="23" t="str">
        <f aca="false">IF($A56="","",IF(NOT(ISNUMBER($Z56)),"",ROUND((IF(ISNUMBER($U56),MIN($U56,$Z56),$Z56)-$B56)*24,4)))</f>
        <v/>
      </c>
      <c r="BY56" s="23" t="str">
        <f aca="false">IF($A56="","",IF(ISNUMBER($Z56),ROUND(($Z56-$B56)*24,4),""))</f>
        <v/>
      </c>
      <c r="BZ56" s="23" t="str">
        <f aca="false">IF($A56="","",IF(AND(ISNUMBER($W56),ISNUMBER($S56)),ROUND(($W56+$S56/1440-$B56)*24,4),""))</f>
        <v/>
      </c>
    </row>
    <row r="57" customFormat="false" ht="15" hidden="false" customHeight="true" outlineLevel="0" collapsed="false">
      <c r="A57" s="47"/>
      <c r="B57" s="47"/>
      <c r="D57" s="4" t="str">
        <f aca="false">IF($A57="","",$B57-$A57)</f>
        <v/>
      </c>
      <c r="E57" s="4" t="str">
        <f aca="false">IF($A57="","",IFERROR(VLOOKUP($C57,Dim_Fund!$A:$X,24,0),""))</f>
        <v/>
      </c>
      <c r="F57" s="37" t="str">
        <f aca="false">IF($A57="","",IF(COUNTIFS(Status_Log!$A:$A,$A57,Status_Log!$B:$B,$B57,Status_Log!$C:$C,$C57,Status_Log!$D:$D,"Changed to the status of Calculated")=0,"",_xlfn.MINIFS(Status_Log!$E:$E,Status_Log!$A:$A,$A57,Status_Log!$B:$B,$B57,Status_Log!$C:$C,$C57,Status_Log!$D:$D,"Changed to the status of Calculated")))</f>
        <v/>
      </c>
      <c r="G57" s="37" t="str">
        <f aca="false">IF($A57="","",IF(COUNTIFS(Status_Log!$A:$A,$A57,Status_Log!$B:$B,$B57,Status_Log!$C:$C,$C57,Status_Log!$D:$D,"Changed to the status of Controlled")=0,"",_xlfn.MAXIFS(Status_Log!$E:$E,Status_Log!$A:$A,$A57,Status_Log!$B:$B,$B57,Status_Log!$C:$C,$C57,Status_Log!$D:$D,"Changed to the status of Controlled")))</f>
        <v/>
      </c>
      <c r="H57" s="37" t="str">
        <f aca="false">IF($A57="","",IF(COUNTIFS(Status_Log!$A:$A,$A57,Status_Log!$B:$B,$B57,Status_Log!$C:$C,$C57,Status_Log!$D:$D,"Changed to the status of Fund accounting signed off")=0,"",_xlfn.MAXIFS(Status_Log!$E:$E,Status_Log!$A:$A,$A57,Status_Log!$B:$B,$B57,Status_Log!$C:$C,$C57,Status_Log!$D:$D,"Changed to the status of Fund accounting signed off")))</f>
        <v/>
      </c>
      <c r="I57" s="37" t="str">
        <f aca="false">IF($A57="","",IF(COUNTIFS(Status_Log!$A:$A,$A57,Status_Log!$B:$B,$B57,Status_Log!$C:$C,$C57,Status_Log!$D:$D,"Changed to the status of signed off")=0,"",_xlfn.MAXIFS(Status_Log!$E:$E,Status_Log!$A:$A,$A57,Status_Log!$B:$B,$B57,Status_Log!$C:$C,$C57,Status_Log!$D:$D,"Changed to the status of signed off")))</f>
        <v/>
      </c>
      <c r="J57" s="4" t="str">
        <f aca="false">IF($A57="","",COUNTIFS(Status_Log!$A:$A,$A57,Status_Log!$B:$B,$B57,Status_Log!$C:$C,$C57,Status_Log!$D:$D,"Changed to the status of Calculated"))</f>
        <v/>
      </c>
      <c r="K57" s="38" t="str">
        <f aca="false">IF($A57="","",IF(J57&lt;=1,0,ROUND((_xlfn.MAXIFS(Status_Log!$E:$E,Status_Log!$A:$A,$A57,Status_Log!$B:$B,$B57,Status_Log!$C:$C,$C57,Status_Log!$D:$D,"Changed to the status of Calculated")-F57)*1440,0)))</f>
        <v/>
      </c>
      <c r="L57" s="4" t="str">
        <f aca="false">IF($A57="","",IFERROR(INDEX(Status_Log!$F:$F,MATCH($A57&amp;"|"&amp;$B57&amp;"|"&amp;$C57&amp;"|Changed to the status of Calculated|"&amp;TEXT(_xlfn.MAXIFS(Status_Log!$E:$E,Status_Log!$A:$A,$A57,Status_Log!$B:$B,$B57,Status_Log!$C:$C,$C57,Status_Log!$D:$D,"Changed to the status of Calculated"),"0.000000"),Status_Log!$H:$H,0)),""))</f>
        <v/>
      </c>
      <c r="M57" s="4" t="str">
        <f aca="false">IF($A57="","",IF(E57="Client","n/a — no control step",IFERROR(INDEX(Status_Log!$F:$F,MATCH($A57&amp;"|"&amp;$B57&amp;"|"&amp;$C57&amp;"|Changed to the status of Controlled|"&amp;TEXT(_xlfn.MAXIFS(Status_Log!$E:$E,Status_Log!$A:$A,$A57,Status_Log!$B:$B,$B57,Status_Log!$C:$C,$C57,Status_Log!$D:$D,"Changed to the status of Controlled"),"0.000000"),Status_Log!$H:$H,0)),"")))</f>
        <v/>
      </c>
      <c r="N57" s="4" t="str">
        <f aca="false">IF($A57="","",IFERROR(VLOOKUP($C57,Dim_Fund!$A:$G,7,0),""))</f>
        <v/>
      </c>
      <c r="O57" s="4" t="str">
        <f aca="false">IF($A57="","",IF(L57=N57,"No","Yes"))</f>
        <v/>
      </c>
      <c r="P57" s="4" t="str">
        <f aca="false">IF($A57="","",IF(E57="Client","n/a",IF(L57=M57,"YES — four-eyes breach","No")))</f>
        <v/>
      </c>
      <c r="Q57" s="38" t="str">
        <f aca="false">IF($A57="","",IFERROR(VLOOKUP($C57,Dim_Fund!$A:$AB,28,0),""))</f>
        <v/>
      </c>
      <c r="R57" s="38" t="str">
        <f aca="false">IF($A57="","",IFERROR(VLOOKUP($C57,Dim_Fund!$A:$AC,29,0),""))</f>
        <v/>
      </c>
      <c r="S57" s="38" t="str">
        <f aca="false">IF($A57="","",IFERROR(VLOOKUP($C57,Dim_Fund!$A:$AD,30,0),""))</f>
        <v/>
      </c>
      <c r="T57" s="38" t="str">
        <f aca="false">IF($A57="","",IFERROR(VLOOKUP($C57,Dim_Fund!$A:$AL,38,0),""))</f>
        <v/>
      </c>
      <c r="U57" s="37" t="str">
        <f aca="false">IF($A57="","",IF(AL57="","",IFERROR(IF(COUNTIFS(Fact_Milestone!$A:$A,$B57,Fact_Milestone!$B:$B,AL57)=0,"",_xlfn.MAXIFS(Fact_Milestone!$C:$C,Fact_Milestone!$A:$A,$B57,Fact_Milestone!$B:$B,AL57)),"")))</f>
        <v/>
      </c>
      <c r="V57" s="37" t="str">
        <f aca="false">IF($A57="","",IFERROR(IF(VLOOKUP($C57,Dim_Fund!$A:$AI,35,0)&gt;0,$B57+VLOOKUP($C57,Dim_Fund!$A:$AI,35,0)/24,""),""))</f>
        <v/>
      </c>
      <c r="W57" s="37" t="str">
        <f aca="false">IF($A57="","",F57)</f>
        <v/>
      </c>
      <c r="X57" s="37" t="str">
        <f aca="false">IF($A57="","",IF(E57="Client",H57,G57))</f>
        <v/>
      </c>
      <c r="Y57" s="37" t="str">
        <f aca="false">IF($A57="","",I57)</f>
        <v/>
      </c>
      <c r="Z57" s="37" t="str">
        <f aca="false">IF($A57="","",IFERROR(W57-R57/1440,""))</f>
        <v/>
      </c>
      <c r="AA57" s="38" t="str">
        <f aca="false">IF($A57="","",IF(OR(U57="",V57=""),"",ROUND((V57-U57)*1440,0)))</f>
        <v/>
      </c>
      <c r="AB57" s="38" t="str">
        <f aca="false">IF($A57="","",IF(U57="","",ROUND((W57-U57)*1440,0)))</f>
        <v/>
      </c>
      <c r="AC57" s="38" t="str">
        <f aca="false">IF($A57="","",IF(AB57="","",MAX(0,AB57)))</f>
        <v/>
      </c>
      <c r="AD57" s="38" t="str">
        <f aca="false">IF($A57="","",IFERROR(ROUND((X57-W57)*1440,0),""))</f>
        <v/>
      </c>
      <c r="AE57" s="38" t="str">
        <f aca="false">IF($A57="","",IF(E57="Client","n/a",IFERROR(ROUND((H57-G57)*1440,0),"")))</f>
        <v/>
      </c>
      <c r="AF57" s="38" t="str">
        <f aca="false">IF($A57="","",IFERROR(ROUND((Y57-H57)*1440,0),""))</f>
        <v/>
      </c>
      <c r="AG57" s="38" t="str">
        <f aca="false">IF($A57="","",IFERROR(ROUND((H57-F57)*1440,0),""))</f>
        <v/>
      </c>
      <c r="AH57" s="38" t="str">
        <f aca="false">IF($A57="","",IFERROR(ROUND((Y57-V57)*1440,0),""))</f>
        <v/>
      </c>
      <c r="AI57" s="4" t="str">
        <f aca="false">IF($A57="","",IF(AH57="","",IF(AH57&gt;0,"Yes","No")))</f>
        <v/>
      </c>
      <c r="AJ57" s="4" t="str">
        <f aca="false">IF($A57="","",IF(AI57&lt;&gt;"Yes","On time",IF(N(AC57)&gt;=MAX(N(AF57),N(K57)),"Wait for analyst",IF(N(AF57)&gt;=N(K57),"External sign-off","Rework"))))</f>
        <v/>
      </c>
      <c r="AK57" s="4" t="str">
        <f aca="false">IF($A57="","",IF(OR(F57="",Y57="",ISNA(MATCH(L57,Dim_Analyst!$A:$A,0))),"CHECK","OK"))</f>
        <v/>
      </c>
      <c r="AL57" s="4" t="str">
        <f aca="false">IF($A57="","",IFERROR(VLOOKUP($C57,Dim_Fund!$A:$U,21,0),""))</f>
        <v/>
      </c>
      <c r="AM57" s="4" t="str">
        <f aca="false">IF($A57="","",IF($U57="","",IF($U57&gt;$B57+IFERROR(VLOOKUP($C57,Dim_Fund!$A:$AH,34,0),0)/24,"Yes","No")))</f>
        <v/>
      </c>
      <c r="AN57" s="22" t="str">
        <f aca="false">IF($A57="","",IFERROR(VLOOKUP($C57,Dim_Fund!$A:$AH,34,0),""))</f>
        <v/>
      </c>
      <c r="AO57" s="22" t="str">
        <f aca="false">IF($A57="","",IF($AL57="","",IFERROR(FLOOR(IF(COUNTIFS(Fact_Milestone!$A:$A,$B57,Fact_Milestone!$B:$B,$AL57,Fact_Milestone!$F:$F,"&gt;0")&gt;0,_xlfn.MINIFS(Fact_Milestone!$F:$F,Fact_Milestone!$A:$A,$B57,Fact_Milestone!$B:$B,$AL57,Fact_Milestone!$F:$F,"&gt;0"),VLOOKUP($AL57,Dim_TOP!$A:$E,5,0)),0.5),"")))</f>
        <v/>
      </c>
      <c r="AP57" s="22" t="str">
        <f aca="false">IF($A57="","",IF($U57="","",ROUND(($U57-INT($U57))*24,4)))</f>
        <v/>
      </c>
      <c r="AQ57" s="22" t="str">
        <f aca="false">IF($A57="","",IF($W57="","",ROUND(($W57-INT($W57))*24,4)))</f>
        <v/>
      </c>
      <c r="AR57" s="22" t="str">
        <f aca="false">IF($A57="","",IF($X57="","",ROUND(($X57-INT($X57))*24,4)))</f>
        <v/>
      </c>
      <c r="AS57" s="38" t="str">
        <f aca="false">IF($A57="","",IF(OR($AN57="",$V57="",$S57="",$T57=""),"",ROUND(($V57-($B57+$AN57/24))*1440-$S57-$T57,0)))</f>
        <v/>
      </c>
      <c r="AT57" s="38" t="str">
        <f aca="false">IF($A57="","",IF(OR($AN57="",$U57=""),"",ROUND(($U57-($B57+$AN57/24))*1440,0)))</f>
        <v/>
      </c>
      <c r="AU57" s="38" t="str">
        <f aca="false">IF($A57="","",IF(OR($AD57="",$S57=""),"",ROUND($AD57-$S57,0)))</f>
        <v/>
      </c>
      <c r="AV57" s="38" t="str">
        <f aca="false">IF($A57="","",N($AE57))</f>
        <v/>
      </c>
      <c r="AW57" s="38" t="str">
        <f aca="false">IF($A57="","",IF(OR($AF57="",$T57=""),"",$AF57-$T57))</f>
        <v/>
      </c>
      <c r="AX57" s="38" t="str">
        <f aca="false">IF($A57="","",IF(COUNT($AT57,$AB57,$AU57,$AW57,$AS57,$AH57)&lt;6,"",ROUND($AT57+$AB57+$AU57+$AV57+$AW57-$AS57-$AH57,0)))</f>
        <v/>
      </c>
      <c r="AY57" s="4" t="str">
        <f aca="false">IF($A57="","",IF($AX57="","No",IF(ABS($AX57)&lt;=2,"Yes","No")))</f>
        <v/>
      </c>
      <c r="AZ57" s="4" t="str">
        <f aca="false">IF($A57="","",IF($AI57&lt;&gt;"Yes","n/a",IF(OR($AA57="",$S57="",$T57=""),"Unknown",IF($AA57&lt;$S57+$T57,"Lost on arrival","Lost after arrival"))))</f>
        <v/>
      </c>
      <c r="BA57" s="10" t="str">
        <f aca="false">IF($A57="","",IFERROR(VLOOKUP($C57,Dim_Fund!$A:$D,4,0),""))</f>
        <v/>
      </c>
      <c r="BB57" s="10" t="str">
        <f aca="false">IF($A57="","",IF($AL57="","",IF(COUNTIFS(Fact_Milestone!$A:$A,$B57,Fact_Milestone!$B:$B,$AL57,Fact_Milestone!$I:$I,"No")&gt;0,"No",IF(COUNTIFS(Fact_Milestone!$A:$A,$B57,Fact_Milestone!$B:$B,$AL57,Fact_Milestone!$I:$I,"Yes")&gt;0,"Yes",""))))</f>
        <v/>
      </c>
      <c r="BC57" s="45" t="str">
        <f aca="false">IF($A57="","",IF(OR($L57="",$W57=""),"",IF(COUNTIFS($L:$L,$L57,$B:$B,$B57,$W:$W,"&lt;"&amp;$W57)=0,"",_xlfn.MAXIFS($W:$W,$L:$L,$L57,$B:$B,$B57,$W:$W,"&lt;"&amp;$W57))))</f>
        <v/>
      </c>
      <c r="BD57" s="39" t="str">
        <f aca="false">IF($A57="","",IF($AC57="","",IF(OR($L57="",$AC57=0),0,MIN($AC57,ROUND(ROUND(1440*SUMPRODUCT(($L$2:INDEX($L:$L,COUNTA($C:$C))=$L57)*($B$2:INDEX($B:$B,COUNTA($C:$C))=$B57)*(ROW($L$2:INDEX($L:$L,COUNTA($C:$C)))&lt;&gt;ROW())*((((($W57+$BT$2:INDEX($BT:$BT,COUNTA($C:$C))-ABS($W57-$BT$2:INDEX($BT:$BT,COUNTA($C:$C))))/2)-(($U57+$BS$2:INDEX($BS:$BS,COUNTA($C:$C))+ABS($U57-$BS$2:INDEX($BS:$BS,COUNTA($C:$C))))/2))+ABS(((($W57+$BT$2:INDEX($BT:$BT,COUNTA($C:$C))-ABS($W57-$BT$2:INDEX($BT:$BT,COUNTA($C:$C))))/2)-(($U57+$BS$2:INDEX($BS:$BS,COUNTA($C:$C))+ABS($U57-$BS$2:INDEX($BS:$BS,COUNTA($C:$C))))/2))))/2)),4),0)))))</f>
        <v/>
      </c>
      <c r="BE57" s="39" t="str">
        <f aca="false">IF($A57="","",IF($AC57="","",ROUND(MIN($AC57-$BD57,N($R57)),0)))</f>
        <v/>
      </c>
      <c r="BF57" s="10" t="str">
        <f aca="false">IF($A57="","",IFERROR(VLOOKUP($C57,Dim_Fund!$A:$BD,56,0),""))</f>
        <v/>
      </c>
      <c r="BG57" s="10" t="str">
        <f aca="false">IF($A57="","",IFERROR(VLOOKUP($C57,Dim_Fund!$A:$BH,60,0),""))</f>
        <v/>
      </c>
      <c r="BH57" s="10" t="str">
        <f aca="false">IF($A57="","",IF($AI57&lt;&gt;"Yes","Not breached",IF($AM57="Yes","Pricing late",IF($BG57="Thin custody slack","Thin custody slack",IF($BF57="Yes","Broker-dependent","None of these")))))</f>
        <v/>
      </c>
      <c r="BI57" s="23" t="str">
        <f aca="false">IF($A57="","",IFERROR(IF(VLOOKUP($C57,Dim_Fund!$A:$AI,35,0)&gt;0,VLOOKUP($C57,Dim_Fund!$A:$AI,35,0),""),""))</f>
        <v/>
      </c>
      <c r="BJ57" s="10" t="str">
        <f aca="false">IF($A57="","",$C57&amp;IF($E57="Client","*",""))</f>
        <v/>
      </c>
      <c r="BK57" s="39" t="str">
        <f aca="false">IF($A57="","",IFERROR(ROUND(($Y57-$X57)*1440,0),""))</f>
        <v/>
      </c>
      <c r="BL57" s="39" t="str">
        <f aca="false">IF($A57="","",IF($AH57="","",-$AH57))</f>
        <v/>
      </c>
      <c r="BM57" s="46" t="str">
        <f aca="false">IF($A57="","",IF($AQ57="","",IF($AP57="",$AQ57,MIN($AP57,$AQ57))))</f>
        <v/>
      </c>
      <c r="BN57" s="46" t="str">
        <f aca="false">IF($A57="","",IF($BM57="","",ROUND(N($AC57)/60,4)))</f>
        <v/>
      </c>
      <c r="BO57" s="46" t="str">
        <f aca="false">IF($A57="","",IF(OR($BM57="",$AD57=""),"",ROUND($AD57/60,4)))</f>
        <v/>
      </c>
      <c r="BP57" s="46" t="str">
        <f aca="false">IF($A57="","",IF($BM57="","",ROUND(N($AE57)/60,4)))</f>
        <v/>
      </c>
      <c r="BQ57" s="46" t="str">
        <f aca="false">IF($A57="","",IF(OR($BM57="",$AF57=""),"",ROUND($AF57/60,4)))</f>
        <v/>
      </c>
      <c r="BR57" s="39" t="str">
        <f aca="false">IF($A57="","",IF($AC57="","",$AC57-$BD57-$BE57))</f>
        <v/>
      </c>
      <c r="BS57" s="45" t="str">
        <f aca="false">IF($A57="","",IF(AND(ISNUMBER($Z57),ISNUMBER($W57)),$Z57,0))</f>
        <v/>
      </c>
      <c r="BT57" s="45" t="str">
        <f aca="false">IF($A57="","",IF(ISNUMBER($W57),$W57,0))</f>
        <v/>
      </c>
      <c r="BU57" s="23" t="str">
        <f aca="false">IF($A57="","",IF(ISNUMBER($W57),ROUND(($W57-$B57)*24,4),""))</f>
        <v/>
      </c>
      <c r="BV57" s="23" t="str">
        <f aca="false">IF($A57="","",IF(ISNUMBER($X57),ROUND(($X57-$B57)*24,4),""))</f>
        <v/>
      </c>
      <c r="BW57" s="10" t="str">
        <f aca="false">IF($A57="","",IF(NOT(ISNUMBER($W57)),"Missing Calculated",IF(NOT(ISNUMBER($X57)),IF($E57="Client","Missing FA signed off","Missing Controlled"),IF($X57&lt;$W57,"End before start","OK"))))</f>
        <v/>
      </c>
      <c r="BX57" s="23" t="str">
        <f aca="false">IF($A57="","",IF(NOT(ISNUMBER($Z57)),"",ROUND((IF(ISNUMBER($U57),MIN($U57,$Z57),$Z57)-$B57)*24,4)))</f>
        <v/>
      </c>
      <c r="BY57" s="23" t="str">
        <f aca="false">IF($A57="","",IF(ISNUMBER($Z57),ROUND(($Z57-$B57)*24,4),""))</f>
        <v/>
      </c>
      <c r="BZ57" s="23" t="str">
        <f aca="false">IF($A57="","",IF(AND(ISNUMBER($W57),ISNUMBER($S57)),ROUND(($W57+$S57/1440-$B57)*24,4),""))</f>
        <v/>
      </c>
    </row>
    <row r="58" customFormat="false" ht="15" hidden="false" customHeight="true" outlineLevel="0" collapsed="false">
      <c r="A58" s="47"/>
      <c r="B58" s="47"/>
      <c r="D58" s="4" t="str">
        <f aca="false">IF($A58="","",$B58-$A58)</f>
        <v/>
      </c>
      <c r="E58" s="4" t="str">
        <f aca="false">IF($A58="","",IFERROR(VLOOKUP($C58,Dim_Fund!$A:$X,24,0),""))</f>
        <v/>
      </c>
      <c r="F58" s="37" t="str">
        <f aca="false">IF($A58="","",IF(COUNTIFS(Status_Log!$A:$A,$A58,Status_Log!$B:$B,$B58,Status_Log!$C:$C,$C58,Status_Log!$D:$D,"Changed to the status of Calculated")=0,"",_xlfn.MINIFS(Status_Log!$E:$E,Status_Log!$A:$A,$A58,Status_Log!$B:$B,$B58,Status_Log!$C:$C,$C58,Status_Log!$D:$D,"Changed to the status of Calculated")))</f>
        <v/>
      </c>
      <c r="G58" s="37" t="str">
        <f aca="false">IF($A58="","",IF(COUNTIFS(Status_Log!$A:$A,$A58,Status_Log!$B:$B,$B58,Status_Log!$C:$C,$C58,Status_Log!$D:$D,"Changed to the status of Controlled")=0,"",_xlfn.MAXIFS(Status_Log!$E:$E,Status_Log!$A:$A,$A58,Status_Log!$B:$B,$B58,Status_Log!$C:$C,$C58,Status_Log!$D:$D,"Changed to the status of Controlled")))</f>
        <v/>
      </c>
      <c r="H58" s="37" t="str">
        <f aca="false">IF($A58="","",IF(COUNTIFS(Status_Log!$A:$A,$A58,Status_Log!$B:$B,$B58,Status_Log!$C:$C,$C58,Status_Log!$D:$D,"Changed to the status of Fund accounting signed off")=0,"",_xlfn.MAXIFS(Status_Log!$E:$E,Status_Log!$A:$A,$A58,Status_Log!$B:$B,$B58,Status_Log!$C:$C,$C58,Status_Log!$D:$D,"Changed to the status of Fund accounting signed off")))</f>
        <v/>
      </c>
      <c r="I58" s="37" t="str">
        <f aca="false">IF($A58="","",IF(COUNTIFS(Status_Log!$A:$A,$A58,Status_Log!$B:$B,$B58,Status_Log!$C:$C,$C58,Status_Log!$D:$D,"Changed to the status of signed off")=0,"",_xlfn.MAXIFS(Status_Log!$E:$E,Status_Log!$A:$A,$A58,Status_Log!$B:$B,$B58,Status_Log!$C:$C,$C58,Status_Log!$D:$D,"Changed to the status of signed off")))</f>
        <v/>
      </c>
      <c r="J58" s="4" t="str">
        <f aca="false">IF($A58="","",COUNTIFS(Status_Log!$A:$A,$A58,Status_Log!$B:$B,$B58,Status_Log!$C:$C,$C58,Status_Log!$D:$D,"Changed to the status of Calculated"))</f>
        <v/>
      </c>
      <c r="K58" s="38" t="str">
        <f aca="false">IF($A58="","",IF(J58&lt;=1,0,ROUND((_xlfn.MAXIFS(Status_Log!$E:$E,Status_Log!$A:$A,$A58,Status_Log!$B:$B,$B58,Status_Log!$C:$C,$C58,Status_Log!$D:$D,"Changed to the status of Calculated")-F58)*1440,0)))</f>
        <v/>
      </c>
      <c r="L58" s="4" t="str">
        <f aca="false">IF($A58="","",IFERROR(INDEX(Status_Log!$F:$F,MATCH($A58&amp;"|"&amp;$B58&amp;"|"&amp;$C58&amp;"|Changed to the status of Calculated|"&amp;TEXT(_xlfn.MAXIFS(Status_Log!$E:$E,Status_Log!$A:$A,$A58,Status_Log!$B:$B,$B58,Status_Log!$C:$C,$C58,Status_Log!$D:$D,"Changed to the status of Calculated"),"0.000000"),Status_Log!$H:$H,0)),""))</f>
        <v/>
      </c>
      <c r="M58" s="4" t="str">
        <f aca="false">IF($A58="","",IF(E58="Client","n/a — no control step",IFERROR(INDEX(Status_Log!$F:$F,MATCH($A58&amp;"|"&amp;$B58&amp;"|"&amp;$C58&amp;"|Changed to the status of Controlled|"&amp;TEXT(_xlfn.MAXIFS(Status_Log!$E:$E,Status_Log!$A:$A,$A58,Status_Log!$B:$B,$B58,Status_Log!$C:$C,$C58,Status_Log!$D:$D,"Changed to the status of Controlled"),"0.000000"),Status_Log!$H:$H,0)),"")))</f>
        <v/>
      </c>
      <c r="N58" s="4" t="str">
        <f aca="false">IF($A58="","",IFERROR(VLOOKUP($C58,Dim_Fund!$A:$G,7,0),""))</f>
        <v/>
      </c>
      <c r="O58" s="4" t="str">
        <f aca="false">IF($A58="","",IF(L58=N58,"No","Yes"))</f>
        <v/>
      </c>
      <c r="P58" s="4" t="str">
        <f aca="false">IF($A58="","",IF(E58="Client","n/a",IF(L58=M58,"YES — four-eyes breach","No")))</f>
        <v/>
      </c>
      <c r="Q58" s="38" t="str">
        <f aca="false">IF($A58="","",IFERROR(VLOOKUP($C58,Dim_Fund!$A:$AB,28,0),""))</f>
        <v/>
      </c>
      <c r="R58" s="38" t="str">
        <f aca="false">IF($A58="","",IFERROR(VLOOKUP($C58,Dim_Fund!$A:$AC,29,0),""))</f>
        <v/>
      </c>
      <c r="S58" s="38" t="str">
        <f aca="false">IF($A58="","",IFERROR(VLOOKUP($C58,Dim_Fund!$A:$AD,30,0),""))</f>
        <v/>
      </c>
      <c r="T58" s="38" t="str">
        <f aca="false">IF($A58="","",IFERROR(VLOOKUP($C58,Dim_Fund!$A:$AL,38,0),""))</f>
        <v/>
      </c>
      <c r="U58" s="37" t="str">
        <f aca="false">IF($A58="","",IF(AL58="","",IFERROR(IF(COUNTIFS(Fact_Milestone!$A:$A,$B58,Fact_Milestone!$B:$B,AL58)=0,"",_xlfn.MAXIFS(Fact_Milestone!$C:$C,Fact_Milestone!$A:$A,$B58,Fact_Milestone!$B:$B,AL58)),"")))</f>
        <v/>
      </c>
      <c r="V58" s="37" t="str">
        <f aca="false">IF($A58="","",IFERROR(IF(VLOOKUP($C58,Dim_Fund!$A:$AI,35,0)&gt;0,$B58+VLOOKUP($C58,Dim_Fund!$A:$AI,35,0)/24,""),""))</f>
        <v/>
      </c>
      <c r="W58" s="37" t="str">
        <f aca="false">IF($A58="","",F58)</f>
        <v/>
      </c>
      <c r="X58" s="37" t="str">
        <f aca="false">IF($A58="","",IF(E58="Client",H58,G58))</f>
        <v/>
      </c>
      <c r="Y58" s="37" t="str">
        <f aca="false">IF($A58="","",I58)</f>
        <v/>
      </c>
      <c r="Z58" s="37" t="str">
        <f aca="false">IF($A58="","",IFERROR(W58-R58/1440,""))</f>
        <v/>
      </c>
      <c r="AA58" s="38" t="str">
        <f aca="false">IF($A58="","",IF(OR(U58="",V58=""),"",ROUND((V58-U58)*1440,0)))</f>
        <v/>
      </c>
      <c r="AB58" s="38" t="str">
        <f aca="false">IF($A58="","",IF(U58="","",ROUND((W58-U58)*1440,0)))</f>
        <v/>
      </c>
      <c r="AC58" s="38" t="str">
        <f aca="false">IF($A58="","",IF(AB58="","",MAX(0,AB58)))</f>
        <v/>
      </c>
      <c r="AD58" s="38" t="str">
        <f aca="false">IF($A58="","",IFERROR(ROUND((X58-W58)*1440,0),""))</f>
        <v/>
      </c>
      <c r="AE58" s="38" t="str">
        <f aca="false">IF($A58="","",IF(E58="Client","n/a",IFERROR(ROUND((H58-G58)*1440,0),"")))</f>
        <v/>
      </c>
      <c r="AF58" s="38" t="str">
        <f aca="false">IF($A58="","",IFERROR(ROUND((Y58-H58)*1440,0),""))</f>
        <v/>
      </c>
      <c r="AG58" s="38" t="str">
        <f aca="false">IF($A58="","",IFERROR(ROUND((H58-F58)*1440,0),""))</f>
        <v/>
      </c>
      <c r="AH58" s="38" t="str">
        <f aca="false">IF($A58="","",IFERROR(ROUND((Y58-V58)*1440,0),""))</f>
        <v/>
      </c>
      <c r="AI58" s="4" t="str">
        <f aca="false">IF($A58="","",IF(AH58="","",IF(AH58&gt;0,"Yes","No")))</f>
        <v/>
      </c>
      <c r="AJ58" s="4" t="str">
        <f aca="false">IF($A58="","",IF(AI58&lt;&gt;"Yes","On time",IF(N(AC58)&gt;=MAX(N(AF58),N(K58)),"Wait for analyst",IF(N(AF58)&gt;=N(K58),"External sign-off","Rework"))))</f>
        <v/>
      </c>
      <c r="AK58" s="4" t="str">
        <f aca="false">IF($A58="","",IF(OR(F58="",Y58="",ISNA(MATCH(L58,Dim_Analyst!$A:$A,0))),"CHECK","OK"))</f>
        <v/>
      </c>
      <c r="AL58" s="4" t="str">
        <f aca="false">IF($A58="","",IFERROR(VLOOKUP($C58,Dim_Fund!$A:$U,21,0),""))</f>
        <v/>
      </c>
      <c r="AM58" s="4" t="str">
        <f aca="false">IF($A58="","",IF($U58="","",IF($U58&gt;$B58+IFERROR(VLOOKUP($C58,Dim_Fund!$A:$AH,34,0),0)/24,"Yes","No")))</f>
        <v/>
      </c>
      <c r="AN58" s="22" t="str">
        <f aca="false">IF($A58="","",IFERROR(VLOOKUP($C58,Dim_Fund!$A:$AH,34,0),""))</f>
        <v/>
      </c>
      <c r="AO58" s="22" t="str">
        <f aca="false">IF($A58="","",IF($AL58="","",IFERROR(FLOOR(IF(COUNTIFS(Fact_Milestone!$A:$A,$B58,Fact_Milestone!$B:$B,$AL58,Fact_Milestone!$F:$F,"&gt;0")&gt;0,_xlfn.MINIFS(Fact_Milestone!$F:$F,Fact_Milestone!$A:$A,$B58,Fact_Milestone!$B:$B,$AL58,Fact_Milestone!$F:$F,"&gt;0"),VLOOKUP($AL58,Dim_TOP!$A:$E,5,0)),0.5),"")))</f>
        <v/>
      </c>
      <c r="AP58" s="22" t="str">
        <f aca="false">IF($A58="","",IF($U58="","",ROUND(($U58-INT($U58))*24,4)))</f>
        <v/>
      </c>
      <c r="AQ58" s="22" t="str">
        <f aca="false">IF($A58="","",IF($W58="","",ROUND(($W58-INT($W58))*24,4)))</f>
        <v/>
      </c>
      <c r="AR58" s="22" t="str">
        <f aca="false">IF($A58="","",IF($X58="","",ROUND(($X58-INT($X58))*24,4)))</f>
        <v/>
      </c>
      <c r="AS58" s="38" t="str">
        <f aca="false">IF($A58="","",IF(OR($AN58="",$V58="",$S58="",$T58=""),"",ROUND(($V58-($B58+$AN58/24))*1440-$S58-$T58,0)))</f>
        <v/>
      </c>
      <c r="AT58" s="38" t="str">
        <f aca="false">IF($A58="","",IF(OR($AN58="",$U58=""),"",ROUND(($U58-($B58+$AN58/24))*1440,0)))</f>
        <v/>
      </c>
      <c r="AU58" s="38" t="str">
        <f aca="false">IF($A58="","",IF(OR($AD58="",$S58=""),"",ROUND($AD58-$S58,0)))</f>
        <v/>
      </c>
      <c r="AV58" s="38" t="str">
        <f aca="false">IF($A58="","",N($AE58))</f>
        <v/>
      </c>
      <c r="AW58" s="38" t="str">
        <f aca="false">IF($A58="","",IF(OR($AF58="",$T58=""),"",$AF58-$T58))</f>
        <v/>
      </c>
      <c r="AX58" s="38" t="str">
        <f aca="false">IF($A58="","",IF(COUNT($AT58,$AB58,$AU58,$AW58,$AS58,$AH58)&lt;6,"",ROUND($AT58+$AB58+$AU58+$AV58+$AW58-$AS58-$AH58,0)))</f>
        <v/>
      </c>
      <c r="AY58" s="4" t="str">
        <f aca="false">IF($A58="","",IF($AX58="","No",IF(ABS($AX58)&lt;=2,"Yes","No")))</f>
        <v/>
      </c>
      <c r="AZ58" s="4" t="str">
        <f aca="false">IF($A58="","",IF($AI58&lt;&gt;"Yes","n/a",IF(OR($AA58="",$S58="",$T58=""),"Unknown",IF($AA58&lt;$S58+$T58,"Lost on arrival","Lost after arrival"))))</f>
        <v/>
      </c>
      <c r="BA58" s="10" t="str">
        <f aca="false">IF($A58="","",IFERROR(VLOOKUP($C58,Dim_Fund!$A:$D,4,0),""))</f>
        <v/>
      </c>
      <c r="BB58" s="10" t="str">
        <f aca="false">IF($A58="","",IF($AL58="","",IF(COUNTIFS(Fact_Milestone!$A:$A,$B58,Fact_Milestone!$B:$B,$AL58,Fact_Milestone!$I:$I,"No")&gt;0,"No",IF(COUNTIFS(Fact_Milestone!$A:$A,$B58,Fact_Milestone!$B:$B,$AL58,Fact_Milestone!$I:$I,"Yes")&gt;0,"Yes",""))))</f>
        <v/>
      </c>
      <c r="BC58" s="45" t="str">
        <f aca="false">IF($A58="","",IF(OR($L58="",$W58=""),"",IF(COUNTIFS($L:$L,$L58,$B:$B,$B58,$W:$W,"&lt;"&amp;$W58)=0,"",_xlfn.MAXIFS($W:$W,$L:$L,$L58,$B:$B,$B58,$W:$W,"&lt;"&amp;$W58))))</f>
        <v/>
      </c>
      <c r="BD58" s="39" t="str">
        <f aca="false">IF($A58="","",IF($AC58="","",IF(OR($L58="",$AC58=0),0,MIN($AC58,ROUND(ROUND(1440*SUMPRODUCT(($L$2:INDEX($L:$L,COUNTA($C:$C))=$L58)*($B$2:INDEX($B:$B,COUNTA($C:$C))=$B58)*(ROW($L$2:INDEX($L:$L,COUNTA($C:$C)))&lt;&gt;ROW())*((((($W58+$BT$2:INDEX($BT:$BT,COUNTA($C:$C))-ABS($W58-$BT$2:INDEX($BT:$BT,COUNTA($C:$C))))/2)-(($U58+$BS$2:INDEX($BS:$BS,COUNTA($C:$C))+ABS($U58-$BS$2:INDEX($BS:$BS,COUNTA($C:$C))))/2))+ABS(((($W58+$BT$2:INDEX($BT:$BT,COUNTA($C:$C))-ABS($W58-$BT$2:INDEX($BT:$BT,COUNTA($C:$C))))/2)-(($U58+$BS$2:INDEX($BS:$BS,COUNTA($C:$C))+ABS($U58-$BS$2:INDEX($BS:$BS,COUNTA($C:$C))))/2))))/2)),4),0)))))</f>
        <v/>
      </c>
      <c r="BE58" s="39" t="str">
        <f aca="false">IF($A58="","",IF($AC58="","",ROUND(MIN($AC58-$BD58,N($R58)),0)))</f>
        <v/>
      </c>
      <c r="BF58" s="10" t="str">
        <f aca="false">IF($A58="","",IFERROR(VLOOKUP($C58,Dim_Fund!$A:$BD,56,0),""))</f>
        <v/>
      </c>
      <c r="BG58" s="10" t="str">
        <f aca="false">IF($A58="","",IFERROR(VLOOKUP($C58,Dim_Fund!$A:$BH,60,0),""))</f>
        <v/>
      </c>
      <c r="BH58" s="10" t="str">
        <f aca="false">IF($A58="","",IF($AI58&lt;&gt;"Yes","Not breached",IF($AM58="Yes","Pricing late",IF($BG58="Thin custody slack","Thin custody slack",IF($BF58="Yes","Broker-dependent","None of these")))))</f>
        <v/>
      </c>
      <c r="BI58" s="23" t="str">
        <f aca="false">IF($A58="","",IFERROR(IF(VLOOKUP($C58,Dim_Fund!$A:$AI,35,0)&gt;0,VLOOKUP($C58,Dim_Fund!$A:$AI,35,0),""),""))</f>
        <v/>
      </c>
      <c r="BJ58" s="10" t="str">
        <f aca="false">IF($A58="","",$C58&amp;IF($E58="Client","*",""))</f>
        <v/>
      </c>
      <c r="BK58" s="39" t="str">
        <f aca="false">IF($A58="","",IFERROR(ROUND(($Y58-$X58)*1440,0),""))</f>
        <v/>
      </c>
      <c r="BL58" s="39" t="str">
        <f aca="false">IF($A58="","",IF($AH58="","",-$AH58))</f>
        <v/>
      </c>
      <c r="BM58" s="46" t="str">
        <f aca="false">IF($A58="","",IF($AQ58="","",IF($AP58="",$AQ58,MIN($AP58,$AQ58))))</f>
        <v/>
      </c>
      <c r="BN58" s="46" t="str">
        <f aca="false">IF($A58="","",IF($BM58="","",ROUND(N($AC58)/60,4)))</f>
        <v/>
      </c>
      <c r="BO58" s="46" t="str">
        <f aca="false">IF($A58="","",IF(OR($BM58="",$AD58=""),"",ROUND($AD58/60,4)))</f>
        <v/>
      </c>
      <c r="BP58" s="46" t="str">
        <f aca="false">IF($A58="","",IF($BM58="","",ROUND(N($AE58)/60,4)))</f>
        <v/>
      </c>
      <c r="BQ58" s="46" t="str">
        <f aca="false">IF($A58="","",IF(OR($BM58="",$AF58=""),"",ROUND($AF58/60,4)))</f>
        <v/>
      </c>
      <c r="BR58" s="39" t="str">
        <f aca="false">IF($A58="","",IF($AC58="","",$AC58-$BD58-$BE58))</f>
        <v/>
      </c>
      <c r="BS58" s="45" t="str">
        <f aca="false">IF($A58="","",IF(AND(ISNUMBER($Z58),ISNUMBER($W58)),$Z58,0))</f>
        <v/>
      </c>
      <c r="BT58" s="45" t="str">
        <f aca="false">IF($A58="","",IF(ISNUMBER($W58),$W58,0))</f>
        <v/>
      </c>
      <c r="BU58" s="23" t="str">
        <f aca="false">IF($A58="","",IF(ISNUMBER($W58),ROUND(($W58-$B58)*24,4),""))</f>
        <v/>
      </c>
      <c r="BV58" s="23" t="str">
        <f aca="false">IF($A58="","",IF(ISNUMBER($X58),ROUND(($X58-$B58)*24,4),""))</f>
        <v/>
      </c>
      <c r="BW58" s="10" t="str">
        <f aca="false">IF($A58="","",IF(NOT(ISNUMBER($W58)),"Missing Calculated",IF(NOT(ISNUMBER($X58)),IF($E58="Client","Missing FA signed off","Missing Controlled"),IF($X58&lt;$W58,"End before start","OK"))))</f>
        <v/>
      </c>
      <c r="BX58" s="23" t="str">
        <f aca="false">IF($A58="","",IF(NOT(ISNUMBER($Z58)),"",ROUND((IF(ISNUMBER($U58),MIN($U58,$Z58),$Z58)-$B58)*24,4)))</f>
        <v/>
      </c>
      <c r="BY58" s="23" t="str">
        <f aca="false">IF($A58="","",IF(ISNUMBER($Z58),ROUND(($Z58-$B58)*24,4),""))</f>
        <v/>
      </c>
      <c r="BZ58" s="23" t="str">
        <f aca="false">IF($A58="","",IF(AND(ISNUMBER($W58),ISNUMBER($S58)),ROUND(($W58+$S58/1440-$B58)*24,4),""))</f>
        <v/>
      </c>
    </row>
    <row r="59" customFormat="false" ht="15" hidden="false" customHeight="true" outlineLevel="0" collapsed="false">
      <c r="A59" s="47"/>
      <c r="B59" s="47"/>
      <c r="D59" s="4" t="str">
        <f aca="false">IF($A59="","",$B59-$A59)</f>
        <v/>
      </c>
      <c r="E59" s="4" t="str">
        <f aca="false">IF($A59="","",IFERROR(VLOOKUP($C59,Dim_Fund!$A:$X,24,0),""))</f>
        <v/>
      </c>
      <c r="F59" s="37" t="str">
        <f aca="false">IF($A59="","",IF(COUNTIFS(Status_Log!$A:$A,$A59,Status_Log!$B:$B,$B59,Status_Log!$C:$C,$C59,Status_Log!$D:$D,"Changed to the status of Calculated")=0,"",_xlfn.MINIFS(Status_Log!$E:$E,Status_Log!$A:$A,$A59,Status_Log!$B:$B,$B59,Status_Log!$C:$C,$C59,Status_Log!$D:$D,"Changed to the status of Calculated")))</f>
        <v/>
      </c>
      <c r="G59" s="37" t="str">
        <f aca="false">IF($A59="","",IF(COUNTIFS(Status_Log!$A:$A,$A59,Status_Log!$B:$B,$B59,Status_Log!$C:$C,$C59,Status_Log!$D:$D,"Changed to the status of Controlled")=0,"",_xlfn.MAXIFS(Status_Log!$E:$E,Status_Log!$A:$A,$A59,Status_Log!$B:$B,$B59,Status_Log!$C:$C,$C59,Status_Log!$D:$D,"Changed to the status of Controlled")))</f>
        <v/>
      </c>
      <c r="H59" s="37" t="str">
        <f aca="false">IF($A59="","",IF(COUNTIFS(Status_Log!$A:$A,$A59,Status_Log!$B:$B,$B59,Status_Log!$C:$C,$C59,Status_Log!$D:$D,"Changed to the status of Fund accounting signed off")=0,"",_xlfn.MAXIFS(Status_Log!$E:$E,Status_Log!$A:$A,$A59,Status_Log!$B:$B,$B59,Status_Log!$C:$C,$C59,Status_Log!$D:$D,"Changed to the status of Fund accounting signed off")))</f>
        <v/>
      </c>
      <c r="I59" s="37" t="str">
        <f aca="false">IF($A59="","",IF(COUNTIFS(Status_Log!$A:$A,$A59,Status_Log!$B:$B,$B59,Status_Log!$C:$C,$C59,Status_Log!$D:$D,"Changed to the status of signed off")=0,"",_xlfn.MAXIFS(Status_Log!$E:$E,Status_Log!$A:$A,$A59,Status_Log!$B:$B,$B59,Status_Log!$C:$C,$C59,Status_Log!$D:$D,"Changed to the status of signed off")))</f>
        <v/>
      </c>
      <c r="J59" s="4" t="str">
        <f aca="false">IF($A59="","",COUNTIFS(Status_Log!$A:$A,$A59,Status_Log!$B:$B,$B59,Status_Log!$C:$C,$C59,Status_Log!$D:$D,"Changed to the status of Calculated"))</f>
        <v/>
      </c>
      <c r="K59" s="38" t="str">
        <f aca="false">IF($A59="","",IF(J59&lt;=1,0,ROUND((_xlfn.MAXIFS(Status_Log!$E:$E,Status_Log!$A:$A,$A59,Status_Log!$B:$B,$B59,Status_Log!$C:$C,$C59,Status_Log!$D:$D,"Changed to the status of Calculated")-F59)*1440,0)))</f>
        <v/>
      </c>
      <c r="L59" s="4" t="str">
        <f aca="false">IF($A59="","",IFERROR(INDEX(Status_Log!$F:$F,MATCH($A59&amp;"|"&amp;$B59&amp;"|"&amp;$C59&amp;"|Changed to the status of Calculated|"&amp;TEXT(_xlfn.MAXIFS(Status_Log!$E:$E,Status_Log!$A:$A,$A59,Status_Log!$B:$B,$B59,Status_Log!$C:$C,$C59,Status_Log!$D:$D,"Changed to the status of Calculated"),"0.000000"),Status_Log!$H:$H,0)),""))</f>
        <v/>
      </c>
      <c r="M59" s="4" t="str">
        <f aca="false">IF($A59="","",IF(E59="Client","n/a — no control step",IFERROR(INDEX(Status_Log!$F:$F,MATCH($A59&amp;"|"&amp;$B59&amp;"|"&amp;$C59&amp;"|Changed to the status of Controlled|"&amp;TEXT(_xlfn.MAXIFS(Status_Log!$E:$E,Status_Log!$A:$A,$A59,Status_Log!$B:$B,$B59,Status_Log!$C:$C,$C59,Status_Log!$D:$D,"Changed to the status of Controlled"),"0.000000"),Status_Log!$H:$H,0)),"")))</f>
        <v/>
      </c>
      <c r="N59" s="4" t="str">
        <f aca="false">IF($A59="","",IFERROR(VLOOKUP($C59,Dim_Fund!$A:$G,7,0),""))</f>
        <v/>
      </c>
      <c r="O59" s="4" t="str">
        <f aca="false">IF($A59="","",IF(L59=N59,"No","Yes"))</f>
        <v/>
      </c>
      <c r="P59" s="4" t="str">
        <f aca="false">IF($A59="","",IF(E59="Client","n/a",IF(L59=M59,"YES — four-eyes breach","No")))</f>
        <v/>
      </c>
      <c r="Q59" s="38" t="str">
        <f aca="false">IF($A59="","",IFERROR(VLOOKUP($C59,Dim_Fund!$A:$AB,28,0),""))</f>
        <v/>
      </c>
      <c r="R59" s="38" t="str">
        <f aca="false">IF($A59="","",IFERROR(VLOOKUP($C59,Dim_Fund!$A:$AC,29,0),""))</f>
        <v/>
      </c>
      <c r="S59" s="38" t="str">
        <f aca="false">IF($A59="","",IFERROR(VLOOKUP($C59,Dim_Fund!$A:$AD,30,0),""))</f>
        <v/>
      </c>
      <c r="T59" s="38" t="str">
        <f aca="false">IF($A59="","",IFERROR(VLOOKUP($C59,Dim_Fund!$A:$AL,38,0),""))</f>
        <v/>
      </c>
      <c r="U59" s="37" t="str">
        <f aca="false">IF($A59="","",IF(AL59="","",IFERROR(IF(COUNTIFS(Fact_Milestone!$A:$A,$B59,Fact_Milestone!$B:$B,AL59)=0,"",_xlfn.MAXIFS(Fact_Milestone!$C:$C,Fact_Milestone!$A:$A,$B59,Fact_Milestone!$B:$B,AL59)),"")))</f>
        <v/>
      </c>
      <c r="V59" s="37" t="str">
        <f aca="false">IF($A59="","",IFERROR(IF(VLOOKUP($C59,Dim_Fund!$A:$AI,35,0)&gt;0,$B59+VLOOKUP($C59,Dim_Fund!$A:$AI,35,0)/24,""),""))</f>
        <v/>
      </c>
      <c r="W59" s="37" t="str">
        <f aca="false">IF($A59="","",F59)</f>
        <v/>
      </c>
      <c r="X59" s="37" t="str">
        <f aca="false">IF($A59="","",IF(E59="Client",H59,G59))</f>
        <v/>
      </c>
      <c r="Y59" s="37" t="str">
        <f aca="false">IF($A59="","",I59)</f>
        <v/>
      </c>
      <c r="Z59" s="37" t="str">
        <f aca="false">IF($A59="","",IFERROR(W59-R59/1440,""))</f>
        <v/>
      </c>
      <c r="AA59" s="38" t="str">
        <f aca="false">IF($A59="","",IF(OR(U59="",V59=""),"",ROUND((V59-U59)*1440,0)))</f>
        <v/>
      </c>
      <c r="AB59" s="38" t="str">
        <f aca="false">IF($A59="","",IF(U59="","",ROUND((W59-U59)*1440,0)))</f>
        <v/>
      </c>
      <c r="AC59" s="38" t="str">
        <f aca="false">IF($A59="","",IF(AB59="","",MAX(0,AB59)))</f>
        <v/>
      </c>
      <c r="AD59" s="38" t="str">
        <f aca="false">IF($A59="","",IFERROR(ROUND((X59-W59)*1440,0),""))</f>
        <v/>
      </c>
      <c r="AE59" s="38" t="str">
        <f aca="false">IF($A59="","",IF(E59="Client","n/a",IFERROR(ROUND((H59-G59)*1440,0),"")))</f>
        <v/>
      </c>
      <c r="AF59" s="38" t="str">
        <f aca="false">IF($A59="","",IFERROR(ROUND((Y59-H59)*1440,0),""))</f>
        <v/>
      </c>
      <c r="AG59" s="38" t="str">
        <f aca="false">IF($A59="","",IFERROR(ROUND((H59-F59)*1440,0),""))</f>
        <v/>
      </c>
      <c r="AH59" s="38" t="str">
        <f aca="false">IF($A59="","",IFERROR(ROUND((Y59-V59)*1440,0),""))</f>
        <v/>
      </c>
      <c r="AI59" s="4" t="str">
        <f aca="false">IF($A59="","",IF(AH59="","",IF(AH59&gt;0,"Yes","No")))</f>
        <v/>
      </c>
      <c r="AJ59" s="4" t="str">
        <f aca="false">IF($A59="","",IF(AI59&lt;&gt;"Yes","On time",IF(N(AC59)&gt;=MAX(N(AF59),N(K59)),"Wait for analyst",IF(N(AF59)&gt;=N(K59),"External sign-off","Rework"))))</f>
        <v/>
      </c>
      <c r="AK59" s="4" t="str">
        <f aca="false">IF($A59="","",IF(OR(F59="",Y59="",ISNA(MATCH(L59,Dim_Analyst!$A:$A,0))),"CHECK","OK"))</f>
        <v/>
      </c>
      <c r="AL59" s="4" t="str">
        <f aca="false">IF($A59="","",IFERROR(VLOOKUP($C59,Dim_Fund!$A:$U,21,0),""))</f>
        <v/>
      </c>
      <c r="AM59" s="4" t="str">
        <f aca="false">IF($A59="","",IF($U59="","",IF($U59&gt;$B59+IFERROR(VLOOKUP($C59,Dim_Fund!$A:$AH,34,0),0)/24,"Yes","No")))</f>
        <v/>
      </c>
      <c r="AN59" s="22" t="str">
        <f aca="false">IF($A59="","",IFERROR(VLOOKUP($C59,Dim_Fund!$A:$AH,34,0),""))</f>
        <v/>
      </c>
      <c r="AO59" s="22" t="str">
        <f aca="false">IF($A59="","",IF($AL59="","",IFERROR(FLOOR(IF(COUNTIFS(Fact_Milestone!$A:$A,$B59,Fact_Milestone!$B:$B,$AL59,Fact_Milestone!$F:$F,"&gt;0")&gt;0,_xlfn.MINIFS(Fact_Milestone!$F:$F,Fact_Milestone!$A:$A,$B59,Fact_Milestone!$B:$B,$AL59,Fact_Milestone!$F:$F,"&gt;0"),VLOOKUP($AL59,Dim_TOP!$A:$E,5,0)),0.5),"")))</f>
        <v/>
      </c>
      <c r="AP59" s="22" t="str">
        <f aca="false">IF($A59="","",IF($U59="","",ROUND(($U59-INT($U59))*24,4)))</f>
        <v/>
      </c>
      <c r="AQ59" s="22" t="str">
        <f aca="false">IF($A59="","",IF($W59="","",ROUND(($W59-INT($W59))*24,4)))</f>
        <v/>
      </c>
      <c r="AR59" s="22" t="str">
        <f aca="false">IF($A59="","",IF($X59="","",ROUND(($X59-INT($X59))*24,4)))</f>
        <v/>
      </c>
      <c r="AS59" s="38" t="str">
        <f aca="false">IF($A59="","",IF(OR($AN59="",$V59="",$S59="",$T59=""),"",ROUND(($V59-($B59+$AN59/24))*1440-$S59-$T59,0)))</f>
        <v/>
      </c>
      <c r="AT59" s="38" t="str">
        <f aca="false">IF($A59="","",IF(OR($AN59="",$U59=""),"",ROUND(($U59-($B59+$AN59/24))*1440,0)))</f>
        <v/>
      </c>
      <c r="AU59" s="38" t="str">
        <f aca="false">IF($A59="","",IF(OR($AD59="",$S59=""),"",ROUND($AD59-$S59,0)))</f>
        <v/>
      </c>
      <c r="AV59" s="38" t="str">
        <f aca="false">IF($A59="","",N($AE59))</f>
        <v/>
      </c>
      <c r="AW59" s="38" t="str">
        <f aca="false">IF($A59="","",IF(OR($AF59="",$T59=""),"",$AF59-$T59))</f>
        <v/>
      </c>
      <c r="AX59" s="38" t="str">
        <f aca="false">IF($A59="","",IF(COUNT($AT59,$AB59,$AU59,$AW59,$AS59,$AH59)&lt;6,"",ROUND($AT59+$AB59+$AU59+$AV59+$AW59-$AS59-$AH59,0)))</f>
        <v/>
      </c>
      <c r="AY59" s="4" t="str">
        <f aca="false">IF($A59="","",IF($AX59="","No",IF(ABS($AX59)&lt;=2,"Yes","No")))</f>
        <v/>
      </c>
      <c r="AZ59" s="4" t="str">
        <f aca="false">IF($A59="","",IF($AI59&lt;&gt;"Yes","n/a",IF(OR($AA59="",$S59="",$T59=""),"Unknown",IF($AA59&lt;$S59+$T59,"Lost on arrival","Lost after arrival"))))</f>
        <v/>
      </c>
      <c r="BA59" s="10" t="str">
        <f aca="false">IF($A59="","",IFERROR(VLOOKUP($C59,Dim_Fund!$A:$D,4,0),""))</f>
        <v/>
      </c>
      <c r="BB59" s="10" t="str">
        <f aca="false">IF($A59="","",IF($AL59="","",IF(COUNTIFS(Fact_Milestone!$A:$A,$B59,Fact_Milestone!$B:$B,$AL59,Fact_Milestone!$I:$I,"No")&gt;0,"No",IF(COUNTIFS(Fact_Milestone!$A:$A,$B59,Fact_Milestone!$B:$B,$AL59,Fact_Milestone!$I:$I,"Yes")&gt;0,"Yes",""))))</f>
        <v/>
      </c>
      <c r="BC59" s="45" t="str">
        <f aca="false">IF($A59="","",IF(OR($L59="",$W59=""),"",IF(COUNTIFS($L:$L,$L59,$B:$B,$B59,$W:$W,"&lt;"&amp;$W59)=0,"",_xlfn.MAXIFS($W:$W,$L:$L,$L59,$B:$B,$B59,$W:$W,"&lt;"&amp;$W59))))</f>
        <v/>
      </c>
      <c r="BD59" s="39" t="str">
        <f aca="false">IF($A59="","",IF($AC59="","",IF(OR($L59="",$AC59=0),0,MIN($AC59,ROUND(ROUND(1440*SUMPRODUCT(($L$2:INDEX($L:$L,COUNTA($C:$C))=$L59)*($B$2:INDEX($B:$B,COUNTA($C:$C))=$B59)*(ROW($L$2:INDEX($L:$L,COUNTA($C:$C)))&lt;&gt;ROW())*((((($W59+$BT$2:INDEX($BT:$BT,COUNTA($C:$C))-ABS($W59-$BT$2:INDEX($BT:$BT,COUNTA($C:$C))))/2)-(($U59+$BS$2:INDEX($BS:$BS,COUNTA($C:$C))+ABS($U59-$BS$2:INDEX($BS:$BS,COUNTA($C:$C))))/2))+ABS(((($W59+$BT$2:INDEX($BT:$BT,COUNTA($C:$C))-ABS($W59-$BT$2:INDEX($BT:$BT,COUNTA($C:$C))))/2)-(($U59+$BS$2:INDEX($BS:$BS,COUNTA($C:$C))+ABS($U59-$BS$2:INDEX($BS:$BS,COUNTA($C:$C))))/2))))/2)),4),0)))))</f>
        <v/>
      </c>
      <c r="BE59" s="39" t="str">
        <f aca="false">IF($A59="","",IF($AC59="","",ROUND(MIN($AC59-$BD59,N($R59)),0)))</f>
        <v/>
      </c>
      <c r="BF59" s="10" t="str">
        <f aca="false">IF($A59="","",IFERROR(VLOOKUP($C59,Dim_Fund!$A:$BD,56,0),""))</f>
        <v/>
      </c>
      <c r="BG59" s="10" t="str">
        <f aca="false">IF($A59="","",IFERROR(VLOOKUP($C59,Dim_Fund!$A:$BH,60,0),""))</f>
        <v/>
      </c>
      <c r="BH59" s="10" t="str">
        <f aca="false">IF($A59="","",IF($AI59&lt;&gt;"Yes","Not breached",IF($AM59="Yes","Pricing late",IF($BG59="Thin custody slack","Thin custody slack",IF($BF59="Yes","Broker-dependent","None of these")))))</f>
        <v/>
      </c>
      <c r="BI59" s="23" t="str">
        <f aca="false">IF($A59="","",IFERROR(IF(VLOOKUP($C59,Dim_Fund!$A:$AI,35,0)&gt;0,VLOOKUP($C59,Dim_Fund!$A:$AI,35,0),""),""))</f>
        <v/>
      </c>
      <c r="BJ59" s="10" t="str">
        <f aca="false">IF($A59="","",$C59&amp;IF($E59="Client","*",""))</f>
        <v/>
      </c>
      <c r="BK59" s="39" t="str">
        <f aca="false">IF($A59="","",IFERROR(ROUND(($Y59-$X59)*1440,0),""))</f>
        <v/>
      </c>
      <c r="BL59" s="39" t="str">
        <f aca="false">IF($A59="","",IF($AH59="","",-$AH59))</f>
        <v/>
      </c>
      <c r="BM59" s="46" t="str">
        <f aca="false">IF($A59="","",IF($AQ59="","",IF($AP59="",$AQ59,MIN($AP59,$AQ59))))</f>
        <v/>
      </c>
      <c r="BN59" s="46" t="str">
        <f aca="false">IF($A59="","",IF($BM59="","",ROUND(N($AC59)/60,4)))</f>
        <v/>
      </c>
      <c r="BO59" s="46" t="str">
        <f aca="false">IF($A59="","",IF(OR($BM59="",$AD59=""),"",ROUND($AD59/60,4)))</f>
        <v/>
      </c>
      <c r="BP59" s="46" t="str">
        <f aca="false">IF($A59="","",IF($BM59="","",ROUND(N($AE59)/60,4)))</f>
        <v/>
      </c>
      <c r="BQ59" s="46" t="str">
        <f aca="false">IF($A59="","",IF(OR($BM59="",$AF59=""),"",ROUND($AF59/60,4)))</f>
        <v/>
      </c>
      <c r="BR59" s="39" t="str">
        <f aca="false">IF($A59="","",IF($AC59="","",$AC59-$BD59-$BE59))</f>
        <v/>
      </c>
      <c r="BS59" s="45" t="str">
        <f aca="false">IF($A59="","",IF(AND(ISNUMBER($Z59),ISNUMBER($W59)),$Z59,0))</f>
        <v/>
      </c>
      <c r="BT59" s="45" t="str">
        <f aca="false">IF($A59="","",IF(ISNUMBER($W59),$W59,0))</f>
        <v/>
      </c>
      <c r="BU59" s="23" t="str">
        <f aca="false">IF($A59="","",IF(ISNUMBER($W59),ROUND(($W59-$B59)*24,4),""))</f>
        <v/>
      </c>
      <c r="BV59" s="23" t="str">
        <f aca="false">IF($A59="","",IF(ISNUMBER($X59),ROUND(($X59-$B59)*24,4),""))</f>
        <v/>
      </c>
      <c r="BW59" s="10" t="str">
        <f aca="false">IF($A59="","",IF(NOT(ISNUMBER($W59)),"Missing Calculated",IF(NOT(ISNUMBER($X59)),IF($E59="Client","Missing FA signed off","Missing Controlled"),IF($X59&lt;$W59,"End before start","OK"))))</f>
        <v/>
      </c>
      <c r="BX59" s="23" t="str">
        <f aca="false">IF($A59="","",IF(NOT(ISNUMBER($Z59)),"",ROUND((IF(ISNUMBER($U59),MIN($U59,$Z59),$Z59)-$B59)*24,4)))</f>
        <v/>
      </c>
      <c r="BY59" s="23" t="str">
        <f aca="false">IF($A59="","",IF(ISNUMBER($Z59),ROUND(($Z59-$B59)*24,4),""))</f>
        <v/>
      </c>
      <c r="BZ59" s="23" t="str">
        <f aca="false">IF($A59="","",IF(AND(ISNUMBER($W59),ISNUMBER($S59)),ROUND(($W59+$S59/1440-$B59)*24,4),""))</f>
        <v/>
      </c>
    </row>
    <row r="60" customFormat="false" ht="15" hidden="false" customHeight="true" outlineLevel="0" collapsed="false">
      <c r="A60" s="47"/>
      <c r="B60" s="47"/>
      <c r="D60" s="4" t="str">
        <f aca="false">IF($A60="","",$B60-$A60)</f>
        <v/>
      </c>
      <c r="E60" s="4" t="str">
        <f aca="false">IF($A60="","",IFERROR(VLOOKUP($C60,Dim_Fund!$A:$X,24,0),""))</f>
        <v/>
      </c>
      <c r="F60" s="37" t="str">
        <f aca="false">IF($A60="","",IF(COUNTIFS(Status_Log!$A:$A,$A60,Status_Log!$B:$B,$B60,Status_Log!$C:$C,$C60,Status_Log!$D:$D,"Changed to the status of Calculated")=0,"",_xlfn.MINIFS(Status_Log!$E:$E,Status_Log!$A:$A,$A60,Status_Log!$B:$B,$B60,Status_Log!$C:$C,$C60,Status_Log!$D:$D,"Changed to the status of Calculated")))</f>
        <v/>
      </c>
      <c r="G60" s="37" t="str">
        <f aca="false">IF($A60="","",IF(COUNTIFS(Status_Log!$A:$A,$A60,Status_Log!$B:$B,$B60,Status_Log!$C:$C,$C60,Status_Log!$D:$D,"Changed to the status of Controlled")=0,"",_xlfn.MAXIFS(Status_Log!$E:$E,Status_Log!$A:$A,$A60,Status_Log!$B:$B,$B60,Status_Log!$C:$C,$C60,Status_Log!$D:$D,"Changed to the status of Controlled")))</f>
        <v/>
      </c>
      <c r="H60" s="37" t="str">
        <f aca="false">IF($A60="","",IF(COUNTIFS(Status_Log!$A:$A,$A60,Status_Log!$B:$B,$B60,Status_Log!$C:$C,$C60,Status_Log!$D:$D,"Changed to the status of Fund accounting signed off")=0,"",_xlfn.MAXIFS(Status_Log!$E:$E,Status_Log!$A:$A,$A60,Status_Log!$B:$B,$B60,Status_Log!$C:$C,$C60,Status_Log!$D:$D,"Changed to the status of Fund accounting signed off")))</f>
        <v/>
      </c>
      <c r="I60" s="37" t="str">
        <f aca="false">IF($A60="","",IF(COUNTIFS(Status_Log!$A:$A,$A60,Status_Log!$B:$B,$B60,Status_Log!$C:$C,$C60,Status_Log!$D:$D,"Changed to the status of signed off")=0,"",_xlfn.MAXIFS(Status_Log!$E:$E,Status_Log!$A:$A,$A60,Status_Log!$B:$B,$B60,Status_Log!$C:$C,$C60,Status_Log!$D:$D,"Changed to the status of signed off")))</f>
        <v/>
      </c>
      <c r="J60" s="4" t="str">
        <f aca="false">IF($A60="","",COUNTIFS(Status_Log!$A:$A,$A60,Status_Log!$B:$B,$B60,Status_Log!$C:$C,$C60,Status_Log!$D:$D,"Changed to the status of Calculated"))</f>
        <v/>
      </c>
      <c r="K60" s="38" t="str">
        <f aca="false">IF($A60="","",IF(J60&lt;=1,0,ROUND((_xlfn.MAXIFS(Status_Log!$E:$E,Status_Log!$A:$A,$A60,Status_Log!$B:$B,$B60,Status_Log!$C:$C,$C60,Status_Log!$D:$D,"Changed to the status of Calculated")-F60)*1440,0)))</f>
        <v/>
      </c>
      <c r="L60" s="4" t="str">
        <f aca="false">IF($A60="","",IFERROR(INDEX(Status_Log!$F:$F,MATCH($A60&amp;"|"&amp;$B60&amp;"|"&amp;$C60&amp;"|Changed to the status of Calculated|"&amp;TEXT(_xlfn.MAXIFS(Status_Log!$E:$E,Status_Log!$A:$A,$A60,Status_Log!$B:$B,$B60,Status_Log!$C:$C,$C60,Status_Log!$D:$D,"Changed to the status of Calculated"),"0.000000"),Status_Log!$H:$H,0)),""))</f>
        <v/>
      </c>
      <c r="M60" s="4" t="str">
        <f aca="false">IF($A60="","",IF(E60="Client","n/a — no control step",IFERROR(INDEX(Status_Log!$F:$F,MATCH($A60&amp;"|"&amp;$B60&amp;"|"&amp;$C60&amp;"|Changed to the status of Controlled|"&amp;TEXT(_xlfn.MAXIFS(Status_Log!$E:$E,Status_Log!$A:$A,$A60,Status_Log!$B:$B,$B60,Status_Log!$C:$C,$C60,Status_Log!$D:$D,"Changed to the status of Controlled"),"0.000000"),Status_Log!$H:$H,0)),"")))</f>
        <v/>
      </c>
      <c r="N60" s="4" t="str">
        <f aca="false">IF($A60="","",IFERROR(VLOOKUP($C60,Dim_Fund!$A:$G,7,0),""))</f>
        <v/>
      </c>
      <c r="O60" s="4" t="str">
        <f aca="false">IF($A60="","",IF(L60=N60,"No","Yes"))</f>
        <v/>
      </c>
      <c r="P60" s="4" t="str">
        <f aca="false">IF($A60="","",IF(E60="Client","n/a",IF(L60=M60,"YES — four-eyes breach","No")))</f>
        <v/>
      </c>
      <c r="Q60" s="38" t="str">
        <f aca="false">IF($A60="","",IFERROR(VLOOKUP($C60,Dim_Fund!$A:$AB,28,0),""))</f>
        <v/>
      </c>
      <c r="R60" s="38" t="str">
        <f aca="false">IF($A60="","",IFERROR(VLOOKUP($C60,Dim_Fund!$A:$AC,29,0),""))</f>
        <v/>
      </c>
      <c r="S60" s="38" t="str">
        <f aca="false">IF($A60="","",IFERROR(VLOOKUP($C60,Dim_Fund!$A:$AD,30,0),""))</f>
        <v/>
      </c>
      <c r="T60" s="38" t="str">
        <f aca="false">IF($A60="","",IFERROR(VLOOKUP($C60,Dim_Fund!$A:$AL,38,0),""))</f>
        <v/>
      </c>
      <c r="U60" s="37" t="str">
        <f aca="false">IF($A60="","",IF(AL60="","",IFERROR(IF(COUNTIFS(Fact_Milestone!$A:$A,$B60,Fact_Milestone!$B:$B,AL60)=0,"",_xlfn.MAXIFS(Fact_Milestone!$C:$C,Fact_Milestone!$A:$A,$B60,Fact_Milestone!$B:$B,AL60)),"")))</f>
        <v/>
      </c>
      <c r="V60" s="37" t="str">
        <f aca="false">IF($A60="","",IFERROR(IF(VLOOKUP($C60,Dim_Fund!$A:$AI,35,0)&gt;0,$B60+VLOOKUP($C60,Dim_Fund!$A:$AI,35,0)/24,""),""))</f>
        <v/>
      </c>
      <c r="W60" s="37" t="str">
        <f aca="false">IF($A60="","",F60)</f>
        <v/>
      </c>
      <c r="X60" s="37" t="str">
        <f aca="false">IF($A60="","",IF(E60="Client",H60,G60))</f>
        <v/>
      </c>
      <c r="Y60" s="37" t="str">
        <f aca="false">IF($A60="","",I60)</f>
        <v/>
      </c>
      <c r="Z60" s="37" t="str">
        <f aca="false">IF($A60="","",IFERROR(W60-R60/1440,""))</f>
        <v/>
      </c>
      <c r="AA60" s="38" t="str">
        <f aca="false">IF($A60="","",IF(OR(U60="",V60=""),"",ROUND((V60-U60)*1440,0)))</f>
        <v/>
      </c>
      <c r="AB60" s="38" t="str">
        <f aca="false">IF($A60="","",IF(U60="","",ROUND((W60-U60)*1440,0)))</f>
        <v/>
      </c>
      <c r="AC60" s="38" t="str">
        <f aca="false">IF($A60="","",IF(AB60="","",MAX(0,AB60)))</f>
        <v/>
      </c>
      <c r="AD60" s="38" t="str">
        <f aca="false">IF($A60="","",IFERROR(ROUND((X60-W60)*1440,0),""))</f>
        <v/>
      </c>
      <c r="AE60" s="38" t="str">
        <f aca="false">IF($A60="","",IF(E60="Client","n/a",IFERROR(ROUND((H60-G60)*1440,0),"")))</f>
        <v/>
      </c>
      <c r="AF60" s="38" t="str">
        <f aca="false">IF($A60="","",IFERROR(ROUND((Y60-H60)*1440,0),""))</f>
        <v/>
      </c>
      <c r="AG60" s="38" t="str">
        <f aca="false">IF($A60="","",IFERROR(ROUND((H60-F60)*1440,0),""))</f>
        <v/>
      </c>
      <c r="AH60" s="38" t="str">
        <f aca="false">IF($A60="","",IFERROR(ROUND((Y60-V60)*1440,0),""))</f>
        <v/>
      </c>
      <c r="AI60" s="4" t="str">
        <f aca="false">IF($A60="","",IF(AH60="","",IF(AH60&gt;0,"Yes","No")))</f>
        <v/>
      </c>
      <c r="AJ60" s="4" t="str">
        <f aca="false">IF($A60="","",IF(AI60&lt;&gt;"Yes","On time",IF(N(AC60)&gt;=MAX(N(AF60),N(K60)),"Wait for analyst",IF(N(AF60)&gt;=N(K60),"External sign-off","Rework"))))</f>
        <v/>
      </c>
      <c r="AK60" s="4" t="str">
        <f aca="false">IF($A60="","",IF(OR(F60="",Y60="",ISNA(MATCH(L60,Dim_Analyst!$A:$A,0))),"CHECK","OK"))</f>
        <v/>
      </c>
      <c r="AL60" s="4" t="str">
        <f aca="false">IF($A60="","",IFERROR(VLOOKUP($C60,Dim_Fund!$A:$U,21,0),""))</f>
        <v/>
      </c>
      <c r="AM60" s="4" t="str">
        <f aca="false">IF($A60="","",IF($U60="","",IF($U60&gt;$B60+IFERROR(VLOOKUP($C60,Dim_Fund!$A:$AH,34,0),0)/24,"Yes","No")))</f>
        <v/>
      </c>
      <c r="AN60" s="22" t="str">
        <f aca="false">IF($A60="","",IFERROR(VLOOKUP($C60,Dim_Fund!$A:$AH,34,0),""))</f>
        <v/>
      </c>
      <c r="AO60" s="22" t="str">
        <f aca="false">IF($A60="","",IF($AL60="","",IFERROR(FLOOR(IF(COUNTIFS(Fact_Milestone!$A:$A,$B60,Fact_Milestone!$B:$B,$AL60,Fact_Milestone!$F:$F,"&gt;0")&gt;0,_xlfn.MINIFS(Fact_Milestone!$F:$F,Fact_Milestone!$A:$A,$B60,Fact_Milestone!$B:$B,$AL60,Fact_Milestone!$F:$F,"&gt;0"),VLOOKUP($AL60,Dim_TOP!$A:$E,5,0)),0.5),"")))</f>
        <v/>
      </c>
      <c r="AP60" s="22" t="str">
        <f aca="false">IF($A60="","",IF($U60="","",ROUND(($U60-INT($U60))*24,4)))</f>
        <v/>
      </c>
      <c r="AQ60" s="22" t="str">
        <f aca="false">IF($A60="","",IF($W60="","",ROUND(($W60-INT($W60))*24,4)))</f>
        <v/>
      </c>
      <c r="AR60" s="22" t="str">
        <f aca="false">IF($A60="","",IF($X60="","",ROUND(($X60-INT($X60))*24,4)))</f>
        <v/>
      </c>
      <c r="AS60" s="38" t="str">
        <f aca="false">IF($A60="","",IF(OR($AN60="",$V60="",$S60="",$T60=""),"",ROUND(($V60-($B60+$AN60/24))*1440-$S60-$T60,0)))</f>
        <v/>
      </c>
      <c r="AT60" s="38" t="str">
        <f aca="false">IF($A60="","",IF(OR($AN60="",$U60=""),"",ROUND(($U60-($B60+$AN60/24))*1440,0)))</f>
        <v/>
      </c>
      <c r="AU60" s="38" t="str">
        <f aca="false">IF($A60="","",IF(OR($AD60="",$S60=""),"",ROUND($AD60-$S60,0)))</f>
        <v/>
      </c>
      <c r="AV60" s="38" t="str">
        <f aca="false">IF($A60="","",N($AE60))</f>
        <v/>
      </c>
      <c r="AW60" s="38" t="str">
        <f aca="false">IF($A60="","",IF(OR($AF60="",$T60=""),"",$AF60-$T60))</f>
        <v/>
      </c>
      <c r="AX60" s="38" t="str">
        <f aca="false">IF($A60="","",IF(COUNT($AT60,$AB60,$AU60,$AW60,$AS60,$AH60)&lt;6,"",ROUND($AT60+$AB60+$AU60+$AV60+$AW60-$AS60-$AH60,0)))</f>
        <v/>
      </c>
      <c r="AY60" s="4" t="str">
        <f aca="false">IF($A60="","",IF($AX60="","No",IF(ABS($AX60)&lt;=2,"Yes","No")))</f>
        <v/>
      </c>
      <c r="AZ60" s="4" t="str">
        <f aca="false">IF($A60="","",IF($AI60&lt;&gt;"Yes","n/a",IF(OR($AA60="",$S60="",$T60=""),"Unknown",IF($AA60&lt;$S60+$T60,"Lost on arrival","Lost after arrival"))))</f>
        <v/>
      </c>
      <c r="BA60" s="10" t="str">
        <f aca="false">IF($A60="","",IFERROR(VLOOKUP($C60,Dim_Fund!$A:$D,4,0),""))</f>
        <v/>
      </c>
      <c r="BB60" s="10" t="str">
        <f aca="false">IF($A60="","",IF($AL60="","",IF(COUNTIFS(Fact_Milestone!$A:$A,$B60,Fact_Milestone!$B:$B,$AL60,Fact_Milestone!$I:$I,"No")&gt;0,"No",IF(COUNTIFS(Fact_Milestone!$A:$A,$B60,Fact_Milestone!$B:$B,$AL60,Fact_Milestone!$I:$I,"Yes")&gt;0,"Yes",""))))</f>
        <v/>
      </c>
      <c r="BC60" s="45" t="str">
        <f aca="false">IF($A60="","",IF(OR($L60="",$W60=""),"",IF(COUNTIFS($L:$L,$L60,$B:$B,$B60,$W:$W,"&lt;"&amp;$W60)=0,"",_xlfn.MAXIFS($W:$W,$L:$L,$L60,$B:$B,$B60,$W:$W,"&lt;"&amp;$W60))))</f>
        <v/>
      </c>
      <c r="BD60" s="39" t="str">
        <f aca="false">IF($A60="","",IF($AC60="","",IF(OR($L60="",$AC60=0),0,MIN($AC60,ROUND(ROUND(1440*SUMPRODUCT(($L$2:INDEX($L:$L,COUNTA($C:$C))=$L60)*($B$2:INDEX($B:$B,COUNTA($C:$C))=$B60)*(ROW($L$2:INDEX($L:$L,COUNTA($C:$C)))&lt;&gt;ROW())*((((($W60+$BT$2:INDEX($BT:$BT,COUNTA($C:$C))-ABS($W60-$BT$2:INDEX($BT:$BT,COUNTA($C:$C))))/2)-(($U60+$BS$2:INDEX($BS:$BS,COUNTA($C:$C))+ABS($U60-$BS$2:INDEX($BS:$BS,COUNTA($C:$C))))/2))+ABS(((($W60+$BT$2:INDEX($BT:$BT,COUNTA($C:$C))-ABS($W60-$BT$2:INDEX($BT:$BT,COUNTA($C:$C))))/2)-(($U60+$BS$2:INDEX($BS:$BS,COUNTA($C:$C))+ABS($U60-$BS$2:INDEX($BS:$BS,COUNTA($C:$C))))/2))))/2)),4),0)))))</f>
        <v/>
      </c>
      <c r="BE60" s="39" t="str">
        <f aca="false">IF($A60="","",IF($AC60="","",ROUND(MIN($AC60-$BD60,N($R60)),0)))</f>
        <v/>
      </c>
      <c r="BF60" s="10" t="str">
        <f aca="false">IF($A60="","",IFERROR(VLOOKUP($C60,Dim_Fund!$A:$BD,56,0),""))</f>
        <v/>
      </c>
      <c r="BG60" s="10" t="str">
        <f aca="false">IF($A60="","",IFERROR(VLOOKUP($C60,Dim_Fund!$A:$BH,60,0),""))</f>
        <v/>
      </c>
      <c r="BH60" s="10" t="str">
        <f aca="false">IF($A60="","",IF($AI60&lt;&gt;"Yes","Not breached",IF($AM60="Yes","Pricing late",IF($BG60="Thin custody slack","Thin custody slack",IF($BF60="Yes","Broker-dependent","None of these")))))</f>
        <v/>
      </c>
      <c r="BI60" s="23" t="str">
        <f aca="false">IF($A60="","",IFERROR(IF(VLOOKUP($C60,Dim_Fund!$A:$AI,35,0)&gt;0,VLOOKUP($C60,Dim_Fund!$A:$AI,35,0),""),""))</f>
        <v/>
      </c>
      <c r="BJ60" s="10" t="str">
        <f aca="false">IF($A60="","",$C60&amp;IF($E60="Client","*",""))</f>
        <v/>
      </c>
      <c r="BK60" s="39" t="str">
        <f aca="false">IF($A60="","",IFERROR(ROUND(($Y60-$X60)*1440,0),""))</f>
        <v/>
      </c>
      <c r="BL60" s="39" t="str">
        <f aca="false">IF($A60="","",IF($AH60="","",-$AH60))</f>
        <v/>
      </c>
      <c r="BM60" s="46" t="str">
        <f aca="false">IF($A60="","",IF($AQ60="","",IF($AP60="",$AQ60,MIN($AP60,$AQ60))))</f>
        <v/>
      </c>
      <c r="BN60" s="46" t="str">
        <f aca="false">IF($A60="","",IF($BM60="","",ROUND(N($AC60)/60,4)))</f>
        <v/>
      </c>
      <c r="BO60" s="46" t="str">
        <f aca="false">IF($A60="","",IF(OR($BM60="",$AD60=""),"",ROUND($AD60/60,4)))</f>
        <v/>
      </c>
      <c r="BP60" s="46" t="str">
        <f aca="false">IF($A60="","",IF($BM60="","",ROUND(N($AE60)/60,4)))</f>
        <v/>
      </c>
      <c r="BQ60" s="46" t="str">
        <f aca="false">IF($A60="","",IF(OR($BM60="",$AF60=""),"",ROUND($AF60/60,4)))</f>
        <v/>
      </c>
      <c r="BR60" s="39" t="str">
        <f aca="false">IF($A60="","",IF($AC60="","",$AC60-$BD60-$BE60))</f>
        <v/>
      </c>
      <c r="BS60" s="45" t="str">
        <f aca="false">IF($A60="","",IF(AND(ISNUMBER($Z60),ISNUMBER($W60)),$Z60,0))</f>
        <v/>
      </c>
      <c r="BT60" s="45" t="str">
        <f aca="false">IF($A60="","",IF(ISNUMBER($W60),$W60,0))</f>
        <v/>
      </c>
      <c r="BU60" s="23" t="str">
        <f aca="false">IF($A60="","",IF(ISNUMBER($W60),ROUND(($W60-$B60)*24,4),""))</f>
        <v/>
      </c>
      <c r="BV60" s="23" t="str">
        <f aca="false">IF($A60="","",IF(ISNUMBER($X60),ROUND(($X60-$B60)*24,4),""))</f>
        <v/>
      </c>
      <c r="BW60" s="10" t="str">
        <f aca="false">IF($A60="","",IF(NOT(ISNUMBER($W60)),"Missing Calculated",IF(NOT(ISNUMBER($X60)),IF($E60="Client","Missing FA signed off","Missing Controlled"),IF($X60&lt;$W60,"End before start","OK"))))</f>
        <v/>
      </c>
      <c r="BX60" s="23" t="str">
        <f aca="false">IF($A60="","",IF(NOT(ISNUMBER($Z60)),"",ROUND((IF(ISNUMBER($U60),MIN($U60,$Z60),$Z60)-$B60)*24,4)))</f>
        <v/>
      </c>
      <c r="BY60" s="23" t="str">
        <f aca="false">IF($A60="","",IF(ISNUMBER($Z60),ROUND(($Z60-$B60)*24,4),""))</f>
        <v/>
      </c>
      <c r="BZ60" s="23" t="str">
        <f aca="false">IF($A60="","",IF(AND(ISNUMBER($W60),ISNUMBER($S60)),ROUND(($W60+$S60/1440-$B60)*24,4),""))</f>
        <v/>
      </c>
    </row>
    <row r="61" customFormat="false" ht="15" hidden="false" customHeight="true" outlineLevel="0" collapsed="false">
      <c r="A61" s="47"/>
      <c r="B61" s="47"/>
      <c r="D61" s="4" t="str">
        <f aca="false">IF($A61="","",$B61-$A61)</f>
        <v/>
      </c>
      <c r="E61" s="4" t="str">
        <f aca="false">IF($A61="","",IFERROR(VLOOKUP($C61,Dim_Fund!$A:$X,24,0),""))</f>
        <v/>
      </c>
      <c r="F61" s="37" t="str">
        <f aca="false">IF($A61="","",IF(COUNTIFS(Status_Log!$A:$A,$A61,Status_Log!$B:$B,$B61,Status_Log!$C:$C,$C61,Status_Log!$D:$D,"Changed to the status of Calculated")=0,"",_xlfn.MINIFS(Status_Log!$E:$E,Status_Log!$A:$A,$A61,Status_Log!$B:$B,$B61,Status_Log!$C:$C,$C61,Status_Log!$D:$D,"Changed to the status of Calculated")))</f>
        <v/>
      </c>
      <c r="G61" s="37" t="str">
        <f aca="false">IF($A61="","",IF(COUNTIFS(Status_Log!$A:$A,$A61,Status_Log!$B:$B,$B61,Status_Log!$C:$C,$C61,Status_Log!$D:$D,"Changed to the status of Controlled")=0,"",_xlfn.MAXIFS(Status_Log!$E:$E,Status_Log!$A:$A,$A61,Status_Log!$B:$B,$B61,Status_Log!$C:$C,$C61,Status_Log!$D:$D,"Changed to the status of Controlled")))</f>
        <v/>
      </c>
      <c r="H61" s="37" t="str">
        <f aca="false">IF($A61="","",IF(COUNTIFS(Status_Log!$A:$A,$A61,Status_Log!$B:$B,$B61,Status_Log!$C:$C,$C61,Status_Log!$D:$D,"Changed to the status of Fund accounting signed off")=0,"",_xlfn.MAXIFS(Status_Log!$E:$E,Status_Log!$A:$A,$A61,Status_Log!$B:$B,$B61,Status_Log!$C:$C,$C61,Status_Log!$D:$D,"Changed to the status of Fund accounting signed off")))</f>
        <v/>
      </c>
      <c r="I61" s="37" t="str">
        <f aca="false">IF($A61="","",IF(COUNTIFS(Status_Log!$A:$A,$A61,Status_Log!$B:$B,$B61,Status_Log!$C:$C,$C61,Status_Log!$D:$D,"Changed to the status of signed off")=0,"",_xlfn.MAXIFS(Status_Log!$E:$E,Status_Log!$A:$A,$A61,Status_Log!$B:$B,$B61,Status_Log!$C:$C,$C61,Status_Log!$D:$D,"Changed to the status of signed off")))</f>
        <v/>
      </c>
      <c r="J61" s="4" t="str">
        <f aca="false">IF($A61="","",COUNTIFS(Status_Log!$A:$A,$A61,Status_Log!$B:$B,$B61,Status_Log!$C:$C,$C61,Status_Log!$D:$D,"Changed to the status of Calculated"))</f>
        <v/>
      </c>
      <c r="K61" s="38" t="str">
        <f aca="false">IF($A61="","",IF(J61&lt;=1,0,ROUND((_xlfn.MAXIFS(Status_Log!$E:$E,Status_Log!$A:$A,$A61,Status_Log!$B:$B,$B61,Status_Log!$C:$C,$C61,Status_Log!$D:$D,"Changed to the status of Calculated")-F61)*1440,0)))</f>
        <v/>
      </c>
      <c r="L61" s="4" t="str">
        <f aca="false">IF($A61="","",IFERROR(INDEX(Status_Log!$F:$F,MATCH($A61&amp;"|"&amp;$B61&amp;"|"&amp;$C61&amp;"|Changed to the status of Calculated|"&amp;TEXT(_xlfn.MAXIFS(Status_Log!$E:$E,Status_Log!$A:$A,$A61,Status_Log!$B:$B,$B61,Status_Log!$C:$C,$C61,Status_Log!$D:$D,"Changed to the status of Calculated"),"0.000000"),Status_Log!$H:$H,0)),""))</f>
        <v/>
      </c>
      <c r="M61" s="4" t="str">
        <f aca="false">IF($A61="","",IF(E61="Client","n/a — no control step",IFERROR(INDEX(Status_Log!$F:$F,MATCH($A61&amp;"|"&amp;$B61&amp;"|"&amp;$C61&amp;"|Changed to the status of Controlled|"&amp;TEXT(_xlfn.MAXIFS(Status_Log!$E:$E,Status_Log!$A:$A,$A61,Status_Log!$B:$B,$B61,Status_Log!$C:$C,$C61,Status_Log!$D:$D,"Changed to the status of Controlled"),"0.000000"),Status_Log!$H:$H,0)),"")))</f>
        <v/>
      </c>
      <c r="N61" s="4" t="str">
        <f aca="false">IF($A61="","",IFERROR(VLOOKUP($C61,Dim_Fund!$A:$G,7,0),""))</f>
        <v/>
      </c>
      <c r="O61" s="4" t="str">
        <f aca="false">IF($A61="","",IF(L61=N61,"No","Yes"))</f>
        <v/>
      </c>
      <c r="P61" s="4" t="str">
        <f aca="false">IF($A61="","",IF(E61="Client","n/a",IF(L61=M61,"YES — four-eyes breach","No")))</f>
        <v/>
      </c>
      <c r="Q61" s="38" t="str">
        <f aca="false">IF($A61="","",IFERROR(VLOOKUP($C61,Dim_Fund!$A:$AB,28,0),""))</f>
        <v/>
      </c>
      <c r="R61" s="38" t="str">
        <f aca="false">IF($A61="","",IFERROR(VLOOKUP($C61,Dim_Fund!$A:$AC,29,0),""))</f>
        <v/>
      </c>
      <c r="S61" s="38" t="str">
        <f aca="false">IF($A61="","",IFERROR(VLOOKUP($C61,Dim_Fund!$A:$AD,30,0),""))</f>
        <v/>
      </c>
      <c r="T61" s="38" t="str">
        <f aca="false">IF($A61="","",IFERROR(VLOOKUP($C61,Dim_Fund!$A:$AL,38,0),""))</f>
        <v/>
      </c>
      <c r="U61" s="37" t="str">
        <f aca="false">IF($A61="","",IF(AL61="","",IFERROR(IF(COUNTIFS(Fact_Milestone!$A:$A,$B61,Fact_Milestone!$B:$B,AL61)=0,"",_xlfn.MAXIFS(Fact_Milestone!$C:$C,Fact_Milestone!$A:$A,$B61,Fact_Milestone!$B:$B,AL61)),"")))</f>
        <v/>
      </c>
      <c r="V61" s="37" t="str">
        <f aca="false">IF($A61="","",IFERROR(IF(VLOOKUP($C61,Dim_Fund!$A:$AI,35,0)&gt;0,$B61+VLOOKUP($C61,Dim_Fund!$A:$AI,35,0)/24,""),""))</f>
        <v/>
      </c>
      <c r="W61" s="37" t="str">
        <f aca="false">IF($A61="","",F61)</f>
        <v/>
      </c>
      <c r="X61" s="37" t="str">
        <f aca="false">IF($A61="","",IF(E61="Client",H61,G61))</f>
        <v/>
      </c>
      <c r="Y61" s="37" t="str">
        <f aca="false">IF($A61="","",I61)</f>
        <v/>
      </c>
      <c r="Z61" s="37" t="str">
        <f aca="false">IF($A61="","",IFERROR(W61-R61/1440,""))</f>
        <v/>
      </c>
      <c r="AA61" s="38" t="str">
        <f aca="false">IF($A61="","",IF(OR(U61="",V61=""),"",ROUND((V61-U61)*1440,0)))</f>
        <v/>
      </c>
      <c r="AB61" s="38" t="str">
        <f aca="false">IF($A61="","",IF(U61="","",ROUND((W61-U61)*1440,0)))</f>
        <v/>
      </c>
      <c r="AC61" s="38" t="str">
        <f aca="false">IF($A61="","",IF(AB61="","",MAX(0,AB61)))</f>
        <v/>
      </c>
      <c r="AD61" s="38" t="str">
        <f aca="false">IF($A61="","",IFERROR(ROUND((X61-W61)*1440,0),""))</f>
        <v/>
      </c>
      <c r="AE61" s="38" t="str">
        <f aca="false">IF($A61="","",IF(E61="Client","n/a",IFERROR(ROUND((H61-G61)*1440,0),"")))</f>
        <v/>
      </c>
      <c r="AF61" s="38" t="str">
        <f aca="false">IF($A61="","",IFERROR(ROUND((Y61-H61)*1440,0),""))</f>
        <v/>
      </c>
      <c r="AG61" s="38" t="str">
        <f aca="false">IF($A61="","",IFERROR(ROUND((H61-F61)*1440,0),""))</f>
        <v/>
      </c>
      <c r="AH61" s="38" t="str">
        <f aca="false">IF($A61="","",IFERROR(ROUND((Y61-V61)*1440,0),""))</f>
        <v/>
      </c>
      <c r="AI61" s="4" t="str">
        <f aca="false">IF($A61="","",IF(AH61="","",IF(AH61&gt;0,"Yes","No")))</f>
        <v/>
      </c>
      <c r="AJ61" s="4" t="str">
        <f aca="false">IF($A61="","",IF(AI61&lt;&gt;"Yes","On time",IF(N(AC61)&gt;=MAX(N(AF61),N(K61)),"Wait for analyst",IF(N(AF61)&gt;=N(K61),"External sign-off","Rework"))))</f>
        <v/>
      </c>
      <c r="AK61" s="4" t="str">
        <f aca="false">IF($A61="","",IF(OR(F61="",Y61="",ISNA(MATCH(L61,Dim_Analyst!$A:$A,0))),"CHECK","OK"))</f>
        <v/>
      </c>
      <c r="AL61" s="4" t="str">
        <f aca="false">IF($A61="","",IFERROR(VLOOKUP($C61,Dim_Fund!$A:$U,21,0),""))</f>
        <v/>
      </c>
      <c r="AM61" s="4" t="str">
        <f aca="false">IF($A61="","",IF($U61="","",IF($U61&gt;$B61+IFERROR(VLOOKUP($C61,Dim_Fund!$A:$AH,34,0),0)/24,"Yes","No")))</f>
        <v/>
      </c>
      <c r="AN61" s="22" t="str">
        <f aca="false">IF($A61="","",IFERROR(VLOOKUP($C61,Dim_Fund!$A:$AH,34,0),""))</f>
        <v/>
      </c>
      <c r="AO61" s="22" t="str">
        <f aca="false">IF($A61="","",IF($AL61="","",IFERROR(FLOOR(IF(COUNTIFS(Fact_Milestone!$A:$A,$B61,Fact_Milestone!$B:$B,$AL61,Fact_Milestone!$F:$F,"&gt;0")&gt;0,_xlfn.MINIFS(Fact_Milestone!$F:$F,Fact_Milestone!$A:$A,$B61,Fact_Milestone!$B:$B,$AL61,Fact_Milestone!$F:$F,"&gt;0"),VLOOKUP($AL61,Dim_TOP!$A:$E,5,0)),0.5),"")))</f>
        <v/>
      </c>
      <c r="AP61" s="22" t="str">
        <f aca="false">IF($A61="","",IF($U61="","",ROUND(($U61-INT($U61))*24,4)))</f>
        <v/>
      </c>
      <c r="AQ61" s="22" t="str">
        <f aca="false">IF($A61="","",IF($W61="","",ROUND(($W61-INT($W61))*24,4)))</f>
        <v/>
      </c>
      <c r="AR61" s="22" t="str">
        <f aca="false">IF($A61="","",IF($X61="","",ROUND(($X61-INT($X61))*24,4)))</f>
        <v/>
      </c>
      <c r="AS61" s="38" t="str">
        <f aca="false">IF($A61="","",IF(OR($AN61="",$V61="",$S61="",$T61=""),"",ROUND(($V61-($B61+$AN61/24))*1440-$S61-$T61,0)))</f>
        <v/>
      </c>
      <c r="AT61" s="38" t="str">
        <f aca="false">IF($A61="","",IF(OR($AN61="",$U61=""),"",ROUND(($U61-($B61+$AN61/24))*1440,0)))</f>
        <v/>
      </c>
      <c r="AU61" s="38" t="str">
        <f aca="false">IF($A61="","",IF(OR($AD61="",$S61=""),"",ROUND($AD61-$S61,0)))</f>
        <v/>
      </c>
      <c r="AV61" s="38" t="str">
        <f aca="false">IF($A61="","",N($AE61))</f>
        <v/>
      </c>
      <c r="AW61" s="38" t="str">
        <f aca="false">IF($A61="","",IF(OR($AF61="",$T61=""),"",$AF61-$T61))</f>
        <v/>
      </c>
      <c r="AX61" s="38" t="str">
        <f aca="false">IF($A61="","",IF(COUNT($AT61,$AB61,$AU61,$AW61,$AS61,$AH61)&lt;6,"",ROUND($AT61+$AB61+$AU61+$AV61+$AW61-$AS61-$AH61,0)))</f>
        <v/>
      </c>
      <c r="AY61" s="4" t="str">
        <f aca="false">IF($A61="","",IF($AX61="","No",IF(ABS($AX61)&lt;=2,"Yes","No")))</f>
        <v/>
      </c>
      <c r="AZ61" s="4" t="str">
        <f aca="false">IF($A61="","",IF($AI61&lt;&gt;"Yes","n/a",IF(OR($AA61="",$S61="",$T61=""),"Unknown",IF($AA61&lt;$S61+$T61,"Lost on arrival","Lost after arrival"))))</f>
        <v/>
      </c>
      <c r="BA61" s="10" t="str">
        <f aca="false">IF($A61="","",IFERROR(VLOOKUP($C61,Dim_Fund!$A:$D,4,0),""))</f>
        <v/>
      </c>
      <c r="BB61" s="10" t="str">
        <f aca="false">IF($A61="","",IF($AL61="","",IF(COUNTIFS(Fact_Milestone!$A:$A,$B61,Fact_Milestone!$B:$B,$AL61,Fact_Milestone!$I:$I,"No")&gt;0,"No",IF(COUNTIFS(Fact_Milestone!$A:$A,$B61,Fact_Milestone!$B:$B,$AL61,Fact_Milestone!$I:$I,"Yes")&gt;0,"Yes",""))))</f>
        <v/>
      </c>
      <c r="BC61" s="45" t="str">
        <f aca="false">IF($A61="","",IF(OR($L61="",$W61=""),"",IF(COUNTIFS($L:$L,$L61,$B:$B,$B61,$W:$W,"&lt;"&amp;$W61)=0,"",_xlfn.MAXIFS($W:$W,$L:$L,$L61,$B:$B,$B61,$W:$W,"&lt;"&amp;$W61))))</f>
        <v/>
      </c>
      <c r="BD61" s="39" t="str">
        <f aca="false">IF($A61="","",IF($AC61="","",IF(OR($L61="",$AC61=0),0,MIN($AC61,ROUND(ROUND(1440*SUMPRODUCT(($L$2:INDEX($L:$L,COUNTA($C:$C))=$L61)*($B$2:INDEX($B:$B,COUNTA($C:$C))=$B61)*(ROW($L$2:INDEX($L:$L,COUNTA($C:$C)))&lt;&gt;ROW())*((((($W61+$BT$2:INDEX($BT:$BT,COUNTA($C:$C))-ABS($W61-$BT$2:INDEX($BT:$BT,COUNTA($C:$C))))/2)-(($U61+$BS$2:INDEX($BS:$BS,COUNTA($C:$C))+ABS($U61-$BS$2:INDEX($BS:$BS,COUNTA($C:$C))))/2))+ABS(((($W61+$BT$2:INDEX($BT:$BT,COUNTA($C:$C))-ABS($W61-$BT$2:INDEX($BT:$BT,COUNTA($C:$C))))/2)-(($U61+$BS$2:INDEX($BS:$BS,COUNTA($C:$C))+ABS($U61-$BS$2:INDEX($BS:$BS,COUNTA($C:$C))))/2))))/2)),4),0)))))</f>
        <v/>
      </c>
      <c r="BE61" s="39" t="str">
        <f aca="false">IF($A61="","",IF($AC61="","",ROUND(MIN($AC61-$BD61,N($R61)),0)))</f>
        <v/>
      </c>
      <c r="BF61" s="10" t="str">
        <f aca="false">IF($A61="","",IFERROR(VLOOKUP($C61,Dim_Fund!$A:$BD,56,0),""))</f>
        <v/>
      </c>
      <c r="BG61" s="10" t="str">
        <f aca="false">IF($A61="","",IFERROR(VLOOKUP($C61,Dim_Fund!$A:$BH,60,0),""))</f>
        <v/>
      </c>
      <c r="BH61" s="10" t="str">
        <f aca="false">IF($A61="","",IF($AI61&lt;&gt;"Yes","Not breached",IF($AM61="Yes","Pricing late",IF($BG61="Thin custody slack","Thin custody slack",IF($BF61="Yes","Broker-dependent","None of these")))))</f>
        <v/>
      </c>
      <c r="BI61" s="23" t="str">
        <f aca="false">IF($A61="","",IFERROR(IF(VLOOKUP($C61,Dim_Fund!$A:$AI,35,0)&gt;0,VLOOKUP($C61,Dim_Fund!$A:$AI,35,0),""),""))</f>
        <v/>
      </c>
      <c r="BJ61" s="10" t="str">
        <f aca="false">IF($A61="","",$C61&amp;IF($E61="Client","*",""))</f>
        <v/>
      </c>
      <c r="BK61" s="39" t="str">
        <f aca="false">IF($A61="","",IFERROR(ROUND(($Y61-$X61)*1440,0),""))</f>
        <v/>
      </c>
      <c r="BL61" s="39" t="str">
        <f aca="false">IF($A61="","",IF($AH61="","",-$AH61))</f>
        <v/>
      </c>
      <c r="BM61" s="46" t="str">
        <f aca="false">IF($A61="","",IF($AQ61="","",IF($AP61="",$AQ61,MIN($AP61,$AQ61))))</f>
        <v/>
      </c>
      <c r="BN61" s="46" t="str">
        <f aca="false">IF($A61="","",IF($BM61="","",ROUND(N($AC61)/60,4)))</f>
        <v/>
      </c>
      <c r="BO61" s="46" t="str">
        <f aca="false">IF($A61="","",IF(OR($BM61="",$AD61=""),"",ROUND($AD61/60,4)))</f>
        <v/>
      </c>
      <c r="BP61" s="46" t="str">
        <f aca="false">IF($A61="","",IF($BM61="","",ROUND(N($AE61)/60,4)))</f>
        <v/>
      </c>
      <c r="BQ61" s="46" t="str">
        <f aca="false">IF($A61="","",IF(OR($BM61="",$AF61=""),"",ROUND($AF61/60,4)))</f>
        <v/>
      </c>
      <c r="BR61" s="39" t="str">
        <f aca="false">IF($A61="","",IF($AC61="","",$AC61-$BD61-$BE61))</f>
        <v/>
      </c>
      <c r="BS61" s="45" t="str">
        <f aca="false">IF($A61="","",IF(AND(ISNUMBER($Z61),ISNUMBER($W61)),$Z61,0))</f>
        <v/>
      </c>
      <c r="BT61" s="45" t="str">
        <f aca="false">IF($A61="","",IF(ISNUMBER($W61),$W61,0))</f>
        <v/>
      </c>
      <c r="BU61" s="23" t="str">
        <f aca="false">IF($A61="","",IF(ISNUMBER($W61),ROUND(($W61-$B61)*24,4),""))</f>
        <v/>
      </c>
      <c r="BV61" s="23" t="str">
        <f aca="false">IF($A61="","",IF(ISNUMBER($X61),ROUND(($X61-$B61)*24,4),""))</f>
        <v/>
      </c>
      <c r="BW61" s="10" t="str">
        <f aca="false">IF($A61="","",IF(NOT(ISNUMBER($W61)),"Missing Calculated",IF(NOT(ISNUMBER($X61)),IF($E61="Client","Missing FA signed off","Missing Controlled"),IF($X61&lt;$W61,"End before start","OK"))))</f>
        <v/>
      </c>
      <c r="BX61" s="23" t="str">
        <f aca="false">IF($A61="","",IF(NOT(ISNUMBER($Z61)),"",ROUND((IF(ISNUMBER($U61),MIN($U61,$Z61),$Z61)-$B61)*24,4)))</f>
        <v/>
      </c>
      <c r="BY61" s="23" t="str">
        <f aca="false">IF($A61="","",IF(ISNUMBER($Z61),ROUND(($Z61-$B61)*24,4),""))</f>
        <v/>
      </c>
      <c r="BZ61" s="23" t="str">
        <f aca="false">IF($A61="","",IF(AND(ISNUMBER($W61),ISNUMBER($S61)),ROUND(($W61+$S61/1440-$B61)*24,4),""))</f>
        <v/>
      </c>
    </row>
    <row r="62" customFormat="false" ht="15" hidden="false" customHeight="true" outlineLevel="0" collapsed="false">
      <c r="A62" s="47"/>
      <c r="B62" s="47"/>
      <c r="D62" s="4" t="str">
        <f aca="false">IF($A62="","",$B62-$A62)</f>
        <v/>
      </c>
      <c r="E62" s="4" t="str">
        <f aca="false">IF($A62="","",IFERROR(VLOOKUP($C62,Dim_Fund!$A:$X,24,0),""))</f>
        <v/>
      </c>
      <c r="F62" s="37" t="str">
        <f aca="false">IF($A62="","",IF(COUNTIFS(Status_Log!$A:$A,$A62,Status_Log!$B:$B,$B62,Status_Log!$C:$C,$C62,Status_Log!$D:$D,"Changed to the status of Calculated")=0,"",_xlfn.MINIFS(Status_Log!$E:$E,Status_Log!$A:$A,$A62,Status_Log!$B:$B,$B62,Status_Log!$C:$C,$C62,Status_Log!$D:$D,"Changed to the status of Calculated")))</f>
        <v/>
      </c>
      <c r="G62" s="37" t="str">
        <f aca="false">IF($A62="","",IF(COUNTIFS(Status_Log!$A:$A,$A62,Status_Log!$B:$B,$B62,Status_Log!$C:$C,$C62,Status_Log!$D:$D,"Changed to the status of Controlled")=0,"",_xlfn.MAXIFS(Status_Log!$E:$E,Status_Log!$A:$A,$A62,Status_Log!$B:$B,$B62,Status_Log!$C:$C,$C62,Status_Log!$D:$D,"Changed to the status of Controlled")))</f>
        <v/>
      </c>
      <c r="H62" s="37" t="str">
        <f aca="false">IF($A62="","",IF(COUNTIFS(Status_Log!$A:$A,$A62,Status_Log!$B:$B,$B62,Status_Log!$C:$C,$C62,Status_Log!$D:$D,"Changed to the status of Fund accounting signed off")=0,"",_xlfn.MAXIFS(Status_Log!$E:$E,Status_Log!$A:$A,$A62,Status_Log!$B:$B,$B62,Status_Log!$C:$C,$C62,Status_Log!$D:$D,"Changed to the status of Fund accounting signed off")))</f>
        <v/>
      </c>
      <c r="I62" s="37" t="str">
        <f aca="false">IF($A62="","",IF(COUNTIFS(Status_Log!$A:$A,$A62,Status_Log!$B:$B,$B62,Status_Log!$C:$C,$C62,Status_Log!$D:$D,"Changed to the status of signed off")=0,"",_xlfn.MAXIFS(Status_Log!$E:$E,Status_Log!$A:$A,$A62,Status_Log!$B:$B,$B62,Status_Log!$C:$C,$C62,Status_Log!$D:$D,"Changed to the status of signed off")))</f>
        <v/>
      </c>
      <c r="J62" s="4" t="str">
        <f aca="false">IF($A62="","",COUNTIFS(Status_Log!$A:$A,$A62,Status_Log!$B:$B,$B62,Status_Log!$C:$C,$C62,Status_Log!$D:$D,"Changed to the status of Calculated"))</f>
        <v/>
      </c>
      <c r="K62" s="38" t="str">
        <f aca="false">IF($A62="","",IF(J62&lt;=1,0,ROUND((_xlfn.MAXIFS(Status_Log!$E:$E,Status_Log!$A:$A,$A62,Status_Log!$B:$B,$B62,Status_Log!$C:$C,$C62,Status_Log!$D:$D,"Changed to the status of Calculated")-F62)*1440,0)))</f>
        <v/>
      </c>
      <c r="L62" s="4" t="str">
        <f aca="false">IF($A62="","",IFERROR(INDEX(Status_Log!$F:$F,MATCH($A62&amp;"|"&amp;$B62&amp;"|"&amp;$C62&amp;"|Changed to the status of Calculated|"&amp;TEXT(_xlfn.MAXIFS(Status_Log!$E:$E,Status_Log!$A:$A,$A62,Status_Log!$B:$B,$B62,Status_Log!$C:$C,$C62,Status_Log!$D:$D,"Changed to the status of Calculated"),"0.000000"),Status_Log!$H:$H,0)),""))</f>
        <v/>
      </c>
      <c r="M62" s="4" t="str">
        <f aca="false">IF($A62="","",IF(E62="Client","n/a — no control step",IFERROR(INDEX(Status_Log!$F:$F,MATCH($A62&amp;"|"&amp;$B62&amp;"|"&amp;$C62&amp;"|Changed to the status of Controlled|"&amp;TEXT(_xlfn.MAXIFS(Status_Log!$E:$E,Status_Log!$A:$A,$A62,Status_Log!$B:$B,$B62,Status_Log!$C:$C,$C62,Status_Log!$D:$D,"Changed to the status of Controlled"),"0.000000"),Status_Log!$H:$H,0)),"")))</f>
        <v/>
      </c>
      <c r="N62" s="4" t="str">
        <f aca="false">IF($A62="","",IFERROR(VLOOKUP($C62,Dim_Fund!$A:$G,7,0),""))</f>
        <v/>
      </c>
      <c r="O62" s="4" t="str">
        <f aca="false">IF($A62="","",IF(L62=N62,"No","Yes"))</f>
        <v/>
      </c>
      <c r="P62" s="4" t="str">
        <f aca="false">IF($A62="","",IF(E62="Client","n/a",IF(L62=M62,"YES — four-eyes breach","No")))</f>
        <v/>
      </c>
      <c r="Q62" s="38" t="str">
        <f aca="false">IF($A62="","",IFERROR(VLOOKUP($C62,Dim_Fund!$A:$AB,28,0),""))</f>
        <v/>
      </c>
      <c r="R62" s="38" t="str">
        <f aca="false">IF($A62="","",IFERROR(VLOOKUP($C62,Dim_Fund!$A:$AC,29,0),""))</f>
        <v/>
      </c>
      <c r="S62" s="38" t="str">
        <f aca="false">IF($A62="","",IFERROR(VLOOKUP($C62,Dim_Fund!$A:$AD,30,0),""))</f>
        <v/>
      </c>
      <c r="T62" s="38" t="str">
        <f aca="false">IF($A62="","",IFERROR(VLOOKUP($C62,Dim_Fund!$A:$AL,38,0),""))</f>
        <v/>
      </c>
      <c r="U62" s="37" t="str">
        <f aca="false">IF($A62="","",IF(AL62="","",IFERROR(IF(COUNTIFS(Fact_Milestone!$A:$A,$B62,Fact_Milestone!$B:$B,AL62)=0,"",_xlfn.MAXIFS(Fact_Milestone!$C:$C,Fact_Milestone!$A:$A,$B62,Fact_Milestone!$B:$B,AL62)),"")))</f>
        <v/>
      </c>
      <c r="V62" s="37" t="str">
        <f aca="false">IF($A62="","",IFERROR(IF(VLOOKUP($C62,Dim_Fund!$A:$AI,35,0)&gt;0,$B62+VLOOKUP($C62,Dim_Fund!$A:$AI,35,0)/24,""),""))</f>
        <v/>
      </c>
      <c r="W62" s="37" t="str">
        <f aca="false">IF($A62="","",F62)</f>
        <v/>
      </c>
      <c r="X62" s="37" t="str">
        <f aca="false">IF($A62="","",IF(E62="Client",H62,G62))</f>
        <v/>
      </c>
      <c r="Y62" s="37" t="str">
        <f aca="false">IF($A62="","",I62)</f>
        <v/>
      </c>
      <c r="Z62" s="37" t="str">
        <f aca="false">IF($A62="","",IFERROR(W62-R62/1440,""))</f>
        <v/>
      </c>
      <c r="AA62" s="38" t="str">
        <f aca="false">IF($A62="","",IF(OR(U62="",V62=""),"",ROUND((V62-U62)*1440,0)))</f>
        <v/>
      </c>
      <c r="AB62" s="38" t="str">
        <f aca="false">IF($A62="","",IF(U62="","",ROUND((W62-U62)*1440,0)))</f>
        <v/>
      </c>
      <c r="AC62" s="38" t="str">
        <f aca="false">IF($A62="","",IF(AB62="","",MAX(0,AB62)))</f>
        <v/>
      </c>
      <c r="AD62" s="38" t="str">
        <f aca="false">IF($A62="","",IFERROR(ROUND((X62-W62)*1440,0),""))</f>
        <v/>
      </c>
      <c r="AE62" s="38" t="str">
        <f aca="false">IF($A62="","",IF(E62="Client","n/a",IFERROR(ROUND((H62-G62)*1440,0),"")))</f>
        <v/>
      </c>
      <c r="AF62" s="38" t="str">
        <f aca="false">IF($A62="","",IFERROR(ROUND((Y62-H62)*1440,0),""))</f>
        <v/>
      </c>
      <c r="AG62" s="38" t="str">
        <f aca="false">IF($A62="","",IFERROR(ROUND((H62-F62)*1440,0),""))</f>
        <v/>
      </c>
      <c r="AH62" s="38" t="str">
        <f aca="false">IF($A62="","",IFERROR(ROUND((Y62-V62)*1440,0),""))</f>
        <v/>
      </c>
      <c r="AI62" s="4" t="str">
        <f aca="false">IF($A62="","",IF(AH62="","",IF(AH62&gt;0,"Yes","No")))</f>
        <v/>
      </c>
      <c r="AJ62" s="4" t="str">
        <f aca="false">IF($A62="","",IF(AI62&lt;&gt;"Yes","On time",IF(N(AC62)&gt;=MAX(N(AF62),N(K62)),"Wait for analyst",IF(N(AF62)&gt;=N(K62),"External sign-off","Rework"))))</f>
        <v/>
      </c>
      <c r="AK62" s="4" t="str">
        <f aca="false">IF($A62="","",IF(OR(F62="",Y62="",ISNA(MATCH(L62,Dim_Analyst!$A:$A,0))),"CHECK","OK"))</f>
        <v/>
      </c>
      <c r="AL62" s="4" t="str">
        <f aca="false">IF($A62="","",IFERROR(VLOOKUP($C62,Dim_Fund!$A:$U,21,0),""))</f>
        <v/>
      </c>
      <c r="AM62" s="4" t="str">
        <f aca="false">IF($A62="","",IF($U62="","",IF($U62&gt;$B62+IFERROR(VLOOKUP($C62,Dim_Fund!$A:$AH,34,0),0)/24,"Yes","No")))</f>
        <v/>
      </c>
      <c r="AN62" s="22" t="str">
        <f aca="false">IF($A62="","",IFERROR(VLOOKUP($C62,Dim_Fund!$A:$AH,34,0),""))</f>
        <v/>
      </c>
      <c r="AO62" s="22" t="str">
        <f aca="false">IF($A62="","",IF($AL62="","",IFERROR(FLOOR(IF(COUNTIFS(Fact_Milestone!$A:$A,$B62,Fact_Milestone!$B:$B,$AL62,Fact_Milestone!$F:$F,"&gt;0")&gt;0,_xlfn.MINIFS(Fact_Milestone!$F:$F,Fact_Milestone!$A:$A,$B62,Fact_Milestone!$B:$B,$AL62,Fact_Milestone!$F:$F,"&gt;0"),VLOOKUP($AL62,Dim_TOP!$A:$E,5,0)),0.5),"")))</f>
        <v/>
      </c>
      <c r="AP62" s="22" t="str">
        <f aca="false">IF($A62="","",IF($U62="","",ROUND(($U62-INT($U62))*24,4)))</f>
        <v/>
      </c>
      <c r="AQ62" s="22" t="str">
        <f aca="false">IF($A62="","",IF($W62="","",ROUND(($W62-INT($W62))*24,4)))</f>
        <v/>
      </c>
      <c r="AR62" s="22" t="str">
        <f aca="false">IF($A62="","",IF($X62="","",ROUND(($X62-INT($X62))*24,4)))</f>
        <v/>
      </c>
      <c r="AS62" s="38" t="str">
        <f aca="false">IF($A62="","",IF(OR($AN62="",$V62="",$S62="",$T62=""),"",ROUND(($V62-($B62+$AN62/24))*1440-$S62-$T62,0)))</f>
        <v/>
      </c>
      <c r="AT62" s="38" t="str">
        <f aca="false">IF($A62="","",IF(OR($AN62="",$U62=""),"",ROUND(($U62-($B62+$AN62/24))*1440,0)))</f>
        <v/>
      </c>
      <c r="AU62" s="38" t="str">
        <f aca="false">IF($A62="","",IF(OR($AD62="",$S62=""),"",ROUND($AD62-$S62,0)))</f>
        <v/>
      </c>
      <c r="AV62" s="38" t="str">
        <f aca="false">IF($A62="","",N($AE62))</f>
        <v/>
      </c>
      <c r="AW62" s="38" t="str">
        <f aca="false">IF($A62="","",IF(OR($AF62="",$T62=""),"",$AF62-$T62))</f>
        <v/>
      </c>
      <c r="AX62" s="38" t="str">
        <f aca="false">IF($A62="","",IF(COUNT($AT62,$AB62,$AU62,$AW62,$AS62,$AH62)&lt;6,"",ROUND($AT62+$AB62+$AU62+$AV62+$AW62-$AS62-$AH62,0)))</f>
        <v/>
      </c>
      <c r="AY62" s="4" t="str">
        <f aca="false">IF($A62="","",IF($AX62="","No",IF(ABS($AX62)&lt;=2,"Yes","No")))</f>
        <v/>
      </c>
      <c r="AZ62" s="4" t="str">
        <f aca="false">IF($A62="","",IF($AI62&lt;&gt;"Yes","n/a",IF(OR($AA62="",$S62="",$T62=""),"Unknown",IF($AA62&lt;$S62+$T62,"Lost on arrival","Lost after arrival"))))</f>
        <v/>
      </c>
      <c r="BA62" s="10" t="str">
        <f aca="false">IF($A62="","",IFERROR(VLOOKUP($C62,Dim_Fund!$A:$D,4,0),""))</f>
        <v/>
      </c>
      <c r="BB62" s="10" t="str">
        <f aca="false">IF($A62="","",IF($AL62="","",IF(COUNTIFS(Fact_Milestone!$A:$A,$B62,Fact_Milestone!$B:$B,$AL62,Fact_Milestone!$I:$I,"No")&gt;0,"No",IF(COUNTIFS(Fact_Milestone!$A:$A,$B62,Fact_Milestone!$B:$B,$AL62,Fact_Milestone!$I:$I,"Yes")&gt;0,"Yes",""))))</f>
        <v/>
      </c>
      <c r="BC62" s="45" t="str">
        <f aca="false">IF($A62="","",IF(OR($L62="",$W62=""),"",IF(COUNTIFS($L:$L,$L62,$B:$B,$B62,$W:$W,"&lt;"&amp;$W62)=0,"",_xlfn.MAXIFS($W:$W,$L:$L,$L62,$B:$B,$B62,$W:$W,"&lt;"&amp;$W62))))</f>
        <v/>
      </c>
      <c r="BD62" s="39" t="str">
        <f aca="false">IF($A62="","",IF($AC62="","",IF(OR($L62="",$AC62=0),0,MIN($AC62,ROUND(ROUND(1440*SUMPRODUCT(($L$2:INDEX($L:$L,COUNTA($C:$C))=$L62)*($B$2:INDEX($B:$B,COUNTA($C:$C))=$B62)*(ROW($L$2:INDEX($L:$L,COUNTA($C:$C)))&lt;&gt;ROW())*((((($W62+$BT$2:INDEX($BT:$BT,COUNTA($C:$C))-ABS($W62-$BT$2:INDEX($BT:$BT,COUNTA($C:$C))))/2)-(($U62+$BS$2:INDEX($BS:$BS,COUNTA($C:$C))+ABS($U62-$BS$2:INDEX($BS:$BS,COUNTA($C:$C))))/2))+ABS(((($W62+$BT$2:INDEX($BT:$BT,COUNTA($C:$C))-ABS($W62-$BT$2:INDEX($BT:$BT,COUNTA($C:$C))))/2)-(($U62+$BS$2:INDEX($BS:$BS,COUNTA($C:$C))+ABS($U62-$BS$2:INDEX($BS:$BS,COUNTA($C:$C))))/2))))/2)),4),0)))))</f>
        <v/>
      </c>
      <c r="BE62" s="39" t="str">
        <f aca="false">IF($A62="","",IF($AC62="","",ROUND(MIN($AC62-$BD62,N($R62)),0)))</f>
        <v/>
      </c>
      <c r="BF62" s="10" t="str">
        <f aca="false">IF($A62="","",IFERROR(VLOOKUP($C62,Dim_Fund!$A:$BD,56,0),""))</f>
        <v/>
      </c>
      <c r="BG62" s="10" t="str">
        <f aca="false">IF($A62="","",IFERROR(VLOOKUP($C62,Dim_Fund!$A:$BH,60,0),""))</f>
        <v/>
      </c>
      <c r="BH62" s="10" t="str">
        <f aca="false">IF($A62="","",IF($AI62&lt;&gt;"Yes","Not breached",IF($AM62="Yes","Pricing late",IF($BG62="Thin custody slack","Thin custody slack",IF($BF62="Yes","Broker-dependent","None of these")))))</f>
        <v/>
      </c>
      <c r="BI62" s="23" t="str">
        <f aca="false">IF($A62="","",IFERROR(IF(VLOOKUP($C62,Dim_Fund!$A:$AI,35,0)&gt;0,VLOOKUP($C62,Dim_Fund!$A:$AI,35,0),""),""))</f>
        <v/>
      </c>
      <c r="BJ62" s="10" t="str">
        <f aca="false">IF($A62="","",$C62&amp;IF($E62="Client","*",""))</f>
        <v/>
      </c>
      <c r="BK62" s="39" t="str">
        <f aca="false">IF($A62="","",IFERROR(ROUND(($Y62-$X62)*1440,0),""))</f>
        <v/>
      </c>
      <c r="BL62" s="39" t="str">
        <f aca="false">IF($A62="","",IF($AH62="","",-$AH62))</f>
        <v/>
      </c>
      <c r="BM62" s="46" t="str">
        <f aca="false">IF($A62="","",IF($AQ62="","",IF($AP62="",$AQ62,MIN($AP62,$AQ62))))</f>
        <v/>
      </c>
      <c r="BN62" s="46" t="str">
        <f aca="false">IF($A62="","",IF($BM62="","",ROUND(N($AC62)/60,4)))</f>
        <v/>
      </c>
      <c r="BO62" s="46" t="str">
        <f aca="false">IF($A62="","",IF(OR($BM62="",$AD62=""),"",ROUND($AD62/60,4)))</f>
        <v/>
      </c>
      <c r="BP62" s="46" t="str">
        <f aca="false">IF($A62="","",IF($BM62="","",ROUND(N($AE62)/60,4)))</f>
        <v/>
      </c>
      <c r="BQ62" s="46" t="str">
        <f aca="false">IF($A62="","",IF(OR($BM62="",$AF62=""),"",ROUND($AF62/60,4)))</f>
        <v/>
      </c>
      <c r="BR62" s="39" t="str">
        <f aca="false">IF($A62="","",IF($AC62="","",$AC62-$BD62-$BE62))</f>
        <v/>
      </c>
      <c r="BS62" s="45" t="str">
        <f aca="false">IF($A62="","",IF(AND(ISNUMBER($Z62),ISNUMBER($W62)),$Z62,0))</f>
        <v/>
      </c>
      <c r="BT62" s="45" t="str">
        <f aca="false">IF($A62="","",IF(ISNUMBER($W62),$W62,0))</f>
        <v/>
      </c>
      <c r="BU62" s="23" t="str">
        <f aca="false">IF($A62="","",IF(ISNUMBER($W62),ROUND(($W62-$B62)*24,4),""))</f>
        <v/>
      </c>
      <c r="BV62" s="23" t="str">
        <f aca="false">IF($A62="","",IF(ISNUMBER($X62),ROUND(($X62-$B62)*24,4),""))</f>
        <v/>
      </c>
      <c r="BW62" s="10" t="str">
        <f aca="false">IF($A62="","",IF(NOT(ISNUMBER($W62)),"Missing Calculated",IF(NOT(ISNUMBER($X62)),IF($E62="Client","Missing FA signed off","Missing Controlled"),IF($X62&lt;$W62,"End before start","OK"))))</f>
        <v/>
      </c>
      <c r="BX62" s="23" t="str">
        <f aca="false">IF($A62="","",IF(NOT(ISNUMBER($Z62)),"",ROUND((IF(ISNUMBER($U62),MIN($U62,$Z62),$Z62)-$B62)*24,4)))</f>
        <v/>
      </c>
      <c r="BY62" s="23" t="str">
        <f aca="false">IF($A62="","",IF(ISNUMBER($Z62),ROUND(($Z62-$B62)*24,4),""))</f>
        <v/>
      </c>
      <c r="BZ62" s="23" t="str">
        <f aca="false">IF($A62="","",IF(AND(ISNUMBER($W62),ISNUMBER($S62)),ROUND(($W62+$S62/1440-$B62)*24,4),""))</f>
        <v/>
      </c>
    </row>
    <row r="63" customFormat="false" ht="15" hidden="false" customHeight="true" outlineLevel="0" collapsed="false">
      <c r="A63" s="47"/>
      <c r="B63" s="47"/>
      <c r="D63" s="4" t="str">
        <f aca="false">IF($A63="","",$B63-$A63)</f>
        <v/>
      </c>
      <c r="E63" s="4" t="str">
        <f aca="false">IF($A63="","",IFERROR(VLOOKUP($C63,Dim_Fund!$A:$X,24,0),""))</f>
        <v/>
      </c>
      <c r="F63" s="37" t="str">
        <f aca="false">IF($A63="","",IF(COUNTIFS(Status_Log!$A:$A,$A63,Status_Log!$B:$B,$B63,Status_Log!$C:$C,$C63,Status_Log!$D:$D,"Changed to the status of Calculated")=0,"",_xlfn.MINIFS(Status_Log!$E:$E,Status_Log!$A:$A,$A63,Status_Log!$B:$B,$B63,Status_Log!$C:$C,$C63,Status_Log!$D:$D,"Changed to the status of Calculated")))</f>
        <v/>
      </c>
      <c r="G63" s="37" t="str">
        <f aca="false">IF($A63="","",IF(COUNTIFS(Status_Log!$A:$A,$A63,Status_Log!$B:$B,$B63,Status_Log!$C:$C,$C63,Status_Log!$D:$D,"Changed to the status of Controlled")=0,"",_xlfn.MAXIFS(Status_Log!$E:$E,Status_Log!$A:$A,$A63,Status_Log!$B:$B,$B63,Status_Log!$C:$C,$C63,Status_Log!$D:$D,"Changed to the status of Controlled")))</f>
        <v/>
      </c>
      <c r="H63" s="37" t="str">
        <f aca="false">IF($A63="","",IF(COUNTIFS(Status_Log!$A:$A,$A63,Status_Log!$B:$B,$B63,Status_Log!$C:$C,$C63,Status_Log!$D:$D,"Changed to the status of Fund accounting signed off")=0,"",_xlfn.MAXIFS(Status_Log!$E:$E,Status_Log!$A:$A,$A63,Status_Log!$B:$B,$B63,Status_Log!$C:$C,$C63,Status_Log!$D:$D,"Changed to the status of Fund accounting signed off")))</f>
        <v/>
      </c>
      <c r="I63" s="37" t="str">
        <f aca="false">IF($A63="","",IF(COUNTIFS(Status_Log!$A:$A,$A63,Status_Log!$B:$B,$B63,Status_Log!$C:$C,$C63,Status_Log!$D:$D,"Changed to the status of signed off")=0,"",_xlfn.MAXIFS(Status_Log!$E:$E,Status_Log!$A:$A,$A63,Status_Log!$B:$B,$B63,Status_Log!$C:$C,$C63,Status_Log!$D:$D,"Changed to the status of signed off")))</f>
        <v/>
      </c>
      <c r="J63" s="4" t="str">
        <f aca="false">IF($A63="","",COUNTIFS(Status_Log!$A:$A,$A63,Status_Log!$B:$B,$B63,Status_Log!$C:$C,$C63,Status_Log!$D:$D,"Changed to the status of Calculated"))</f>
        <v/>
      </c>
      <c r="K63" s="38" t="str">
        <f aca="false">IF($A63="","",IF(J63&lt;=1,0,ROUND((_xlfn.MAXIFS(Status_Log!$E:$E,Status_Log!$A:$A,$A63,Status_Log!$B:$B,$B63,Status_Log!$C:$C,$C63,Status_Log!$D:$D,"Changed to the status of Calculated")-F63)*1440,0)))</f>
        <v/>
      </c>
      <c r="L63" s="4" t="str">
        <f aca="false">IF($A63="","",IFERROR(INDEX(Status_Log!$F:$F,MATCH($A63&amp;"|"&amp;$B63&amp;"|"&amp;$C63&amp;"|Changed to the status of Calculated|"&amp;TEXT(_xlfn.MAXIFS(Status_Log!$E:$E,Status_Log!$A:$A,$A63,Status_Log!$B:$B,$B63,Status_Log!$C:$C,$C63,Status_Log!$D:$D,"Changed to the status of Calculated"),"0.000000"),Status_Log!$H:$H,0)),""))</f>
        <v/>
      </c>
      <c r="M63" s="4" t="str">
        <f aca="false">IF($A63="","",IF(E63="Client","n/a — no control step",IFERROR(INDEX(Status_Log!$F:$F,MATCH($A63&amp;"|"&amp;$B63&amp;"|"&amp;$C63&amp;"|Changed to the status of Controlled|"&amp;TEXT(_xlfn.MAXIFS(Status_Log!$E:$E,Status_Log!$A:$A,$A63,Status_Log!$B:$B,$B63,Status_Log!$C:$C,$C63,Status_Log!$D:$D,"Changed to the status of Controlled"),"0.000000"),Status_Log!$H:$H,0)),"")))</f>
        <v/>
      </c>
      <c r="N63" s="4" t="str">
        <f aca="false">IF($A63="","",IFERROR(VLOOKUP($C63,Dim_Fund!$A:$G,7,0),""))</f>
        <v/>
      </c>
      <c r="O63" s="4" t="str">
        <f aca="false">IF($A63="","",IF(L63=N63,"No","Yes"))</f>
        <v/>
      </c>
      <c r="P63" s="4" t="str">
        <f aca="false">IF($A63="","",IF(E63="Client","n/a",IF(L63=M63,"YES — four-eyes breach","No")))</f>
        <v/>
      </c>
      <c r="Q63" s="38" t="str">
        <f aca="false">IF($A63="","",IFERROR(VLOOKUP($C63,Dim_Fund!$A:$AB,28,0),""))</f>
        <v/>
      </c>
      <c r="R63" s="38" t="str">
        <f aca="false">IF($A63="","",IFERROR(VLOOKUP($C63,Dim_Fund!$A:$AC,29,0),""))</f>
        <v/>
      </c>
      <c r="S63" s="38" t="str">
        <f aca="false">IF($A63="","",IFERROR(VLOOKUP($C63,Dim_Fund!$A:$AD,30,0),""))</f>
        <v/>
      </c>
      <c r="T63" s="38" t="str">
        <f aca="false">IF($A63="","",IFERROR(VLOOKUP($C63,Dim_Fund!$A:$AL,38,0),""))</f>
        <v/>
      </c>
      <c r="U63" s="37" t="str">
        <f aca="false">IF($A63="","",IF(AL63="","",IFERROR(IF(COUNTIFS(Fact_Milestone!$A:$A,$B63,Fact_Milestone!$B:$B,AL63)=0,"",_xlfn.MAXIFS(Fact_Milestone!$C:$C,Fact_Milestone!$A:$A,$B63,Fact_Milestone!$B:$B,AL63)),"")))</f>
        <v/>
      </c>
      <c r="V63" s="37" t="str">
        <f aca="false">IF($A63="","",IFERROR(IF(VLOOKUP($C63,Dim_Fund!$A:$AI,35,0)&gt;0,$B63+VLOOKUP($C63,Dim_Fund!$A:$AI,35,0)/24,""),""))</f>
        <v/>
      </c>
      <c r="W63" s="37" t="str">
        <f aca="false">IF($A63="","",F63)</f>
        <v/>
      </c>
      <c r="X63" s="37" t="str">
        <f aca="false">IF($A63="","",IF(E63="Client",H63,G63))</f>
        <v/>
      </c>
      <c r="Y63" s="37" t="str">
        <f aca="false">IF($A63="","",I63)</f>
        <v/>
      </c>
      <c r="Z63" s="37" t="str">
        <f aca="false">IF($A63="","",IFERROR(W63-R63/1440,""))</f>
        <v/>
      </c>
      <c r="AA63" s="38" t="str">
        <f aca="false">IF($A63="","",IF(OR(U63="",V63=""),"",ROUND((V63-U63)*1440,0)))</f>
        <v/>
      </c>
      <c r="AB63" s="38" t="str">
        <f aca="false">IF($A63="","",IF(U63="","",ROUND((W63-U63)*1440,0)))</f>
        <v/>
      </c>
      <c r="AC63" s="38" t="str">
        <f aca="false">IF($A63="","",IF(AB63="","",MAX(0,AB63)))</f>
        <v/>
      </c>
      <c r="AD63" s="38" t="str">
        <f aca="false">IF($A63="","",IFERROR(ROUND((X63-W63)*1440,0),""))</f>
        <v/>
      </c>
      <c r="AE63" s="38" t="str">
        <f aca="false">IF($A63="","",IF(E63="Client","n/a",IFERROR(ROUND((H63-G63)*1440,0),"")))</f>
        <v/>
      </c>
      <c r="AF63" s="38" t="str">
        <f aca="false">IF($A63="","",IFERROR(ROUND((Y63-H63)*1440,0),""))</f>
        <v/>
      </c>
      <c r="AG63" s="38" t="str">
        <f aca="false">IF($A63="","",IFERROR(ROUND((H63-F63)*1440,0),""))</f>
        <v/>
      </c>
      <c r="AH63" s="38" t="str">
        <f aca="false">IF($A63="","",IFERROR(ROUND((Y63-V63)*1440,0),""))</f>
        <v/>
      </c>
      <c r="AI63" s="4" t="str">
        <f aca="false">IF($A63="","",IF(AH63="","",IF(AH63&gt;0,"Yes","No")))</f>
        <v/>
      </c>
      <c r="AJ63" s="4" t="str">
        <f aca="false">IF($A63="","",IF(AI63&lt;&gt;"Yes","On time",IF(N(AC63)&gt;=MAX(N(AF63),N(K63)),"Wait for analyst",IF(N(AF63)&gt;=N(K63),"External sign-off","Rework"))))</f>
        <v/>
      </c>
      <c r="AK63" s="4" t="str">
        <f aca="false">IF($A63="","",IF(OR(F63="",Y63="",ISNA(MATCH(L63,Dim_Analyst!$A:$A,0))),"CHECK","OK"))</f>
        <v/>
      </c>
      <c r="AL63" s="4" t="str">
        <f aca="false">IF($A63="","",IFERROR(VLOOKUP($C63,Dim_Fund!$A:$U,21,0),""))</f>
        <v/>
      </c>
      <c r="AM63" s="4" t="str">
        <f aca="false">IF($A63="","",IF($U63="","",IF($U63&gt;$B63+IFERROR(VLOOKUP($C63,Dim_Fund!$A:$AH,34,0),0)/24,"Yes","No")))</f>
        <v/>
      </c>
      <c r="AN63" s="22" t="str">
        <f aca="false">IF($A63="","",IFERROR(VLOOKUP($C63,Dim_Fund!$A:$AH,34,0),""))</f>
        <v/>
      </c>
      <c r="AO63" s="22" t="str">
        <f aca="false">IF($A63="","",IF($AL63="","",IFERROR(FLOOR(IF(COUNTIFS(Fact_Milestone!$A:$A,$B63,Fact_Milestone!$B:$B,$AL63,Fact_Milestone!$F:$F,"&gt;0")&gt;0,_xlfn.MINIFS(Fact_Milestone!$F:$F,Fact_Milestone!$A:$A,$B63,Fact_Milestone!$B:$B,$AL63,Fact_Milestone!$F:$F,"&gt;0"),VLOOKUP($AL63,Dim_TOP!$A:$E,5,0)),0.5),"")))</f>
        <v/>
      </c>
      <c r="AP63" s="22" t="str">
        <f aca="false">IF($A63="","",IF($U63="","",ROUND(($U63-INT($U63))*24,4)))</f>
        <v/>
      </c>
      <c r="AQ63" s="22" t="str">
        <f aca="false">IF($A63="","",IF($W63="","",ROUND(($W63-INT($W63))*24,4)))</f>
        <v/>
      </c>
      <c r="AR63" s="22" t="str">
        <f aca="false">IF($A63="","",IF($X63="","",ROUND(($X63-INT($X63))*24,4)))</f>
        <v/>
      </c>
      <c r="AS63" s="38" t="str">
        <f aca="false">IF($A63="","",IF(OR($AN63="",$V63="",$S63="",$T63=""),"",ROUND(($V63-($B63+$AN63/24))*1440-$S63-$T63,0)))</f>
        <v/>
      </c>
      <c r="AT63" s="38" t="str">
        <f aca="false">IF($A63="","",IF(OR($AN63="",$U63=""),"",ROUND(($U63-($B63+$AN63/24))*1440,0)))</f>
        <v/>
      </c>
      <c r="AU63" s="38" t="str">
        <f aca="false">IF($A63="","",IF(OR($AD63="",$S63=""),"",ROUND($AD63-$S63,0)))</f>
        <v/>
      </c>
      <c r="AV63" s="38" t="str">
        <f aca="false">IF($A63="","",N($AE63))</f>
        <v/>
      </c>
      <c r="AW63" s="38" t="str">
        <f aca="false">IF($A63="","",IF(OR($AF63="",$T63=""),"",$AF63-$T63))</f>
        <v/>
      </c>
      <c r="AX63" s="38" t="str">
        <f aca="false">IF($A63="","",IF(COUNT($AT63,$AB63,$AU63,$AW63,$AS63,$AH63)&lt;6,"",ROUND($AT63+$AB63+$AU63+$AV63+$AW63-$AS63-$AH63,0)))</f>
        <v/>
      </c>
      <c r="AY63" s="4" t="str">
        <f aca="false">IF($A63="","",IF($AX63="","No",IF(ABS($AX63)&lt;=2,"Yes","No")))</f>
        <v/>
      </c>
      <c r="AZ63" s="4" t="str">
        <f aca="false">IF($A63="","",IF($AI63&lt;&gt;"Yes","n/a",IF(OR($AA63="",$S63="",$T63=""),"Unknown",IF($AA63&lt;$S63+$T63,"Lost on arrival","Lost after arrival"))))</f>
        <v/>
      </c>
      <c r="BA63" s="10" t="str">
        <f aca="false">IF($A63="","",IFERROR(VLOOKUP($C63,Dim_Fund!$A:$D,4,0),""))</f>
        <v/>
      </c>
      <c r="BB63" s="10" t="str">
        <f aca="false">IF($A63="","",IF($AL63="","",IF(COUNTIFS(Fact_Milestone!$A:$A,$B63,Fact_Milestone!$B:$B,$AL63,Fact_Milestone!$I:$I,"No")&gt;0,"No",IF(COUNTIFS(Fact_Milestone!$A:$A,$B63,Fact_Milestone!$B:$B,$AL63,Fact_Milestone!$I:$I,"Yes")&gt;0,"Yes",""))))</f>
        <v/>
      </c>
      <c r="BC63" s="45" t="str">
        <f aca="false">IF($A63="","",IF(OR($L63="",$W63=""),"",IF(COUNTIFS($L:$L,$L63,$B:$B,$B63,$W:$W,"&lt;"&amp;$W63)=0,"",_xlfn.MAXIFS($W:$W,$L:$L,$L63,$B:$B,$B63,$W:$W,"&lt;"&amp;$W63))))</f>
        <v/>
      </c>
      <c r="BD63" s="39" t="str">
        <f aca="false">IF($A63="","",IF($AC63="","",IF(OR($L63="",$AC63=0),0,MIN($AC63,ROUND(ROUND(1440*SUMPRODUCT(($L$2:INDEX($L:$L,COUNTA($C:$C))=$L63)*($B$2:INDEX($B:$B,COUNTA($C:$C))=$B63)*(ROW($L$2:INDEX($L:$L,COUNTA($C:$C)))&lt;&gt;ROW())*((((($W63+$BT$2:INDEX($BT:$BT,COUNTA($C:$C))-ABS($W63-$BT$2:INDEX($BT:$BT,COUNTA($C:$C))))/2)-(($U63+$BS$2:INDEX($BS:$BS,COUNTA($C:$C))+ABS($U63-$BS$2:INDEX($BS:$BS,COUNTA($C:$C))))/2))+ABS(((($W63+$BT$2:INDEX($BT:$BT,COUNTA($C:$C))-ABS($W63-$BT$2:INDEX($BT:$BT,COUNTA($C:$C))))/2)-(($U63+$BS$2:INDEX($BS:$BS,COUNTA($C:$C))+ABS($U63-$BS$2:INDEX($BS:$BS,COUNTA($C:$C))))/2))))/2)),4),0)))))</f>
        <v/>
      </c>
      <c r="BE63" s="39" t="str">
        <f aca="false">IF($A63="","",IF($AC63="","",ROUND(MIN($AC63-$BD63,N($R63)),0)))</f>
        <v/>
      </c>
      <c r="BF63" s="10" t="str">
        <f aca="false">IF($A63="","",IFERROR(VLOOKUP($C63,Dim_Fund!$A:$BD,56,0),""))</f>
        <v/>
      </c>
      <c r="BG63" s="10" t="str">
        <f aca="false">IF($A63="","",IFERROR(VLOOKUP($C63,Dim_Fund!$A:$BH,60,0),""))</f>
        <v/>
      </c>
      <c r="BH63" s="10" t="str">
        <f aca="false">IF($A63="","",IF($AI63&lt;&gt;"Yes","Not breached",IF($AM63="Yes","Pricing late",IF($BG63="Thin custody slack","Thin custody slack",IF($BF63="Yes","Broker-dependent","None of these")))))</f>
        <v/>
      </c>
      <c r="BI63" s="23" t="str">
        <f aca="false">IF($A63="","",IFERROR(IF(VLOOKUP($C63,Dim_Fund!$A:$AI,35,0)&gt;0,VLOOKUP($C63,Dim_Fund!$A:$AI,35,0),""),""))</f>
        <v/>
      </c>
      <c r="BJ63" s="10" t="str">
        <f aca="false">IF($A63="","",$C63&amp;IF($E63="Client","*",""))</f>
        <v/>
      </c>
      <c r="BK63" s="39" t="str">
        <f aca="false">IF($A63="","",IFERROR(ROUND(($Y63-$X63)*1440,0),""))</f>
        <v/>
      </c>
      <c r="BL63" s="39" t="str">
        <f aca="false">IF($A63="","",IF($AH63="","",-$AH63))</f>
        <v/>
      </c>
      <c r="BM63" s="46" t="str">
        <f aca="false">IF($A63="","",IF($AQ63="","",IF($AP63="",$AQ63,MIN($AP63,$AQ63))))</f>
        <v/>
      </c>
      <c r="BN63" s="46" t="str">
        <f aca="false">IF($A63="","",IF($BM63="","",ROUND(N($AC63)/60,4)))</f>
        <v/>
      </c>
      <c r="BO63" s="46" t="str">
        <f aca="false">IF($A63="","",IF(OR($BM63="",$AD63=""),"",ROUND($AD63/60,4)))</f>
        <v/>
      </c>
      <c r="BP63" s="46" t="str">
        <f aca="false">IF($A63="","",IF($BM63="","",ROUND(N($AE63)/60,4)))</f>
        <v/>
      </c>
      <c r="BQ63" s="46" t="str">
        <f aca="false">IF($A63="","",IF(OR($BM63="",$AF63=""),"",ROUND($AF63/60,4)))</f>
        <v/>
      </c>
      <c r="BR63" s="39" t="str">
        <f aca="false">IF($A63="","",IF($AC63="","",$AC63-$BD63-$BE63))</f>
        <v/>
      </c>
      <c r="BS63" s="45" t="str">
        <f aca="false">IF($A63="","",IF(AND(ISNUMBER($Z63),ISNUMBER($W63)),$Z63,0))</f>
        <v/>
      </c>
      <c r="BT63" s="45" t="str">
        <f aca="false">IF($A63="","",IF(ISNUMBER($W63),$W63,0))</f>
        <v/>
      </c>
      <c r="BU63" s="23" t="str">
        <f aca="false">IF($A63="","",IF(ISNUMBER($W63),ROUND(($W63-$B63)*24,4),""))</f>
        <v/>
      </c>
      <c r="BV63" s="23" t="str">
        <f aca="false">IF($A63="","",IF(ISNUMBER($X63),ROUND(($X63-$B63)*24,4),""))</f>
        <v/>
      </c>
      <c r="BW63" s="10" t="str">
        <f aca="false">IF($A63="","",IF(NOT(ISNUMBER($W63)),"Missing Calculated",IF(NOT(ISNUMBER($X63)),IF($E63="Client","Missing FA signed off","Missing Controlled"),IF($X63&lt;$W63,"End before start","OK"))))</f>
        <v/>
      </c>
      <c r="BX63" s="23" t="str">
        <f aca="false">IF($A63="","",IF(NOT(ISNUMBER($Z63)),"",ROUND((IF(ISNUMBER($U63),MIN($U63,$Z63),$Z63)-$B63)*24,4)))</f>
        <v/>
      </c>
      <c r="BY63" s="23" t="str">
        <f aca="false">IF($A63="","",IF(ISNUMBER($Z63),ROUND(($Z63-$B63)*24,4),""))</f>
        <v/>
      </c>
      <c r="BZ63" s="23" t="str">
        <f aca="false">IF($A63="","",IF(AND(ISNUMBER($W63),ISNUMBER($S63)),ROUND(($W63+$S63/1440-$B63)*24,4),""))</f>
        <v/>
      </c>
    </row>
    <row r="64" customFormat="false" ht="15" hidden="false" customHeight="true" outlineLevel="0" collapsed="false">
      <c r="A64" s="47"/>
      <c r="B64" s="47"/>
      <c r="D64" s="4" t="str">
        <f aca="false">IF($A64="","",$B64-$A64)</f>
        <v/>
      </c>
      <c r="E64" s="4" t="str">
        <f aca="false">IF($A64="","",IFERROR(VLOOKUP($C64,Dim_Fund!$A:$X,24,0),""))</f>
        <v/>
      </c>
      <c r="F64" s="37" t="str">
        <f aca="false">IF($A64="","",IF(COUNTIFS(Status_Log!$A:$A,$A64,Status_Log!$B:$B,$B64,Status_Log!$C:$C,$C64,Status_Log!$D:$D,"Changed to the status of Calculated")=0,"",_xlfn.MINIFS(Status_Log!$E:$E,Status_Log!$A:$A,$A64,Status_Log!$B:$B,$B64,Status_Log!$C:$C,$C64,Status_Log!$D:$D,"Changed to the status of Calculated")))</f>
        <v/>
      </c>
      <c r="G64" s="37" t="str">
        <f aca="false">IF($A64="","",IF(COUNTIFS(Status_Log!$A:$A,$A64,Status_Log!$B:$B,$B64,Status_Log!$C:$C,$C64,Status_Log!$D:$D,"Changed to the status of Controlled")=0,"",_xlfn.MAXIFS(Status_Log!$E:$E,Status_Log!$A:$A,$A64,Status_Log!$B:$B,$B64,Status_Log!$C:$C,$C64,Status_Log!$D:$D,"Changed to the status of Controlled")))</f>
        <v/>
      </c>
      <c r="H64" s="37" t="str">
        <f aca="false">IF($A64="","",IF(COUNTIFS(Status_Log!$A:$A,$A64,Status_Log!$B:$B,$B64,Status_Log!$C:$C,$C64,Status_Log!$D:$D,"Changed to the status of Fund accounting signed off")=0,"",_xlfn.MAXIFS(Status_Log!$E:$E,Status_Log!$A:$A,$A64,Status_Log!$B:$B,$B64,Status_Log!$C:$C,$C64,Status_Log!$D:$D,"Changed to the status of Fund accounting signed off")))</f>
        <v/>
      </c>
      <c r="I64" s="37" t="str">
        <f aca="false">IF($A64="","",IF(COUNTIFS(Status_Log!$A:$A,$A64,Status_Log!$B:$B,$B64,Status_Log!$C:$C,$C64,Status_Log!$D:$D,"Changed to the status of signed off")=0,"",_xlfn.MAXIFS(Status_Log!$E:$E,Status_Log!$A:$A,$A64,Status_Log!$B:$B,$B64,Status_Log!$C:$C,$C64,Status_Log!$D:$D,"Changed to the status of signed off")))</f>
        <v/>
      </c>
      <c r="J64" s="4" t="str">
        <f aca="false">IF($A64="","",COUNTIFS(Status_Log!$A:$A,$A64,Status_Log!$B:$B,$B64,Status_Log!$C:$C,$C64,Status_Log!$D:$D,"Changed to the status of Calculated"))</f>
        <v/>
      </c>
      <c r="K64" s="38" t="str">
        <f aca="false">IF($A64="","",IF(J64&lt;=1,0,ROUND((_xlfn.MAXIFS(Status_Log!$E:$E,Status_Log!$A:$A,$A64,Status_Log!$B:$B,$B64,Status_Log!$C:$C,$C64,Status_Log!$D:$D,"Changed to the status of Calculated")-F64)*1440,0)))</f>
        <v/>
      </c>
      <c r="L64" s="4" t="str">
        <f aca="false">IF($A64="","",IFERROR(INDEX(Status_Log!$F:$F,MATCH($A64&amp;"|"&amp;$B64&amp;"|"&amp;$C64&amp;"|Changed to the status of Calculated|"&amp;TEXT(_xlfn.MAXIFS(Status_Log!$E:$E,Status_Log!$A:$A,$A64,Status_Log!$B:$B,$B64,Status_Log!$C:$C,$C64,Status_Log!$D:$D,"Changed to the status of Calculated"),"0.000000"),Status_Log!$H:$H,0)),""))</f>
        <v/>
      </c>
      <c r="M64" s="4" t="str">
        <f aca="false">IF($A64="","",IF(E64="Client","n/a — no control step",IFERROR(INDEX(Status_Log!$F:$F,MATCH($A64&amp;"|"&amp;$B64&amp;"|"&amp;$C64&amp;"|Changed to the status of Controlled|"&amp;TEXT(_xlfn.MAXIFS(Status_Log!$E:$E,Status_Log!$A:$A,$A64,Status_Log!$B:$B,$B64,Status_Log!$C:$C,$C64,Status_Log!$D:$D,"Changed to the status of Controlled"),"0.000000"),Status_Log!$H:$H,0)),"")))</f>
        <v/>
      </c>
      <c r="N64" s="4" t="str">
        <f aca="false">IF($A64="","",IFERROR(VLOOKUP($C64,Dim_Fund!$A:$G,7,0),""))</f>
        <v/>
      </c>
      <c r="O64" s="4" t="str">
        <f aca="false">IF($A64="","",IF(L64=N64,"No","Yes"))</f>
        <v/>
      </c>
      <c r="P64" s="4" t="str">
        <f aca="false">IF($A64="","",IF(E64="Client","n/a",IF(L64=M64,"YES — four-eyes breach","No")))</f>
        <v/>
      </c>
      <c r="Q64" s="38" t="str">
        <f aca="false">IF($A64="","",IFERROR(VLOOKUP($C64,Dim_Fund!$A:$AB,28,0),""))</f>
        <v/>
      </c>
      <c r="R64" s="38" t="str">
        <f aca="false">IF($A64="","",IFERROR(VLOOKUP($C64,Dim_Fund!$A:$AC,29,0),""))</f>
        <v/>
      </c>
      <c r="S64" s="38" t="str">
        <f aca="false">IF($A64="","",IFERROR(VLOOKUP($C64,Dim_Fund!$A:$AD,30,0),""))</f>
        <v/>
      </c>
      <c r="T64" s="38" t="str">
        <f aca="false">IF($A64="","",IFERROR(VLOOKUP($C64,Dim_Fund!$A:$AL,38,0),""))</f>
        <v/>
      </c>
      <c r="U64" s="37" t="str">
        <f aca="false">IF($A64="","",IF(AL64="","",IFERROR(IF(COUNTIFS(Fact_Milestone!$A:$A,$B64,Fact_Milestone!$B:$B,AL64)=0,"",_xlfn.MAXIFS(Fact_Milestone!$C:$C,Fact_Milestone!$A:$A,$B64,Fact_Milestone!$B:$B,AL64)),"")))</f>
        <v/>
      </c>
      <c r="V64" s="37" t="str">
        <f aca="false">IF($A64="","",IFERROR(IF(VLOOKUP($C64,Dim_Fund!$A:$AI,35,0)&gt;0,$B64+VLOOKUP($C64,Dim_Fund!$A:$AI,35,0)/24,""),""))</f>
        <v/>
      </c>
      <c r="W64" s="37" t="str">
        <f aca="false">IF($A64="","",F64)</f>
        <v/>
      </c>
      <c r="X64" s="37" t="str">
        <f aca="false">IF($A64="","",IF(E64="Client",H64,G64))</f>
        <v/>
      </c>
      <c r="Y64" s="37" t="str">
        <f aca="false">IF($A64="","",I64)</f>
        <v/>
      </c>
      <c r="Z64" s="37" t="str">
        <f aca="false">IF($A64="","",IFERROR(W64-R64/1440,""))</f>
        <v/>
      </c>
      <c r="AA64" s="38" t="str">
        <f aca="false">IF($A64="","",IF(OR(U64="",V64=""),"",ROUND((V64-U64)*1440,0)))</f>
        <v/>
      </c>
      <c r="AB64" s="38" t="str">
        <f aca="false">IF($A64="","",IF(U64="","",ROUND((W64-U64)*1440,0)))</f>
        <v/>
      </c>
      <c r="AC64" s="38" t="str">
        <f aca="false">IF($A64="","",IF(AB64="","",MAX(0,AB64)))</f>
        <v/>
      </c>
      <c r="AD64" s="38" t="str">
        <f aca="false">IF($A64="","",IFERROR(ROUND((X64-W64)*1440,0),""))</f>
        <v/>
      </c>
      <c r="AE64" s="38" t="str">
        <f aca="false">IF($A64="","",IF(E64="Client","n/a",IFERROR(ROUND((H64-G64)*1440,0),"")))</f>
        <v/>
      </c>
      <c r="AF64" s="38" t="str">
        <f aca="false">IF($A64="","",IFERROR(ROUND((Y64-H64)*1440,0),""))</f>
        <v/>
      </c>
      <c r="AG64" s="38" t="str">
        <f aca="false">IF($A64="","",IFERROR(ROUND((H64-F64)*1440,0),""))</f>
        <v/>
      </c>
      <c r="AH64" s="38" t="str">
        <f aca="false">IF($A64="","",IFERROR(ROUND((Y64-V64)*1440,0),""))</f>
        <v/>
      </c>
      <c r="AI64" s="4" t="str">
        <f aca="false">IF($A64="","",IF(AH64="","",IF(AH64&gt;0,"Yes","No")))</f>
        <v/>
      </c>
      <c r="AJ64" s="4" t="str">
        <f aca="false">IF($A64="","",IF(AI64&lt;&gt;"Yes","On time",IF(N(AC64)&gt;=MAX(N(AF64),N(K64)),"Wait for analyst",IF(N(AF64)&gt;=N(K64),"External sign-off","Rework"))))</f>
        <v/>
      </c>
      <c r="AK64" s="4" t="str">
        <f aca="false">IF($A64="","",IF(OR(F64="",Y64="",ISNA(MATCH(L64,Dim_Analyst!$A:$A,0))),"CHECK","OK"))</f>
        <v/>
      </c>
      <c r="AL64" s="4" t="str">
        <f aca="false">IF($A64="","",IFERROR(VLOOKUP($C64,Dim_Fund!$A:$U,21,0),""))</f>
        <v/>
      </c>
      <c r="AM64" s="4" t="str">
        <f aca="false">IF($A64="","",IF($U64="","",IF($U64&gt;$B64+IFERROR(VLOOKUP($C64,Dim_Fund!$A:$AH,34,0),0)/24,"Yes","No")))</f>
        <v/>
      </c>
      <c r="AN64" s="22" t="str">
        <f aca="false">IF($A64="","",IFERROR(VLOOKUP($C64,Dim_Fund!$A:$AH,34,0),""))</f>
        <v/>
      </c>
      <c r="AO64" s="22" t="str">
        <f aca="false">IF($A64="","",IF($AL64="","",IFERROR(FLOOR(IF(COUNTIFS(Fact_Milestone!$A:$A,$B64,Fact_Milestone!$B:$B,$AL64,Fact_Milestone!$F:$F,"&gt;0")&gt;0,_xlfn.MINIFS(Fact_Milestone!$F:$F,Fact_Milestone!$A:$A,$B64,Fact_Milestone!$B:$B,$AL64,Fact_Milestone!$F:$F,"&gt;0"),VLOOKUP($AL64,Dim_TOP!$A:$E,5,0)),0.5),"")))</f>
        <v/>
      </c>
      <c r="AP64" s="22" t="str">
        <f aca="false">IF($A64="","",IF($U64="","",ROUND(($U64-INT($U64))*24,4)))</f>
        <v/>
      </c>
      <c r="AQ64" s="22" t="str">
        <f aca="false">IF($A64="","",IF($W64="","",ROUND(($W64-INT($W64))*24,4)))</f>
        <v/>
      </c>
      <c r="AR64" s="22" t="str">
        <f aca="false">IF($A64="","",IF($X64="","",ROUND(($X64-INT($X64))*24,4)))</f>
        <v/>
      </c>
      <c r="AS64" s="38" t="str">
        <f aca="false">IF($A64="","",IF(OR($AN64="",$V64="",$S64="",$T64=""),"",ROUND(($V64-($B64+$AN64/24))*1440-$S64-$T64,0)))</f>
        <v/>
      </c>
      <c r="AT64" s="38" t="str">
        <f aca="false">IF($A64="","",IF(OR($AN64="",$U64=""),"",ROUND(($U64-($B64+$AN64/24))*1440,0)))</f>
        <v/>
      </c>
      <c r="AU64" s="38" t="str">
        <f aca="false">IF($A64="","",IF(OR($AD64="",$S64=""),"",ROUND($AD64-$S64,0)))</f>
        <v/>
      </c>
      <c r="AV64" s="38" t="str">
        <f aca="false">IF($A64="","",N($AE64))</f>
        <v/>
      </c>
      <c r="AW64" s="38" t="str">
        <f aca="false">IF($A64="","",IF(OR($AF64="",$T64=""),"",$AF64-$T64))</f>
        <v/>
      </c>
      <c r="AX64" s="38" t="str">
        <f aca="false">IF($A64="","",IF(COUNT($AT64,$AB64,$AU64,$AW64,$AS64,$AH64)&lt;6,"",ROUND($AT64+$AB64+$AU64+$AV64+$AW64-$AS64-$AH64,0)))</f>
        <v/>
      </c>
      <c r="AY64" s="4" t="str">
        <f aca="false">IF($A64="","",IF($AX64="","No",IF(ABS($AX64)&lt;=2,"Yes","No")))</f>
        <v/>
      </c>
      <c r="AZ64" s="4" t="str">
        <f aca="false">IF($A64="","",IF($AI64&lt;&gt;"Yes","n/a",IF(OR($AA64="",$S64="",$T64=""),"Unknown",IF($AA64&lt;$S64+$T64,"Lost on arrival","Lost after arrival"))))</f>
        <v/>
      </c>
      <c r="BA64" s="10" t="str">
        <f aca="false">IF($A64="","",IFERROR(VLOOKUP($C64,Dim_Fund!$A:$D,4,0),""))</f>
        <v/>
      </c>
      <c r="BB64" s="10" t="str">
        <f aca="false">IF($A64="","",IF($AL64="","",IF(COUNTIFS(Fact_Milestone!$A:$A,$B64,Fact_Milestone!$B:$B,$AL64,Fact_Milestone!$I:$I,"No")&gt;0,"No",IF(COUNTIFS(Fact_Milestone!$A:$A,$B64,Fact_Milestone!$B:$B,$AL64,Fact_Milestone!$I:$I,"Yes")&gt;0,"Yes",""))))</f>
        <v/>
      </c>
      <c r="BC64" s="45" t="str">
        <f aca="false">IF($A64="","",IF(OR($L64="",$W64=""),"",IF(COUNTIFS($L:$L,$L64,$B:$B,$B64,$W:$W,"&lt;"&amp;$W64)=0,"",_xlfn.MAXIFS($W:$W,$L:$L,$L64,$B:$B,$B64,$W:$W,"&lt;"&amp;$W64))))</f>
        <v/>
      </c>
      <c r="BD64" s="39" t="str">
        <f aca="false">IF($A64="","",IF($AC64="","",IF(OR($L64="",$AC64=0),0,MIN($AC64,ROUND(ROUND(1440*SUMPRODUCT(($L$2:INDEX($L:$L,COUNTA($C:$C))=$L64)*($B$2:INDEX($B:$B,COUNTA($C:$C))=$B64)*(ROW($L$2:INDEX($L:$L,COUNTA($C:$C)))&lt;&gt;ROW())*((((($W64+$BT$2:INDEX($BT:$BT,COUNTA($C:$C))-ABS($W64-$BT$2:INDEX($BT:$BT,COUNTA($C:$C))))/2)-(($U64+$BS$2:INDEX($BS:$BS,COUNTA($C:$C))+ABS($U64-$BS$2:INDEX($BS:$BS,COUNTA($C:$C))))/2))+ABS(((($W64+$BT$2:INDEX($BT:$BT,COUNTA($C:$C))-ABS($W64-$BT$2:INDEX($BT:$BT,COUNTA($C:$C))))/2)-(($U64+$BS$2:INDEX($BS:$BS,COUNTA($C:$C))+ABS($U64-$BS$2:INDEX($BS:$BS,COUNTA($C:$C))))/2))))/2)),4),0)))))</f>
        <v/>
      </c>
      <c r="BE64" s="39" t="str">
        <f aca="false">IF($A64="","",IF($AC64="","",ROUND(MIN($AC64-$BD64,N($R64)),0)))</f>
        <v/>
      </c>
      <c r="BF64" s="10" t="str">
        <f aca="false">IF($A64="","",IFERROR(VLOOKUP($C64,Dim_Fund!$A:$BD,56,0),""))</f>
        <v/>
      </c>
      <c r="BG64" s="10" t="str">
        <f aca="false">IF($A64="","",IFERROR(VLOOKUP($C64,Dim_Fund!$A:$BH,60,0),""))</f>
        <v/>
      </c>
      <c r="BH64" s="10" t="str">
        <f aca="false">IF($A64="","",IF($AI64&lt;&gt;"Yes","Not breached",IF($AM64="Yes","Pricing late",IF($BG64="Thin custody slack","Thin custody slack",IF($BF64="Yes","Broker-dependent","None of these")))))</f>
        <v/>
      </c>
      <c r="BI64" s="23" t="str">
        <f aca="false">IF($A64="","",IFERROR(IF(VLOOKUP($C64,Dim_Fund!$A:$AI,35,0)&gt;0,VLOOKUP($C64,Dim_Fund!$A:$AI,35,0),""),""))</f>
        <v/>
      </c>
      <c r="BJ64" s="10" t="str">
        <f aca="false">IF($A64="","",$C64&amp;IF($E64="Client","*",""))</f>
        <v/>
      </c>
      <c r="BK64" s="39" t="str">
        <f aca="false">IF($A64="","",IFERROR(ROUND(($Y64-$X64)*1440,0),""))</f>
        <v/>
      </c>
      <c r="BL64" s="39" t="str">
        <f aca="false">IF($A64="","",IF($AH64="","",-$AH64))</f>
        <v/>
      </c>
      <c r="BM64" s="46" t="str">
        <f aca="false">IF($A64="","",IF($AQ64="","",IF($AP64="",$AQ64,MIN($AP64,$AQ64))))</f>
        <v/>
      </c>
      <c r="BN64" s="46" t="str">
        <f aca="false">IF($A64="","",IF($BM64="","",ROUND(N($AC64)/60,4)))</f>
        <v/>
      </c>
      <c r="BO64" s="46" t="str">
        <f aca="false">IF($A64="","",IF(OR($BM64="",$AD64=""),"",ROUND($AD64/60,4)))</f>
        <v/>
      </c>
      <c r="BP64" s="46" t="str">
        <f aca="false">IF($A64="","",IF($BM64="","",ROUND(N($AE64)/60,4)))</f>
        <v/>
      </c>
      <c r="BQ64" s="46" t="str">
        <f aca="false">IF($A64="","",IF(OR($BM64="",$AF64=""),"",ROUND($AF64/60,4)))</f>
        <v/>
      </c>
      <c r="BR64" s="39" t="str">
        <f aca="false">IF($A64="","",IF($AC64="","",$AC64-$BD64-$BE64))</f>
        <v/>
      </c>
      <c r="BS64" s="45" t="str">
        <f aca="false">IF($A64="","",IF(AND(ISNUMBER($Z64),ISNUMBER($W64)),$Z64,0))</f>
        <v/>
      </c>
      <c r="BT64" s="45" t="str">
        <f aca="false">IF($A64="","",IF(ISNUMBER($W64),$W64,0))</f>
        <v/>
      </c>
      <c r="BU64" s="23" t="str">
        <f aca="false">IF($A64="","",IF(ISNUMBER($W64),ROUND(($W64-$B64)*24,4),""))</f>
        <v/>
      </c>
      <c r="BV64" s="23" t="str">
        <f aca="false">IF($A64="","",IF(ISNUMBER($X64),ROUND(($X64-$B64)*24,4),""))</f>
        <v/>
      </c>
      <c r="BW64" s="10" t="str">
        <f aca="false">IF($A64="","",IF(NOT(ISNUMBER($W64)),"Missing Calculated",IF(NOT(ISNUMBER($X64)),IF($E64="Client","Missing FA signed off","Missing Controlled"),IF($X64&lt;$W64,"End before start","OK"))))</f>
        <v/>
      </c>
      <c r="BX64" s="23" t="str">
        <f aca="false">IF($A64="","",IF(NOT(ISNUMBER($Z64)),"",ROUND((IF(ISNUMBER($U64),MIN($U64,$Z64),$Z64)-$B64)*24,4)))</f>
        <v/>
      </c>
      <c r="BY64" s="23" t="str">
        <f aca="false">IF($A64="","",IF(ISNUMBER($Z64),ROUND(($Z64-$B64)*24,4),""))</f>
        <v/>
      </c>
      <c r="BZ64" s="23" t="str">
        <f aca="false">IF($A64="","",IF(AND(ISNUMBER($W64),ISNUMBER($S64)),ROUND(($W64+$S64/1440-$B64)*24,4),""))</f>
        <v/>
      </c>
    </row>
    <row r="65" customFormat="false" ht="15" hidden="false" customHeight="true" outlineLevel="0" collapsed="false">
      <c r="A65" s="47"/>
      <c r="B65" s="47"/>
      <c r="D65" s="4" t="str">
        <f aca="false">IF($A65="","",$B65-$A65)</f>
        <v/>
      </c>
      <c r="E65" s="4" t="str">
        <f aca="false">IF($A65="","",IFERROR(VLOOKUP($C65,Dim_Fund!$A:$X,24,0),""))</f>
        <v/>
      </c>
      <c r="F65" s="37" t="str">
        <f aca="false">IF($A65="","",IF(COUNTIFS(Status_Log!$A:$A,$A65,Status_Log!$B:$B,$B65,Status_Log!$C:$C,$C65,Status_Log!$D:$D,"Changed to the status of Calculated")=0,"",_xlfn.MINIFS(Status_Log!$E:$E,Status_Log!$A:$A,$A65,Status_Log!$B:$B,$B65,Status_Log!$C:$C,$C65,Status_Log!$D:$D,"Changed to the status of Calculated")))</f>
        <v/>
      </c>
      <c r="G65" s="37" t="str">
        <f aca="false">IF($A65="","",IF(COUNTIFS(Status_Log!$A:$A,$A65,Status_Log!$B:$B,$B65,Status_Log!$C:$C,$C65,Status_Log!$D:$D,"Changed to the status of Controlled")=0,"",_xlfn.MAXIFS(Status_Log!$E:$E,Status_Log!$A:$A,$A65,Status_Log!$B:$B,$B65,Status_Log!$C:$C,$C65,Status_Log!$D:$D,"Changed to the status of Controlled")))</f>
        <v/>
      </c>
      <c r="H65" s="37" t="str">
        <f aca="false">IF($A65="","",IF(COUNTIFS(Status_Log!$A:$A,$A65,Status_Log!$B:$B,$B65,Status_Log!$C:$C,$C65,Status_Log!$D:$D,"Changed to the status of Fund accounting signed off")=0,"",_xlfn.MAXIFS(Status_Log!$E:$E,Status_Log!$A:$A,$A65,Status_Log!$B:$B,$B65,Status_Log!$C:$C,$C65,Status_Log!$D:$D,"Changed to the status of Fund accounting signed off")))</f>
        <v/>
      </c>
      <c r="I65" s="37" t="str">
        <f aca="false">IF($A65="","",IF(COUNTIFS(Status_Log!$A:$A,$A65,Status_Log!$B:$B,$B65,Status_Log!$C:$C,$C65,Status_Log!$D:$D,"Changed to the status of signed off")=0,"",_xlfn.MAXIFS(Status_Log!$E:$E,Status_Log!$A:$A,$A65,Status_Log!$B:$B,$B65,Status_Log!$C:$C,$C65,Status_Log!$D:$D,"Changed to the status of signed off")))</f>
        <v/>
      </c>
      <c r="J65" s="4" t="str">
        <f aca="false">IF($A65="","",COUNTIFS(Status_Log!$A:$A,$A65,Status_Log!$B:$B,$B65,Status_Log!$C:$C,$C65,Status_Log!$D:$D,"Changed to the status of Calculated"))</f>
        <v/>
      </c>
      <c r="K65" s="38" t="str">
        <f aca="false">IF($A65="","",IF(J65&lt;=1,0,ROUND((_xlfn.MAXIFS(Status_Log!$E:$E,Status_Log!$A:$A,$A65,Status_Log!$B:$B,$B65,Status_Log!$C:$C,$C65,Status_Log!$D:$D,"Changed to the status of Calculated")-F65)*1440,0)))</f>
        <v/>
      </c>
      <c r="L65" s="4" t="str">
        <f aca="false">IF($A65="","",IFERROR(INDEX(Status_Log!$F:$F,MATCH($A65&amp;"|"&amp;$B65&amp;"|"&amp;$C65&amp;"|Changed to the status of Calculated|"&amp;TEXT(_xlfn.MAXIFS(Status_Log!$E:$E,Status_Log!$A:$A,$A65,Status_Log!$B:$B,$B65,Status_Log!$C:$C,$C65,Status_Log!$D:$D,"Changed to the status of Calculated"),"0.000000"),Status_Log!$H:$H,0)),""))</f>
        <v/>
      </c>
      <c r="M65" s="4" t="str">
        <f aca="false">IF($A65="","",IF(E65="Client","n/a — no control step",IFERROR(INDEX(Status_Log!$F:$F,MATCH($A65&amp;"|"&amp;$B65&amp;"|"&amp;$C65&amp;"|Changed to the status of Controlled|"&amp;TEXT(_xlfn.MAXIFS(Status_Log!$E:$E,Status_Log!$A:$A,$A65,Status_Log!$B:$B,$B65,Status_Log!$C:$C,$C65,Status_Log!$D:$D,"Changed to the status of Controlled"),"0.000000"),Status_Log!$H:$H,0)),"")))</f>
        <v/>
      </c>
      <c r="N65" s="4" t="str">
        <f aca="false">IF($A65="","",IFERROR(VLOOKUP($C65,Dim_Fund!$A:$G,7,0),""))</f>
        <v/>
      </c>
      <c r="O65" s="4" t="str">
        <f aca="false">IF($A65="","",IF(L65=N65,"No","Yes"))</f>
        <v/>
      </c>
      <c r="P65" s="4" t="str">
        <f aca="false">IF($A65="","",IF(E65="Client","n/a",IF(L65=M65,"YES — four-eyes breach","No")))</f>
        <v/>
      </c>
      <c r="Q65" s="38" t="str">
        <f aca="false">IF($A65="","",IFERROR(VLOOKUP($C65,Dim_Fund!$A:$AB,28,0),""))</f>
        <v/>
      </c>
      <c r="R65" s="38" t="str">
        <f aca="false">IF($A65="","",IFERROR(VLOOKUP($C65,Dim_Fund!$A:$AC,29,0),""))</f>
        <v/>
      </c>
      <c r="S65" s="38" t="str">
        <f aca="false">IF($A65="","",IFERROR(VLOOKUP($C65,Dim_Fund!$A:$AD,30,0),""))</f>
        <v/>
      </c>
      <c r="T65" s="38" t="str">
        <f aca="false">IF($A65="","",IFERROR(VLOOKUP($C65,Dim_Fund!$A:$AL,38,0),""))</f>
        <v/>
      </c>
      <c r="U65" s="37" t="str">
        <f aca="false">IF($A65="","",IF(AL65="","",IFERROR(IF(COUNTIFS(Fact_Milestone!$A:$A,$B65,Fact_Milestone!$B:$B,AL65)=0,"",_xlfn.MAXIFS(Fact_Milestone!$C:$C,Fact_Milestone!$A:$A,$B65,Fact_Milestone!$B:$B,AL65)),"")))</f>
        <v/>
      </c>
      <c r="V65" s="37" t="str">
        <f aca="false">IF($A65="","",IFERROR(IF(VLOOKUP($C65,Dim_Fund!$A:$AI,35,0)&gt;0,$B65+VLOOKUP($C65,Dim_Fund!$A:$AI,35,0)/24,""),""))</f>
        <v/>
      </c>
      <c r="W65" s="37" t="str">
        <f aca="false">IF($A65="","",F65)</f>
        <v/>
      </c>
      <c r="X65" s="37" t="str">
        <f aca="false">IF($A65="","",IF(E65="Client",H65,G65))</f>
        <v/>
      </c>
      <c r="Y65" s="37" t="str">
        <f aca="false">IF($A65="","",I65)</f>
        <v/>
      </c>
      <c r="Z65" s="37" t="str">
        <f aca="false">IF($A65="","",IFERROR(W65-R65/1440,""))</f>
        <v/>
      </c>
      <c r="AA65" s="38" t="str">
        <f aca="false">IF($A65="","",IF(OR(U65="",V65=""),"",ROUND((V65-U65)*1440,0)))</f>
        <v/>
      </c>
      <c r="AB65" s="38" t="str">
        <f aca="false">IF($A65="","",IF(U65="","",ROUND((W65-U65)*1440,0)))</f>
        <v/>
      </c>
      <c r="AC65" s="38" t="str">
        <f aca="false">IF($A65="","",IF(AB65="","",MAX(0,AB65)))</f>
        <v/>
      </c>
      <c r="AD65" s="38" t="str">
        <f aca="false">IF($A65="","",IFERROR(ROUND((X65-W65)*1440,0),""))</f>
        <v/>
      </c>
      <c r="AE65" s="38" t="str">
        <f aca="false">IF($A65="","",IF(E65="Client","n/a",IFERROR(ROUND((H65-G65)*1440,0),"")))</f>
        <v/>
      </c>
      <c r="AF65" s="38" t="str">
        <f aca="false">IF($A65="","",IFERROR(ROUND((Y65-H65)*1440,0),""))</f>
        <v/>
      </c>
      <c r="AG65" s="38" t="str">
        <f aca="false">IF($A65="","",IFERROR(ROUND((H65-F65)*1440,0),""))</f>
        <v/>
      </c>
      <c r="AH65" s="38" t="str">
        <f aca="false">IF($A65="","",IFERROR(ROUND((Y65-V65)*1440,0),""))</f>
        <v/>
      </c>
      <c r="AI65" s="4" t="str">
        <f aca="false">IF($A65="","",IF(AH65="","",IF(AH65&gt;0,"Yes","No")))</f>
        <v/>
      </c>
      <c r="AJ65" s="4" t="str">
        <f aca="false">IF($A65="","",IF(AI65&lt;&gt;"Yes","On time",IF(N(AC65)&gt;=MAX(N(AF65),N(K65)),"Wait for analyst",IF(N(AF65)&gt;=N(K65),"External sign-off","Rework"))))</f>
        <v/>
      </c>
      <c r="AK65" s="4" t="str">
        <f aca="false">IF($A65="","",IF(OR(F65="",Y65="",ISNA(MATCH(L65,Dim_Analyst!$A:$A,0))),"CHECK","OK"))</f>
        <v/>
      </c>
      <c r="AL65" s="4" t="str">
        <f aca="false">IF($A65="","",IFERROR(VLOOKUP($C65,Dim_Fund!$A:$U,21,0),""))</f>
        <v/>
      </c>
      <c r="AM65" s="4" t="str">
        <f aca="false">IF($A65="","",IF($U65="","",IF($U65&gt;$B65+IFERROR(VLOOKUP($C65,Dim_Fund!$A:$AH,34,0),0)/24,"Yes","No")))</f>
        <v/>
      </c>
      <c r="AN65" s="22" t="str">
        <f aca="false">IF($A65="","",IFERROR(VLOOKUP($C65,Dim_Fund!$A:$AH,34,0),""))</f>
        <v/>
      </c>
      <c r="AO65" s="22" t="str">
        <f aca="false">IF($A65="","",IF($AL65="","",IFERROR(FLOOR(IF(COUNTIFS(Fact_Milestone!$A:$A,$B65,Fact_Milestone!$B:$B,$AL65,Fact_Milestone!$F:$F,"&gt;0")&gt;0,_xlfn.MINIFS(Fact_Milestone!$F:$F,Fact_Milestone!$A:$A,$B65,Fact_Milestone!$B:$B,$AL65,Fact_Milestone!$F:$F,"&gt;0"),VLOOKUP($AL65,Dim_TOP!$A:$E,5,0)),0.5),"")))</f>
        <v/>
      </c>
      <c r="AP65" s="22" t="str">
        <f aca="false">IF($A65="","",IF($U65="","",ROUND(($U65-INT($U65))*24,4)))</f>
        <v/>
      </c>
      <c r="AQ65" s="22" t="str">
        <f aca="false">IF($A65="","",IF($W65="","",ROUND(($W65-INT($W65))*24,4)))</f>
        <v/>
      </c>
      <c r="AR65" s="22" t="str">
        <f aca="false">IF($A65="","",IF($X65="","",ROUND(($X65-INT($X65))*24,4)))</f>
        <v/>
      </c>
      <c r="AS65" s="38" t="str">
        <f aca="false">IF($A65="","",IF(OR($AN65="",$V65="",$S65="",$T65=""),"",ROUND(($V65-($B65+$AN65/24))*1440-$S65-$T65,0)))</f>
        <v/>
      </c>
      <c r="AT65" s="38" t="str">
        <f aca="false">IF($A65="","",IF(OR($AN65="",$U65=""),"",ROUND(($U65-($B65+$AN65/24))*1440,0)))</f>
        <v/>
      </c>
      <c r="AU65" s="38" t="str">
        <f aca="false">IF($A65="","",IF(OR($AD65="",$S65=""),"",ROUND($AD65-$S65,0)))</f>
        <v/>
      </c>
      <c r="AV65" s="38" t="str">
        <f aca="false">IF($A65="","",N($AE65))</f>
        <v/>
      </c>
      <c r="AW65" s="38" t="str">
        <f aca="false">IF($A65="","",IF(OR($AF65="",$T65=""),"",$AF65-$T65))</f>
        <v/>
      </c>
      <c r="AX65" s="38" t="str">
        <f aca="false">IF($A65="","",IF(COUNT($AT65,$AB65,$AU65,$AW65,$AS65,$AH65)&lt;6,"",ROUND($AT65+$AB65+$AU65+$AV65+$AW65-$AS65-$AH65,0)))</f>
        <v/>
      </c>
      <c r="AY65" s="4" t="str">
        <f aca="false">IF($A65="","",IF($AX65="","No",IF(ABS($AX65)&lt;=2,"Yes","No")))</f>
        <v/>
      </c>
      <c r="AZ65" s="4" t="str">
        <f aca="false">IF($A65="","",IF($AI65&lt;&gt;"Yes","n/a",IF(OR($AA65="",$S65="",$T65=""),"Unknown",IF($AA65&lt;$S65+$T65,"Lost on arrival","Lost after arrival"))))</f>
        <v/>
      </c>
      <c r="BA65" s="10" t="str">
        <f aca="false">IF($A65="","",IFERROR(VLOOKUP($C65,Dim_Fund!$A:$D,4,0),""))</f>
        <v/>
      </c>
      <c r="BB65" s="10" t="str">
        <f aca="false">IF($A65="","",IF($AL65="","",IF(COUNTIFS(Fact_Milestone!$A:$A,$B65,Fact_Milestone!$B:$B,$AL65,Fact_Milestone!$I:$I,"No")&gt;0,"No",IF(COUNTIFS(Fact_Milestone!$A:$A,$B65,Fact_Milestone!$B:$B,$AL65,Fact_Milestone!$I:$I,"Yes")&gt;0,"Yes",""))))</f>
        <v/>
      </c>
      <c r="BC65" s="45" t="str">
        <f aca="false">IF($A65="","",IF(OR($L65="",$W65=""),"",IF(COUNTIFS($L:$L,$L65,$B:$B,$B65,$W:$W,"&lt;"&amp;$W65)=0,"",_xlfn.MAXIFS($W:$W,$L:$L,$L65,$B:$B,$B65,$W:$W,"&lt;"&amp;$W65))))</f>
        <v/>
      </c>
      <c r="BD65" s="39" t="str">
        <f aca="false">IF($A65="","",IF($AC65="","",IF(OR($L65="",$AC65=0),0,MIN($AC65,ROUND(ROUND(1440*SUMPRODUCT(($L$2:INDEX($L:$L,COUNTA($C:$C))=$L65)*($B$2:INDEX($B:$B,COUNTA($C:$C))=$B65)*(ROW($L$2:INDEX($L:$L,COUNTA($C:$C)))&lt;&gt;ROW())*((((($W65+$BT$2:INDEX($BT:$BT,COUNTA($C:$C))-ABS($W65-$BT$2:INDEX($BT:$BT,COUNTA($C:$C))))/2)-(($U65+$BS$2:INDEX($BS:$BS,COUNTA($C:$C))+ABS($U65-$BS$2:INDEX($BS:$BS,COUNTA($C:$C))))/2))+ABS(((($W65+$BT$2:INDEX($BT:$BT,COUNTA($C:$C))-ABS($W65-$BT$2:INDEX($BT:$BT,COUNTA($C:$C))))/2)-(($U65+$BS$2:INDEX($BS:$BS,COUNTA($C:$C))+ABS($U65-$BS$2:INDEX($BS:$BS,COUNTA($C:$C))))/2))))/2)),4),0)))))</f>
        <v/>
      </c>
      <c r="BE65" s="39" t="str">
        <f aca="false">IF($A65="","",IF($AC65="","",ROUND(MIN($AC65-$BD65,N($R65)),0)))</f>
        <v/>
      </c>
      <c r="BF65" s="10" t="str">
        <f aca="false">IF($A65="","",IFERROR(VLOOKUP($C65,Dim_Fund!$A:$BD,56,0),""))</f>
        <v/>
      </c>
      <c r="BG65" s="10" t="str">
        <f aca="false">IF($A65="","",IFERROR(VLOOKUP($C65,Dim_Fund!$A:$BH,60,0),""))</f>
        <v/>
      </c>
      <c r="BH65" s="10" t="str">
        <f aca="false">IF($A65="","",IF($AI65&lt;&gt;"Yes","Not breached",IF($AM65="Yes","Pricing late",IF($BG65="Thin custody slack","Thin custody slack",IF($BF65="Yes","Broker-dependent","None of these")))))</f>
        <v/>
      </c>
      <c r="BI65" s="23" t="str">
        <f aca="false">IF($A65="","",IFERROR(IF(VLOOKUP($C65,Dim_Fund!$A:$AI,35,0)&gt;0,VLOOKUP($C65,Dim_Fund!$A:$AI,35,0),""),""))</f>
        <v/>
      </c>
      <c r="BJ65" s="10" t="str">
        <f aca="false">IF($A65="","",$C65&amp;IF($E65="Client","*",""))</f>
        <v/>
      </c>
      <c r="BK65" s="39" t="str">
        <f aca="false">IF($A65="","",IFERROR(ROUND(($Y65-$X65)*1440,0),""))</f>
        <v/>
      </c>
      <c r="BL65" s="39" t="str">
        <f aca="false">IF($A65="","",IF($AH65="","",-$AH65))</f>
        <v/>
      </c>
      <c r="BM65" s="46" t="str">
        <f aca="false">IF($A65="","",IF($AQ65="","",IF($AP65="",$AQ65,MIN($AP65,$AQ65))))</f>
        <v/>
      </c>
      <c r="BN65" s="46" t="str">
        <f aca="false">IF($A65="","",IF($BM65="","",ROUND(N($AC65)/60,4)))</f>
        <v/>
      </c>
      <c r="BO65" s="46" t="str">
        <f aca="false">IF($A65="","",IF(OR($BM65="",$AD65=""),"",ROUND($AD65/60,4)))</f>
        <v/>
      </c>
      <c r="BP65" s="46" t="str">
        <f aca="false">IF($A65="","",IF($BM65="","",ROUND(N($AE65)/60,4)))</f>
        <v/>
      </c>
      <c r="BQ65" s="46" t="str">
        <f aca="false">IF($A65="","",IF(OR($BM65="",$AF65=""),"",ROUND($AF65/60,4)))</f>
        <v/>
      </c>
      <c r="BR65" s="39" t="str">
        <f aca="false">IF($A65="","",IF($AC65="","",$AC65-$BD65-$BE65))</f>
        <v/>
      </c>
      <c r="BS65" s="45" t="str">
        <f aca="false">IF($A65="","",IF(AND(ISNUMBER($Z65),ISNUMBER($W65)),$Z65,0))</f>
        <v/>
      </c>
      <c r="BT65" s="45" t="str">
        <f aca="false">IF($A65="","",IF(ISNUMBER($W65),$W65,0))</f>
        <v/>
      </c>
      <c r="BU65" s="23" t="str">
        <f aca="false">IF($A65="","",IF(ISNUMBER($W65),ROUND(($W65-$B65)*24,4),""))</f>
        <v/>
      </c>
      <c r="BV65" s="23" t="str">
        <f aca="false">IF($A65="","",IF(ISNUMBER($X65),ROUND(($X65-$B65)*24,4),""))</f>
        <v/>
      </c>
      <c r="BW65" s="10" t="str">
        <f aca="false">IF($A65="","",IF(NOT(ISNUMBER($W65)),"Missing Calculated",IF(NOT(ISNUMBER($X65)),IF($E65="Client","Missing FA signed off","Missing Controlled"),IF($X65&lt;$W65,"End before start","OK"))))</f>
        <v/>
      </c>
      <c r="BX65" s="23" t="str">
        <f aca="false">IF($A65="","",IF(NOT(ISNUMBER($Z65)),"",ROUND((IF(ISNUMBER($U65),MIN($U65,$Z65),$Z65)-$B65)*24,4)))</f>
        <v/>
      </c>
      <c r="BY65" s="23" t="str">
        <f aca="false">IF($A65="","",IF(ISNUMBER($Z65),ROUND(($Z65-$B65)*24,4),""))</f>
        <v/>
      </c>
      <c r="BZ65" s="23" t="str">
        <f aca="false">IF($A65="","",IF(AND(ISNUMBER($W65),ISNUMBER($S65)),ROUND(($W65+$S65/1440-$B65)*24,4),""))</f>
        <v/>
      </c>
    </row>
    <row r="66" customFormat="false" ht="15" hidden="false" customHeight="true" outlineLevel="0" collapsed="false">
      <c r="A66" s="47"/>
      <c r="B66" s="47"/>
      <c r="D66" s="4" t="str">
        <f aca="false">IF($A66="","",$B66-$A66)</f>
        <v/>
      </c>
      <c r="E66" s="4" t="str">
        <f aca="false">IF($A66="","",IFERROR(VLOOKUP($C66,Dim_Fund!$A:$X,24,0),""))</f>
        <v/>
      </c>
      <c r="F66" s="37" t="str">
        <f aca="false">IF($A66="","",IF(COUNTIFS(Status_Log!$A:$A,$A66,Status_Log!$B:$B,$B66,Status_Log!$C:$C,$C66,Status_Log!$D:$D,"Changed to the status of Calculated")=0,"",_xlfn.MINIFS(Status_Log!$E:$E,Status_Log!$A:$A,$A66,Status_Log!$B:$B,$B66,Status_Log!$C:$C,$C66,Status_Log!$D:$D,"Changed to the status of Calculated")))</f>
        <v/>
      </c>
      <c r="G66" s="37" t="str">
        <f aca="false">IF($A66="","",IF(COUNTIFS(Status_Log!$A:$A,$A66,Status_Log!$B:$B,$B66,Status_Log!$C:$C,$C66,Status_Log!$D:$D,"Changed to the status of Controlled")=0,"",_xlfn.MAXIFS(Status_Log!$E:$E,Status_Log!$A:$A,$A66,Status_Log!$B:$B,$B66,Status_Log!$C:$C,$C66,Status_Log!$D:$D,"Changed to the status of Controlled")))</f>
        <v/>
      </c>
      <c r="H66" s="37" t="str">
        <f aca="false">IF($A66="","",IF(COUNTIFS(Status_Log!$A:$A,$A66,Status_Log!$B:$B,$B66,Status_Log!$C:$C,$C66,Status_Log!$D:$D,"Changed to the status of Fund accounting signed off")=0,"",_xlfn.MAXIFS(Status_Log!$E:$E,Status_Log!$A:$A,$A66,Status_Log!$B:$B,$B66,Status_Log!$C:$C,$C66,Status_Log!$D:$D,"Changed to the status of Fund accounting signed off")))</f>
        <v/>
      </c>
      <c r="I66" s="37" t="str">
        <f aca="false">IF($A66="","",IF(COUNTIFS(Status_Log!$A:$A,$A66,Status_Log!$B:$B,$B66,Status_Log!$C:$C,$C66,Status_Log!$D:$D,"Changed to the status of signed off")=0,"",_xlfn.MAXIFS(Status_Log!$E:$E,Status_Log!$A:$A,$A66,Status_Log!$B:$B,$B66,Status_Log!$C:$C,$C66,Status_Log!$D:$D,"Changed to the status of signed off")))</f>
        <v/>
      </c>
      <c r="J66" s="4" t="str">
        <f aca="false">IF($A66="","",COUNTIFS(Status_Log!$A:$A,$A66,Status_Log!$B:$B,$B66,Status_Log!$C:$C,$C66,Status_Log!$D:$D,"Changed to the status of Calculated"))</f>
        <v/>
      </c>
      <c r="K66" s="38" t="str">
        <f aca="false">IF($A66="","",IF(J66&lt;=1,0,ROUND((_xlfn.MAXIFS(Status_Log!$E:$E,Status_Log!$A:$A,$A66,Status_Log!$B:$B,$B66,Status_Log!$C:$C,$C66,Status_Log!$D:$D,"Changed to the status of Calculated")-F66)*1440,0)))</f>
        <v/>
      </c>
      <c r="L66" s="4" t="str">
        <f aca="false">IF($A66="","",IFERROR(INDEX(Status_Log!$F:$F,MATCH($A66&amp;"|"&amp;$B66&amp;"|"&amp;$C66&amp;"|Changed to the status of Calculated|"&amp;TEXT(_xlfn.MAXIFS(Status_Log!$E:$E,Status_Log!$A:$A,$A66,Status_Log!$B:$B,$B66,Status_Log!$C:$C,$C66,Status_Log!$D:$D,"Changed to the status of Calculated"),"0.000000"),Status_Log!$H:$H,0)),""))</f>
        <v/>
      </c>
      <c r="M66" s="4" t="str">
        <f aca="false">IF($A66="","",IF(E66="Client","n/a — no control step",IFERROR(INDEX(Status_Log!$F:$F,MATCH($A66&amp;"|"&amp;$B66&amp;"|"&amp;$C66&amp;"|Changed to the status of Controlled|"&amp;TEXT(_xlfn.MAXIFS(Status_Log!$E:$E,Status_Log!$A:$A,$A66,Status_Log!$B:$B,$B66,Status_Log!$C:$C,$C66,Status_Log!$D:$D,"Changed to the status of Controlled"),"0.000000"),Status_Log!$H:$H,0)),"")))</f>
        <v/>
      </c>
      <c r="N66" s="4" t="str">
        <f aca="false">IF($A66="","",IFERROR(VLOOKUP($C66,Dim_Fund!$A:$G,7,0),""))</f>
        <v/>
      </c>
      <c r="O66" s="4" t="str">
        <f aca="false">IF($A66="","",IF(L66=N66,"No","Yes"))</f>
        <v/>
      </c>
      <c r="P66" s="4" t="str">
        <f aca="false">IF($A66="","",IF(E66="Client","n/a",IF(L66=M66,"YES — four-eyes breach","No")))</f>
        <v/>
      </c>
      <c r="Q66" s="38" t="str">
        <f aca="false">IF($A66="","",IFERROR(VLOOKUP($C66,Dim_Fund!$A:$AB,28,0),""))</f>
        <v/>
      </c>
      <c r="R66" s="38" t="str">
        <f aca="false">IF($A66="","",IFERROR(VLOOKUP($C66,Dim_Fund!$A:$AC,29,0),""))</f>
        <v/>
      </c>
      <c r="S66" s="38" t="str">
        <f aca="false">IF($A66="","",IFERROR(VLOOKUP($C66,Dim_Fund!$A:$AD,30,0),""))</f>
        <v/>
      </c>
      <c r="T66" s="38" t="str">
        <f aca="false">IF($A66="","",IFERROR(VLOOKUP($C66,Dim_Fund!$A:$AL,38,0),""))</f>
        <v/>
      </c>
      <c r="U66" s="37" t="str">
        <f aca="false">IF($A66="","",IF(AL66="","",IFERROR(IF(COUNTIFS(Fact_Milestone!$A:$A,$B66,Fact_Milestone!$B:$B,AL66)=0,"",_xlfn.MAXIFS(Fact_Milestone!$C:$C,Fact_Milestone!$A:$A,$B66,Fact_Milestone!$B:$B,AL66)),"")))</f>
        <v/>
      </c>
      <c r="V66" s="37" t="str">
        <f aca="false">IF($A66="","",IFERROR(IF(VLOOKUP($C66,Dim_Fund!$A:$AI,35,0)&gt;0,$B66+VLOOKUP($C66,Dim_Fund!$A:$AI,35,0)/24,""),""))</f>
        <v/>
      </c>
      <c r="W66" s="37" t="str">
        <f aca="false">IF($A66="","",F66)</f>
        <v/>
      </c>
      <c r="X66" s="37" t="str">
        <f aca="false">IF($A66="","",IF(E66="Client",H66,G66))</f>
        <v/>
      </c>
      <c r="Y66" s="37" t="str">
        <f aca="false">IF($A66="","",I66)</f>
        <v/>
      </c>
      <c r="Z66" s="37" t="str">
        <f aca="false">IF($A66="","",IFERROR(W66-R66/1440,""))</f>
        <v/>
      </c>
      <c r="AA66" s="38" t="str">
        <f aca="false">IF($A66="","",IF(OR(U66="",V66=""),"",ROUND((V66-U66)*1440,0)))</f>
        <v/>
      </c>
      <c r="AB66" s="38" t="str">
        <f aca="false">IF($A66="","",IF(U66="","",ROUND((W66-U66)*1440,0)))</f>
        <v/>
      </c>
      <c r="AC66" s="38" t="str">
        <f aca="false">IF($A66="","",IF(AB66="","",MAX(0,AB66)))</f>
        <v/>
      </c>
      <c r="AD66" s="38" t="str">
        <f aca="false">IF($A66="","",IFERROR(ROUND((X66-W66)*1440,0),""))</f>
        <v/>
      </c>
      <c r="AE66" s="38" t="str">
        <f aca="false">IF($A66="","",IF(E66="Client","n/a",IFERROR(ROUND((H66-G66)*1440,0),"")))</f>
        <v/>
      </c>
      <c r="AF66" s="38" t="str">
        <f aca="false">IF($A66="","",IFERROR(ROUND((Y66-H66)*1440,0),""))</f>
        <v/>
      </c>
      <c r="AG66" s="38" t="str">
        <f aca="false">IF($A66="","",IFERROR(ROUND((H66-F66)*1440,0),""))</f>
        <v/>
      </c>
      <c r="AH66" s="38" t="str">
        <f aca="false">IF($A66="","",IFERROR(ROUND((Y66-V66)*1440,0),""))</f>
        <v/>
      </c>
      <c r="AI66" s="4" t="str">
        <f aca="false">IF($A66="","",IF(AH66="","",IF(AH66&gt;0,"Yes","No")))</f>
        <v/>
      </c>
      <c r="AJ66" s="4" t="str">
        <f aca="false">IF($A66="","",IF(AI66&lt;&gt;"Yes","On time",IF(N(AC66)&gt;=MAX(N(AF66),N(K66)),"Wait for analyst",IF(N(AF66)&gt;=N(K66),"External sign-off","Rework"))))</f>
        <v/>
      </c>
      <c r="AK66" s="4" t="str">
        <f aca="false">IF($A66="","",IF(OR(F66="",Y66="",ISNA(MATCH(L66,Dim_Analyst!$A:$A,0))),"CHECK","OK"))</f>
        <v/>
      </c>
      <c r="AL66" s="4" t="str">
        <f aca="false">IF($A66="","",IFERROR(VLOOKUP($C66,Dim_Fund!$A:$U,21,0),""))</f>
        <v/>
      </c>
      <c r="AM66" s="4" t="str">
        <f aca="false">IF($A66="","",IF($U66="","",IF($U66&gt;$B66+IFERROR(VLOOKUP($C66,Dim_Fund!$A:$AH,34,0),0)/24,"Yes","No")))</f>
        <v/>
      </c>
      <c r="AN66" s="22" t="str">
        <f aca="false">IF($A66="","",IFERROR(VLOOKUP($C66,Dim_Fund!$A:$AH,34,0),""))</f>
        <v/>
      </c>
      <c r="AO66" s="22" t="str">
        <f aca="false">IF($A66="","",IF($AL66="","",IFERROR(FLOOR(IF(COUNTIFS(Fact_Milestone!$A:$A,$B66,Fact_Milestone!$B:$B,$AL66,Fact_Milestone!$F:$F,"&gt;0")&gt;0,_xlfn.MINIFS(Fact_Milestone!$F:$F,Fact_Milestone!$A:$A,$B66,Fact_Milestone!$B:$B,$AL66,Fact_Milestone!$F:$F,"&gt;0"),VLOOKUP($AL66,Dim_TOP!$A:$E,5,0)),0.5),"")))</f>
        <v/>
      </c>
      <c r="AP66" s="22" t="str">
        <f aca="false">IF($A66="","",IF($U66="","",ROUND(($U66-INT($U66))*24,4)))</f>
        <v/>
      </c>
      <c r="AQ66" s="22" t="str">
        <f aca="false">IF($A66="","",IF($W66="","",ROUND(($W66-INT($W66))*24,4)))</f>
        <v/>
      </c>
      <c r="AR66" s="22" t="str">
        <f aca="false">IF($A66="","",IF($X66="","",ROUND(($X66-INT($X66))*24,4)))</f>
        <v/>
      </c>
      <c r="AS66" s="38" t="str">
        <f aca="false">IF($A66="","",IF(OR($AN66="",$V66="",$S66="",$T66=""),"",ROUND(($V66-($B66+$AN66/24))*1440-$S66-$T66,0)))</f>
        <v/>
      </c>
      <c r="AT66" s="38" t="str">
        <f aca="false">IF($A66="","",IF(OR($AN66="",$U66=""),"",ROUND(($U66-($B66+$AN66/24))*1440,0)))</f>
        <v/>
      </c>
      <c r="AU66" s="38" t="str">
        <f aca="false">IF($A66="","",IF(OR($AD66="",$S66=""),"",ROUND($AD66-$S66,0)))</f>
        <v/>
      </c>
      <c r="AV66" s="38" t="str">
        <f aca="false">IF($A66="","",N($AE66))</f>
        <v/>
      </c>
      <c r="AW66" s="38" t="str">
        <f aca="false">IF($A66="","",IF(OR($AF66="",$T66=""),"",$AF66-$T66))</f>
        <v/>
      </c>
      <c r="AX66" s="38" t="str">
        <f aca="false">IF($A66="","",IF(COUNT($AT66,$AB66,$AU66,$AW66,$AS66,$AH66)&lt;6,"",ROUND($AT66+$AB66+$AU66+$AV66+$AW66-$AS66-$AH66,0)))</f>
        <v/>
      </c>
      <c r="AY66" s="4" t="str">
        <f aca="false">IF($A66="","",IF($AX66="","No",IF(ABS($AX66)&lt;=2,"Yes","No")))</f>
        <v/>
      </c>
      <c r="AZ66" s="4" t="str">
        <f aca="false">IF($A66="","",IF($AI66&lt;&gt;"Yes","n/a",IF(OR($AA66="",$S66="",$T66=""),"Unknown",IF($AA66&lt;$S66+$T66,"Lost on arrival","Lost after arrival"))))</f>
        <v/>
      </c>
      <c r="BA66" s="10" t="str">
        <f aca="false">IF($A66="","",IFERROR(VLOOKUP($C66,Dim_Fund!$A:$D,4,0),""))</f>
        <v/>
      </c>
      <c r="BB66" s="10" t="str">
        <f aca="false">IF($A66="","",IF($AL66="","",IF(COUNTIFS(Fact_Milestone!$A:$A,$B66,Fact_Milestone!$B:$B,$AL66,Fact_Milestone!$I:$I,"No")&gt;0,"No",IF(COUNTIFS(Fact_Milestone!$A:$A,$B66,Fact_Milestone!$B:$B,$AL66,Fact_Milestone!$I:$I,"Yes")&gt;0,"Yes",""))))</f>
        <v/>
      </c>
      <c r="BC66" s="45" t="str">
        <f aca="false">IF($A66="","",IF(OR($L66="",$W66=""),"",IF(COUNTIFS($L:$L,$L66,$B:$B,$B66,$W:$W,"&lt;"&amp;$W66)=0,"",_xlfn.MAXIFS($W:$W,$L:$L,$L66,$B:$B,$B66,$W:$W,"&lt;"&amp;$W66))))</f>
        <v/>
      </c>
      <c r="BD66" s="39" t="str">
        <f aca="false">IF($A66="","",IF($AC66="","",IF(OR($L66="",$AC66=0),0,MIN($AC66,ROUND(ROUND(1440*SUMPRODUCT(($L$2:INDEX($L:$L,COUNTA($C:$C))=$L66)*($B$2:INDEX($B:$B,COUNTA($C:$C))=$B66)*(ROW($L$2:INDEX($L:$L,COUNTA($C:$C)))&lt;&gt;ROW())*((((($W66+$BT$2:INDEX($BT:$BT,COUNTA($C:$C))-ABS($W66-$BT$2:INDEX($BT:$BT,COUNTA($C:$C))))/2)-(($U66+$BS$2:INDEX($BS:$BS,COUNTA($C:$C))+ABS($U66-$BS$2:INDEX($BS:$BS,COUNTA($C:$C))))/2))+ABS(((($W66+$BT$2:INDEX($BT:$BT,COUNTA($C:$C))-ABS($W66-$BT$2:INDEX($BT:$BT,COUNTA($C:$C))))/2)-(($U66+$BS$2:INDEX($BS:$BS,COUNTA($C:$C))+ABS($U66-$BS$2:INDEX($BS:$BS,COUNTA($C:$C))))/2))))/2)),4),0)))))</f>
        <v/>
      </c>
      <c r="BE66" s="39" t="str">
        <f aca="false">IF($A66="","",IF($AC66="","",ROUND(MIN($AC66-$BD66,N($R66)),0)))</f>
        <v/>
      </c>
      <c r="BF66" s="10" t="str">
        <f aca="false">IF($A66="","",IFERROR(VLOOKUP($C66,Dim_Fund!$A:$BD,56,0),""))</f>
        <v/>
      </c>
      <c r="BG66" s="10" t="str">
        <f aca="false">IF($A66="","",IFERROR(VLOOKUP($C66,Dim_Fund!$A:$BH,60,0),""))</f>
        <v/>
      </c>
      <c r="BH66" s="10" t="str">
        <f aca="false">IF($A66="","",IF($AI66&lt;&gt;"Yes","Not breached",IF($AM66="Yes","Pricing late",IF($BG66="Thin custody slack","Thin custody slack",IF($BF66="Yes","Broker-dependent","None of these")))))</f>
        <v/>
      </c>
      <c r="BI66" s="23" t="str">
        <f aca="false">IF($A66="","",IFERROR(IF(VLOOKUP($C66,Dim_Fund!$A:$AI,35,0)&gt;0,VLOOKUP($C66,Dim_Fund!$A:$AI,35,0),""),""))</f>
        <v/>
      </c>
      <c r="BJ66" s="10" t="str">
        <f aca="false">IF($A66="","",$C66&amp;IF($E66="Client","*",""))</f>
        <v/>
      </c>
      <c r="BK66" s="39" t="str">
        <f aca="false">IF($A66="","",IFERROR(ROUND(($Y66-$X66)*1440,0),""))</f>
        <v/>
      </c>
      <c r="BL66" s="39" t="str">
        <f aca="false">IF($A66="","",IF($AH66="","",-$AH66))</f>
        <v/>
      </c>
      <c r="BM66" s="46" t="str">
        <f aca="false">IF($A66="","",IF($AQ66="","",IF($AP66="",$AQ66,MIN($AP66,$AQ66))))</f>
        <v/>
      </c>
      <c r="BN66" s="46" t="str">
        <f aca="false">IF($A66="","",IF($BM66="","",ROUND(N($AC66)/60,4)))</f>
        <v/>
      </c>
      <c r="BO66" s="46" t="str">
        <f aca="false">IF($A66="","",IF(OR($BM66="",$AD66=""),"",ROUND($AD66/60,4)))</f>
        <v/>
      </c>
      <c r="BP66" s="46" t="str">
        <f aca="false">IF($A66="","",IF($BM66="","",ROUND(N($AE66)/60,4)))</f>
        <v/>
      </c>
      <c r="BQ66" s="46" t="str">
        <f aca="false">IF($A66="","",IF(OR($BM66="",$AF66=""),"",ROUND($AF66/60,4)))</f>
        <v/>
      </c>
      <c r="BR66" s="39" t="str">
        <f aca="false">IF($A66="","",IF($AC66="","",$AC66-$BD66-$BE66))</f>
        <v/>
      </c>
      <c r="BS66" s="45" t="str">
        <f aca="false">IF($A66="","",IF(AND(ISNUMBER($Z66),ISNUMBER($W66)),$Z66,0))</f>
        <v/>
      </c>
      <c r="BT66" s="45" t="str">
        <f aca="false">IF($A66="","",IF(ISNUMBER($W66),$W66,0))</f>
        <v/>
      </c>
      <c r="BU66" s="23" t="str">
        <f aca="false">IF($A66="","",IF(ISNUMBER($W66),ROUND(($W66-$B66)*24,4),""))</f>
        <v/>
      </c>
      <c r="BV66" s="23" t="str">
        <f aca="false">IF($A66="","",IF(ISNUMBER($X66),ROUND(($X66-$B66)*24,4),""))</f>
        <v/>
      </c>
      <c r="BW66" s="10" t="str">
        <f aca="false">IF($A66="","",IF(NOT(ISNUMBER($W66)),"Missing Calculated",IF(NOT(ISNUMBER($X66)),IF($E66="Client","Missing FA signed off","Missing Controlled"),IF($X66&lt;$W66,"End before start","OK"))))</f>
        <v/>
      </c>
      <c r="BX66" s="23" t="str">
        <f aca="false">IF($A66="","",IF(NOT(ISNUMBER($Z66)),"",ROUND((IF(ISNUMBER($U66),MIN($U66,$Z66),$Z66)-$B66)*24,4)))</f>
        <v/>
      </c>
      <c r="BY66" s="23" t="str">
        <f aca="false">IF($A66="","",IF(ISNUMBER($Z66),ROUND(($Z66-$B66)*24,4),""))</f>
        <v/>
      </c>
      <c r="BZ66" s="23" t="str">
        <f aca="false">IF($A66="","",IF(AND(ISNUMBER($W66),ISNUMBER($S66)),ROUND(($W66+$S66/1440-$B66)*24,4),""))</f>
        <v/>
      </c>
    </row>
    <row r="67" customFormat="false" ht="15" hidden="false" customHeight="true" outlineLevel="0" collapsed="false">
      <c r="A67" s="47"/>
      <c r="B67" s="47"/>
      <c r="D67" s="4" t="str">
        <f aca="false">IF($A67="","",$B67-$A67)</f>
        <v/>
      </c>
      <c r="E67" s="4" t="str">
        <f aca="false">IF($A67="","",IFERROR(VLOOKUP($C67,Dim_Fund!$A:$X,24,0),""))</f>
        <v/>
      </c>
      <c r="F67" s="37" t="str">
        <f aca="false">IF($A67="","",IF(COUNTIFS(Status_Log!$A:$A,$A67,Status_Log!$B:$B,$B67,Status_Log!$C:$C,$C67,Status_Log!$D:$D,"Changed to the status of Calculated")=0,"",_xlfn.MINIFS(Status_Log!$E:$E,Status_Log!$A:$A,$A67,Status_Log!$B:$B,$B67,Status_Log!$C:$C,$C67,Status_Log!$D:$D,"Changed to the status of Calculated")))</f>
        <v/>
      </c>
      <c r="G67" s="37" t="str">
        <f aca="false">IF($A67="","",IF(COUNTIFS(Status_Log!$A:$A,$A67,Status_Log!$B:$B,$B67,Status_Log!$C:$C,$C67,Status_Log!$D:$D,"Changed to the status of Controlled")=0,"",_xlfn.MAXIFS(Status_Log!$E:$E,Status_Log!$A:$A,$A67,Status_Log!$B:$B,$B67,Status_Log!$C:$C,$C67,Status_Log!$D:$D,"Changed to the status of Controlled")))</f>
        <v/>
      </c>
      <c r="H67" s="37" t="str">
        <f aca="false">IF($A67="","",IF(COUNTIFS(Status_Log!$A:$A,$A67,Status_Log!$B:$B,$B67,Status_Log!$C:$C,$C67,Status_Log!$D:$D,"Changed to the status of Fund accounting signed off")=0,"",_xlfn.MAXIFS(Status_Log!$E:$E,Status_Log!$A:$A,$A67,Status_Log!$B:$B,$B67,Status_Log!$C:$C,$C67,Status_Log!$D:$D,"Changed to the status of Fund accounting signed off")))</f>
        <v/>
      </c>
      <c r="I67" s="37" t="str">
        <f aca="false">IF($A67="","",IF(COUNTIFS(Status_Log!$A:$A,$A67,Status_Log!$B:$B,$B67,Status_Log!$C:$C,$C67,Status_Log!$D:$D,"Changed to the status of signed off")=0,"",_xlfn.MAXIFS(Status_Log!$E:$E,Status_Log!$A:$A,$A67,Status_Log!$B:$B,$B67,Status_Log!$C:$C,$C67,Status_Log!$D:$D,"Changed to the status of signed off")))</f>
        <v/>
      </c>
      <c r="J67" s="4" t="str">
        <f aca="false">IF($A67="","",COUNTIFS(Status_Log!$A:$A,$A67,Status_Log!$B:$B,$B67,Status_Log!$C:$C,$C67,Status_Log!$D:$D,"Changed to the status of Calculated"))</f>
        <v/>
      </c>
      <c r="K67" s="38" t="str">
        <f aca="false">IF($A67="","",IF(J67&lt;=1,0,ROUND((_xlfn.MAXIFS(Status_Log!$E:$E,Status_Log!$A:$A,$A67,Status_Log!$B:$B,$B67,Status_Log!$C:$C,$C67,Status_Log!$D:$D,"Changed to the status of Calculated")-F67)*1440,0)))</f>
        <v/>
      </c>
      <c r="L67" s="4" t="str">
        <f aca="false">IF($A67="","",IFERROR(INDEX(Status_Log!$F:$F,MATCH($A67&amp;"|"&amp;$B67&amp;"|"&amp;$C67&amp;"|Changed to the status of Calculated|"&amp;TEXT(_xlfn.MAXIFS(Status_Log!$E:$E,Status_Log!$A:$A,$A67,Status_Log!$B:$B,$B67,Status_Log!$C:$C,$C67,Status_Log!$D:$D,"Changed to the status of Calculated"),"0.000000"),Status_Log!$H:$H,0)),""))</f>
        <v/>
      </c>
      <c r="M67" s="4" t="str">
        <f aca="false">IF($A67="","",IF(E67="Client","n/a — no control step",IFERROR(INDEX(Status_Log!$F:$F,MATCH($A67&amp;"|"&amp;$B67&amp;"|"&amp;$C67&amp;"|Changed to the status of Controlled|"&amp;TEXT(_xlfn.MAXIFS(Status_Log!$E:$E,Status_Log!$A:$A,$A67,Status_Log!$B:$B,$B67,Status_Log!$C:$C,$C67,Status_Log!$D:$D,"Changed to the status of Controlled"),"0.000000"),Status_Log!$H:$H,0)),"")))</f>
        <v/>
      </c>
      <c r="N67" s="4" t="str">
        <f aca="false">IF($A67="","",IFERROR(VLOOKUP($C67,Dim_Fund!$A:$G,7,0),""))</f>
        <v/>
      </c>
      <c r="O67" s="4" t="str">
        <f aca="false">IF($A67="","",IF(L67=N67,"No","Yes"))</f>
        <v/>
      </c>
      <c r="P67" s="4" t="str">
        <f aca="false">IF($A67="","",IF(E67="Client","n/a",IF(L67=M67,"YES — four-eyes breach","No")))</f>
        <v/>
      </c>
      <c r="Q67" s="38" t="str">
        <f aca="false">IF($A67="","",IFERROR(VLOOKUP($C67,Dim_Fund!$A:$AB,28,0),""))</f>
        <v/>
      </c>
      <c r="R67" s="38" t="str">
        <f aca="false">IF($A67="","",IFERROR(VLOOKUP($C67,Dim_Fund!$A:$AC,29,0),""))</f>
        <v/>
      </c>
      <c r="S67" s="38" t="str">
        <f aca="false">IF($A67="","",IFERROR(VLOOKUP($C67,Dim_Fund!$A:$AD,30,0),""))</f>
        <v/>
      </c>
      <c r="T67" s="38" t="str">
        <f aca="false">IF($A67="","",IFERROR(VLOOKUP($C67,Dim_Fund!$A:$AL,38,0),""))</f>
        <v/>
      </c>
      <c r="U67" s="37" t="str">
        <f aca="false">IF($A67="","",IF(AL67="","",IFERROR(IF(COUNTIFS(Fact_Milestone!$A:$A,$B67,Fact_Milestone!$B:$B,AL67)=0,"",_xlfn.MAXIFS(Fact_Milestone!$C:$C,Fact_Milestone!$A:$A,$B67,Fact_Milestone!$B:$B,AL67)),"")))</f>
        <v/>
      </c>
      <c r="V67" s="37" t="str">
        <f aca="false">IF($A67="","",IFERROR(IF(VLOOKUP($C67,Dim_Fund!$A:$AI,35,0)&gt;0,$B67+VLOOKUP($C67,Dim_Fund!$A:$AI,35,0)/24,""),""))</f>
        <v/>
      </c>
      <c r="W67" s="37" t="str">
        <f aca="false">IF($A67="","",F67)</f>
        <v/>
      </c>
      <c r="X67" s="37" t="str">
        <f aca="false">IF($A67="","",IF(E67="Client",H67,G67))</f>
        <v/>
      </c>
      <c r="Y67" s="37" t="str">
        <f aca="false">IF($A67="","",I67)</f>
        <v/>
      </c>
      <c r="Z67" s="37" t="str">
        <f aca="false">IF($A67="","",IFERROR(W67-R67/1440,""))</f>
        <v/>
      </c>
      <c r="AA67" s="38" t="str">
        <f aca="false">IF($A67="","",IF(OR(U67="",V67=""),"",ROUND((V67-U67)*1440,0)))</f>
        <v/>
      </c>
      <c r="AB67" s="38" t="str">
        <f aca="false">IF($A67="","",IF(U67="","",ROUND((W67-U67)*1440,0)))</f>
        <v/>
      </c>
      <c r="AC67" s="38" t="str">
        <f aca="false">IF($A67="","",IF(AB67="","",MAX(0,AB67)))</f>
        <v/>
      </c>
      <c r="AD67" s="38" t="str">
        <f aca="false">IF($A67="","",IFERROR(ROUND((X67-W67)*1440,0),""))</f>
        <v/>
      </c>
      <c r="AE67" s="38" t="str">
        <f aca="false">IF($A67="","",IF(E67="Client","n/a",IFERROR(ROUND((H67-G67)*1440,0),"")))</f>
        <v/>
      </c>
      <c r="AF67" s="38" t="str">
        <f aca="false">IF($A67="","",IFERROR(ROUND((Y67-H67)*1440,0),""))</f>
        <v/>
      </c>
      <c r="AG67" s="38" t="str">
        <f aca="false">IF($A67="","",IFERROR(ROUND((H67-F67)*1440,0),""))</f>
        <v/>
      </c>
      <c r="AH67" s="38" t="str">
        <f aca="false">IF($A67="","",IFERROR(ROUND((Y67-V67)*1440,0),""))</f>
        <v/>
      </c>
      <c r="AI67" s="4" t="str">
        <f aca="false">IF($A67="","",IF(AH67="","",IF(AH67&gt;0,"Yes","No")))</f>
        <v/>
      </c>
      <c r="AJ67" s="4" t="str">
        <f aca="false">IF($A67="","",IF(AI67&lt;&gt;"Yes","On time",IF(N(AC67)&gt;=MAX(N(AF67),N(K67)),"Wait for analyst",IF(N(AF67)&gt;=N(K67),"External sign-off","Rework"))))</f>
        <v/>
      </c>
      <c r="AK67" s="4" t="str">
        <f aca="false">IF($A67="","",IF(OR(F67="",Y67="",ISNA(MATCH(L67,Dim_Analyst!$A:$A,0))),"CHECK","OK"))</f>
        <v/>
      </c>
      <c r="AL67" s="4" t="str">
        <f aca="false">IF($A67="","",IFERROR(VLOOKUP($C67,Dim_Fund!$A:$U,21,0),""))</f>
        <v/>
      </c>
      <c r="AM67" s="4" t="str">
        <f aca="false">IF($A67="","",IF($U67="","",IF($U67&gt;$B67+IFERROR(VLOOKUP($C67,Dim_Fund!$A:$AH,34,0),0)/24,"Yes","No")))</f>
        <v/>
      </c>
      <c r="AN67" s="22" t="str">
        <f aca="false">IF($A67="","",IFERROR(VLOOKUP($C67,Dim_Fund!$A:$AH,34,0),""))</f>
        <v/>
      </c>
      <c r="AO67" s="22" t="str">
        <f aca="false">IF($A67="","",IF($AL67="","",IFERROR(FLOOR(IF(COUNTIFS(Fact_Milestone!$A:$A,$B67,Fact_Milestone!$B:$B,$AL67,Fact_Milestone!$F:$F,"&gt;0")&gt;0,_xlfn.MINIFS(Fact_Milestone!$F:$F,Fact_Milestone!$A:$A,$B67,Fact_Milestone!$B:$B,$AL67,Fact_Milestone!$F:$F,"&gt;0"),VLOOKUP($AL67,Dim_TOP!$A:$E,5,0)),0.5),"")))</f>
        <v/>
      </c>
      <c r="AP67" s="22" t="str">
        <f aca="false">IF($A67="","",IF($U67="","",ROUND(($U67-INT($U67))*24,4)))</f>
        <v/>
      </c>
      <c r="AQ67" s="22" t="str">
        <f aca="false">IF($A67="","",IF($W67="","",ROUND(($W67-INT($W67))*24,4)))</f>
        <v/>
      </c>
      <c r="AR67" s="22" t="str">
        <f aca="false">IF($A67="","",IF($X67="","",ROUND(($X67-INT($X67))*24,4)))</f>
        <v/>
      </c>
      <c r="AS67" s="38" t="str">
        <f aca="false">IF($A67="","",IF(OR($AN67="",$V67="",$S67="",$T67=""),"",ROUND(($V67-($B67+$AN67/24))*1440-$S67-$T67,0)))</f>
        <v/>
      </c>
      <c r="AT67" s="38" t="str">
        <f aca="false">IF($A67="","",IF(OR($AN67="",$U67=""),"",ROUND(($U67-($B67+$AN67/24))*1440,0)))</f>
        <v/>
      </c>
      <c r="AU67" s="38" t="str">
        <f aca="false">IF($A67="","",IF(OR($AD67="",$S67=""),"",ROUND($AD67-$S67,0)))</f>
        <v/>
      </c>
      <c r="AV67" s="38" t="str">
        <f aca="false">IF($A67="","",N($AE67))</f>
        <v/>
      </c>
      <c r="AW67" s="38" t="str">
        <f aca="false">IF($A67="","",IF(OR($AF67="",$T67=""),"",$AF67-$T67))</f>
        <v/>
      </c>
      <c r="AX67" s="38" t="str">
        <f aca="false">IF($A67="","",IF(COUNT($AT67,$AB67,$AU67,$AW67,$AS67,$AH67)&lt;6,"",ROUND($AT67+$AB67+$AU67+$AV67+$AW67-$AS67-$AH67,0)))</f>
        <v/>
      </c>
      <c r="AY67" s="4" t="str">
        <f aca="false">IF($A67="","",IF($AX67="","No",IF(ABS($AX67)&lt;=2,"Yes","No")))</f>
        <v/>
      </c>
      <c r="AZ67" s="4" t="str">
        <f aca="false">IF($A67="","",IF($AI67&lt;&gt;"Yes","n/a",IF(OR($AA67="",$S67="",$T67=""),"Unknown",IF($AA67&lt;$S67+$T67,"Lost on arrival","Lost after arrival"))))</f>
        <v/>
      </c>
      <c r="BA67" s="10" t="str">
        <f aca="false">IF($A67="","",IFERROR(VLOOKUP($C67,Dim_Fund!$A:$D,4,0),""))</f>
        <v/>
      </c>
      <c r="BB67" s="10" t="str">
        <f aca="false">IF($A67="","",IF($AL67="","",IF(COUNTIFS(Fact_Milestone!$A:$A,$B67,Fact_Milestone!$B:$B,$AL67,Fact_Milestone!$I:$I,"No")&gt;0,"No",IF(COUNTIFS(Fact_Milestone!$A:$A,$B67,Fact_Milestone!$B:$B,$AL67,Fact_Milestone!$I:$I,"Yes")&gt;0,"Yes",""))))</f>
        <v/>
      </c>
      <c r="BC67" s="45" t="str">
        <f aca="false">IF($A67="","",IF(OR($L67="",$W67=""),"",IF(COUNTIFS($L:$L,$L67,$B:$B,$B67,$W:$W,"&lt;"&amp;$W67)=0,"",_xlfn.MAXIFS($W:$W,$L:$L,$L67,$B:$B,$B67,$W:$W,"&lt;"&amp;$W67))))</f>
        <v/>
      </c>
      <c r="BD67" s="39" t="str">
        <f aca="false">IF($A67="","",IF($AC67="","",IF(OR($L67="",$AC67=0),0,MIN($AC67,ROUND(ROUND(1440*SUMPRODUCT(($L$2:INDEX($L:$L,COUNTA($C:$C))=$L67)*($B$2:INDEX($B:$B,COUNTA($C:$C))=$B67)*(ROW($L$2:INDEX($L:$L,COUNTA($C:$C)))&lt;&gt;ROW())*((((($W67+$BT$2:INDEX($BT:$BT,COUNTA($C:$C))-ABS($W67-$BT$2:INDEX($BT:$BT,COUNTA($C:$C))))/2)-(($U67+$BS$2:INDEX($BS:$BS,COUNTA($C:$C))+ABS($U67-$BS$2:INDEX($BS:$BS,COUNTA($C:$C))))/2))+ABS(((($W67+$BT$2:INDEX($BT:$BT,COUNTA($C:$C))-ABS($W67-$BT$2:INDEX($BT:$BT,COUNTA($C:$C))))/2)-(($U67+$BS$2:INDEX($BS:$BS,COUNTA($C:$C))+ABS($U67-$BS$2:INDEX($BS:$BS,COUNTA($C:$C))))/2))))/2)),4),0)))))</f>
        <v/>
      </c>
      <c r="BE67" s="39" t="str">
        <f aca="false">IF($A67="","",IF($AC67="","",ROUND(MIN($AC67-$BD67,N($R67)),0)))</f>
        <v/>
      </c>
      <c r="BF67" s="10" t="str">
        <f aca="false">IF($A67="","",IFERROR(VLOOKUP($C67,Dim_Fund!$A:$BD,56,0),""))</f>
        <v/>
      </c>
      <c r="BG67" s="10" t="str">
        <f aca="false">IF($A67="","",IFERROR(VLOOKUP($C67,Dim_Fund!$A:$BH,60,0),""))</f>
        <v/>
      </c>
      <c r="BH67" s="10" t="str">
        <f aca="false">IF($A67="","",IF($AI67&lt;&gt;"Yes","Not breached",IF($AM67="Yes","Pricing late",IF($BG67="Thin custody slack","Thin custody slack",IF($BF67="Yes","Broker-dependent","None of these")))))</f>
        <v/>
      </c>
      <c r="BI67" s="23" t="str">
        <f aca="false">IF($A67="","",IFERROR(IF(VLOOKUP($C67,Dim_Fund!$A:$AI,35,0)&gt;0,VLOOKUP($C67,Dim_Fund!$A:$AI,35,0),""),""))</f>
        <v/>
      </c>
      <c r="BJ67" s="10" t="str">
        <f aca="false">IF($A67="","",$C67&amp;IF($E67="Client","*",""))</f>
        <v/>
      </c>
      <c r="BK67" s="39" t="str">
        <f aca="false">IF($A67="","",IFERROR(ROUND(($Y67-$X67)*1440,0),""))</f>
        <v/>
      </c>
      <c r="BL67" s="39" t="str">
        <f aca="false">IF($A67="","",IF($AH67="","",-$AH67))</f>
        <v/>
      </c>
      <c r="BM67" s="46" t="str">
        <f aca="false">IF($A67="","",IF($AQ67="","",IF($AP67="",$AQ67,MIN($AP67,$AQ67))))</f>
        <v/>
      </c>
      <c r="BN67" s="46" t="str">
        <f aca="false">IF($A67="","",IF($BM67="","",ROUND(N($AC67)/60,4)))</f>
        <v/>
      </c>
      <c r="BO67" s="46" t="str">
        <f aca="false">IF($A67="","",IF(OR($BM67="",$AD67=""),"",ROUND($AD67/60,4)))</f>
        <v/>
      </c>
      <c r="BP67" s="46" t="str">
        <f aca="false">IF($A67="","",IF($BM67="","",ROUND(N($AE67)/60,4)))</f>
        <v/>
      </c>
      <c r="BQ67" s="46" t="str">
        <f aca="false">IF($A67="","",IF(OR($BM67="",$AF67=""),"",ROUND($AF67/60,4)))</f>
        <v/>
      </c>
      <c r="BR67" s="39" t="str">
        <f aca="false">IF($A67="","",IF($AC67="","",$AC67-$BD67-$BE67))</f>
        <v/>
      </c>
      <c r="BS67" s="45" t="str">
        <f aca="false">IF($A67="","",IF(AND(ISNUMBER($Z67),ISNUMBER($W67)),$Z67,0))</f>
        <v/>
      </c>
      <c r="BT67" s="45" t="str">
        <f aca="false">IF($A67="","",IF(ISNUMBER($W67),$W67,0))</f>
        <v/>
      </c>
      <c r="BU67" s="23" t="str">
        <f aca="false">IF($A67="","",IF(ISNUMBER($W67),ROUND(($W67-$B67)*24,4),""))</f>
        <v/>
      </c>
      <c r="BV67" s="23" t="str">
        <f aca="false">IF($A67="","",IF(ISNUMBER($X67),ROUND(($X67-$B67)*24,4),""))</f>
        <v/>
      </c>
      <c r="BW67" s="10" t="str">
        <f aca="false">IF($A67="","",IF(NOT(ISNUMBER($W67)),"Missing Calculated",IF(NOT(ISNUMBER($X67)),IF($E67="Client","Missing FA signed off","Missing Controlled"),IF($X67&lt;$W67,"End before start","OK"))))</f>
        <v/>
      </c>
      <c r="BX67" s="23" t="str">
        <f aca="false">IF($A67="","",IF(NOT(ISNUMBER($Z67)),"",ROUND((IF(ISNUMBER($U67),MIN($U67,$Z67),$Z67)-$B67)*24,4)))</f>
        <v/>
      </c>
      <c r="BY67" s="23" t="str">
        <f aca="false">IF($A67="","",IF(ISNUMBER($Z67),ROUND(($Z67-$B67)*24,4),""))</f>
        <v/>
      </c>
      <c r="BZ67" s="23" t="str">
        <f aca="false">IF($A67="","",IF(AND(ISNUMBER($W67),ISNUMBER($S67)),ROUND(($W67+$S67/1440-$B67)*24,4),""))</f>
        <v/>
      </c>
    </row>
    <row r="68" customFormat="false" ht="15" hidden="false" customHeight="true" outlineLevel="0" collapsed="false">
      <c r="A68" s="47"/>
      <c r="B68" s="47"/>
      <c r="D68" s="4" t="str">
        <f aca="false">IF($A68="","",$B68-$A68)</f>
        <v/>
      </c>
      <c r="E68" s="4" t="str">
        <f aca="false">IF($A68="","",IFERROR(VLOOKUP($C68,Dim_Fund!$A:$X,24,0),""))</f>
        <v/>
      </c>
      <c r="F68" s="37" t="str">
        <f aca="false">IF($A68="","",IF(COUNTIFS(Status_Log!$A:$A,$A68,Status_Log!$B:$B,$B68,Status_Log!$C:$C,$C68,Status_Log!$D:$D,"Changed to the status of Calculated")=0,"",_xlfn.MINIFS(Status_Log!$E:$E,Status_Log!$A:$A,$A68,Status_Log!$B:$B,$B68,Status_Log!$C:$C,$C68,Status_Log!$D:$D,"Changed to the status of Calculated")))</f>
        <v/>
      </c>
      <c r="G68" s="37" t="str">
        <f aca="false">IF($A68="","",IF(COUNTIFS(Status_Log!$A:$A,$A68,Status_Log!$B:$B,$B68,Status_Log!$C:$C,$C68,Status_Log!$D:$D,"Changed to the status of Controlled")=0,"",_xlfn.MAXIFS(Status_Log!$E:$E,Status_Log!$A:$A,$A68,Status_Log!$B:$B,$B68,Status_Log!$C:$C,$C68,Status_Log!$D:$D,"Changed to the status of Controlled")))</f>
        <v/>
      </c>
      <c r="H68" s="37" t="str">
        <f aca="false">IF($A68="","",IF(COUNTIFS(Status_Log!$A:$A,$A68,Status_Log!$B:$B,$B68,Status_Log!$C:$C,$C68,Status_Log!$D:$D,"Changed to the status of Fund accounting signed off")=0,"",_xlfn.MAXIFS(Status_Log!$E:$E,Status_Log!$A:$A,$A68,Status_Log!$B:$B,$B68,Status_Log!$C:$C,$C68,Status_Log!$D:$D,"Changed to the status of Fund accounting signed off")))</f>
        <v/>
      </c>
      <c r="I68" s="37" t="str">
        <f aca="false">IF($A68="","",IF(COUNTIFS(Status_Log!$A:$A,$A68,Status_Log!$B:$B,$B68,Status_Log!$C:$C,$C68,Status_Log!$D:$D,"Changed to the status of signed off")=0,"",_xlfn.MAXIFS(Status_Log!$E:$E,Status_Log!$A:$A,$A68,Status_Log!$B:$B,$B68,Status_Log!$C:$C,$C68,Status_Log!$D:$D,"Changed to the status of signed off")))</f>
        <v/>
      </c>
      <c r="J68" s="4" t="str">
        <f aca="false">IF($A68="","",COUNTIFS(Status_Log!$A:$A,$A68,Status_Log!$B:$B,$B68,Status_Log!$C:$C,$C68,Status_Log!$D:$D,"Changed to the status of Calculated"))</f>
        <v/>
      </c>
      <c r="K68" s="38" t="str">
        <f aca="false">IF($A68="","",IF(J68&lt;=1,0,ROUND((_xlfn.MAXIFS(Status_Log!$E:$E,Status_Log!$A:$A,$A68,Status_Log!$B:$B,$B68,Status_Log!$C:$C,$C68,Status_Log!$D:$D,"Changed to the status of Calculated")-F68)*1440,0)))</f>
        <v/>
      </c>
      <c r="L68" s="4" t="str">
        <f aca="false">IF($A68="","",IFERROR(INDEX(Status_Log!$F:$F,MATCH($A68&amp;"|"&amp;$B68&amp;"|"&amp;$C68&amp;"|Changed to the status of Calculated|"&amp;TEXT(_xlfn.MAXIFS(Status_Log!$E:$E,Status_Log!$A:$A,$A68,Status_Log!$B:$B,$B68,Status_Log!$C:$C,$C68,Status_Log!$D:$D,"Changed to the status of Calculated"),"0.000000"),Status_Log!$H:$H,0)),""))</f>
        <v/>
      </c>
      <c r="M68" s="4" t="str">
        <f aca="false">IF($A68="","",IF(E68="Client","n/a — no control step",IFERROR(INDEX(Status_Log!$F:$F,MATCH($A68&amp;"|"&amp;$B68&amp;"|"&amp;$C68&amp;"|Changed to the status of Controlled|"&amp;TEXT(_xlfn.MAXIFS(Status_Log!$E:$E,Status_Log!$A:$A,$A68,Status_Log!$B:$B,$B68,Status_Log!$C:$C,$C68,Status_Log!$D:$D,"Changed to the status of Controlled"),"0.000000"),Status_Log!$H:$H,0)),"")))</f>
        <v/>
      </c>
      <c r="N68" s="4" t="str">
        <f aca="false">IF($A68="","",IFERROR(VLOOKUP($C68,Dim_Fund!$A:$G,7,0),""))</f>
        <v/>
      </c>
      <c r="O68" s="4" t="str">
        <f aca="false">IF($A68="","",IF(L68=N68,"No","Yes"))</f>
        <v/>
      </c>
      <c r="P68" s="4" t="str">
        <f aca="false">IF($A68="","",IF(E68="Client","n/a",IF(L68=M68,"YES — four-eyes breach","No")))</f>
        <v/>
      </c>
      <c r="Q68" s="38" t="str">
        <f aca="false">IF($A68="","",IFERROR(VLOOKUP($C68,Dim_Fund!$A:$AB,28,0),""))</f>
        <v/>
      </c>
      <c r="R68" s="38" t="str">
        <f aca="false">IF($A68="","",IFERROR(VLOOKUP($C68,Dim_Fund!$A:$AC,29,0),""))</f>
        <v/>
      </c>
      <c r="S68" s="38" t="str">
        <f aca="false">IF($A68="","",IFERROR(VLOOKUP($C68,Dim_Fund!$A:$AD,30,0),""))</f>
        <v/>
      </c>
      <c r="T68" s="38" t="str">
        <f aca="false">IF($A68="","",IFERROR(VLOOKUP($C68,Dim_Fund!$A:$AL,38,0),""))</f>
        <v/>
      </c>
      <c r="U68" s="37" t="str">
        <f aca="false">IF($A68="","",IF(AL68="","",IFERROR(IF(COUNTIFS(Fact_Milestone!$A:$A,$B68,Fact_Milestone!$B:$B,AL68)=0,"",_xlfn.MAXIFS(Fact_Milestone!$C:$C,Fact_Milestone!$A:$A,$B68,Fact_Milestone!$B:$B,AL68)),"")))</f>
        <v/>
      </c>
      <c r="V68" s="37" t="str">
        <f aca="false">IF($A68="","",IFERROR(IF(VLOOKUP($C68,Dim_Fund!$A:$AI,35,0)&gt;0,$B68+VLOOKUP($C68,Dim_Fund!$A:$AI,35,0)/24,""),""))</f>
        <v/>
      </c>
      <c r="W68" s="37" t="str">
        <f aca="false">IF($A68="","",F68)</f>
        <v/>
      </c>
      <c r="X68" s="37" t="str">
        <f aca="false">IF($A68="","",IF(E68="Client",H68,G68))</f>
        <v/>
      </c>
      <c r="Y68" s="37" t="str">
        <f aca="false">IF($A68="","",I68)</f>
        <v/>
      </c>
      <c r="Z68" s="37" t="str">
        <f aca="false">IF($A68="","",IFERROR(W68-R68/1440,""))</f>
        <v/>
      </c>
      <c r="AA68" s="38" t="str">
        <f aca="false">IF($A68="","",IF(OR(U68="",V68=""),"",ROUND((V68-U68)*1440,0)))</f>
        <v/>
      </c>
      <c r="AB68" s="38" t="str">
        <f aca="false">IF($A68="","",IF(U68="","",ROUND((W68-U68)*1440,0)))</f>
        <v/>
      </c>
      <c r="AC68" s="38" t="str">
        <f aca="false">IF($A68="","",IF(AB68="","",MAX(0,AB68)))</f>
        <v/>
      </c>
      <c r="AD68" s="38" t="str">
        <f aca="false">IF($A68="","",IFERROR(ROUND((X68-W68)*1440,0),""))</f>
        <v/>
      </c>
      <c r="AE68" s="38" t="str">
        <f aca="false">IF($A68="","",IF(E68="Client","n/a",IFERROR(ROUND((H68-G68)*1440,0),"")))</f>
        <v/>
      </c>
      <c r="AF68" s="38" t="str">
        <f aca="false">IF($A68="","",IFERROR(ROUND((Y68-H68)*1440,0),""))</f>
        <v/>
      </c>
      <c r="AG68" s="38" t="str">
        <f aca="false">IF($A68="","",IFERROR(ROUND((H68-F68)*1440,0),""))</f>
        <v/>
      </c>
      <c r="AH68" s="38" t="str">
        <f aca="false">IF($A68="","",IFERROR(ROUND((Y68-V68)*1440,0),""))</f>
        <v/>
      </c>
      <c r="AI68" s="4" t="str">
        <f aca="false">IF($A68="","",IF(AH68="","",IF(AH68&gt;0,"Yes","No")))</f>
        <v/>
      </c>
      <c r="AJ68" s="4" t="str">
        <f aca="false">IF($A68="","",IF(AI68&lt;&gt;"Yes","On time",IF(N(AC68)&gt;=MAX(N(AF68),N(K68)),"Wait for analyst",IF(N(AF68)&gt;=N(K68),"External sign-off","Rework"))))</f>
        <v/>
      </c>
      <c r="AK68" s="4" t="str">
        <f aca="false">IF($A68="","",IF(OR(F68="",Y68="",ISNA(MATCH(L68,Dim_Analyst!$A:$A,0))),"CHECK","OK"))</f>
        <v/>
      </c>
      <c r="AL68" s="4" t="str">
        <f aca="false">IF($A68="","",IFERROR(VLOOKUP($C68,Dim_Fund!$A:$U,21,0),""))</f>
        <v/>
      </c>
      <c r="AM68" s="4" t="str">
        <f aca="false">IF($A68="","",IF($U68="","",IF($U68&gt;$B68+IFERROR(VLOOKUP($C68,Dim_Fund!$A:$AH,34,0),0)/24,"Yes","No")))</f>
        <v/>
      </c>
      <c r="AN68" s="22" t="str">
        <f aca="false">IF($A68="","",IFERROR(VLOOKUP($C68,Dim_Fund!$A:$AH,34,0),""))</f>
        <v/>
      </c>
      <c r="AO68" s="22" t="str">
        <f aca="false">IF($A68="","",IF($AL68="","",IFERROR(FLOOR(IF(COUNTIFS(Fact_Milestone!$A:$A,$B68,Fact_Milestone!$B:$B,$AL68,Fact_Milestone!$F:$F,"&gt;0")&gt;0,_xlfn.MINIFS(Fact_Milestone!$F:$F,Fact_Milestone!$A:$A,$B68,Fact_Milestone!$B:$B,$AL68,Fact_Milestone!$F:$F,"&gt;0"),VLOOKUP($AL68,Dim_TOP!$A:$E,5,0)),0.5),"")))</f>
        <v/>
      </c>
      <c r="AP68" s="22" t="str">
        <f aca="false">IF($A68="","",IF($U68="","",ROUND(($U68-INT($U68))*24,4)))</f>
        <v/>
      </c>
      <c r="AQ68" s="22" t="str">
        <f aca="false">IF($A68="","",IF($W68="","",ROUND(($W68-INT($W68))*24,4)))</f>
        <v/>
      </c>
      <c r="AR68" s="22" t="str">
        <f aca="false">IF($A68="","",IF($X68="","",ROUND(($X68-INT($X68))*24,4)))</f>
        <v/>
      </c>
      <c r="AS68" s="38" t="str">
        <f aca="false">IF($A68="","",IF(OR($AN68="",$V68="",$S68="",$T68=""),"",ROUND(($V68-($B68+$AN68/24))*1440-$S68-$T68,0)))</f>
        <v/>
      </c>
      <c r="AT68" s="38" t="str">
        <f aca="false">IF($A68="","",IF(OR($AN68="",$U68=""),"",ROUND(($U68-($B68+$AN68/24))*1440,0)))</f>
        <v/>
      </c>
      <c r="AU68" s="38" t="str">
        <f aca="false">IF($A68="","",IF(OR($AD68="",$S68=""),"",ROUND($AD68-$S68,0)))</f>
        <v/>
      </c>
      <c r="AV68" s="38" t="str">
        <f aca="false">IF($A68="","",N($AE68))</f>
        <v/>
      </c>
      <c r="AW68" s="38" t="str">
        <f aca="false">IF($A68="","",IF(OR($AF68="",$T68=""),"",$AF68-$T68))</f>
        <v/>
      </c>
      <c r="AX68" s="38" t="str">
        <f aca="false">IF($A68="","",IF(COUNT($AT68,$AB68,$AU68,$AW68,$AS68,$AH68)&lt;6,"",ROUND($AT68+$AB68+$AU68+$AV68+$AW68-$AS68-$AH68,0)))</f>
        <v/>
      </c>
      <c r="AY68" s="4" t="str">
        <f aca="false">IF($A68="","",IF($AX68="","No",IF(ABS($AX68)&lt;=2,"Yes","No")))</f>
        <v/>
      </c>
      <c r="AZ68" s="4" t="str">
        <f aca="false">IF($A68="","",IF($AI68&lt;&gt;"Yes","n/a",IF(OR($AA68="",$S68="",$T68=""),"Unknown",IF($AA68&lt;$S68+$T68,"Lost on arrival","Lost after arrival"))))</f>
        <v/>
      </c>
      <c r="BA68" s="10" t="str">
        <f aca="false">IF($A68="","",IFERROR(VLOOKUP($C68,Dim_Fund!$A:$D,4,0),""))</f>
        <v/>
      </c>
      <c r="BB68" s="10" t="str">
        <f aca="false">IF($A68="","",IF($AL68="","",IF(COUNTIFS(Fact_Milestone!$A:$A,$B68,Fact_Milestone!$B:$B,$AL68,Fact_Milestone!$I:$I,"No")&gt;0,"No",IF(COUNTIFS(Fact_Milestone!$A:$A,$B68,Fact_Milestone!$B:$B,$AL68,Fact_Milestone!$I:$I,"Yes")&gt;0,"Yes",""))))</f>
        <v/>
      </c>
      <c r="BC68" s="45" t="str">
        <f aca="false">IF($A68="","",IF(OR($L68="",$W68=""),"",IF(COUNTIFS($L:$L,$L68,$B:$B,$B68,$W:$W,"&lt;"&amp;$W68)=0,"",_xlfn.MAXIFS($W:$W,$L:$L,$L68,$B:$B,$B68,$W:$W,"&lt;"&amp;$W68))))</f>
        <v/>
      </c>
      <c r="BD68" s="39" t="str">
        <f aca="false">IF($A68="","",IF($AC68="","",IF(OR($L68="",$AC68=0),0,MIN($AC68,ROUND(ROUND(1440*SUMPRODUCT(($L$2:INDEX($L:$L,COUNTA($C:$C))=$L68)*($B$2:INDEX($B:$B,COUNTA($C:$C))=$B68)*(ROW($L$2:INDEX($L:$L,COUNTA($C:$C)))&lt;&gt;ROW())*((((($W68+$BT$2:INDEX($BT:$BT,COUNTA($C:$C))-ABS($W68-$BT$2:INDEX($BT:$BT,COUNTA($C:$C))))/2)-(($U68+$BS$2:INDEX($BS:$BS,COUNTA($C:$C))+ABS($U68-$BS$2:INDEX($BS:$BS,COUNTA($C:$C))))/2))+ABS(((($W68+$BT$2:INDEX($BT:$BT,COUNTA($C:$C))-ABS($W68-$BT$2:INDEX($BT:$BT,COUNTA($C:$C))))/2)-(($U68+$BS$2:INDEX($BS:$BS,COUNTA($C:$C))+ABS($U68-$BS$2:INDEX($BS:$BS,COUNTA($C:$C))))/2))))/2)),4),0)))))</f>
        <v/>
      </c>
      <c r="BE68" s="39" t="str">
        <f aca="false">IF($A68="","",IF($AC68="","",ROUND(MIN($AC68-$BD68,N($R68)),0)))</f>
        <v/>
      </c>
      <c r="BF68" s="10" t="str">
        <f aca="false">IF($A68="","",IFERROR(VLOOKUP($C68,Dim_Fund!$A:$BD,56,0),""))</f>
        <v/>
      </c>
      <c r="BG68" s="10" t="str">
        <f aca="false">IF($A68="","",IFERROR(VLOOKUP($C68,Dim_Fund!$A:$BH,60,0),""))</f>
        <v/>
      </c>
      <c r="BH68" s="10" t="str">
        <f aca="false">IF($A68="","",IF($AI68&lt;&gt;"Yes","Not breached",IF($AM68="Yes","Pricing late",IF($BG68="Thin custody slack","Thin custody slack",IF($BF68="Yes","Broker-dependent","None of these")))))</f>
        <v/>
      </c>
      <c r="BI68" s="23" t="str">
        <f aca="false">IF($A68="","",IFERROR(IF(VLOOKUP($C68,Dim_Fund!$A:$AI,35,0)&gt;0,VLOOKUP($C68,Dim_Fund!$A:$AI,35,0),""),""))</f>
        <v/>
      </c>
      <c r="BJ68" s="10" t="str">
        <f aca="false">IF($A68="","",$C68&amp;IF($E68="Client","*",""))</f>
        <v/>
      </c>
      <c r="BK68" s="39" t="str">
        <f aca="false">IF($A68="","",IFERROR(ROUND(($Y68-$X68)*1440,0),""))</f>
        <v/>
      </c>
      <c r="BL68" s="39" t="str">
        <f aca="false">IF($A68="","",IF($AH68="","",-$AH68))</f>
        <v/>
      </c>
      <c r="BM68" s="46" t="str">
        <f aca="false">IF($A68="","",IF($AQ68="","",IF($AP68="",$AQ68,MIN($AP68,$AQ68))))</f>
        <v/>
      </c>
      <c r="BN68" s="46" t="str">
        <f aca="false">IF($A68="","",IF($BM68="","",ROUND(N($AC68)/60,4)))</f>
        <v/>
      </c>
      <c r="BO68" s="46" t="str">
        <f aca="false">IF($A68="","",IF(OR($BM68="",$AD68=""),"",ROUND($AD68/60,4)))</f>
        <v/>
      </c>
      <c r="BP68" s="46" t="str">
        <f aca="false">IF($A68="","",IF($BM68="","",ROUND(N($AE68)/60,4)))</f>
        <v/>
      </c>
      <c r="BQ68" s="46" t="str">
        <f aca="false">IF($A68="","",IF(OR($BM68="",$AF68=""),"",ROUND($AF68/60,4)))</f>
        <v/>
      </c>
      <c r="BR68" s="39" t="str">
        <f aca="false">IF($A68="","",IF($AC68="","",$AC68-$BD68-$BE68))</f>
        <v/>
      </c>
      <c r="BS68" s="45" t="str">
        <f aca="false">IF($A68="","",IF(AND(ISNUMBER($Z68),ISNUMBER($W68)),$Z68,0))</f>
        <v/>
      </c>
      <c r="BT68" s="45" t="str">
        <f aca="false">IF($A68="","",IF(ISNUMBER($W68),$W68,0))</f>
        <v/>
      </c>
      <c r="BU68" s="23" t="str">
        <f aca="false">IF($A68="","",IF(ISNUMBER($W68),ROUND(($W68-$B68)*24,4),""))</f>
        <v/>
      </c>
      <c r="BV68" s="23" t="str">
        <f aca="false">IF($A68="","",IF(ISNUMBER($X68),ROUND(($X68-$B68)*24,4),""))</f>
        <v/>
      </c>
      <c r="BW68" s="10" t="str">
        <f aca="false">IF($A68="","",IF(NOT(ISNUMBER($W68)),"Missing Calculated",IF(NOT(ISNUMBER($X68)),IF($E68="Client","Missing FA signed off","Missing Controlled"),IF($X68&lt;$W68,"End before start","OK"))))</f>
        <v/>
      </c>
      <c r="BX68" s="23" t="str">
        <f aca="false">IF($A68="","",IF(NOT(ISNUMBER($Z68)),"",ROUND((IF(ISNUMBER($U68),MIN($U68,$Z68),$Z68)-$B68)*24,4)))</f>
        <v/>
      </c>
      <c r="BY68" s="23" t="str">
        <f aca="false">IF($A68="","",IF(ISNUMBER($Z68),ROUND(($Z68-$B68)*24,4),""))</f>
        <v/>
      </c>
      <c r="BZ68" s="23" t="str">
        <f aca="false">IF($A68="","",IF(AND(ISNUMBER($W68),ISNUMBER($S68)),ROUND(($W68+$S68/1440-$B68)*24,4),""))</f>
        <v/>
      </c>
    </row>
    <row r="69" customFormat="false" ht="15" hidden="false" customHeight="true" outlineLevel="0" collapsed="false">
      <c r="A69" s="47"/>
      <c r="B69" s="47"/>
      <c r="D69" s="4" t="str">
        <f aca="false">IF($A69="","",$B69-$A69)</f>
        <v/>
      </c>
      <c r="E69" s="4" t="str">
        <f aca="false">IF($A69="","",IFERROR(VLOOKUP($C69,Dim_Fund!$A:$X,24,0),""))</f>
        <v/>
      </c>
      <c r="F69" s="37" t="str">
        <f aca="false">IF($A69="","",IF(COUNTIFS(Status_Log!$A:$A,$A69,Status_Log!$B:$B,$B69,Status_Log!$C:$C,$C69,Status_Log!$D:$D,"Changed to the status of Calculated")=0,"",_xlfn.MINIFS(Status_Log!$E:$E,Status_Log!$A:$A,$A69,Status_Log!$B:$B,$B69,Status_Log!$C:$C,$C69,Status_Log!$D:$D,"Changed to the status of Calculated")))</f>
        <v/>
      </c>
      <c r="G69" s="37" t="str">
        <f aca="false">IF($A69="","",IF(COUNTIFS(Status_Log!$A:$A,$A69,Status_Log!$B:$B,$B69,Status_Log!$C:$C,$C69,Status_Log!$D:$D,"Changed to the status of Controlled")=0,"",_xlfn.MAXIFS(Status_Log!$E:$E,Status_Log!$A:$A,$A69,Status_Log!$B:$B,$B69,Status_Log!$C:$C,$C69,Status_Log!$D:$D,"Changed to the status of Controlled")))</f>
        <v/>
      </c>
      <c r="H69" s="37" t="str">
        <f aca="false">IF($A69="","",IF(COUNTIFS(Status_Log!$A:$A,$A69,Status_Log!$B:$B,$B69,Status_Log!$C:$C,$C69,Status_Log!$D:$D,"Changed to the status of Fund accounting signed off")=0,"",_xlfn.MAXIFS(Status_Log!$E:$E,Status_Log!$A:$A,$A69,Status_Log!$B:$B,$B69,Status_Log!$C:$C,$C69,Status_Log!$D:$D,"Changed to the status of Fund accounting signed off")))</f>
        <v/>
      </c>
      <c r="I69" s="37" t="str">
        <f aca="false">IF($A69="","",IF(COUNTIFS(Status_Log!$A:$A,$A69,Status_Log!$B:$B,$B69,Status_Log!$C:$C,$C69,Status_Log!$D:$D,"Changed to the status of signed off")=0,"",_xlfn.MAXIFS(Status_Log!$E:$E,Status_Log!$A:$A,$A69,Status_Log!$B:$B,$B69,Status_Log!$C:$C,$C69,Status_Log!$D:$D,"Changed to the status of signed off")))</f>
        <v/>
      </c>
      <c r="J69" s="4" t="str">
        <f aca="false">IF($A69="","",COUNTIFS(Status_Log!$A:$A,$A69,Status_Log!$B:$B,$B69,Status_Log!$C:$C,$C69,Status_Log!$D:$D,"Changed to the status of Calculated"))</f>
        <v/>
      </c>
      <c r="K69" s="38" t="str">
        <f aca="false">IF($A69="","",IF(J69&lt;=1,0,ROUND((_xlfn.MAXIFS(Status_Log!$E:$E,Status_Log!$A:$A,$A69,Status_Log!$B:$B,$B69,Status_Log!$C:$C,$C69,Status_Log!$D:$D,"Changed to the status of Calculated")-F69)*1440,0)))</f>
        <v/>
      </c>
      <c r="L69" s="4" t="str">
        <f aca="false">IF($A69="","",IFERROR(INDEX(Status_Log!$F:$F,MATCH($A69&amp;"|"&amp;$B69&amp;"|"&amp;$C69&amp;"|Changed to the status of Calculated|"&amp;TEXT(_xlfn.MAXIFS(Status_Log!$E:$E,Status_Log!$A:$A,$A69,Status_Log!$B:$B,$B69,Status_Log!$C:$C,$C69,Status_Log!$D:$D,"Changed to the status of Calculated"),"0.000000"),Status_Log!$H:$H,0)),""))</f>
        <v/>
      </c>
      <c r="M69" s="4" t="str">
        <f aca="false">IF($A69="","",IF(E69="Client","n/a — no control step",IFERROR(INDEX(Status_Log!$F:$F,MATCH($A69&amp;"|"&amp;$B69&amp;"|"&amp;$C69&amp;"|Changed to the status of Controlled|"&amp;TEXT(_xlfn.MAXIFS(Status_Log!$E:$E,Status_Log!$A:$A,$A69,Status_Log!$B:$B,$B69,Status_Log!$C:$C,$C69,Status_Log!$D:$D,"Changed to the status of Controlled"),"0.000000"),Status_Log!$H:$H,0)),"")))</f>
        <v/>
      </c>
      <c r="N69" s="4" t="str">
        <f aca="false">IF($A69="","",IFERROR(VLOOKUP($C69,Dim_Fund!$A:$G,7,0),""))</f>
        <v/>
      </c>
      <c r="O69" s="4" t="str">
        <f aca="false">IF($A69="","",IF(L69=N69,"No","Yes"))</f>
        <v/>
      </c>
      <c r="P69" s="4" t="str">
        <f aca="false">IF($A69="","",IF(E69="Client","n/a",IF(L69=M69,"YES — four-eyes breach","No")))</f>
        <v/>
      </c>
      <c r="Q69" s="38" t="str">
        <f aca="false">IF($A69="","",IFERROR(VLOOKUP($C69,Dim_Fund!$A:$AB,28,0),""))</f>
        <v/>
      </c>
      <c r="R69" s="38" t="str">
        <f aca="false">IF($A69="","",IFERROR(VLOOKUP($C69,Dim_Fund!$A:$AC,29,0),""))</f>
        <v/>
      </c>
      <c r="S69" s="38" t="str">
        <f aca="false">IF($A69="","",IFERROR(VLOOKUP($C69,Dim_Fund!$A:$AD,30,0),""))</f>
        <v/>
      </c>
      <c r="T69" s="38" t="str">
        <f aca="false">IF($A69="","",IFERROR(VLOOKUP($C69,Dim_Fund!$A:$AL,38,0),""))</f>
        <v/>
      </c>
      <c r="U69" s="37" t="str">
        <f aca="false">IF($A69="","",IF(AL69="","",IFERROR(IF(COUNTIFS(Fact_Milestone!$A:$A,$B69,Fact_Milestone!$B:$B,AL69)=0,"",_xlfn.MAXIFS(Fact_Milestone!$C:$C,Fact_Milestone!$A:$A,$B69,Fact_Milestone!$B:$B,AL69)),"")))</f>
        <v/>
      </c>
      <c r="V69" s="37" t="str">
        <f aca="false">IF($A69="","",IFERROR(IF(VLOOKUP($C69,Dim_Fund!$A:$AI,35,0)&gt;0,$B69+VLOOKUP($C69,Dim_Fund!$A:$AI,35,0)/24,""),""))</f>
        <v/>
      </c>
      <c r="W69" s="37" t="str">
        <f aca="false">IF($A69="","",F69)</f>
        <v/>
      </c>
      <c r="X69" s="37" t="str">
        <f aca="false">IF($A69="","",IF(E69="Client",H69,G69))</f>
        <v/>
      </c>
      <c r="Y69" s="37" t="str">
        <f aca="false">IF($A69="","",I69)</f>
        <v/>
      </c>
      <c r="Z69" s="37" t="str">
        <f aca="false">IF($A69="","",IFERROR(W69-R69/1440,""))</f>
        <v/>
      </c>
      <c r="AA69" s="38" t="str">
        <f aca="false">IF($A69="","",IF(OR(U69="",V69=""),"",ROUND((V69-U69)*1440,0)))</f>
        <v/>
      </c>
      <c r="AB69" s="38" t="str">
        <f aca="false">IF($A69="","",IF(U69="","",ROUND((W69-U69)*1440,0)))</f>
        <v/>
      </c>
      <c r="AC69" s="38" t="str">
        <f aca="false">IF($A69="","",IF(AB69="","",MAX(0,AB69)))</f>
        <v/>
      </c>
      <c r="AD69" s="38" t="str">
        <f aca="false">IF($A69="","",IFERROR(ROUND((X69-W69)*1440,0),""))</f>
        <v/>
      </c>
      <c r="AE69" s="38" t="str">
        <f aca="false">IF($A69="","",IF(E69="Client","n/a",IFERROR(ROUND((H69-G69)*1440,0),"")))</f>
        <v/>
      </c>
      <c r="AF69" s="38" t="str">
        <f aca="false">IF($A69="","",IFERROR(ROUND((Y69-H69)*1440,0),""))</f>
        <v/>
      </c>
      <c r="AG69" s="38" t="str">
        <f aca="false">IF($A69="","",IFERROR(ROUND((H69-F69)*1440,0),""))</f>
        <v/>
      </c>
      <c r="AH69" s="38" t="str">
        <f aca="false">IF($A69="","",IFERROR(ROUND((Y69-V69)*1440,0),""))</f>
        <v/>
      </c>
      <c r="AI69" s="4" t="str">
        <f aca="false">IF($A69="","",IF(AH69="","",IF(AH69&gt;0,"Yes","No")))</f>
        <v/>
      </c>
      <c r="AJ69" s="4" t="str">
        <f aca="false">IF($A69="","",IF(AI69&lt;&gt;"Yes","On time",IF(N(AC69)&gt;=MAX(N(AF69),N(K69)),"Wait for analyst",IF(N(AF69)&gt;=N(K69),"External sign-off","Rework"))))</f>
        <v/>
      </c>
      <c r="AK69" s="4" t="str">
        <f aca="false">IF($A69="","",IF(OR(F69="",Y69="",ISNA(MATCH(L69,Dim_Analyst!$A:$A,0))),"CHECK","OK"))</f>
        <v/>
      </c>
      <c r="AL69" s="4" t="str">
        <f aca="false">IF($A69="","",IFERROR(VLOOKUP($C69,Dim_Fund!$A:$U,21,0),""))</f>
        <v/>
      </c>
      <c r="AM69" s="4" t="str">
        <f aca="false">IF($A69="","",IF($U69="","",IF($U69&gt;$B69+IFERROR(VLOOKUP($C69,Dim_Fund!$A:$AH,34,0),0)/24,"Yes","No")))</f>
        <v/>
      </c>
      <c r="AN69" s="22" t="str">
        <f aca="false">IF($A69="","",IFERROR(VLOOKUP($C69,Dim_Fund!$A:$AH,34,0),""))</f>
        <v/>
      </c>
      <c r="AO69" s="22" t="str">
        <f aca="false">IF($A69="","",IF($AL69="","",IFERROR(FLOOR(IF(COUNTIFS(Fact_Milestone!$A:$A,$B69,Fact_Milestone!$B:$B,$AL69,Fact_Milestone!$F:$F,"&gt;0")&gt;0,_xlfn.MINIFS(Fact_Milestone!$F:$F,Fact_Milestone!$A:$A,$B69,Fact_Milestone!$B:$B,$AL69,Fact_Milestone!$F:$F,"&gt;0"),VLOOKUP($AL69,Dim_TOP!$A:$E,5,0)),0.5),"")))</f>
        <v/>
      </c>
      <c r="AP69" s="22" t="str">
        <f aca="false">IF($A69="","",IF($U69="","",ROUND(($U69-INT($U69))*24,4)))</f>
        <v/>
      </c>
      <c r="AQ69" s="22" t="str">
        <f aca="false">IF($A69="","",IF($W69="","",ROUND(($W69-INT($W69))*24,4)))</f>
        <v/>
      </c>
      <c r="AR69" s="22" t="str">
        <f aca="false">IF($A69="","",IF($X69="","",ROUND(($X69-INT($X69))*24,4)))</f>
        <v/>
      </c>
      <c r="AS69" s="38" t="str">
        <f aca="false">IF($A69="","",IF(OR($AN69="",$V69="",$S69="",$T69=""),"",ROUND(($V69-($B69+$AN69/24))*1440-$S69-$T69,0)))</f>
        <v/>
      </c>
      <c r="AT69" s="38" t="str">
        <f aca="false">IF($A69="","",IF(OR($AN69="",$U69=""),"",ROUND(($U69-($B69+$AN69/24))*1440,0)))</f>
        <v/>
      </c>
      <c r="AU69" s="38" t="str">
        <f aca="false">IF($A69="","",IF(OR($AD69="",$S69=""),"",ROUND($AD69-$S69,0)))</f>
        <v/>
      </c>
      <c r="AV69" s="38" t="str">
        <f aca="false">IF($A69="","",N($AE69))</f>
        <v/>
      </c>
      <c r="AW69" s="38" t="str">
        <f aca="false">IF($A69="","",IF(OR($AF69="",$T69=""),"",$AF69-$T69))</f>
        <v/>
      </c>
      <c r="AX69" s="38" t="str">
        <f aca="false">IF($A69="","",IF(COUNT($AT69,$AB69,$AU69,$AW69,$AS69,$AH69)&lt;6,"",ROUND($AT69+$AB69+$AU69+$AV69+$AW69-$AS69-$AH69,0)))</f>
        <v/>
      </c>
      <c r="AY69" s="4" t="str">
        <f aca="false">IF($A69="","",IF($AX69="","No",IF(ABS($AX69)&lt;=2,"Yes","No")))</f>
        <v/>
      </c>
      <c r="AZ69" s="4" t="str">
        <f aca="false">IF($A69="","",IF($AI69&lt;&gt;"Yes","n/a",IF(OR($AA69="",$S69="",$T69=""),"Unknown",IF($AA69&lt;$S69+$T69,"Lost on arrival","Lost after arrival"))))</f>
        <v/>
      </c>
      <c r="BA69" s="10" t="str">
        <f aca="false">IF($A69="","",IFERROR(VLOOKUP($C69,Dim_Fund!$A:$D,4,0),""))</f>
        <v/>
      </c>
      <c r="BB69" s="10" t="str">
        <f aca="false">IF($A69="","",IF($AL69="","",IF(COUNTIFS(Fact_Milestone!$A:$A,$B69,Fact_Milestone!$B:$B,$AL69,Fact_Milestone!$I:$I,"No")&gt;0,"No",IF(COUNTIFS(Fact_Milestone!$A:$A,$B69,Fact_Milestone!$B:$B,$AL69,Fact_Milestone!$I:$I,"Yes")&gt;0,"Yes",""))))</f>
        <v/>
      </c>
      <c r="BC69" s="45" t="str">
        <f aca="false">IF($A69="","",IF(OR($L69="",$W69=""),"",IF(COUNTIFS($L:$L,$L69,$B:$B,$B69,$W:$W,"&lt;"&amp;$W69)=0,"",_xlfn.MAXIFS($W:$W,$L:$L,$L69,$B:$B,$B69,$W:$W,"&lt;"&amp;$W69))))</f>
        <v/>
      </c>
      <c r="BD69" s="39" t="str">
        <f aca="false">IF($A69="","",IF($AC69="","",IF(OR($L69="",$AC69=0),0,MIN($AC69,ROUND(ROUND(1440*SUMPRODUCT(($L$2:INDEX($L:$L,COUNTA($C:$C))=$L69)*($B$2:INDEX($B:$B,COUNTA($C:$C))=$B69)*(ROW($L$2:INDEX($L:$L,COUNTA($C:$C)))&lt;&gt;ROW())*((((($W69+$BT$2:INDEX($BT:$BT,COUNTA($C:$C))-ABS($W69-$BT$2:INDEX($BT:$BT,COUNTA($C:$C))))/2)-(($U69+$BS$2:INDEX($BS:$BS,COUNTA($C:$C))+ABS($U69-$BS$2:INDEX($BS:$BS,COUNTA($C:$C))))/2))+ABS(((($W69+$BT$2:INDEX($BT:$BT,COUNTA($C:$C))-ABS($W69-$BT$2:INDEX($BT:$BT,COUNTA($C:$C))))/2)-(($U69+$BS$2:INDEX($BS:$BS,COUNTA($C:$C))+ABS($U69-$BS$2:INDEX($BS:$BS,COUNTA($C:$C))))/2))))/2)),4),0)))))</f>
        <v/>
      </c>
      <c r="BE69" s="39" t="str">
        <f aca="false">IF($A69="","",IF($AC69="","",ROUND(MIN($AC69-$BD69,N($R69)),0)))</f>
        <v/>
      </c>
      <c r="BF69" s="10" t="str">
        <f aca="false">IF($A69="","",IFERROR(VLOOKUP($C69,Dim_Fund!$A:$BD,56,0),""))</f>
        <v/>
      </c>
      <c r="BG69" s="10" t="str">
        <f aca="false">IF($A69="","",IFERROR(VLOOKUP($C69,Dim_Fund!$A:$BH,60,0),""))</f>
        <v/>
      </c>
      <c r="BH69" s="10" t="str">
        <f aca="false">IF($A69="","",IF($AI69&lt;&gt;"Yes","Not breached",IF($AM69="Yes","Pricing late",IF($BG69="Thin custody slack","Thin custody slack",IF($BF69="Yes","Broker-dependent","None of these")))))</f>
        <v/>
      </c>
      <c r="BI69" s="23" t="str">
        <f aca="false">IF($A69="","",IFERROR(IF(VLOOKUP($C69,Dim_Fund!$A:$AI,35,0)&gt;0,VLOOKUP($C69,Dim_Fund!$A:$AI,35,0),""),""))</f>
        <v/>
      </c>
      <c r="BJ69" s="10" t="str">
        <f aca="false">IF($A69="","",$C69&amp;IF($E69="Client","*",""))</f>
        <v/>
      </c>
      <c r="BK69" s="39" t="str">
        <f aca="false">IF($A69="","",IFERROR(ROUND(($Y69-$X69)*1440,0),""))</f>
        <v/>
      </c>
      <c r="BL69" s="39" t="str">
        <f aca="false">IF($A69="","",IF($AH69="","",-$AH69))</f>
        <v/>
      </c>
      <c r="BM69" s="46" t="str">
        <f aca="false">IF($A69="","",IF($AQ69="","",IF($AP69="",$AQ69,MIN($AP69,$AQ69))))</f>
        <v/>
      </c>
      <c r="BN69" s="46" t="str">
        <f aca="false">IF($A69="","",IF($BM69="","",ROUND(N($AC69)/60,4)))</f>
        <v/>
      </c>
      <c r="BO69" s="46" t="str">
        <f aca="false">IF($A69="","",IF(OR($BM69="",$AD69=""),"",ROUND($AD69/60,4)))</f>
        <v/>
      </c>
      <c r="BP69" s="46" t="str">
        <f aca="false">IF($A69="","",IF($BM69="","",ROUND(N($AE69)/60,4)))</f>
        <v/>
      </c>
      <c r="BQ69" s="46" t="str">
        <f aca="false">IF($A69="","",IF(OR($BM69="",$AF69=""),"",ROUND($AF69/60,4)))</f>
        <v/>
      </c>
      <c r="BR69" s="39" t="str">
        <f aca="false">IF($A69="","",IF($AC69="","",$AC69-$BD69-$BE69))</f>
        <v/>
      </c>
      <c r="BS69" s="45" t="str">
        <f aca="false">IF($A69="","",IF(AND(ISNUMBER($Z69),ISNUMBER($W69)),$Z69,0))</f>
        <v/>
      </c>
      <c r="BT69" s="45" t="str">
        <f aca="false">IF($A69="","",IF(ISNUMBER($W69),$W69,0))</f>
        <v/>
      </c>
      <c r="BU69" s="23" t="str">
        <f aca="false">IF($A69="","",IF(ISNUMBER($W69),ROUND(($W69-$B69)*24,4),""))</f>
        <v/>
      </c>
      <c r="BV69" s="23" t="str">
        <f aca="false">IF($A69="","",IF(ISNUMBER($X69),ROUND(($X69-$B69)*24,4),""))</f>
        <v/>
      </c>
      <c r="BW69" s="10" t="str">
        <f aca="false">IF($A69="","",IF(NOT(ISNUMBER($W69)),"Missing Calculated",IF(NOT(ISNUMBER($X69)),IF($E69="Client","Missing FA signed off","Missing Controlled"),IF($X69&lt;$W69,"End before start","OK"))))</f>
        <v/>
      </c>
      <c r="BX69" s="23" t="str">
        <f aca="false">IF($A69="","",IF(NOT(ISNUMBER($Z69)),"",ROUND((IF(ISNUMBER($U69),MIN($U69,$Z69),$Z69)-$B69)*24,4)))</f>
        <v/>
      </c>
      <c r="BY69" s="23" t="str">
        <f aca="false">IF($A69="","",IF(ISNUMBER($Z69),ROUND(($Z69-$B69)*24,4),""))</f>
        <v/>
      </c>
      <c r="BZ69" s="23" t="str">
        <f aca="false">IF($A69="","",IF(AND(ISNUMBER($W69),ISNUMBER($S69)),ROUND(($W69+$S69/1440-$B69)*24,4),""))</f>
        <v/>
      </c>
    </row>
    <row r="70" customFormat="false" ht="15" hidden="false" customHeight="true" outlineLevel="0" collapsed="false">
      <c r="A70" s="47"/>
      <c r="B70" s="47"/>
      <c r="D70" s="4" t="str">
        <f aca="false">IF($A70="","",$B70-$A70)</f>
        <v/>
      </c>
      <c r="E70" s="4" t="str">
        <f aca="false">IF($A70="","",IFERROR(VLOOKUP($C70,Dim_Fund!$A:$X,24,0),""))</f>
        <v/>
      </c>
      <c r="F70" s="37" t="str">
        <f aca="false">IF($A70="","",IF(COUNTIFS(Status_Log!$A:$A,$A70,Status_Log!$B:$B,$B70,Status_Log!$C:$C,$C70,Status_Log!$D:$D,"Changed to the status of Calculated")=0,"",_xlfn.MINIFS(Status_Log!$E:$E,Status_Log!$A:$A,$A70,Status_Log!$B:$B,$B70,Status_Log!$C:$C,$C70,Status_Log!$D:$D,"Changed to the status of Calculated")))</f>
        <v/>
      </c>
      <c r="G70" s="37" t="str">
        <f aca="false">IF($A70="","",IF(COUNTIFS(Status_Log!$A:$A,$A70,Status_Log!$B:$B,$B70,Status_Log!$C:$C,$C70,Status_Log!$D:$D,"Changed to the status of Controlled")=0,"",_xlfn.MAXIFS(Status_Log!$E:$E,Status_Log!$A:$A,$A70,Status_Log!$B:$B,$B70,Status_Log!$C:$C,$C70,Status_Log!$D:$D,"Changed to the status of Controlled")))</f>
        <v/>
      </c>
      <c r="H70" s="37" t="str">
        <f aca="false">IF($A70="","",IF(COUNTIFS(Status_Log!$A:$A,$A70,Status_Log!$B:$B,$B70,Status_Log!$C:$C,$C70,Status_Log!$D:$D,"Changed to the status of Fund accounting signed off")=0,"",_xlfn.MAXIFS(Status_Log!$E:$E,Status_Log!$A:$A,$A70,Status_Log!$B:$B,$B70,Status_Log!$C:$C,$C70,Status_Log!$D:$D,"Changed to the status of Fund accounting signed off")))</f>
        <v/>
      </c>
      <c r="I70" s="37" t="str">
        <f aca="false">IF($A70="","",IF(COUNTIFS(Status_Log!$A:$A,$A70,Status_Log!$B:$B,$B70,Status_Log!$C:$C,$C70,Status_Log!$D:$D,"Changed to the status of signed off")=0,"",_xlfn.MAXIFS(Status_Log!$E:$E,Status_Log!$A:$A,$A70,Status_Log!$B:$B,$B70,Status_Log!$C:$C,$C70,Status_Log!$D:$D,"Changed to the status of signed off")))</f>
        <v/>
      </c>
      <c r="J70" s="4" t="str">
        <f aca="false">IF($A70="","",COUNTIFS(Status_Log!$A:$A,$A70,Status_Log!$B:$B,$B70,Status_Log!$C:$C,$C70,Status_Log!$D:$D,"Changed to the status of Calculated"))</f>
        <v/>
      </c>
      <c r="K70" s="38" t="str">
        <f aca="false">IF($A70="","",IF(J70&lt;=1,0,ROUND((_xlfn.MAXIFS(Status_Log!$E:$E,Status_Log!$A:$A,$A70,Status_Log!$B:$B,$B70,Status_Log!$C:$C,$C70,Status_Log!$D:$D,"Changed to the status of Calculated")-F70)*1440,0)))</f>
        <v/>
      </c>
      <c r="L70" s="4" t="str">
        <f aca="false">IF($A70="","",IFERROR(INDEX(Status_Log!$F:$F,MATCH($A70&amp;"|"&amp;$B70&amp;"|"&amp;$C70&amp;"|Changed to the status of Calculated|"&amp;TEXT(_xlfn.MAXIFS(Status_Log!$E:$E,Status_Log!$A:$A,$A70,Status_Log!$B:$B,$B70,Status_Log!$C:$C,$C70,Status_Log!$D:$D,"Changed to the status of Calculated"),"0.000000"),Status_Log!$H:$H,0)),""))</f>
        <v/>
      </c>
      <c r="M70" s="4" t="str">
        <f aca="false">IF($A70="","",IF(E70="Client","n/a — no control step",IFERROR(INDEX(Status_Log!$F:$F,MATCH($A70&amp;"|"&amp;$B70&amp;"|"&amp;$C70&amp;"|Changed to the status of Controlled|"&amp;TEXT(_xlfn.MAXIFS(Status_Log!$E:$E,Status_Log!$A:$A,$A70,Status_Log!$B:$B,$B70,Status_Log!$C:$C,$C70,Status_Log!$D:$D,"Changed to the status of Controlled"),"0.000000"),Status_Log!$H:$H,0)),"")))</f>
        <v/>
      </c>
      <c r="N70" s="4" t="str">
        <f aca="false">IF($A70="","",IFERROR(VLOOKUP($C70,Dim_Fund!$A:$G,7,0),""))</f>
        <v/>
      </c>
      <c r="O70" s="4" t="str">
        <f aca="false">IF($A70="","",IF(L70=N70,"No","Yes"))</f>
        <v/>
      </c>
      <c r="P70" s="4" t="str">
        <f aca="false">IF($A70="","",IF(E70="Client","n/a",IF(L70=M70,"YES — four-eyes breach","No")))</f>
        <v/>
      </c>
      <c r="Q70" s="38" t="str">
        <f aca="false">IF($A70="","",IFERROR(VLOOKUP($C70,Dim_Fund!$A:$AB,28,0),""))</f>
        <v/>
      </c>
      <c r="R70" s="38" t="str">
        <f aca="false">IF($A70="","",IFERROR(VLOOKUP($C70,Dim_Fund!$A:$AC,29,0),""))</f>
        <v/>
      </c>
      <c r="S70" s="38" t="str">
        <f aca="false">IF($A70="","",IFERROR(VLOOKUP($C70,Dim_Fund!$A:$AD,30,0),""))</f>
        <v/>
      </c>
      <c r="T70" s="38" t="str">
        <f aca="false">IF($A70="","",IFERROR(VLOOKUP($C70,Dim_Fund!$A:$AL,38,0),""))</f>
        <v/>
      </c>
      <c r="U70" s="37" t="str">
        <f aca="false">IF($A70="","",IF(AL70="","",IFERROR(IF(COUNTIFS(Fact_Milestone!$A:$A,$B70,Fact_Milestone!$B:$B,AL70)=0,"",_xlfn.MAXIFS(Fact_Milestone!$C:$C,Fact_Milestone!$A:$A,$B70,Fact_Milestone!$B:$B,AL70)),"")))</f>
        <v/>
      </c>
      <c r="V70" s="37" t="str">
        <f aca="false">IF($A70="","",IFERROR(IF(VLOOKUP($C70,Dim_Fund!$A:$AI,35,0)&gt;0,$B70+VLOOKUP($C70,Dim_Fund!$A:$AI,35,0)/24,""),""))</f>
        <v/>
      </c>
      <c r="W70" s="37" t="str">
        <f aca="false">IF($A70="","",F70)</f>
        <v/>
      </c>
      <c r="X70" s="37" t="str">
        <f aca="false">IF($A70="","",IF(E70="Client",H70,G70))</f>
        <v/>
      </c>
      <c r="Y70" s="37" t="str">
        <f aca="false">IF($A70="","",I70)</f>
        <v/>
      </c>
      <c r="Z70" s="37" t="str">
        <f aca="false">IF($A70="","",IFERROR(W70-R70/1440,""))</f>
        <v/>
      </c>
      <c r="AA70" s="38" t="str">
        <f aca="false">IF($A70="","",IF(OR(U70="",V70=""),"",ROUND((V70-U70)*1440,0)))</f>
        <v/>
      </c>
      <c r="AB70" s="38" t="str">
        <f aca="false">IF($A70="","",IF(U70="","",ROUND((W70-U70)*1440,0)))</f>
        <v/>
      </c>
      <c r="AC70" s="38" t="str">
        <f aca="false">IF($A70="","",IF(AB70="","",MAX(0,AB70)))</f>
        <v/>
      </c>
      <c r="AD70" s="38" t="str">
        <f aca="false">IF($A70="","",IFERROR(ROUND((X70-W70)*1440,0),""))</f>
        <v/>
      </c>
      <c r="AE70" s="38" t="str">
        <f aca="false">IF($A70="","",IF(E70="Client","n/a",IFERROR(ROUND((H70-G70)*1440,0),"")))</f>
        <v/>
      </c>
      <c r="AF70" s="38" t="str">
        <f aca="false">IF($A70="","",IFERROR(ROUND((Y70-H70)*1440,0),""))</f>
        <v/>
      </c>
      <c r="AG70" s="38" t="str">
        <f aca="false">IF($A70="","",IFERROR(ROUND((H70-F70)*1440,0),""))</f>
        <v/>
      </c>
      <c r="AH70" s="38" t="str">
        <f aca="false">IF($A70="","",IFERROR(ROUND((Y70-V70)*1440,0),""))</f>
        <v/>
      </c>
      <c r="AI70" s="4" t="str">
        <f aca="false">IF($A70="","",IF(AH70="","",IF(AH70&gt;0,"Yes","No")))</f>
        <v/>
      </c>
      <c r="AJ70" s="4" t="str">
        <f aca="false">IF($A70="","",IF(AI70&lt;&gt;"Yes","On time",IF(N(AC70)&gt;=MAX(N(AF70),N(K70)),"Wait for analyst",IF(N(AF70)&gt;=N(K70),"External sign-off","Rework"))))</f>
        <v/>
      </c>
      <c r="AK70" s="4" t="str">
        <f aca="false">IF($A70="","",IF(OR(F70="",Y70="",ISNA(MATCH(L70,Dim_Analyst!$A:$A,0))),"CHECK","OK"))</f>
        <v/>
      </c>
      <c r="AL70" s="4" t="str">
        <f aca="false">IF($A70="","",IFERROR(VLOOKUP($C70,Dim_Fund!$A:$U,21,0),""))</f>
        <v/>
      </c>
      <c r="AM70" s="4" t="str">
        <f aca="false">IF($A70="","",IF($U70="","",IF($U70&gt;$B70+IFERROR(VLOOKUP($C70,Dim_Fund!$A:$AH,34,0),0)/24,"Yes","No")))</f>
        <v/>
      </c>
      <c r="AN70" s="22" t="str">
        <f aca="false">IF($A70="","",IFERROR(VLOOKUP($C70,Dim_Fund!$A:$AH,34,0),""))</f>
        <v/>
      </c>
      <c r="AO70" s="22" t="str">
        <f aca="false">IF($A70="","",IF($AL70="","",IFERROR(FLOOR(IF(COUNTIFS(Fact_Milestone!$A:$A,$B70,Fact_Milestone!$B:$B,$AL70,Fact_Milestone!$F:$F,"&gt;0")&gt;0,_xlfn.MINIFS(Fact_Milestone!$F:$F,Fact_Milestone!$A:$A,$B70,Fact_Milestone!$B:$B,$AL70,Fact_Milestone!$F:$F,"&gt;0"),VLOOKUP($AL70,Dim_TOP!$A:$E,5,0)),0.5),"")))</f>
        <v/>
      </c>
      <c r="AP70" s="22" t="str">
        <f aca="false">IF($A70="","",IF($U70="","",ROUND(($U70-INT($U70))*24,4)))</f>
        <v/>
      </c>
      <c r="AQ70" s="22" t="str">
        <f aca="false">IF($A70="","",IF($W70="","",ROUND(($W70-INT($W70))*24,4)))</f>
        <v/>
      </c>
      <c r="AR70" s="22" t="str">
        <f aca="false">IF($A70="","",IF($X70="","",ROUND(($X70-INT($X70))*24,4)))</f>
        <v/>
      </c>
      <c r="AS70" s="38" t="str">
        <f aca="false">IF($A70="","",IF(OR($AN70="",$V70="",$S70="",$T70=""),"",ROUND(($V70-($B70+$AN70/24))*1440-$S70-$T70,0)))</f>
        <v/>
      </c>
      <c r="AT70" s="38" t="str">
        <f aca="false">IF($A70="","",IF(OR($AN70="",$U70=""),"",ROUND(($U70-($B70+$AN70/24))*1440,0)))</f>
        <v/>
      </c>
      <c r="AU70" s="38" t="str">
        <f aca="false">IF($A70="","",IF(OR($AD70="",$S70=""),"",ROUND($AD70-$S70,0)))</f>
        <v/>
      </c>
      <c r="AV70" s="38" t="str">
        <f aca="false">IF($A70="","",N($AE70))</f>
        <v/>
      </c>
      <c r="AW70" s="38" t="str">
        <f aca="false">IF($A70="","",IF(OR($AF70="",$T70=""),"",$AF70-$T70))</f>
        <v/>
      </c>
      <c r="AX70" s="38" t="str">
        <f aca="false">IF($A70="","",IF(COUNT($AT70,$AB70,$AU70,$AW70,$AS70,$AH70)&lt;6,"",ROUND($AT70+$AB70+$AU70+$AV70+$AW70-$AS70-$AH70,0)))</f>
        <v/>
      </c>
      <c r="AY70" s="4" t="str">
        <f aca="false">IF($A70="","",IF($AX70="","No",IF(ABS($AX70)&lt;=2,"Yes","No")))</f>
        <v/>
      </c>
      <c r="AZ70" s="4" t="str">
        <f aca="false">IF($A70="","",IF($AI70&lt;&gt;"Yes","n/a",IF(OR($AA70="",$S70="",$T70=""),"Unknown",IF($AA70&lt;$S70+$T70,"Lost on arrival","Lost after arrival"))))</f>
        <v/>
      </c>
      <c r="BA70" s="10" t="str">
        <f aca="false">IF($A70="","",IFERROR(VLOOKUP($C70,Dim_Fund!$A:$D,4,0),""))</f>
        <v/>
      </c>
      <c r="BB70" s="10" t="str">
        <f aca="false">IF($A70="","",IF($AL70="","",IF(COUNTIFS(Fact_Milestone!$A:$A,$B70,Fact_Milestone!$B:$B,$AL70,Fact_Milestone!$I:$I,"No")&gt;0,"No",IF(COUNTIFS(Fact_Milestone!$A:$A,$B70,Fact_Milestone!$B:$B,$AL70,Fact_Milestone!$I:$I,"Yes")&gt;0,"Yes",""))))</f>
        <v/>
      </c>
      <c r="BC70" s="45" t="str">
        <f aca="false">IF($A70="","",IF(OR($L70="",$W70=""),"",IF(COUNTIFS($L:$L,$L70,$B:$B,$B70,$W:$W,"&lt;"&amp;$W70)=0,"",_xlfn.MAXIFS($W:$W,$L:$L,$L70,$B:$B,$B70,$W:$W,"&lt;"&amp;$W70))))</f>
        <v/>
      </c>
      <c r="BD70" s="39" t="str">
        <f aca="false">IF($A70="","",IF($AC70="","",IF(OR($L70="",$AC70=0),0,MIN($AC70,ROUND(ROUND(1440*SUMPRODUCT(($L$2:INDEX($L:$L,COUNTA($C:$C))=$L70)*($B$2:INDEX($B:$B,COUNTA($C:$C))=$B70)*(ROW($L$2:INDEX($L:$L,COUNTA($C:$C)))&lt;&gt;ROW())*((((($W70+$BT$2:INDEX($BT:$BT,COUNTA($C:$C))-ABS($W70-$BT$2:INDEX($BT:$BT,COUNTA($C:$C))))/2)-(($U70+$BS$2:INDEX($BS:$BS,COUNTA($C:$C))+ABS($U70-$BS$2:INDEX($BS:$BS,COUNTA($C:$C))))/2))+ABS(((($W70+$BT$2:INDEX($BT:$BT,COUNTA($C:$C))-ABS($W70-$BT$2:INDEX($BT:$BT,COUNTA($C:$C))))/2)-(($U70+$BS$2:INDEX($BS:$BS,COUNTA($C:$C))+ABS($U70-$BS$2:INDEX($BS:$BS,COUNTA($C:$C))))/2))))/2)),4),0)))))</f>
        <v/>
      </c>
      <c r="BE70" s="39" t="str">
        <f aca="false">IF($A70="","",IF($AC70="","",ROUND(MIN($AC70-$BD70,N($R70)),0)))</f>
        <v/>
      </c>
      <c r="BF70" s="10" t="str">
        <f aca="false">IF($A70="","",IFERROR(VLOOKUP($C70,Dim_Fund!$A:$BD,56,0),""))</f>
        <v/>
      </c>
      <c r="BG70" s="10" t="str">
        <f aca="false">IF($A70="","",IFERROR(VLOOKUP($C70,Dim_Fund!$A:$BH,60,0),""))</f>
        <v/>
      </c>
      <c r="BH70" s="10" t="str">
        <f aca="false">IF($A70="","",IF($AI70&lt;&gt;"Yes","Not breached",IF($AM70="Yes","Pricing late",IF($BG70="Thin custody slack","Thin custody slack",IF($BF70="Yes","Broker-dependent","None of these")))))</f>
        <v/>
      </c>
      <c r="BI70" s="23" t="str">
        <f aca="false">IF($A70="","",IFERROR(IF(VLOOKUP($C70,Dim_Fund!$A:$AI,35,0)&gt;0,VLOOKUP($C70,Dim_Fund!$A:$AI,35,0),""),""))</f>
        <v/>
      </c>
      <c r="BJ70" s="10" t="str">
        <f aca="false">IF($A70="","",$C70&amp;IF($E70="Client","*",""))</f>
        <v/>
      </c>
      <c r="BK70" s="39" t="str">
        <f aca="false">IF($A70="","",IFERROR(ROUND(($Y70-$X70)*1440,0),""))</f>
        <v/>
      </c>
      <c r="BL70" s="39" t="str">
        <f aca="false">IF($A70="","",IF($AH70="","",-$AH70))</f>
        <v/>
      </c>
      <c r="BM70" s="46" t="str">
        <f aca="false">IF($A70="","",IF($AQ70="","",IF($AP70="",$AQ70,MIN($AP70,$AQ70))))</f>
        <v/>
      </c>
      <c r="BN70" s="46" t="str">
        <f aca="false">IF($A70="","",IF($BM70="","",ROUND(N($AC70)/60,4)))</f>
        <v/>
      </c>
      <c r="BO70" s="46" t="str">
        <f aca="false">IF($A70="","",IF(OR($BM70="",$AD70=""),"",ROUND($AD70/60,4)))</f>
        <v/>
      </c>
      <c r="BP70" s="46" t="str">
        <f aca="false">IF($A70="","",IF($BM70="","",ROUND(N($AE70)/60,4)))</f>
        <v/>
      </c>
      <c r="BQ70" s="46" t="str">
        <f aca="false">IF($A70="","",IF(OR($BM70="",$AF70=""),"",ROUND($AF70/60,4)))</f>
        <v/>
      </c>
      <c r="BR70" s="39" t="str">
        <f aca="false">IF($A70="","",IF($AC70="","",$AC70-$BD70-$BE70))</f>
        <v/>
      </c>
      <c r="BS70" s="45" t="str">
        <f aca="false">IF($A70="","",IF(AND(ISNUMBER($Z70),ISNUMBER($W70)),$Z70,0))</f>
        <v/>
      </c>
      <c r="BT70" s="45" t="str">
        <f aca="false">IF($A70="","",IF(ISNUMBER($W70),$W70,0))</f>
        <v/>
      </c>
      <c r="BU70" s="23" t="str">
        <f aca="false">IF($A70="","",IF(ISNUMBER($W70),ROUND(($W70-$B70)*24,4),""))</f>
        <v/>
      </c>
      <c r="BV70" s="23" t="str">
        <f aca="false">IF($A70="","",IF(ISNUMBER($X70),ROUND(($X70-$B70)*24,4),""))</f>
        <v/>
      </c>
      <c r="BW70" s="10" t="str">
        <f aca="false">IF($A70="","",IF(NOT(ISNUMBER($W70)),"Missing Calculated",IF(NOT(ISNUMBER($X70)),IF($E70="Client","Missing FA signed off","Missing Controlled"),IF($X70&lt;$W70,"End before start","OK"))))</f>
        <v/>
      </c>
      <c r="BX70" s="23" t="str">
        <f aca="false">IF($A70="","",IF(NOT(ISNUMBER($Z70)),"",ROUND((IF(ISNUMBER($U70),MIN($U70,$Z70),$Z70)-$B70)*24,4)))</f>
        <v/>
      </c>
      <c r="BY70" s="23" t="str">
        <f aca="false">IF($A70="","",IF(ISNUMBER($Z70),ROUND(($Z70-$B70)*24,4),""))</f>
        <v/>
      </c>
      <c r="BZ70" s="23" t="str">
        <f aca="false">IF($A70="","",IF(AND(ISNUMBER($W70),ISNUMBER($S70)),ROUND(($W70+$S70/1440-$B70)*24,4),""))</f>
        <v/>
      </c>
    </row>
    <row r="71" customFormat="false" ht="15" hidden="false" customHeight="true" outlineLevel="0" collapsed="false">
      <c r="A71" s="47"/>
      <c r="B71" s="47"/>
      <c r="D71" s="4" t="str">
        <f aca="false">IF($A71="","",$B71-$A71)</f>
        <v/>
      </c>
      <c r="E71" s="4" t="str">
        <f aca="false">IF($A71="","",IFERROR(VLOOKUP($C71,Dim_Fund!$A:$X,24,0),""))</f>
        <v/>
      </c>
      <c r="F71" s="37" t="str">
        <f aca="false">IF($A71="","",IF(COUNTIFS(Status_Log!$A:$A,$A71,Status_Log!$B:$B,$B71,Status_Log!$C:$C,$C71,Status_Log!$D:$D,"Changed to the status of Calculated")=0,"",_xlfn.MINIFS(Status_Log!$E:$E,Status_Log!$A:$A,$A71,Status_Log!$B:$B,$B71,Status_Log!$C:$C,$C71,Status_Log!$D:$D,"Changed to the status of Calculated")))</f>
        <v/>
      </c>
      <c r="G71" s="37" t="str">
        <f aca="false">IF($A71="","",IF(COUNTIFS(Status_Log!$A:$A,$A71,Status_Log!$B:$B,$B71,Status_Log!$C:$C,$C71,Status_Log!$D:$D,"Changed to the status of Controlled")=0,"",_xlfn.MAXIFS(Status_Log!$E:$E,Status_Log!$A:$A,$A71,Status_Log!$B:$B,$B71,Status_Log!$C:$C,$C71,Status_Log!$D:$D,"Changed to the status of Controlled")))</f>
        <v/>
      </c>
      <c r="H71" s="37" t="str">
        <f aca="false">IF($A71="","",IF(COUNTIFS(Status_Log!$A:$A,$A71,Status_Log!$B:$B,$B71,Status_Log!$C:$C,$C71,Status_Log!$D:$D,"Changed to the status of Fund accounting signed off")=0,"",_xlfn.MAXIFS(Status_Log!$E:$E,Status_Log!$A:$A,$A71,Status_Log!$B:$B,$B71,Status_Log!$C:$C,$C71,Status_Log!$D:$D,"Changed to the status of Fund accounting signed off")))</f>
        <v/>
      </c>
      <c r="I71" s="37" t="str">
        <f aca="false">IF($A71="","",IF(COUNTIFS(Status_Log!$A:$A,$A71,Status_Log!$B:$B,$B71,Status_Log!$C:$C,$C71,Status_Log!$D:$D,"Changed to the status of signed off")=0,"",_xlfn.MAXIFS(Status_Log!$E:$E,Status_Log!$A:$A,$A71,Status_Log!$B:$B,$B71,Status_Log!$C:$C,$C71,Status_Log!$D:$D,"Changed to the status of signed off")))</f>
        <v/>
      </c>
      <c r="J71" s="4" t="str">
        <f aca="false">IF($A71="","",COUNTIFS(Status_Log!$A:$A,$A71,Status_Log!$B:$B,$B71,Status_Log!$C:$C,$C71,Status_Log!$D:$D,"Changed to the status of Calculated"))</f>
        <v/>
      </c>
      <c r="K71" s="38" t="str">
        <f aca="false">IF($A71="","",IF(J71&lt;=1,0,ROUND((_xlfn.MAXIFS(Status_Log!$E:$E,Status_Log!$A:$A,$A71,Status_Log!$B:$B,$B71,Status_Log!$C:$C,$C71,Status_Log!$D:$D,"Changed to the status of Calculated")-F71)*1440,0)))</f>
        <v/>
      </c>
      <c r="L71" s="4" t="str">
        <f aca="false">IF($A71="","",IFERROR(INDEX(Status_Log!$F:$F,MATCH($A71&amp;"|"&amp;$B71&amp;"|"&amp;$C71&amp;"|Changed to the status of Calculated|"&amp;TEXT(_xlfn.MAXIFS(Status_Log!$E:$E,Status_Log!$A:$A,$A71,Status_Log!$B:$B,$B71,Status_Log!$C:$C,$C71,Status_Log!$D:$D,"Changed to the status of Calculated"),"0.000000"),Status_Log!$H:$H,0)),""))</f>
        <v/>
      </c>
      <c r="M71" s="4" t="str">
        <f aca="false">IF($A71="","",IF(E71="Client","n/a — no control step",IFERROR(INDEX(Status_Log!$F:$F,MATCH($A71&amp;"|"&amp;$B71&amp;"|"&amp;$C71&amp;"|Changed to the status of Controlled|"&amp;TEXT(_xlfn.MAXIFS(Status_Log!$E:$E,Status_Log!$A:$A,$A71,Status_Log!$B:$B,$B71,Status_Log!$C:$C,$C71,Status_Log!$D:$D,"Changed to the status of Controlled"),"0.000000"),Status_Log!$H:$H,0)),"")))</f>
        <v/>
      </c>
      <c r="N71" s="4" t="str">
        <f aca="false">IF($A71="","",IFERROR(VLOOKUP($C71,Dim_Fund!$A:$G,7,0),""))</f>
        <v/>
      </c>
      <c r="O71" s="4" t="str">
        <f aca="false">IF($A71="","",IF(L71=N71,"No","Yes"))</f>
        <v/>
      </c>
      <c r="P71" s="4" t="str">
        <f aca="false">IF($A71="","",IF(E71="Client","n/a",IF(L71=M71,"YES — four-eyes breach","No")))</f>
        <v/>
      </c>
      <c r="Q71" s="38" t="str">
        <f aca="false">IF($A71="","",IFERROR(VLOOKUP($C71,Dim_Fund!$A:$AB,28,0),""))</f>
        <v/>
      </c>
      <c r="R71" s="38" t="str">
        <f aca="false">IF($A71="","",IFERROR(VLOOKUP($C71,Dim_Fund!$A:$AC,29,0),""))</f>
        <v/>
      </c>
      <c r="S71" s="38" t="str">
        <f aca="false">IF($A71="","",IFERROR(VLOOKUP($C71,Dim_Fund!$A:$AD,30,0),""))</f>
        <v/>
      </c>
      <c r="T71" s="38" t="str">
        <f aca="false">IF($A71="","",IFERROR(VLOOKUP($C71,Dim_Fund!$A:$AL,38,0),""))</f>
        <v/>
      </c>
      <c r="U71" s="37" t="str">
        <f aca="false">IF($A71="","",IF(AL71="","",IFERROR(IF(COUNTIFS(Fact_Milestone!$A:$A,$B71,Fact_Milestone!$B:$B,AL71)=0,"",_xlfn.MAXIFS(Fact_Milestone!$C:$C,Fact_Milestone!$A:$A,$B71,Fact_Milestone!$B:$B,AL71)),"")))</f>
        <v/>
      </c>
      <c r="V71" s="37" t="str">
        <f aca="false">IF($A71="","",IFERROR(IF(VLOOKUP($C71,Dim_Fund!$A:$AI,35,0)&gt;0,$B71+VLOOKUP($C71,Dim_Fund!$A:$AI,35,0)/24,""),""))</f>
        <v/>
      </c>
      <c r="W71" s="37" t="str">
        <f aca="false">IF($A71="","",F71)</f>
        <v/>
      </c>
      <c r="X71" s="37" t="str">
        <f aca="false">IF($A71="","",IF(E71="Client",H71,G71))</f>
        <v/>
      </c>
      <c r="Y71" s="37" t="str">
        <f aca="false">IF($A71="","",I71)</f>
        <v/>
      </c>
      <c r="Z71" s="37" t="str">
        <f aca="false">IF($A71="","",IFERROR(W71-R71/1440,""))</f>
        <v/>
      </c>
      <c r="AA71" s="38" t="str">
        <f aca="false">IF($A71="","",IF(OR(U71="",V71=""),"",ROUND((V71-U71)*1440,0)))</f>
        <v/>
      </c>
      <c r="AB71" s="38" t="str">
        <f aca="false">IF($A71="","",IF(U71="","",ROUND((W71-U71)*1440,0)))</f>
        <v/>
      </c>
      <c r="AC71" s="38" t="str">
        <f aca="false">IF($A71="","",IF(AB71="","",MAX(0,AB71)))</f>
        <v/>
      </c>
      <c r="AD71" s="38" t="str">
        <f aca="false">IF($A71="","",IFERROR(ROUND((X71-W71)*1440,0),""))</f>
        <v/>
      </c>
      <c r="AE71" s="38" t="str">
        <f aca="false">IF($A71="","",IF(E71="Client","n/a",IFERROR(ROUND((H71-G71)*1440,0),"")))</f>
        <v/>
      </c>
      <c r="AF71" s="38" t="str">
        <f aca="false">IF($A71="","",IFERROR(ROUND((Y71-H71)*1440,0),""))</f>
        <v/>
      </c>
      <c r="AG71" s="38" t="str">
        <f aca="false">IF($A71="","",IFERROR(ROUND((H71-F71)*1440,0),""))</f>
        <v/>
      </c>
      <c r="AH71" s="38" t="str">
        <f aca="false">IF($A71="","",IFERROR(ROUND((Y71-V71)*1440,0),""))</f>
        <v/>
      </c>
      <c r="AI71" s="4" t="str">
        <f aca="false">IF($A71="","",IF(AH71="","",IF(AH71&gt;0,"Yes","No")))</f>
        <v/>
      </c>
      <c r="AJ71" s="4" t="str">
        <f aca="false">IF($A71="","",IF(AI71&lt;&gt;"Yes","On time",IF(N(AC71)&gt;=MAX(N(AF71),N(K71)),"Wait for analyst",IF(N(AF71)&gt;=N(K71),"External sign-off","Rework"))))</f>
        <v/>
      </c>
      <c r="AK71" s="4" t="str">
        <f aca="false">IF($A71="","",IF(OR(F71="",Y71="",ISNA(MATCH(L71,Dim_Analyst!$A:$A,0))),"CHECK","OK"))</f>
        <v/>
      </c>
      <c r="AL71" s="4" t="str">
        <f aca="false">IF($A71="","",IFERROR(VLOOKUP($C71,Dim_Fund!$A:$U,21,0),""))</f>
        <v/>
      </c>
      <c r="AM71" s="4" t="str">
        <f aca="false">IF($A71="","",IF($U71="","",IF($U71&gt;$B71+IFERROR(VLOOKUP($C71,Dim_Fund!$A:$AH,34,0),0)/24,"Yes","No")))</f>
        <v/>
      </c>
      <c r="AN71" s="22" t="str">
        <f aca="false">IF($A71="","",IFERROR(VLOOKUP($C71,Dim_Fund!$A:$AH,34,0),""))</f>
        <v/>
      </c>
      <c r="AO71" s="22" t="str">
        <f aca="false">IF($A71="","",IF($AL71="","",IFERROR(FLOOR(IF(COUNTIFS(Fact_Milestone!$A:$A,$B71,Fact_Milestone!$B:$B,$AL71,Fact_Milestone!$F:$F,"&gt;0")&gt;0,_xlfn.MINIFS(Fact_Milestone!$F:$F,Fact_Milestone!$A:$A,$B71,Fact_Milestone!$B:$B,$AL71,Fact_Milestone!$F:$F,"&gt;0"),VLOOKUP($AL71,Dim_TOP!$A:$E,5,0)),0.5),"")))</f>
        <v/>
      </c>
      <c r="AP71" s="22" t="str">
        <f aca="false">IF($A71="","",IF($U71="","",ROUND(($U71-INT($U71))*24,4)))</f>
        <v/>
      </c>
      <c r="AQ71" s="22" t="str">
        <f aca="false">IF($A71="","",IF($W71="","",ROUND(($W71-INT($W71))*24,4)))</f>
        <v/>
      </c>
      <c r="AR71" s="22" t="str">
        <f aca="false">IF($A71="","",IF($X71="","",ROUND(($X71-INT($X71))*24,4)))</f>
        <v/>
      </c>
      <c r="AS71" s="38" t="str">
        <f aca="false">IF($A71="","",IF(OR($AN71="",$V71="",$S71="",$T71=""),"",ROUND(($V71-($B71+$AN71/24))*1440-$S71-$T71,0)))</f>
        <v/>
      </c>
      <c r="AT71" s="38" t="str">
        <f aca="false">IF($A71="","",IF(OR($AN71="",$U71=""),"",ROUND(($U71-($B71+$AN71/24))*1440,0)))</f>
        <v/>
      </c>
      <c r="AU71" s="38" t="str">
        <f aca="false">IF($A71="","",IF(OR($AD71="",$S71=""),"",ROUND($AD71-$S71,0)))</f>
        <v/>
      </c>
      <c r="AV71" s="38" t="str">
        <f aca="false">IF($A71="","",N($AE71))</f>
        <v/>
      </c>
      <c r="AW71" s="38" t="str">
        <f aca="false">IF($A71="","",IF(OR($AF71="",$T71=""),"",$AF71-$T71))</f>
        <v/>
      </c>
      <c r="AX71" s="38" t="str">
        <f aca="false">IF($A71="","",IF(COUNT($AT71,$AB71,$AU71,$AW71,$AS71,$AH71)&lt;6,"",ROUND($AT71+$AB71+$AU71+$AV71+$AW71-$AS71-$AH71,0)))</f>
        <v/>
      </c>
      <c r="AY71" s="4" t="str">
        <f aca="false">IF($A71="","",IF($AX71="","No",IF(ABS($AX71)&lt;=2,"Yes","No")))</f>
        <v/>
      </c>
      <c r="AZ71" s="4" t="str">
        <f aca="false">IF($A71="","",IF($AI71&lt;&gt;"Yes","n/a",IF(OR($AA71="",$S71="",$T71=""),"Unknown",IF($AA71&lt;$S71+$T71,"Lost on arrival","Lost after arrival"))))</f>
        <v/>
      </c>
      <c r="BA71" s="10" t="str">
        <f aca="false">IF($A71="","",IFERROR(VLOOKUP($C71,Dim_Fund!$A:$D,4,0),""))</f>
        <v/>
      </c>
      <c r="BB71" s="10" t="str">
        <f aca="false">IF($A71="","",IF($AL71="","",IF(COUNTIFS(Fact_Milestone!$A:$A,$B71,Fact_Milestone!$B:$B,$AL71,Fact_Milestone!$I:$I,"No")&gt;0,"No",IF(COUNTIFS(Fact_Milestone!$A:$A,$B71,Fact_Milestone!$B:$B,$AL71,Fact_Milestone!$I:$I,"Yes")&gt;0,"Yes",""))))</f>
        <v/>
      </c>
      <c r="BC71" s="45" t="str">
        <f aca="false">IF($A71="","",IF(OR($L71="",$W71=""),"",IF(COUNTIFS($L:$L,$L71,$B:$B,$B71,$W:$W,"&lt;"&amp;$W71)=0,"",_xlfn.MAXIFS($W:$W,$L:$L,$L71,$B:$B,$B71,$W:$W,"&lt;"&amp;$W71))))</f>
        <v/>
      </c>
      <c r="BD71" s="39" t="str">
        <f aca="false">IF($A71="","",IF($AC71="","",IF(OR($L71="",$AC71=0),0,MIN($AC71,ROUND(ROUND(1440*SUMPRODUCT(($L$2:INDEX($L:$L,COUNTA($C:$C))=$L71)*($B$2:INDEX($B:$B,COUNTA($C:$C))=$B71)*(ROW($L$2:INDEX($L:$L,COUNTA($C:$C)))&lt;&gt;ROW())*((((($W71+$BT$2:INDEX($BT:$BT,COUNTA($C:$C))-ABS($W71-$BT$2:INDEX($BT:$BT,COUNTA($C:$C))))/2)-(($U71+$BS$2:INDEX($BS:$BS,COUNTA($C:$C))+ABS($U71-$BS$2:INDEX($BS:$BS,COUNTA($C:$C))))/2))+ABS(((($W71+$BT$2:INDEX($BT:$BT,COUNTA($C:$C))-ABS($W71-$BT$2:INDEX($BT:$BT,COUNTA($C:$C))))/2)-(($U71+$BS$2:INDEX($BS:$BS,COUNTA($C:$C))+ABS($U71-$BS$2:INDEX($BS:$BS,COUNTA($C:$C))))/2))))/2)),4),0)))))</f>
        <v/>
      </c>
      <c r="BE71" s="39" t="str">
        <f aca="false">IF($A71="","",IF($AC71="","",ROUND(MIN($AC71-$BD71,N($R71)),0)))</f>
        <v/>
      </c>
      <c r="BF71" s="10" t="str">
        <f aca="false">IF($A71="","",IFERROR(VLOOKUP($C71,Dim_Fund!$A:$BD,56,0),""))</f>
        <v/>
      </c>
      <c r="BG71" s="10" t="str">
        <f aca="false">IF($A71="","",IFERROR(VLOOKUP($C71,Dim_Fund!$A:$BH,60,0),""))</f>
        <v/>
      </c>
      <c r="BH71" s="10" t="str">
        <f aca="false">IF($A71="","",IF($AI71&lt;&gt;"Yes","Not breached",IF($AM71="Yes","Pricing late",IF($BG71="Thin custody slack","Thin custody slack",IF($BF71="Yes","Broker-dependent","None of these")))))</f>
        <v/>
      </c>
      <c r="BI71" s="23" t="str">
        <f aca="false">IF($A71="","",IFERROR(IF(VLOOKUP($C71,Dim_Fund!$A:$AI,35,0)&gt;0,VLOOKUP($C71,Dim_Fund!$A:$AI,35,0),""),""))</f>
        <v/>
      </c>
      <c r="BJ71" s="10" t="str">
        <f aca="false">IF($A71="","",$C71&amp;IF($E71="Client","*",""))</f>
        <v/>
      </c>
      <c r="BK71" s="39" t="str">
        <f aca="false">IF($A71="","",IFERROR(ROUND(($Y71-$X71)*1440,0),""))</f>
        <v/>
      </c>
      <c r="BL71" s="39" t="str">
        <f aca="false">IF($A71="","",IF($AH71="","",-$AH71))</f>
        <v/>
      </c>
      <c r="BM71" s="46" t="str">
        <f aca="false">IF($A71="","",IF($AQ71="","",IF($AP71="",$AQ71,MIN($AP71,$AQ71))))</f>
        <v/>
      </c>
      <c r="BN71" s="46" t="str">
        <f aca="false">IF($A71="","",IF($BM71="","",ROUND(N($AC71)/60,4)))</f>
        <v/>
      </c>
      <c r="BO71" s="46" t="str">
        <f aca="false">IF($A71="","",IF(OR($BM71="",$AD71=""),"",ROUND($AD71/60,4)))</f>
        <v/>
      </c>
      <c r="BP71" s="46" t="str">
        <f aca="false">IF($A71="","",IF($BM71="","",ROUND(N($AE71)/60,4)))</f>
        <v/>
      </c>
      <c r="BQ71" s="46" t="str">
        <f aca="false">IF($A71="","",IF(OR($BM71="",$AF71=""),"",ROUND($AF71/60,4)))</f>
        <v/>
      </c>
      <c r="BR71" s="39" t="str">
        <f aca="false">IF($A71="","",IF($AC71="","",$AC71-$BD71-$BE71))</f>
        <v/>
      </c>
      <c r="BS71" s="45" t="str">
        <f aca="false">IF($A71="","",IF(AND(ISNUMBER($Z71),ISNUMBER($W71)),$Z71,0))</f>
        <v/>
      </c>
      <c r="BT71" s="45" t="str">
        <f aca="false">IF($A71="","",IF(ISNUMBER($W71),$W71,0))</f>
        <v/>
      </c>
      <c r="BU71" s="23" t="str">
        <f aca="false">IF($A71="","",IF(ISNUMBER($W71),ROUND(($W71-$B71)*24,4),""))</f>
        <v/>
      </c>
      <c r="BV71" s="23" t="str">
        <f aca="false">IF($A71="","",IF(ISNUMBER($X71),ROUND(($X71-$B71)*24,4),""))</f>
        <v/>
      </c>
      <c r="BW71" s="10" t="str">
        <f aca="false">IF($A71="","",IF(NOT(ISNUMBER($W71)),"Missing Calculated",IF(NOT(ISNUMBER($X71)),IF($E71="Client","Missing FA signed off","Missing Controlled"),IF($X71&lt;$W71,"End before start","OK"))))</f>
        <v/>
      </c>
      <c r="BX71" s="23" t="str">
        <f aca="false">IF($A71="","",IF(NOT(ISNUMBER($Z71)),"",ROUND((IF(ISNUMBER($U71),MIN($U71,$Z71),$Z71)-$B71)*24,4)))</f>
        <v/>
      </c>
      <c r="BY71" s="23" t="str">
        <f aca="false">IF($A71="","",IF(ISNUMBER($Z71),ROUND(($Z71-$B71)*24,4),""))</f>
        <v/>
      </c>
      <c r="BZ71" s="23" t="str">
        <f aca="false">IF($A71="","",IF(AND(ISNUMBER($W71),ISNUMBER($S71)),ROUND(($W71+$S71/1440-$B71)*24,4),""))</f>
        <v/>
      </c>
    </row>
    <row r="72" customFormat="false" ht="15" hidden="false" customHeight="true" outlineLevel="0" collapsed="false">
      <c r="A72" s="47"/>
      <c r="B72" s="47"/>
      <c r="D72" s="4" t="str">
        <f aca="false">IF($A72="","",$B72-$A72)</f>
        <v/>
      </c>
      <c r="E72" s="4" t="str">
        <f aca="false">IF($A72="","",IFERROR(VLOOKUP($C72,Dim_Fund!$A:$X,24,0),""))</f>
        <v/>
      </c>
      <c r="F72" s="37" t="str">
        <f aca="false">IF($A72="","",IF(COUNTIFS(Status_Log!$A:$A,$A72,Status_Log!$B:$B,$B72,Status_Log!$C:$C,$C72,Status_Log!$D:$D,"Changed to the status of Calculated")=0,"",_xlfn.MINIFS(Status_Log!$E:$E,Status_Log!$A:$A,$A72,Status_Log!$B:$B,$B72,Status_Log!$C:$C,$C72,Status_Log!$D:$D,"Changed to the status of Calculated")))</f>
        <v/>
      </c>
      <c r="G72" s="37" t="str">
        <f aca="false">IF($A72="","",IF(COUNTIFS(Status_Log!$A:$A,$A72,Status_Log!$B:$B,$B72,Status_Log!$C:$C,$C72,Status_Log!$D:$D,"Changed to the status of Controlled")=0,"",_xlfn.MAXIFS(Status_Log!$E:$E,Status_Log!$A:$A,$A72,Status_Log!$B:$B,$B72,Status_Log!$C:$C,$C72,Status_Log!$D:$D,"Changed to the status of Controlled")))</f>
        <v/>
      </c>
      <c r="H72" s="37" t="str">
        <f aca="false">IF($A72="","",IF(COUNTIFS(Status_Log!$A:$A,$A72,Status_Log!$B:$B,$B72,Status_Log!$C:$C,$C72,Status_Log!$D:$D,"Changed to the status of Fund accounting signed off")=0,"",_xlfn.MAXIFS(Status_Log!$E:$E,Status_Log!$A:$A,$A72,Status_Log!$B:$B,$B72,Status_Log!$C:$C,$C72,Status_Log!$D:$D,"Changed to the status of Fund accounting signed off")))</f>
        <v/>
      </c>
      <c r="I72" s="37" t="str">
        <f aca="false">IF($A72="","",IF(COUNTIFS(Status_Log!$A:$A,$A72,Status_Log!$B:$B,$B72,Status_Log!$C:$C,$C72,Status_Log!$D:$D,"Changed to the status of signed off")=0,"",_xlfn.MAXIFS(Status_Log!$E:$E,Status_Log!$A:$A,$A72,Status_Log!$B:$B,$B72,Status_Log!$C:$C,$C72,Status_Log!$D:$D,"Changed to the status of signed off")))</f>
        <v/>
      </c>
      <c r="J72" s="4" t="str">
        <f aca="false">IF($A72="","",COUNTIFS(Status_Log!$A:$A,$A72,Status_Log!$B:$B,$B72,Status_Log!$C:$C,$C72,Status_Log!$D:$D,"Changed to the status of Calculated"))</f>
        <v/>
      </c>
      <c r="K72" s="38" t="str">
        <f aca="false">IF($A72="","",IF(J72&lt;=1,0,ROUND((_xlfn.MAXIFS(Status_Log!$E:$E,Status_Log!$A:$A,$A72,Status_Log!$B:$B,$B72,Status_Log!$C:$C,$C72,Status_Log!$D:$D,"Changed to the status of Calculated")-F72)*1440,0)))</f>
        <v/>
      </c>
      <c r="L72" s="4" t="str">
        <f aca="false">IF($A72="","",IFERROR(INDEX(Status_Log!$F:$F,MATCH($A72&amp;"|"&amp;$B72&amp;"|"&amp;$C72&amp;"|Changed to the status of Calculated|"&amp;TEXT(_xlfn.MAXIFS(Status_Log!$E:$E,Status_Log!$A:$A,$A72,Status_Log!$B:$B,$B72,Status_Log!$C:$C,$C72,Status_Log!$D:$D,"Changed to the status of Calculated"),"0.000000"),Status_Log!$H:$H,0)),""))</f>
        <v/>
      </c>
      <c r="M72" s="4" t="str">
        <f aca="false">IF($A72="","",IF(E72="Client","n/a — no control step",IFERROR(INDEX(Status_Log!$F:$F,MATCH($A72&amp;"|"&amp;$B72&amp;"|"&amp;$C72&amp;"|Changed to the status of Controlled|"&amp;TEXT(_xlfn.MAXIFS(Status_Log!$E:$E,Status_Log!$A:$A,$A72,Status_Log!$B:$B,$B72,Status_Log!$C:$C,$C72,Status_Log!$D:$D,"Changed to the status of Controlled"),"0.000000"),Status_Log!$H:$H,0)),"")))</f>
        <v/>
      </c>
      <c r="N72" s="4" t="str">
        <f aca="false">IF($A72="","",IFERROR(VLOOKUP($C72,Dim_Fund!$A:$G,7,0),""))</f>
        <v/>
      </c>
      <c r="O72" s="4" t="str">
        <f aca="false">IF($A72="","",IF(L72=N72,"No","Yes"))</f>
        <v/>
      </c>
      <c r="P72" s="4" t="str">
        <f aca="false">IF($A72="","",IF(E72="Client","n/a",IF(L72=M72,"YES — four-eyes breach","No")))</f>
        <v/>
      </c>
      <c r="Q72" s="38" t="str">
        <f aca="false">IF($A72="","",IFERROR(VLOOKUP($C72,Dim_Fund!$A:$AB,28,0),""))</f>
        <v/>
      </c>
      <c r="R72" s="38" t="str">
        <f aca="false">IF($A72="","",IFERROR(VLOOKUP($C72,Dim_Fund!$A:$AC,29,0),""))</f>
        <v/>
      </c>
      <c r="S72" s="38" t="str">
        <f aca="false">IF($A72="","",IFERROR(VLOOKUP($C72,Dim_Fund!$A:$AD,30,0),""))</f>
        <v/>
      </c>
      <c r="T72" s="38" t="str">
        <f aca="false">IF($A72="","",IFERROR(VLOOKUP($C72,Dim_Fund!$A:$AL,38,0),""))</f>
        <v/>
      </c>
      <c r="U72" s="37" t="str">
        <f aca="false">IF($A72="","",IF(AL72="","",IFERROR(IF(COUNTIFS(Fact_Milestone!$A:$A,$B72,Fact_Milestone!$B:$B,AL72)=0,"",_xlfn.MAXIFS(Fact_Milestone!$C:$C,Fact_Milestone!$A:$A,$B72,Fact_Milestone!$B:$B,AL72)),"")))</f>
        <v/>
      </c>
      <c r="V72" s="37" t="str">
        <f aca="false">IF($A72="","",IFERROR(IF(VLOOKUP($C72,Dim_Fund!$A:$AI,35,0)&gt;0,$B72+VLOOKUP($C72,Dim_Fund!$A:$AI,35,0)/24,""),""))</f>
        <v/>
      </c>
      <c r="W72" s="37" t="str">
        <f aca="false">IF($A72="","",F72)</f>
        <v/>
      </c>
      <c r="X72" s="37" t="str">
        <f aca="false">IF($A72="","",IF(E72="Client",H72,G72))</f>
        <v/>
      </c>
      <c r="Y72" s="37" t="str">
        <f aca="false">IF($A72="","",I72)</f>
        <v/>
      </c>
      <c r="Z72" s="37" t="str">
        <f aca="false">IF($A72="","",IFERROR(W72-R72/1440,""))</f>
        <v/>
      </c>
      <c r="AA72" s="38" t="str">
        <f aca="false">IF($A72="","",IF(OR(U72="",V72=""),"",ROUND((V72-U72)*1440,0)))</f>
        <v/>
      </c>
      <c r="AB72" s="38" t="str">
        <f aca="false">IF($A72="","",IF(U72="","",ROUND((W72-U72)*1440,0)))</f>
        <v/>
      </c>
      <c r="AC72" s="38" t="str">
        <f aca="false">IF($A72="","",IF(AB72="","",MAX(0,AB72)))</f>
        <v/>
      </c>
      <c r="AD72" s="38" t="str">
        <f aca="false">IF($A72="","",IFERROR(ROUND((X72-W72)*1440,0),""))</f>
        <v/>
      </c>
      <c r="AE72" s="38" t="str">
        <f aca="false">IF($A72="","",IF(E72="Client","n/a",IFERROR(ROUND((H72-G72)*1440,0),"")))</f>
        <v/>
      </c>
      <c r="AF72" s="38" t="str">
        <f aca="false">IF($A72="","",IFERROR(ROUND((Y72-H72)*1440,0),""))</f>
        <v/>
      </c>
      <c r="AG72" s="38" t="str">
        <f aca="false">IF($A72="","",IFERROR(ROUND((H72-F72)*1440,0),""))</f>
        <v/>
      </c>
      <c r="AH72" s="38" t="str">
        <f aca="false">IF($A72="","",IFERROR(ROUND((Y72-V72)*1440,0),""))</f>
        <v/>
      </c>
      <c r="AI72" s="4" t="str">
        <f aca="false">IF($A72="","",IF(AH72="","",IF(AH72&gt;0,"Yes","No")))</f>
        <v/>
      </c>
      <c r="AJ72" s="4" t="str">
        <f aca="false">IF($A72="","",IF(AI72&lt;&gt;"Yes","On time",IF(N(AC72)&gt;=MAX(N(AF72),N(K72)),"Wait for analyst",IF(N(AF72)&gt;=N(K72),"External sign-off","Rework"))))</f>
        <v/>
      </c>
      <c r="AK72" s="4" t="str">
        <f aca="false">IF($A72="","",IF(OR(F72="",Y72="",ISNA(MATCH(L72,Dim_Analyst!$A:$A,0))),"CHECK","OK"))</f>
        <v/>
      </c>
      <c r="AL72" s="4" t="str">
        <f aca="false">IF($A72="","",IFERROR(VLOOKUP($C72,Dim_Fund!$A:$U,21,0),""))</f>
        <v/>
      </c>
      <c r="AM72" s="4" t="str">
        <f aca="false">IF($A72="","",IF($U72="","",IF($U72&gt;$B72+IFERROR(VLOOKUP($C72,Dim_Fund!$A:$AH,34,0),0)/24,"Yes","No")))</f>
        <v/>
      </c>
      <c r="AN72" s="22" t="str">
        <f aca="false">IF($A72="","",IFERROR(VLOOKUP($C72,Dim_Fund!$A:$AH,34,0),""))</f>
        <v/>
      </c>
      <c r="AO72" s="22" t="str">
        <f aca="false">IF($A72="","",IF($AL72="","",IFERROR(FLOOR(IF(COUNTIFS(Fact_Milestone!$A:$A,$B72,Fact_Milestone!$B:$B,$AL72,Fact_Milestone!$F:$F,"&gt;0")&gt;0,_xlfn.MINIFS(Fact_Milestone!$F:$F,Fact_Milestone!$A:$A,$B72,Fact_Milestone!$B:$B,$AL72,Fact_Milestone!$F:$F,"&gt;0"),VLOOKUP($AL72,Dim_TOP!$A:$E,5,0)),0.5),"")))</f>
        <v/>
      </c>
      <c r="AP72" s="22" t="str">
        <f aca="false">IF($A72="","",IF($U72="","",ROUND(($U72-INT($U72))*24,4)))</f>
        <v/>
      </c>
      <c r="AQ72" s="22" t="str">
        <f aca="false">IF($A72="","",IF($W72="","",ROUND(($W72-INT($W72))*24,4)))</f>
        <v/>
      </c>
      <c r="AR72" s="22" t="str">
        <f aca="false">IF($A72="","",IF($X72="","",ROUND(($X72-INT($X72))*24,4)))</f>
        <v/>
      </c>
      <c r="AS72" s="38" t="str">
        <f aca="false">IF($A72="","",IF(OR($AN72="",$V72="",$S72="",$T72=""),"",ROUND(($V72-($B72+$AN72/24))*1440-$S72-$T72,0)))</f>
        <v/>
      </c>
      <c r="AT72" s="38" t="str">
        <f aca="false">IF($A72="","",IF(OR($AN72="",$U72=""),"",ROUND(($U72-($B72+$AN72/24))*1440,0)))</f>
        <v/>
      </c>
      <c r="AU72" s="38" t="str">
        <f aca="false">IF($A72="","",IF(OR($AD72="",$S72=""),"",ROUND($AD72-$S72,0)))</f>
        <v/>
      </c>
      <c r="AV72" s="38" t="str">
        <f aca="false">IF($A72="","",N($AE72))</f>
        <v/>
      </c>
      <c r="AW72" s="38" t="str">
        <f aca="false">IF($A72="","",IF(OR($AF72="",$T72=""),"",$AF72-$T72))</f>
        <v/>
      </c>
      <c r="AX72" s="38" t="str">
        <f aca="false">IF($A72="","",IF(COUNT($AT72,$AB72,$AU72,$AW72,$AS72,$AH72)&lt;6,"",ROUND($AT72+$AB72+$AU72+$AV72+$AW72-$AS72-$AH72,0)))</f>
        <v/>
      </c>
      <c r="AY72" s="4" t="str">
        <f aca="false">IF($A72="","",IF($AX72="","No",IF(ABS($AX72)&lt;=2,"Yes","No")))</f>
        <v/>
      </c>
      <c r="AZ72" s="4" t="str">
        <f aca="false">IF($A72="","",IF($AI72&lt;&gt;"Yes","n/a",IF(OR($AA72="",$S72="",$T72=""),"Unknown",IF($AA72&lt;$S72+$T72,"Lost on arrival","Lost after arrival"))))</f>
        <v/>
      </c>
      <c r="BA72" s="10" t="str">
        <f aca="false">IF($A72="","",IFERROR(VLOOKUP($C72,Dim_Fund!$A:$D,4,0),""))</f>
        <v/>
      </c>
      <c r="BB72" s="10" t="str">
        <f aca="false">IF($A72="","",IF($AL72="","",IF(COUNTIFS(Fact_Milestone!$A:$A,$B72,Fact_Milestone!$B:$B,$AL72,Fact_Milestone!$I:$I,"No")&gt;0,"No",IF(COUNTIFS(Fact_Milestone!$A:$A,$B72,Fact_Milestone!$B:$B,$AL72,Fact_Milestone!$I:$I,"Yes")&gt;0,"Yes",""))))</f>
        <v/>
      </c>
      <c r="BC72" s="45" t="str">
        <f aca="false">IF($A72="","",IF(OR($L72="",$W72=""),"",IF(COUNTIFS($L:$L,$L72,$B:$B,$B72,$W:$W,"&lt;"&amp;$W72)=0,"",_xlfn.MAXIFS($W:$W,$L:$L,$L72,$B:$B,$B72,$W:$W,"&lt;"&amp;$W72))))</f>
        <v/>
      </c>
      <c r="BD72" s="39" t="str">
        <f aca="false">IF($A72="","",IF($AC72="","",IF(OR($L72="",$AC72=0),0,MIN($AC72,ROUND(ROUND(1440*SUMPRODUCT(($L$2:INDEX($L:$L,COUNTA($C:$C))=$L72)*($B$2:INDEX($B:$B,COUNTA($C:$C))=$B72)*(ROW($L$2:INDEX($L:$L,COUNTA($C:$C)))&lt;&gt;ROW())*((((($W72+$BT$2:INDEX($BT:$BT,COUNTA($C:$C))-ABS($W72-$BT$2:INDEX($BT:$BT,COUNTA($C:$C))))/2)-(($U72+$BS$2:INDEX($BS:$BS,COUNTA($C:$C))+ABS($U72-$BS$2:INDEX($BS:$BS,COUNTA($C:$C))))/2))+ABS(((($W72+$BT$2:INDEX($BT:$BT,COUNTA($C:$C))-ABS($W72-$BT$2:INDEX($BT:$BT,COUNTA($C:$C))))/2)-(($U72+$BS$2:INDEX($BS:$BS,COUNTA($C:$C))+ABS($U72-$BS$2:INDEX($BS:$BS,COUNTA($C:$C))))/2))))/2)),4),0)))))</f>
        <v/>
      </c>
      <c r="BE72" s="39" t="str">
        <f aca="false">IF($A72="","",IF($AC72="","",ROUND(MIN($AC72-$BD72,N($R72)),0)))</f>
        <v/>
      </c>
      <c r="BF72" s="10" t="str">
        <f aca="false">IF($A72="","",IFERROR(VLOOKUP($C72,Dim_Fund!$A:$BD,56,0),""))</f>
        <v/>
      </c>
      <c r="BG72" s="10" t="str">
        <f aca="false">IF($A72="","",IFERROR(VLOOKUP($C72,Dim_Fund!$A:$BH,60,0),""))</f>
        <v/>
      </c>
      <c r="BH72" s="10" t="str">
        <f aca="false">IF($A72="","",IF($AI72&lt;&gt;"Yes","Not breached",IF($AM72="Yes","Pricing late",IF($BG72="Thin custody slack","Thin custody slack",IF($BF72="Yes","Broker-dependent","None of these")))))</f>
        <v/>
      </c>
      <c r="BI72" s="23" t="str">
        <f aca="false">IF($A72="","",IFERROR(IF(VLOOKUP($C72,Dim_Fund!$A:$AI,35,0)&gt;0,VLOOKUP($C72,Dim_Fund!$A:$AI,35,0),""),""))</f>
        <v/>
      </c>
      <c r="BJ72" s="10" t="str">
        <f aca="false">IF($A72="","",$C72&amp;IF($E72="Client","*",""))</f>
        <v/>
      </c>
      <c r="BK72" s="39" t="str">
        <f aca="false">IF($A72="","",IFERROR(ROUND(($Y72-$X72)*1440,0),""))</f>
        <v/>
      </c>
      <c r="BL72" s="39" t="str">
        <f aca="false">IF($A72="","",IF($AH72="","",-$AH72))</f>
        <v/>
      </c>
      <c r="BM72" s="46" t="str">
        <f aca="false">IF($A72="","",IF($AQ72="","",IF($AP72="",$AQ72,MIN($AP72,$AQ72))))</f>
        <v/>
      </c>
      <c r="BN72" s="46" t="str">
        <f aca="false">IF($A72="","",IF($BM72="","",ROUND(N($AC72)/60,4)))</f>
        <v/>
      </c>
      <c r="BO72" s="46" t="str">
        <f aca="false">IF($A72="","",IF(OR($BM72="",$AD72=""),"",ROUND($AD72/60,4)))</f>
        <v/>
      </c>
      <c r="BP72" s="46" t="str">
        <f aca="false">IF($A72="","",IF($BM72="","",ROUND(N($AE72)/60,4)))</f>
        <v/>
      </c>
      <c r="BQ72" s="46" t="str">
        <f aca="false">IF($A72="","",IF(OR($BM72="",$AF72=""),"",ROUND($AF72/60,4)))</f>
        <v/>
      </c>
      <c r="BR72" s="39" t="str">
        <f aca="false">IF($A72="","",IF($AC72="","",$AC72-$BD72-$BE72))</f>
        <v/>
      </c>
      <c r="BS72" s="45" t="str">
        <f aca="false">IF($A72="","",IF(AND(ISNUMBER($Z72),ISNUMBER($W72)),$Z72,0))</f>
        <v/>
      </c>
      <c r="BT72" s="45" t="str">
        <f aca="false">IF($A72="","",IF(ISNUMBER($W72),$W72,0))</f>
        <v/>
      </c>
      <c r="BU72" s="23" t="str">
        <f aca="false">IF($A72="","",IF(ISNUMBER($W72),ROUND(($W72-$B72)*24,4),""))</f>
        <v/>
      </c>
      <c r="BV72" s="23" t="str">
        <f aca="false">IF($A72="","",IF(ISNUMBER($X72),ROUND(($X72-$B72)*24,4),""))</f>
        <v/>
      </c>
      <c r="BW72" s="10" t="str">
        <f aca="false">IF($A72="","",IF(NOT(ISNUMBER($W72)),"Missing Calculated",IF(NOT(ISNUMBER($X72)),IF($E72="Client","Missing FA signed off","Missing Controlled"),IF($X72&lt;$W72,"End before start","OK"))))</f>
        <v/>
      </c>
      <c r="BX72" s="23" t="str">
        <f aca="false">IF($A72="","",IF(NOT(ISNUMBER($Z72)),"",ROUND((IF(ISNUMBER($U72),MIN($U72,$Z72),$Z72)-$B72)*24,4)))</f>
        <v/>
      </c>
      <c r="BY72" s="23" t="str">
        <f aca="false">IF($A72="","",IF(ISNUMBER($Z72),ROUND(($Z72-$B72)*24,4),""))</f>
        <v/>
      </c>
      <c r="BZ72" s="23" t="str">
        <f aca="false">IF($A72="","",IF(AND(ISNUMBER($W72),ISNUMBER($S72)),ROUND(($W72+$S72/1440-$B72)*24,4),""))</f>
        <v/>
      </c>
    </row>
    <row r="73" customFormat="false" ht="15" hidden="false" customHeight="true" outlineLevel="0" collapsed="false">
      <c r="A73" s="47"/>
      <c r="B73" s="47"/>
      <c r="D73" s="4" t="str">
        <f aca="false">IF($A73="","",$B73-$A73)</f>
        <v/>
      </c>
      <c r="E73" s="4" t="str">
        <f aca="false">IF($A73="","",IFERROR(VLOOKUP($C73,Dim_Fund!$A:$X,24,0),""))</f>
        <v/>
      </c>
      <c r="F73" s="37" t="str">
        <f aca="false">IF($A73="","",IF(COUNTIFS(Status_Log!$A:$A,$A73,Status_Log!$B:$B,$B73,Status_Log!$C:$C,$C73,Status_Log!$D:$D,"Changed to the status of Calculated")=0,"",_xlfn.MINIFS(Status_Log!$E:$E,Status_Log!$A:$A,$A73,Status_Log!$B:$B,$B73,Status_Log!$C:$C,$C73,Status_Log!$D:$D,"Changed to the status of Calculated")))</f>
        <v/>
      </c>
      <c r="G73" s="37" t="str">
        <f aca="false">IF($A73="","",IF(COUNTIFS(Status_Log!$A:$A,$A73,Status_Log!$B:$B,$B73,Status_Log!$C:$C,$C73,Status_Log!$D:$D,"Changed to the status of Controlled")=0,"",_xlfn.MAXIFS(Status_Log!$E:$E,Status_Log!$A:$A,$A73,Status_Log!$B:$B,$B73,Status_Log!$C:$C,$C73,Status_Log!$D:$D,"Changed to the status of Controlled")))</f>
        <v/>
      </c>
      <c r="H73" s="37" t="str">
        <f aca="false">IF($A73="","",IF(COUNTIFS(Status_Log!$A:$A,$A73,Status_Log!$B:$B,$B73,Status_Log!$C:$C,$C73,Status_Log!$D:$D,"Changed to the status of Fund accounting signed off")=0,"",_xlfn.MAXIFS(Status_Log!$E:$E,Status_Log!$A:$A,$A73,Status_Log!$B:$B,$B73,Status_Log!$C:$C,$C73,Status_Log!$D:$D,"Changed to the status of Fund accounting signed off")))</f>
        <v/>
      </c>
      <c r="I73" s="37" t="str">
        <f aca="false">IF($A73="","",IF(COUNTIFS(Status_Log!$A:$A,$A73,Status_Log!$B:$B,$B73,Status_Log!$C:$C,$C73,Status_Log!$D:$D,"Changed to the status of signed off")=0,"",_xlfn.MAXIFS(Status_Log!$E:$E,Status_Log!$A:$A,$A73,Status_Log!$B:$B,$B73,Status_Log!$C:$C,$C73,Status_Log!$D:$D,"Changed to the status of signed off")))</f>
        <v/>
      </c>
      <c r="J73" s="4" t="str">
        <f aca="false">IF($A73="","",COUNTIFS(Status_Log!$A:$A,$A73,Status_Log!$B:$B,$B73,Status_Log!$C:$C,$C73,Status_Log!$D:$D,"Changed to the status of Calculated"))</f>
        <v/>
      </c>
      <c r="K73" s="38" t="str">
        <f aca="false">IF($A73="","",IF(J73&lt;=1,0,ROUND((_xlfn.MAXIFS(Status_Log!$E:$E,Status_Log!$A:$A,$A73,Status_Log!$B:$B,$B73,Status_Log!$C:$C,$C73,Status_Log!$D:$D,"Changed to the status of Calculated")-F73)*1440,0)))</f>
        <v/>
      </c>
      <c r="L73" s="4" t="str">
        <f aca="false">IF($A73="","",IFERROR(INDEX(Status_Log!$F:$F,MATCH($A73&amp;"|"&amp;$B73&amp;"|"&amp;$C73&amp;"|Changed to the status of Calculated|"&amp;TEXT(_xlfn.MAXIFS(Status_Log!$E:$E,Status_Log!$A:$A,$A73,Status_Log!$B:$B,$B73,Status_Log!$C:$C,$C73,Status_Log!$D:$D,"Changed to the status of Calculated"),"0.000000"),Status_Log!$H:$H,0)),""))</f>
        <v/>
      </c>
      <c r="M73" s="4" t="str">
        <f aca="false">IF($A73="","",IF(E73="Client","n/a — no control step",IFERROR(INDEX(Status_Log!$F:$F,MATCH($A73&amp;"|"&amp;$B73&amp;"|"&amp;$C73&amp;"|Changed to the status of Controlled|"&amp;TEXT(_xlfn.MAXIFS(Status_Log!$E:$E,Status_Log!$A:$A,$A73,Status_Log!$B:$B,$B73,Status_Log!$C:$C,$C73,Status_Log!$D:$D,"Changed to the status of Controlled"),"0.000000"),Status_Log!$H:$H,0)),"")))</f>
        <v/>
      </c>
      <c r="N73" s="4" t="str">
        <f aca="false">IF($A73="","",IFERROR(VLOOKUP($C73,Dim_Fund!$A:$G,7,0),""))</f>
        <v/>
      </c>
      <c r="O73" s="4" t="str">
        <f aca="false">IF($A73="","",IF(L73=N73,"No","Yes"))</f>
        <v/>
      </c>
      <c r="P73" s="4" t="str">
        <f aca="false">IF($A73="","",IF(E73="Client","n/a",IF(L73=M73,"YES — four-eyes breach","No")))</f>
        <v/>
      </c>
      <c r="Q73" s="38" t="str">
        <f aca="false">IF($A73="","",IFERROR(VLOOKUP($C73,Dim_Fund!$A:$AB,28,0),""))</f>
        <v/>
      </c>
      <c r="R73" s="38" t="str">
        <f aca="false">IF($A73="","",IFERROR(VLOOKUP($C73,Dim_Fund!$A:$AC,29,0),""))</f>
        <v/>
      </c>
      <c r="S73" s="38" t="str">
        <f aca="false">IF($A73="","",IFERROR(VLOOKUP($C73,Dim_Fund!$A:$AD,30,0),""))</f>
        <v/>
      </c>
      <c r="T73" s="38" t="str">
        <f aca="false">IF($A73="","",IFERROR(VLOOKUP($C73,Dim_Fund!$A:$AL,38,0),""))</f>
        <v/>
      </c>
      <c r="U73" s="37" t="str">
        <f aca="false">IF($A73="","",IF(AL73="","",IFERROR(IF(COUNTIFS(Fact_Milestone!$A:$A,$B73,Fact_Milestone!$B:$B,AL73)=0,"",_xlfn.MAXIFS(Fact_Milestone!$C:$C,Fact_Milestone!$A:$A,$B73,Fact_Milestone!$B:$B,AL73)),"")))</f>
        <v/>
      </c>
      <c r="V73" s="37" t="str">
        <f aca="false">IF($A73="","",IFERROR(IF(VLOOKUP($C73,Dim_Fund!$A:$AI,35,0)&gt;0,$B73+VLOOKUP($C73,Dim_Fund!$A:$AI,35,0)/24,""),""))</f>
        <v/>
      </c>
      <c r="W73" s="37" t="str">
        <f aca="false">IF($A73="","",F73)</f>
        <v/>
      </c>
      <c r="X73" s="37" t="str">
        <f aca="false">IF($A73="","",IF(E73="Client",H73,G73))</f>
        <v/>
      </c>
      <c r="Y73" s="37" t="str">
        <f aca="false">IF($A73="","",I73)</f>
        <v/>
      </c>
      <c r="Z73" s="37" t="str">
        <f aca="false">IF($A73="","",IFERROR(W73-R73/1440,""))</f>
        <v/>
      </c>
      <c r="AA73" s="38" t="str">
        <f aca="false">IF($A73="","",IF(OR(U73="",V73=""),"",ROUND((V73-U73)*1440,0)))</f>
        <v/>
      </c>
      <c r="AB73" s="38" t="str">
        <f aca="false">IF($A73="","",IF(U73="","",ROUND((W73-U73)*1440,0)))</f>
        <v/>
      </c>
      <c r="AC73" s="38" t="str">
        <f aca="false">IF($A73="","",IF(AB73="","",MAX(0,AB73)))</f>
        <v/>
      </c>
      <c r="AD73" s="38" t="str">
        <f aca="false">IF($A73="","",IFERROR(ROUND((X73-W73)*1440,0),""))</f>
        <v/>
      </c>
      <c r="AE73" s="38" t="str">
        <f aca="false">IF($A73="","",IF(E73="Client","n/a",IFERROR(ROUND((H73-G73)*1440,0),"")))</f>
        <v/>
      </c>
      <c r="AF73" s="38" t="str">
        <f aca="false">IF($A73="","",IFERROR(ROUND((Y73-H73)*1440,0),""))</f>
        <v/>
      </c>
      <c r="AG73" s="38" t="str">
        <f aca="false">IF($A73="","",IFERROR(ROUND((H73-F73)*1440,0),""))</f>
        <v/>
      </c>
      <c r="AH73" s="38" t="str">
        <f aca="false">IF($A73="","",IFERROR(ROUND((Y73-V73)*1440,0),""))</f>
        <v/>
      </c>
      <c r="AI73" s="4" t="str">
        <f aca="false">IF($A73="","",IF(AH73="","",IF(AH73&gt;0,"Yes","No")))</f>
        <v/>
      </c>
      <c r="AJ73" s="4" t="str">
        <f aca="false">IF($A73="","",IF(AI73&lt;&gt;"Yes","On time",IF(N(AC73)&gt;=MAX(N(AF73),N(K73)),"Wait for analyst",IF(N(AF73)&gt;=N(K73),"External sign-off","Rework"))))</f>
        <v/>
      </c>
      <c r="AK73" s="4" t="str">
        <f aca="false">IF($A73="","",IF(OR(F73="",Y73="",ISNA(MATCH(L73,Dim_Analyst!$A:$A,0))),"CHECK","OK"))</f>
        <v/>
      </c>
      <c r="AL73" s="4" t="str">
        <f aca="false">IF($A73="","",IFERROR(VLOOKUP($C73,Dim_Fund!$A:$U,21,0),""))</f>
        <v/>
      </c>
      <c r="AM73" s="4" t="str">
        <f aca="false">IF($A73="","",IF($U73="","",IF($U73&gt;$B73+IFERROR(VLOOKUP($C73,Dim_Fund!$A:$AH,34,0),0)/24,"Yes","No")))</f>
        <v/>
      </c>
      <c r="AN73" s="22" t="str">
        <f aca="false">IF($A73="","",IFERROR(VLOOKUP($C73,Dim_Fund!$A:$AH,34,0),""))</f>
        <v/>
      </c>
      <c r="AO73" s="22" t="str">
        <f aca="false">IF($A73="","",IF($AL73="","",IFERROR(FLOOR(IF(COUNTIFS(Fact_Milestone!$A:$A,$B73,Fact_Milestone!$B:$B,$AL73,Fact_Milestone!$F:$F,"&gt;0")&gt;0,_xlfn.MINIFS(Fact_Milestone!$F:$F,Fact_Milestone!$A:$A,$B73,Fact_Milestone!$B:$B,$AL73,Fact_Milestone!$F:$F,"&gt;0"),VLOOKUP($AL73,Dim_TOP!$A:$E,5,0)),0.5),"")))</f>
        <v/>
      </c>
      <c r="AP73" s="22" t="str">
        <f aca="false">IF($A73="","",IF($U73="","",ROUND(($U73-INT($U73))*24,4)))</f>
        <v/>
      </c>
      <c r="AQ73" s="22" t="str">
        <f aca="false">IF($A73="","",IF($W73="","",ROUND(($W73-INT($W73))*24,4)))</f>
        <v/>
      </c>
      <c r="AR73" s="22" t="str">
        <f aca="false">IF($A73="","",IF($X73="","",ROUND(($X73-INT($X73))*24,4)))</f>
        <v/>
      </c>
      <c r="AS73" s="38" t="str">
        <f aca="false">IF($A73="","",IF(OR($AN73="",$V73="",$S73="",$T73=""),"",ROUND(($V73-($B73+$AN73/24))*1440-$S73-$T73,0)))</f>
        <v/>
      </c>
      <c r="AT73" s="38" t="str">
        <f aca="false">IF($A73="","",IF(OR($AN73="",$U73=""),"",ROUND(($U73-($B73+$AN73/24))*1440,0)))</f>
        <v/>
      </c>
      <c r="AU73" s="38" t="str">
        <f aca="false">IF($A73="","",IF(OR($AD73="",$S73=""),"",ROUND($AD73-$S73,0)))</f>
        <v/>
      </c>
      <c r="AV73" s="38" t="str">
        <f aca="false">IF($A73="","",N($AE73))</f>
        <v/>
      </c>
      <c r="AW73" s="38" t="str">
        <f aca="false">IF($A73="","",IF(OR($AF73="",$T73=""),"",$AF73-$T73))</f>
        <v/>
      </c>
      <c r="AX73" s="38" t="str">
        <f aca="false">IF($A73="","",IF(COUNT($AT73,$AB73,$AU73,$AW73,$AS73,$AH73)&lt;6,"",ROUND($AT73+$AB73+$AU73+$AV73+$AW73-$AS73-$AH73,0)))</f>
        <v/>
      </c>
      <c r="AY73" s="4" t="str">
        <f aca="false">IF($A73="","",IF($AX73="","No",IF(ABS($AX73)&lt;=2,"Yes","No")))</f>
        <v/>
      </c>
      <c r="AZ73" s="4" t="str">
        <f aca="false">IF($A73="","",IF($AI73&lt;&gt;"Yes","n/a",IF(OR($AA73="",$S73="",$T73=""),"Unknown",IF($AA73&lt;$S73+$T73,"Lost on arrival","Lost after arrival"))))</f>
        <v/>
      </c>
      <c r="BA73" s="10" t="str">
        <f aca="false">IF($A73="","",IFERROR(VLOOKUP($C73,Dim_Fund!$A:$D,4,0),""))</f>
        <v/>
      </c>
      <c r="BB73" s="10" t="str">
        <f aca="false">IF($A73="","",IF($AL73="","",IF(COUNTIFS(Fact_Milestone!$A:$A,$B73,Fact_Milestone!$B:$B,$AL73,Fact_Milestone!$I:$I,"No")&gt;0,"No",IF(COUNTIFS(Fact_Milestone!$A:$A,$B73,Fact_Milestone!$B:$B,$AL73,Fact_Milestone!$I:$I,"Yes")&gt;0,"Yes",""))))</f>
        <v/>
      </c>
      <c r="BC73" s="45" t="str">
        <f aca="false">IF($A73="","",IF(OR($L73="",$W73=""),"",IF(COUNTIFS($L:$L,$L73,$B:$B,$B73,$W:$W,"&lt;"&amp;$W73)=0,"",_xlfn.MAXIFS($W:$W,$L:$L,$L73,$B:$B,$B73,$W:$W,"&lt;"&amp;$W73))))</f>
        <v/>
      </c>
      <c r="BD73" s="39" t="str">
        <f aca="false">IF($A73="","",IF($AC73="","",IF(OR($L73="",$AC73=0),0,MIN($AC73,ROUND(ROUND(1440*SUMPRODUCT(($L$2:INDEX($L:$L,COUNTA($C:$C))=$L73)*($B$2:INDEX($B:$B,COUNTA($C:$C))=$B73)*(ROW($L$2:INDEX($L:$L,COUNTA($C:$C)))&lt;&gt;ROW())*((((($W73+$BT$2:INDEX($BT:$BT,COUNTA($C:$C))-ABS($W73-$BT$2:INDEX($BT:$BT,COUNTA($C:$C))))/2)-(($U73+$BS$2:INDEX($BS:$BS,COUNTA($C:$C))+ABS($U73-$BS$2:INDEX($BS:$BS,COUNTA($C:$C))))/2))+ABS(((($W73+$BT$2:INDEX($BT:$BT,COUNTA($C:$C))-ABS($W73-$BT$2:INDEX($BT:$BT,COUNTA($C:$C))))/2)-(($U73+$BS$2:INDEX($BS:$BS,COUNTA($C:$C))+ABS($U73-$BS$2:INDEX($BS:$BS,COUNTA($C:$C))))/2))))/2)),4),0)))))</f>
        <v/>
      </c>
      <c r="BE73" s="39" t="str">
        <f aca="false">IF($A73="","",IF($AC73="","",ROUND(MIN($AC73-$BD73,N($R73)),0)))</f>
        <v/>
      </c>
      <c r="BF73" s="10" t="str">
        <f aca="false">IF($A73="","",IFERROR(VLOOKUP($C73,Dim_Fund!$A:$BD,56,0),""))</f>
        <v/>
      </c>
      <c r="BG73" s="10" t="str">
        <f aca="false">IF($A73="","",IFERROR(VLOOKUP($C73,Dim_Fund!$A:$BH,60,0),""))</f>
        <v/>
      </c>
      <c r="BH73" s="10" t="str">
        <f aca="false">IF($A73="","",IF($AI73&lt;&gt;"Yes","Not breached",IF($AM73="Yes","Pricing late",IF($BG73="Thin custody slack","Thin custody slack",IF($BF73="Yes","Broker-dependent","None of these")))))</f>
        <v/>
      </c>
      <c r="BI73" s="23" t="str">
        <f aca="false">IF($A73="","",IFERROR(IF(VLOOKUP($C73,Dim_Fund!$A:$AI,35,0)&gt;0,VLOOKUP($C73,Dim_Fund!$A:$AI,35,0),""),""))</f>
        <v/>
      </c>
      <c r="BJ73" s="10" t="str">
        <f aca="false">IF($A73="","",$C73&amp;IF($E73="Client","*",""))</f>
        <v/>
      </c>
      <c r="BK73" s="39" t="str">
        <f aca="false">IF($A73="","",IFERROR(ROUND(($Y73-$X73)*1440,0),""))</f>
        <v/>
      </c>
      <c r="BL73" s="39" t="str">
        <f aca="false">IF($A73="","",IF($AH73="","",-$AH73))</f>
        <v/>
      </c>
      <c r="BM73" s="46" t="str">
        <f aca="false">IF($A73="","",IF($AQ73="","",IF($AP73="",$AQ73,MIN($AP73,$AQ73))))</f>
        <v/>
      </c>
      <c r="BN73" s="46" t="str">
        <f aca="false">IF($A73="","",IF($BM73="","",ROUND(N($AC73)/60,4)))</f>
        <v/>
      </c>
      <c r="BO73" s="46" t="str">
        <f aca="false">IF($A73="","",IF(OR($BM73="",$AD73=""),"",ROUND($AD73/60,4)))</f>
        <v/>
      </c>
      <c r="BP73" s="46" t="str">
        <f aca="false">IF($A73="","",IF($BM73="","",ROUND(N($AE73)/60,4)))</f>
        <v/>
      </c>
      <c r="BQ73" s="46" t="str">
        <f aca="false">IF($A73="","",IF(OR($BM73="",$AF73=""),"",ROUND($AF73/60,4)))</f>
        <v/>
      </c>
      <c r="BR73" s="39" t="str">
        <f aca="false">IF($A73="","",IF($AC73="","",$AC73-$BD73-$BE73))</f>
        <v/>
      </c>
      <c r="BS73" s="45" t="str">
        <f aca="false">IF($A73="","",IF(AND(ISNUMBER($Z73),ISNUMBER($W73)),$Z73,0))</f>
        <v/>
      </c>
      <c r="BT73" s="45" t="str">
        <f aca="false">IF($A73="","",IF(ISNUMBER($W73),$W73,0))</f>
        <v/>
      </c>
      <c r="BU73" s="23" t="str">
        <f aca="false">IF($A73="","",IF(ISNUMBER($W73),ROUND(($W73-$B73)*24,4),""))</f>
        <v/>
      </c>
      <c r="BV73" s="23" t="str">
        <f aca="false">IF($A73="","",IF(ISNUMBER($X73),ROUND(($X73-$B73)*24,4),""))</f>
        <v/>
      </c>
      <c r="BW73" s="10" t="str">
        <f aca="false">IF($A73="","",IF(NOT(ISNUMBER($W73)),"Missing Calculated",IF(NOT(ISNUMBER($X73)),IF($E73="Client","Missing FA signed off","Missing Controlled"),IF($X73&lt;$W73,"End before start","OK"))))</f>
        <v/>
      </c>
      <c r="BX73" s="23" t="str">
        <f aca="false">IF($A73="","",IF(NOT(ISNUMBER($Z73)),"",ROUND((IF(ISNUMBER($U73),MIN($U73,$Z73),$Z73)-$B73)*24,4)))</f>
        <v/>
      </c>
      <c r="BY73" s="23" t="str">
        <f aca="false">IF($A73="","",IF(ISNUMBER($Z73),ROUND(($Z73-$B73)*24,4),""))</f>
        <v/>
      </c>
      <c r="BZ73" s="23" t="str">
        <f aca="false">IF($A73="","",IF(AND(ISNUMBER($W73),ISNUMBER($S73)),ROUND(($W73+$S73/1440-$B73)*24,4),""))</f>
        <v/>
      </c>
    </row>
    <row r="74" customFormat="false" ht="15" hidden="false" customHeight="true" outlineLevel="0" collapsed="false">
      <c r="A74" s="47"/>
      <c r="B74" s="47"/>
      <c r="D74" s="4" t="str">
        <f aca="false">IF($A74="","",$B74-$A74)</f>
        <v/>
      </c>
      <c r="E74" s="4" t="str">
        <f aca="false">IF($A74="","",IFERROR(VLOOKUP($C74,Dim_Fund!$A:$X,24,0),""))</f>
        <v/>
      </c>
      <c r="F74" s="37" t="str">
        <f aca="false">IF($A74="","",IF(COUNTIFS(Status_Log!$A:$A,$A74,Status_Log!$B:$B,$B74,Status_Log!$C:$C,$C74,Status_Log!$D:$D,"Changed to the status of Calculated")=0,"",_xlfn.MINIFS(Status_Log!$E:$E,Status_Log!$A:$A,$A74,Status_Log!$B:$B,$B74,Status_Log!$C:$C,$C74,Status_Log!$D:$D,"Changed to the status of Calculated")))</f>
        <v/>
      </c>
      <c r="G74" s="37" t="str">
        <f aca="false">IF($A74="","",IF(COUNTIFS(Status_Log!$A:$A,$A74,Status_Log!$B:$B,$B74,Status_Log!$C:$C,$C74,Status_Log!$D:$D,"Changed to the status of Controlled")=0,"",_xlfn.MAXIFS(Status_Log!$E:$E,Status_Log!$A:$A,$A74,Status_Log!$B:$B,$B74,Status_Log!$C:$C,$C74,Status_Log!$D:$D,"Changed to the status of Controlled")))</f>
        <v/>
      </c>
      <c r="H74" s="37" t="str">
        <f aca="false">IF($A74="","",IF(COUNTIFS(Status_Log!$A:$A,$A74,Status_Log!$B:$B,$B74,Status_Log!$C:$C,$C74,Status_Log!$D:$D,"Changed to the status of Fund accounting signed off")=0,"",_xlfn.MAXIFS(Status_Log!$E:$E,Status_Log!$A:$A,$A74,Status_Log!$B:$B,$B74,Status_Log!$C:$C,$C74,Status_Log!$D:$D,"Changed to the status of Fund accounting signed off")))</f>
        <v/>
      </c>
      <c r="I74" s="37" t="str">
        <f aca="false">IF($A74="","",IF(COUNTIFS(Status_Log!$A:$A,$A74,Status_Log!$B:$B,$B74,Status_Log!$C:$C,$C74,Status_Log!$D:$D,"Changed to the status of signed off")=0,"",_xlfn.MAXIFS(Status_Log!$E:$E,Status_Log!$A:$A,$A74,Status_Log!$B:$B,$B74,Status_Log!$C:$C,$C74,Status_Log!$D:$D,"Changed to the status of signed off")))</f>
        <v/>
      </c>
      <c r="J74" s="4" t="str">
        <f aca="false">IF($A74="","",COUNTIFS(Status_Log!$A:$A,$A74,Status_Log!$B:$B,$B74,Status_Log!$C:$C,$C74,Status_Log!$D:$D,"Changed to the status of Calculated"))</f>
        <v/>
      </c>
      <c r="K74" s="38" t="str">
        <f aca="false">IF($A74="","",IF(J74&lt;=1,0,ROUND((_xlfn.MAXIFS(Status_Log!$E:$E,Status_Log!$A:$A,$A74,Status_Log!$B:$B,$B74,Status_Log!$C:$C,$C74,Status_Log!$D:$D,"Changed to the status of Calculated")-F74)*1440,0)))</f>
        <v/>
      </c>
      <c r="L74" s="4" t="str">
        <f aca="false">IF($A74="","",IFERROR(INDEX(Status_Log!$F:$F,MATCH($A74&amp;"|"&amp;$B74&amp;"|"&amp;$C74&amp;"|Changed to the status of Calculated|"&amp;TEXT(_xlfn.MAXIFS(Status_Log!$E:$E,Status_Log!$A:$A,$A74,Status_Log!$B:$B,$B74,Status_Log!$C:$C,$C74,Status_Log!$D:$D,"Changed to the status of Calculated"),"0.000000"),Status_Log!$H:$H,0)),""))</f>
        <v/>
      </c>
      <c r="M74" s="4" t="str">
        <f aca="false">IF($A74="","",IF(E74="Client","n/a — no control step",IFERROR(INDEX(Status_Log!$F:$F,MATCH($A74&amp;"|"&amp;$B74&amp;"|"&amp;$C74&amp;"|Changed to the status of Controlled|"&amp;TEXT(_xlfn.MAXIFS(Status_Log!$E:$E,Status_Log!$A:$A,$A74,Status_Log!$B:$B,$B74,Status_Log!$C:$C,$C74,Status_Log!$D:$D,"Changed to the status of Controlled"),"0.000000"),Status_Log!$H:$H,0)),"")))</f>
        <v/>
      </c>
      <c r="N74" s="4" t="str">
        <f aca="false">IF($A74="","",IFERROR(VLOOKUP($C74,Dim_Fund!$A:$G,7,0),""))</f>
        <v/>
      </c>
      <c r="O74" s="4" t="str">
        <f aca="false">IF($A74="","",IF(L74=N74,"No","Yes"))</f>
        <v/>
      </c>
      <c r="P74" s="4" t="str">
        <f aca="false">IF($A74="","",IF(E74="Client","n/a",IF(L74=M74,"YES — four-eyes breach","No")))</f>
        <v/>
      </c>
      <c r="Q74" s="38" t="str">
        <f aca="false">IF($A74="","",IFERROR(VLOOKUP($C74,Dim_Fund!$A:$AB,28,0),""))</f>
        <v/>
      </c>
      <c r="R74" s="38" t="str">
        <f aca="false">IF($A74="","",IFERROR(VLOOKUP($C74,Dim_Fund!$A:$AC,29,0),""))</f>
        <v/>
      </c>
      <c r="S74" s="38" t="str">
        <f aca="false">IF($A74="","",IFERROR(VLOOKUP($C74,Dim_Fund!$A:$AD,30,0),""))</f>
        <v/>
      </c>
      <c r="T74" s="38" t="str">
        <f aca="false">IF($A74="","",IFERROR(VLOOKUP($C74,Dim_Fund!$A:$AL,38,0),""))</f>
        <v/>
      </c>
      <c r="U74" s="37" t="str">
        <f aca="false">IF($A74="","",IF(AL74="","",IFERROR(IF(COUNTIFS(Fact_Milestone!$A:$A,$B74,Fact_Milestone!$B:$B,AL74)=0,"",_xlfn.MAXIFS(Fact_Milestone!$C:$C,Fact_Milestone!$A:$A,$B74,Fact_Milestone!$B:$B,AL74)),"")))</f>
        <v/>
      </c>
      <c r="V74" s="37" t="str">
        <f aca="false">IF($A74="","",IFERROR(IF(VLOOKUP($C74,Dim_Fund!$A:$AI,35,0)&gt;0,$B74+VLOOKUP($C74,Dim_Fund!$A:$AI,35,0)/24,""),""))</f>
        <v/>
      </c>
      <c r="W74" s="37" t="str">
        <f aca="false">IF($A74="","",F74)</f>
        <v/>
      </c>
      <c r="X74" s="37" t="str">
        <f aca="false">IF($A74="","",IF(E74="Client",H74,G74))</f>
        <v/>
      </c>
      <c r="Y74" s="37" t="str">
        <f aca="false">IF($A74="","",I74)</f>
        <v/>
      </c>
      <c r="Z74" s="37" t="str">
        <f aca="false">IF($A74="","",IFERROR(W74-R74/1440,""))</f>
        <v/>
      </c>
      <c r="AA74" s="38" t="str">
        <f aca="false">IF($A74="","",IF(OR(U74="",V74=""),"",ROUND((V74-U74)*1440,0)))</f>
        <v/>
      </c>
      <c r="AB74" s="38" t="str">
        <f aca="false">IF($A74="","",IF(U74="","",ROUND((W74-U74)*1440,0)))</f>
        <v/>
      </c>
      <c r="AC74" s="38" t="str">
        <f aca="false">IF($A74="","",IF(AB74="","",MAX(0,AB74)))</f>
        <v/>
      </c>
      <c r="AD74" s="38" t="str">
        <f aca="false">IF($A74="","",IFERROR(ROUND((X74-W74)*1440,0),""))</f>
        <v/>
      </c>
      <c r="AE74" s="38" t="str">
        <f aca="false">IF($A74="","",IF(E74="Client","n/a",IFERROR(ROUND((H74-G74)*1440,0),"")))</f>
        <v/>
      </c>
      <c r="AF74" s="38" t="str">
        <f aca="false">IF($A74="","",IFERROR(ROUND((Y74-H74)*1440,0),""))</f>
        <v/>
      </c>
      <c r="AG74" s="38" t="str">
        <f aca="false">IF($A74="","",IFERROR(ROUND((H74-F74)*1440,0),""))</f>
        <v/>
      </c>
      <c r="AH74" s="38" t="str">
        <f aca="false">IF($A74="","",IFERROR(ROUND((Y74-V74)*1440,0),""))</f>
        <v/>
      </c>
      <c r="AI74" s="4" t="str">
        <f aca="false">IF($A74="","",IF(AH74="","",IF(AH74&gt;0,"Yes","No")))</f>
        <v/>
      </c>
      <c r="AJ74" s="4" t="str">
        <f aca="false">IF($A74="","",IF(AI74&lt;&gt;"Yes","On time",IF(N(AC74)&gt;=MAX(N(AF74),N(K74)),"Wait for analyst",IF(N(AF74)&gt;=N(K74),"External sign-off","Rework"))))</f>
        <v/>
      </c>
      <c r="AK74" s="4" t="str">
        <f aca="false">IF($A74="","",IF(OR(F74="",Y74="",ISNA(MATCH(L74,Dim_Analyst!$A:$A,0))),"CHECK","OK"))</f>
        <v/>
      </c>
      <c r="AL74" s="4" t="str">
        <f aca="false">IF($A74="","",IFERROR(VLOOKUP($C74,Dim_Fund!$A:$U,21,0),""))</f>
        <v/>
      </c>
      <c r="AM74" s="4" t="str">
        <f aca="false">IF($A74="","",IF($U74="","",IF($U74&gt;$B74+IFERROR(VLOOKUP($C74,Dim_Fund!$A:$AH,34,0),0)/24,"Yes","No")))</f>
        <v/>
      </c>
      <c r="AN74" s="22" t="str">
        <f aca="false">IF($A74="","",IFERROR(VLOOKUP($C74,Dim_Fund!$A:$AH,34,0),""))</f>
        <v/>
      </c>
      <c r="AO74" s="22" t="str">
        <f aca="false">IF($A74="","",IF($AL74="","",IFERROR(FLOOR(IF(COUNTIFS(Fact_Milestone!$A:$A,$B74,Fact_Milestone!$B:$B,$AL74,Fact_Milestone!$F:$F,"&gt;0")&gt;0,_xlfn.MINIFS(Fact_Milestone!$F:$F,Fact_Milestone!$A:$A,$B74,Fact_Milestone!$B:$B,$AL74,Fact_Milestone!$F:$F,"&gt;0"),VLOOKUP($AL74,Dim_TOP!$A:$E,5,0)),0.5),"")))</f>
        <v/>
      </c>
      <c r="AP74" s="22" t="str">
        <f aca="false">IF($A74="","",IF($U74="","",ROUND(($U74-INT($U74))*24,4)))</f>
        <v/>
      </c>
      <c r="AQ74" s="22" t="str">
        <f aca="false">IF($A74="","",IF($W74="","",ROUND(($W74-INT($W74))*24,4)))</f>
        <v/>
      </c>
      <c r="AR74" s="22" t="str">
        <f aca="false">IF($A74="","",IF($X74="","",ROUND(($X74-INT($X74))*24,4)))</f>
        <v/>
      </c>
      <c r="AS74" s="38" t="str">
        <f aca="false">IF($A74="","",IF(OR($AN74="",$V74="",$S74="",$T74=""),"",ROUND(($V74-($B74+$AN74/24))*1440-$S74-$T74,0)))</f>
        <v/>
      </c>
      <c r="AT74" s="38" t="str">
        <f aca="false">IF($A74="","",IF(OR($AN74="",$U74=""),"",ROUND(($U74-($B74+$AN74/24))*1440,0)))</f>
        <v/>
      </c>
      <c r="AU74" s="38" t="str">
        <f aca="false">IF($A74="","",IF(OR($AD74="",$S74=""),"",ROUND($AD74-$S74,0)))</f>
        <v/>
      </c>
      <c r="AV74" s="38" t="str">
        <f aca="false">IF($A74="","",N($AE74))</f>
        <v/>
      </c>
      <c r="AW74" s="38" t="str">
        <f aca="false">IF($A74="","",IF(OR($AF74="",$T74=""),"",$AF74-$T74))</f>
        <v/>
      </c>
      <c r="AX74" s="38" t="str">
        <f aca="false">IF($A74="","",IF(COUNT($AT74,$AB74,$AU74,$AW74,$AS74,$AH74)&lt;6,"",ROUND($AT74+$AB74+$AU74+$AV74+$AW74-$AS74-$AH74,0)))</f>
        <v/>
      </c>
      <c r="AY74" s="4" t="str">
        <f aca="false">IF($A74="","",IF($AX74="","No",IF(ABS($AX74)&lt;=2,"Yes","No")))</f>
        <v/>
      </c>
      <c r="AZ74" s="4" t="str">
        <f aca="false">IF($A74="","",IF($AI74&lt;&gt;"Yes","n/a",IF(OR($AA74="",$S74="",$T74=""),"Unknown",IF($AA74&lt;$S74+$T74,"Lost on arrival","Lost after arrival"))))</f>
        <v/>
      </c>
      <c r="BA74" s="10" t="str">
        <f aca="false">IF($A74="","",IFERROR(VLOOKUP($C74,Dim_Fund!$A:$D,4,0),""))</f>
        <v/>
      </c>
      <c r="BB74" s="10" t="str">
        <f aca="false">IF($A74="","",IF($AL74="","",IF(COUNTIFS(Fact_Milestone!$A:$A,$B74,Fact_Milestone!$B:$B,$AL74,Fact_Milestone!$I:$I,"No")&gt;0,"No",IF(COUNTIFS(Fact_Milestone!$A:$A,$B74,Fact_Milestone!$B:$B,$AL74,Fact_Milestone!$I:$I,"Yes")&gt;0,"Yes",""))))</f>
        <v/>
      </c>
      <c r="BC74" s="45" t="str">
        <f aca="false">IF($A74="","",IF(OR($L74="",$W74=""),"",IF(COUNTIFS($L:$L,$L74,$B:$B,$B74,$W:$W,"&lt;"&amp;$W74)=0,"",_xlfn.MAXIFS($W:$W,$L:$L,$L74,$B:$B,$B74,$W:$W,"&lt;"&amp;$W74))))</f>
        <v/>
      </c>
      <c r="BD74" s="39" t="str">
        <f aca="false">IF($A74="","",IF($AC74="","",IF(OR($L74="",$AC74=0),0,MIN($AC74,ROUND(ROUND(1440*SUMPRODUCT(($L$2:INDEX($L:$L,COUNTA($C:$C))=$L74)*($B$2:INDEX($B:$B,COUNTA($C:$C))=$B74)*(ROW($L$2:INDEX($L:$L,COUNTA($C:$C)))&lt;&gt;ROW())*((((($W74+$BT$2:INDEX($BT:$BT,COUNTA($C:$C))-ABS($W74-$BT$2:INDEX($BT:$BT,COUNTA($C:$C))))/2)-(($U74+$BS$2:INDEX($BS:$BS,COUNTA($C:$C))+ABS($U74-$BS$2:INDEX($BS:$BS,COUNTA($C:$C))))/2))+ABS(((($W74+$BT$2:INDEX($BT:$BT,COUNTA($C:$C))-ABS($W74-$BT$2:INDEX($BT:$BT,COUNTA($C:$C))))/2)-(($U74+$BS$2:INDEX($BS:$BS,COUNTA($C:$C))+ABS($U74-$BS$2:INDEX($BS:$BS,COUNTA($C:$C))))/2))))/2)),4),0)))))</f>
        <v/>
      </c>
      <c r="BE74" s="39" t="str">
        <f aca="false">IF($A74="","",IF($AC74="","",ROUND(MIN($AC74-$BD74,N($R74)),0)))</f>
        <v/>
      </c>
      <c r="BF74" s="10" t="str">
        <f aca="false">IF($A74="","",IFERROR(VLOOKUP($C74,Dim_Fund!$A:$BD,56,0),""))</f>
        <v/>
      </c>
      <c r="BG74" s="10" t="str">
        <f aca="false">IF($A74="","",IFERROR(VLOOKUP($C74,Dim_Fund!$A:$BH,60,0),""))</f>
        <v/>
      </c>
      <c r="BH74" s="10" t="str">
        <f aca="false">IF($A74="","",IF($AI74&lt;&gt;"Yes","Not breached",IF($AM74="Yes","Pricing late",IF($BG74="Thin custody slack","Thin custody slack",IF($BF74="Yes","Broker-dependent","None of these")))))</f>
        <v/>
      </c>
      <c r="BI74" s="23" t="str">
        <f aca="false">IF($A74="","",IFERROR(IF(VLOOKUP($C74,Dim_Fund!$A:$AI,35,0)&gt;0,VLOOKUP($C74,Dim_Fund!$A:$AI,35,0),""),""))</f>
        <v/>
      </c>
      <c r="BJ74" s="10" t="str">
        <f aca="false">IF($A74="","",$C74&amp;IF($E74="Client","*",""))</f>
        <v/>
      </c>
      <c r="BK74" s="39" t="str">
        <f aca="false">IF($A74="","",IFERROR(ROUND(($Y74-$X74)*1440,0),""))</f>
        <v/>
      </c>
      <c r="BL74" s="39" t="str">
        <f aca="false">IF($A74="","",IF($AH74="","",-$AH74))</f>
        <v/>
      </c>
      <c r="BM74" s="46" t="str">
        <f aca="false">IF($A74="","",IF($AQ74="","",IF($AP74="",$AQ74,MIN($AP74,$AQ74))))</f>
        <v/>
      </c>
      <c r="BN74" s="46" t="str">
        <f aca="false">IF($A74="","",IF($BM74="","",ROUND(N($AC74)/60,4)))</f>
        <v/>
      </c>
      <c r="BO74" s="46" t="str">
        <f aca="false">IF($A74="","",IF(OR($BM74="",$AD74=""),"",ROUND($AD74/60,4)))</f>
        <v/>
      </c>
      <c r="BP74" s="46" t="str">
        <f aca="false">IF($A74="","",IF($BM74="","",ROUND(N($AE74)/60,4)))</f>
        <v/>
      </c>
      <c r="BQ74" s="46" t="str">
        <f aca="false">IF($A74="","",IF(OR($BM74="",$AF74=""),"",ROUND($AF74/60,4)))</f>
        <v/>
      </c>
      <c r="BR74" s="39" t="str">
        <f aca="false">IF($A74="","",IF($AC74="","",$AC74-$BD74-$BE74))</f>
        <v/>
      </c>
      <c r="BS74" s="45" t="str">
        <f aca="false">IF($A74="","",IF(AND(ISNUMBER($Z74),ISNUMBER($W74)),$Z74,0))</f>
        <v/>
      </c>
      <c r="BT74" s="45" t="str">
        <f aca="false">IF($A74="","",IF(ISNUMBER($W74),$W74,0))</f>
        <v/>
      </c>
      <c r="BU74" s="23" t="str">
        <f aca="false">IF($A74="","",IF(ISNUMBER($W74),ROUND(($W74-$B74)*24,4),""))</f>
        <v/>
      </c>
      <c r="BV74" s="23" t="str">
        <f aca="false">IF($A74="","",IF(ISNUMBER($X74),ROUND(($X74-$B74)*24,4),""))</f>
        <v/>
      </c>
      <c r="BW74" s="10" t="str">
        <f aca="false">IF($A74="","",IF(NOT(ISNUMBER($W74)),"Missing Calculated",IF(NOT(ISNUMBER($X74)),IF($E74="Client","Missing FA signed off","Missing Controlled"),IF($X74&lt;$W74,"End before start","OK"))))</f>
        <v/>
      </c>
      <c r="BX74" s="23" t="str">
        <f aca="false">IF($A74="","",IF(NOT(ISNUMBER($Z74)),"",ROUND((IF(ISNUMBER($U74),MIN($U74,$Z74),$Z74)-$B74)*24,4)))</f>
        <v/>
      </c>
      <c r="BY74" s="23" t="str">
        <f aca="false">IF($A74="","",IF(ISNUMBER($Z74),ROUND(($Z74-$B74)*24,4),""))</f>
        <v/>
      </c>
      <c r="BZ74" s="23" t="str">
        <f aca="false">IF($A74="","",IF(AND(ISNUMBER($W74),ISNUMBER($S74)),ROUND(($W74+$S74/1440-$B74)*24,4),""))</f>
        <v/>
      </c>
    </row>
    <row r="75" customFormat="false" ht="15" hidden="false" customHeight="true" outlineLevel="0" collapsed="false">
      <c r="A75" s="47"/>
      <c r="B75" s="47"/>
      <c r="D75" s="4" t="str">
        <f aca="false">IF($A75="","",$B75-$A75)</f>
        <v/>
      </c>
      <c r="E75" s="4" t="str">
        <f aca="false">IF($A75="","",IFERROR(VLOOKUP($C75,Dim_Fund!$A:$X,24,0),""))</f>
        <v/>
      </c>
      <c r="F75" s="37" t="str">
        <f aca="false">IF($A75="","",IF(COUNTIFS(Status_Log!$A:$A,$A75,Status_Log!$B:$B,$B75,Status_Log!$C:$C,$C75,Status_Log!$D:$D,"Changed to the status of Calculated")=0,"",_xlfn.MINIFS(Status_Log!$E:$E,Status_Log!$A:$A,$A75,Status_Log!$B:$B,$B75,Status_Log!$C:$C,$C75,Status_Log!$D:$D,"Changed to the status of Calculated")))</f>
        <v/>
      </c>
      <c r="G75" s="37" t="str">
        <f aca="false">IF($A75="","",IF(COUNTIFS(Status_Log!$A:$A,$A75,Status_Log!$B:$B,$B75,Status_Log!$C:$C,$C75,Status_Log!$D:$D,"Changed to the status of Controlled")=0,"",_xlfn.MAXIFS(Status_Log!$E:$E,Status_Log!$A:$A,$A75,Status_Log!$B:$B,$B75,Status_Log!$C:$C,$C75,Status_Log!$D:$D,"Changed to the status of Controlled")))</f>
        <v/>
      </c>
      <c r="H75" s="37" t="str">
        <f aca="false">IF($A75="","",IF(COUNTIFS(Status_Log!$A:$A,$A75,Status_Log!$B:$B,$B75,Status_Log!$C:$C,$C75,Status_Log!$D:$D,"Changed to the status of Fund accounting signed off")=0,"",_xlfn.MAXIFS(Status_Log!$E:$E,Status_Log!$A:$A,$A75,Status_Log!$B:$B,$B75,Status_Log!$C:$C,$C75,Status_Log!$D:$D,"Changed to the status of Fund accounting signed off")))</f>
        <v/>
      </c>
      <c r="I75" s="37" t="str">
        <f aca="false">IF($A75="","",IF(COUNTIFS(Status_Log!$A:$A,$A75,Status_Log!$B:$B,$B75,Status_Log!$C:$C,$C75,Status_Log!$D:$D,"Changed to the status of signed off")=0,"",_xlfn.MAXIFS(Status_Log!$E:$E,Status_Log!$A:$A,$A75,Status_Log!$B:$B,$B75,Status_Log!$C:$C,$C75,Status_Log!$D:$D,"Changed to the status of signed off")))</f>
        <v/>
      </c>
      <c r="J75" s="4" t="str">
        <f aca="false">IF($A75="","",COUNTIFS(Status_Log!$A:$A,$A75,Status_Log!$B:$B,$B75,Status_Log!$C:$C,$C75,Status_Log!$D:$D,"Changed to the status of Calculated"))</f>
        <v/>
      </c>
      <c r="K75" s="38" t="str">
        <f aca="false">IF($A75="","",IF(J75&lt;=1,0,ROUND((_xlfn.MAXIFS(Status_Log!$E:$E,Status_Log!$A:$A,$A75,Status_Log!$B:$B,$B75,Status_Log!$C:$C,$C75,Status_Log!$D:$D,"Changed to the status of Calculated")-F75)*1440,0)))</f>
        <v/>
      </c>
      <c r="L75" s="4" t="str">
        <f aca="false">IF($A75="","",IFERROR(INDEX(Status_Log!$F:$F,MATCH($A75&amp;"|"&amp;$B75&amp;"|"&amp;$C75&amp;"|Changed to the status of Calculated|"&amp;TEXT(_xlfn.MAXIFS(Status_Log!$E:$E,Status_Log!$A:$A,$A75,Status_Log!$B:$B,$B75,Status_Log!$C:$C,$C75,Status_Log!$D:$D,"Changed to the status of Calculated"),"0.000000"),Status_Log!$H:$H,0)),""))</f>
        <v/>
      </c>
      <c r="M75" s="4" t="str">
        <f aca="false">IF($A75="","",IF(E75="Client","n/a — no control step",IFERROR(INDEX(Status_Log!$F:$F,MATCH($A75&amp;"|"&amp;$B75&amp;"|"&amp;$C75&amp;"|Changed to the status of Controlled|"&amp;TEXT(_xlfn.MAXIFS(Status_Log!$E:$E,Status_Log!$A:$A,$A75,Status_Log!$B:$B,$B75,Status_Log!$C:$C,$C75,Status_Log!$D:$D,"Changed to the status of Controlled"),"0.000000"),Status_Log!$H:$H,0)),"")))</f>
        <v/>
      </c>
      <c r="N75" s="4" t="str">
        <f aca="false">IF($A75="","",IFERROR(VLOOKUP($C75,Dim_Fund!$A:$G,7,0),""))</f>
        <v/>
      </c>
      <c r="O75" s="4" t="str">
        <f aca="false">IF($A75="","",IF(L75=N75,"No","Yes"))</f>
        <v/>
      </c>
      <c r="P75" s="4" t="str">
        <f aca="false">IF($A75="","",IF(E75="Client","n/a",IF(L75=M75,"YES — four-eyes breach","No")))</f>
        <v/>
      </c>
      <c r="Q75" s="38" t="str">
        <f aca="false">IF($A75="","",IFERROR(VLOOKUP($C75,Dim_Fund!$A:$AB,28,0),""))</f>
        <v/>
      </c>
      <c r="R75" s="38" t="str">
        <f aca="false">IF($A75="","",IFERROR(VLOOKUP($C75,Dim_Fund!$A:$AC,29,0),""))</f>
        <v/>
      </c>
      <c r="S75" s="38" t="str">
        <f aca="false">IF($A75="","",IFERROR(VLOOKUP($C75,Dim_Fund!$A:$AD,30,0),""))</f>
        <v/>
      </c>
      <c r="T75" s="38" t="str">
        <f aca="false">IF($A75="","",IFERROR(VLOOKUP($C75,Dim_Fund!$A:$AL,38,0),""))</f>
        <v/>
      </c>
      <c r="U75" s="37" t="str">
        <f aca="false">IF($A75="","",IF(AL75="","",IFERROR(IF(COUNTIFS(Fact_Milestone!$A:$A,$B75,Fact_Milestone!$B:$B,AL75)=0,"",_xlfn.MAXIFS(Fact_Milestone!$C:$C,Fact_Milestone!$A:$A,$B75,Fact_Milestone!$B:$B,AL75)),"")))</f>
        <v/>
      </c>
      <c r="V75" s="37" t="str">
        <f aca="false">IF($A75="","",IFERROR(IF(VLOOKUP($C75,Dim_Fund!$A:$AI,35,0)&gt;0,$B75+VLOOKUP($C75,Dim_Fund!$A:$AI,35,0)/24,""),""))</f>
        <v/>
      </c>
      <c r="W75" s="37" t="str">
        <f aca="false">IF($A75="","",F75)</f>
        <v/>
      </c>
      <c r="X75" s="37" t="str">
        <f aca="false">IF($A75="","",IF(E75="Client",H75,G75))</f>
        <v/>
      </c>
      <c r="Y75" s="37" t="str">
        <f aca="false">IF($A75="","",I75)</f>
        <v/>
      </c>
      <c r="Z75" s="37" t="str">
        <f aca="false">IF($A75="","",IFERROR(W75-R75/1440,""))</f>
        <v/>
      </c>
      <c r="AA75" s="38" t="str">
        <f aca="false">IF($A75="","",IF(OR(U75="",V75=""),"",ROUND((V75-U75)*1440,0)))</f>
        <v/>
      </c>
      <c r="AB75" s="38" t="str">
        <f aca="false">IF($A75="","",IF(U75="","",ROUND((W75-U75)*1440,0)))</f>
        <v/>
      </c>
      <c r="AC75" s="38" t="str">
        <f aca="false">IF($A75="","",IF(AB75="","",MAX(0,AB75)))</f>
        <v/>
      </c>
      <c r="AD75" s="38" t="str">
        <f aca="false">IF($A75="","",IFERROR(ROUND((X75-W75)*1440,0),""))</f>
        <v/>
      </c>
      <c r="AE75" s="38" t="str">
        <f aca="false">IF($A75="","",IF(E75="Client","n/a",IFERROR(ROUND((H75-G75)*1440,0),"")))</f>
        <v/>
      </c>
      <c r="AF75" s="38" t="str">
        <f aca="false">IF($A75="","",IFERROR(ROUND((Y75-H75)*1440,0),""))</f>
        <v/>
      </c>
      <c r="AG75" s="38" t="str">
        <f aca="false">IF($A75="","",IFERROR(ROUND((H75-F75)*1440,0),""))</f>
        <v/>
      </c>
      <c r="AH75" s="38" t="str">
        <f aca="false">IF($A75="","",IFERROR(ROUND((Y75-V75)*1440,0),""))</f>
        <v/>
      </c>
      <c r="AI75" s="4" t="str">
        <f aca="false">IF($A75="","",IF(AH75="","",IF(AH75&gt;0,"Yes","No")))</f>
        <v/>
      </c>
      <c r="AJ75" s="4" t="str">
        <f aca="false">IF($A75="","",IF(AI75&lt;&gt;"Yes","On time",IF(N(AC75)&gt;=MAX(N(AF75),N(K75)),"Wait for analyst",IF(N(AF75)&gt;=N(K75),"External sign-off","Rework"))))</f>
        <v/>
      </c>
      <c r="AK75" s="4" t="str">
        <f aca="false">IF($A75="","",IF(OR(F75="",Y75="",ISNA(MATCH(L75,Dim_Analyst!$A:$A,0))),"CHECK","OK"))</f>
        <v/>
      </c>
      <c r="AL75" s="4" t="str">
        <f aca="false">IF($A75="","",IFERROR(VLOOKUP($C75,Dim_Fund!$A:$U,21,0),""))</f>
        <v/>
      </c>
      <c r="AM75" s="4" t="str">
        <f aca="false">IF($A75="","",IF($U75="","",IF($U75&gt;$B75+IFERROR(VLOOKUP($C75,Dim_Fund!$A:$AH,34,0),0)/24,"Yes","No")))</f>
        <v/>
      </c>
      <c r="AN75" s="22" t="str">
        <f aca="false">IF($A75="","",IFERROR(VLOOKUP($C75,Dim_Fund!$A:$AH,34,0),""))</f>
        <v/>
      </c>
      <c r="AO75" s="22" t="str">
        <f aca="false">IF($A75="","",IF($AL75="","",IFERROR(FLOOR(IF(COUNTIFS(Fact_Milestone!$A:$A,$B75,Fact_Milestone!$B:$B,$AL75,Fact_Milestone!$F:$F,"&gt;0")&gt;0,_xlfn.MINIFS(Fact_Milestone!$F:$F,Fact_Milestone!$A:$A,$B75,Fact_Milestone!$B:$B,$AL75,Fact_Milestone!$F:$F,"&gt;0"),VLOOKUP($AL75,Dim_TOP!$A:$E,5,0)),0.5),"")))</f>
        <v/>
      </c>
      <c r="AP75" s="22" t="str">
        <f aca="false">IF($A75="","",IF($U75="","",ROUND(($U75-INT($U75))*24,4)))</f>
        <v/>
      </c>
      <c r="AQ75" s="22" t="str">
        <f aca="false">IF($A75="","",IF($W75="","",ROUND(($W75-INT($W75))*24,4)))</f>
        <v/>
      </c>
      <c r="AR75" s="22" t="str">
        <f aca="false">IF($A75="","",IF($X75="","",ROUND(($X75-INT($X75))*24,4)))</f>
        <v/>
      </c>
      <c r="AS75" s="38" t="str">
        <f aca="false">IF($A75="","",IF(OR($AN75="",$V75="",$S75="",$T75=""),"",ROUND(($V75-($B75+$AN75/24))*1440-$S75-$T75,0)))</f>
        <v/>
      </c>
      <c r="AT75" s="38" t="str">
        <f aca="false">IF($A75="","",IF(OR($AN75="",$U75=""),"",ROUND(($U75-($B75+$AN75/24))*1440,0)))</f>
        <v/>
      </c>
      <c r="AU75" s="38" t="str">
        <f aca="false">IF($A75="","",IF(OR($AD75="",$S75=""),"",ROUND($AD75-$S75,0)))</f>
        <v/>
      </c>
      <c r="AV75" s="38" t="str">
        <f aca="false">IF($A75="","",N($AE75))</f>
        <v/>
      </c>
      <c r="AW75" s="38" t="str">
        <f aca="false">IF($A75="","",IF(OR($AF75="",$T75=""),"",$AF75-$T75))</f>
        <v/>
      </c>
      <c r="AX75" s="38" t="str">
        <f aca="false">IF($A75="","",IF(COUNT($AT75,$AB75,$AU75,$AW75,$AS75,$AH75)&lt;6,"",ROUND($AT75+$AB75+$AU75+$AV75+$AW75-$AS75-$AH75,0)))</f>
        <v/>
      </c>
      <c r="AY75" s="4" t="str">
        <f aca="false">IF($A75="","",IF($AX75="","No",IF(ABS($AX75)&lt;=2,"Yes","No")))</f>
        <v/>
      </c>
      <c r="AZ75" s="4" t="str">
        <f aca="false">IF($A75="","",IF($AI75&lt;&gt;"Yes","n/a",IF(OR($AA75="",$S75="",$T75=""),"Unknown",IF($AA75&lt;$S75+$T75,"Lost on arrival","Lost after arrival"))))</f>
        <v/>
      </c>
      <c r="BA75" s="10" t="str">
        <f aca="false">IF($A75="","",IFERROR(VLOOKUP($C75,Dim_Fund!$A:$D,4,0),""))</f>
        <v/>
      </c>
      <c r="BB75" s="10" t="str">
        <f aca="false">IF($A75="","",IF($AL75="","",IF(COUNTIFS(Fact_Milestone!$A:$A,$B75,Fact_Milestone!$B:$B,$AL75,Fact_Milestone!$I:$I,"No")&gt;0,"No",IF(COUNTIFS(Fact_Milestone!$A:$A,$B75,Fact_Milestone!$B:$B,$AL75,Fact_Milestone!$I:$I,"Yes")&gt;0,"Yes",""))))</f>
        <v/>
      </c>
      <c r="BC75" s="45" t="str">
        <f aca="false">IF($A75="","",IF(OR($L75="",$W75=""),"",IF(COUNTIFS($L:$L,$L75,$B:$B,$B75,$W:$W,"&lt;"&amp;$W75)=0,"",_xlfn.MAXIFS($W:$W,$L:$L,$L75,$B:$B,$B75,$W:$W,"&lt;"&amp;$W75))))</f>
        <v/>
      </c>
      <c r="BD75" s="39" t="str">
        <f aca="false">IF($A75="","",IF($AC75="","",IF(OR($L75="",$AC75=0),0,MIN($AC75,ROUND(ROUND(1440*SUMPRODUCT(($L$2:INDEX($L:$L,COUNTA($C:$C))=$L75)*($B$2:INDEX($B:$B,COUNTA($C:$C))=$B75)*(ROW($L$2:INDEX($L:$L,COUNTA($C:$C)))&lt;&gt;ROW())*((((($W75+$BT$2:INDEX($BT:$BT,COUNTA($C:$C))-ABS($W75-$BT$2:INDEX($BT:$BT,COUNTA($C:$C))))/2)-(($U75+$BS$2:INDEX($BS:$BS,COUNTA($C:$C))+ABS($U75-$BS$2:INDEX($BS:$BS,COUNTA($C:$C))))/2))+ABS(((($W75+$BT$2:INDEX($BT:$BT,COUNTA($C:$C))-ABS($W75-$BT$2:INDEX($BT:$BT,COUNTA($C:$C))))/2)-(($U75+$BS$2:INDEX($BS:$BS,COUNTA($C:$C))+ABS($U75-$BS$2:INDEX($BS:$BS,COUNTA($C:$C))))/2))))/2)),4),0)))))</f>
        <v/>
      </c>
      <c r="BE75" s="39" t="str">
        <f aca="false">IF($A75="","",IF($AC75="","",ROUND(MIN($AC75-$BD75,N($R75)),0)))</f>
        <v/>
      </c>
      <c r="BF75" s="10" t="str">
        <f aca="false">IF($A75="","",IFERROR(VLOOKUP($C75,Dim_Fund!$A:$BD,56,0),""))</f>
        <v/>
      </c>
      <c r="BG75" s="10" t="str">
        <f aca="false">IF($A75="","",IFERROR(VLOOKUP($C75,Dim_Fund!$A:$BH,60,0),""))</f>
        <v/>
      </c>
      <c r="BH75" s="10" t="str">
        <f aca="false">IF($A75="","",IF($AI75&lt;&gt;"Yes","Not breached",IF($AM75="Yes","Pricing late",IF($BG75="Thin custody slack","Thin custody slack",IF($BF75="Yes","Broker-dependent","None of these")))))</f>
        <v/>
      </c>
      <c r="BI75" s="23" t="str">
        <f aca="false">IF($A75="","",IFERROR(IF(VLOOKUP($C75,Dim_Fund!$A:$AI,35,0)&gt;0,VLOOKUP($C75,Dim_Fund!$A:$AI,35,0),""),""))</f>
        <v/>
      </c>
      <c r="BJ75" s="10" t="str">
        <f aca="false">IF($A75="","",$C75&amp;IF($E75="Client","*",""))</f>
        <v/>
      </c>
      <c r="BK75" s="39" t="str">
        <f aca="false">IF($A75="","",IFERROR(ROUND(($Y75-$X75)*1440,0),""))</f>
        <v/>
      </c>
      <c r="BL75" s="39" t="str">
        <f aca="false">IF($A75="","",IF($AH75="","",-$AH75))</f>
        <v/>
      </c>
      <c r="BM75" s="46" t="str">
        <f aca="false">IF($A75="","",IF($AQ75="","",IF($AP75="",$AQ75,MIN($AP75,$AQ75))))</f>
        <v/>
      </c>
      <c r="BN75" s="46" t="str">
        <f aca="false">IF($A75="","",IF($BM75="","",ROUND(N($AC75)/60,4)))</f>
        <v/>
      </c>
      <c r="BO75" s="46" t="str">
        <f aca="false">IF($A75="","",IF(OR($BM75="",$AD75=""),"",ROUND($AD75/60,4)))</f>
        <v/>
      </c>
      <c r="BP75" s="46" t="str">
        <f aca="false">IF($A75="","",IF($BM75="","",ROUND(N($AE75)/60,4)))</f>
        <v/>
      </c>
      <c r="BQ75" s="46" t="str">
        <f aca="false">IF($A75="","",IF(OR($BM75="",$AF75=""),"",ROUND($AF75/60,4)))</f>
        <v/>
      </c>
      <c r="BR75" s="39" t="str">
        <f aca="false">IF($A75="","",IF($AC75="","",$AC75-$BD75-$BE75))</f>
        <v/>
      </c>
      <c r="BS75" s="45" t="str">
        <f aca="false">IF($A75="","",IF(AND(ISNUMBER($Z75),ISNUMBER($W75)),$Z75,0))</f>
        <v/>
      </c>
      <c r="BT75" s="45" t="str">
        <f aca="false">IF($A75="","",IF(ISNUMBER($W75),$W75,0))</f>
        <v/>
      </c>
      <c r="BU75" s="23" t="str">
        <f aca="false">IF($A75="","",IF(ISNUMBER($W75),ROUND(($W75-$B75)*24,4),""))</f>
        <v/>
      </c>
      <c r="BV75" s="23" t="str">
        <f aca="false">IF($A75="","",IF(ISNUMBER($X75),ROUND(($X75-$B75)*24,4),""))</f>
        <v/>
      </c>
      <c r="BW75" s="10" t="str">
        <f aca="false">IF($A75="","",IF(NOT(ISNUMBER($W75)),"Missing Calculated",IF(NOT(ISNUMBER($X75)),IF($E75="Client","Missing FA signed off","Missing Controlled"),IF($X75&lt;$W75,"End before start","OK"))))</f>
        <v/>
      </c>
      <c r="BX75" s="23" t="str">
        <f aca="false">IF($A75="","",IF(NOT(ISNUMBER($Z75)),"",ROUND((IF(ISNUMBER($U75),MIN($U75,$Z75),$Z75)-$B75)*24,4)))</f>
        <v/>
      </c>
      <c r="BY75" s="23" t="str">
        <f aca="false">IF($A75="","",IF(ISNUMBER($Z75),ROUND(($Z75-$B75)*24,4),""))</f>
        <v/>
      </c>
      <c r="BZ75" s="23" t="str">
        <f aca="false">IF($A75="","",IF(AND(ISNUMBER($W75),ISNUMBER($S75)),ROUND(($W75+$S75/1440-$B75)*24,4),""))</f>
        <v/>
      </c>
    </row>
    <row r="76" customFormat="false" ht="15" hidden="false" customHeight="true" outlineLevel="0" collapsed="false">
      <c r="A76" s="47"/>
      <c r="B76" s="47"/>
      <c r="D76" s="4" t="str">
        <f aca="false">IF($A76="","",$B76-$A76)</f>
        <v/>
      </c>
      <c r="E76" s="4" t="str">
        <f aca="false">IF($A76="","",IFERROR(VLOOKUP($C76,Dim_Fund!$A:$X,24,0),""))</f>
        <v/>
      </c>
      <c r="F76" s="37" t="str">
        <f aca="false">IF($A76="","",IF(COUNTIFS(Status_Log!$A:$A,$A76,Status_Log!$B:$B,$B76,Status_Log!$C:$C,$C76,Status_Log!$D:$D,"Changed to the status of Calculated")=0,"",_xlfn.MINIFS(Status_Log!$E:$E,Status_Log!$A:$A,$A76,Status_Log!$B:$B,$B76,Status_Log!$C:$C,$C76,Status_Log!$D:$D,"Changed to the status of Calculated")))</f>
        <v/>
      </c>
      <c r="G76" s="37" t="str">
        <f aca="false">IF($A76="","",IF(COUNTIFS(Status_Log!$A:$A,$A76,Status_Log!$B:$B,$B76,Status_Log!$C:$C,$C76,Status_Log!$D:$D,"Changed to the status of Controlled")=0,"",_xlfn.MAXIFS(Status_Log!$E:$E,Status_Log!$A:$A,$A76,Status_Log!$B:$B,$B76,Status_Log!$C:$C,$C76,Status_Log!$D:$D,"Changed to the status of Controlled")))</f>
        <v/>
      </c>
      <c r="H76" s="37" t="str">
        <f aca="false">IF($A76="","",IF(COUNTIFS(Status_Log!$A:$A,$A76,Status_Log!$B:$B,$B76,Status_Log!$C:$C,$C76,Status_Log!$D:$D,"Changed to the status of Fund accounting signed off")=0,"",_xlfn.MAXIFS(Status_Log!$E:$E,Status_Log!$A:$A,$A76,Status_Log!$B:$B,$B76,Status_Log!$C:$C,$C76,Status_Log!$D:$D,"Changed to the status of Fund accounting signed off")))</f>
        <v/>
      </c>
      <c r="I76" s="37" t="str">
        <f aca="false">IF($A76="","",IF(COUNTIFS(Status_Log!$A:$A,$A76,Status_Log!$B:$B,$B76,Status_Log!$C:$C,$C76,Status_Log!$D:$D,"Changed to the status of signed off")=0,"",_xlfn.MAXIFS(Status_Log!$E:$E,Status_Log!$A:$A,$A76,Status_Log!$B:$B,$B76,Status_Log!$C:$C,$C76,Status_Log!$D:$D,"Changed to the status of signed off")))</f>
        <v/>
      </c>
      <c r="J76" s="4" t="str">
        <f aca="false">IF($A76="","",COUNTIFS(Status_Log!$A:$A,$A76,Status_Log!$B:$B,$B76,Status_Log!$C:$C,$C76,Status_Log!$D:$D,"Changed to the status of Calculated"))</f>
        <v/>
      </c>
      <c r="K76" s="38" t="str">
        <f aca="false">IF($A76="","",IF(J76&lt;=1,0,ROUND((_xlfn.MAXIFS(Status_Log!$E:$E,Status_Log!$A:$A,$A76,Status_Log!$B:$B,$B76,Status_Log!$C:$C,$C76,Status_Log!$D:$D,"Changed to the status of Calculated")-F76)*1440,0)))</f>
        <v/>
      </c>
      <c r="L76" s="4" t="str">
        <f aca="false">IF($A76="","",IFERROR(INDEX(Status_Log!$F:$F,MATCH($A76&amp;"|"&amp;$B76&amp;"|"&amp;$C76&amp;"|Changed to the status of Calculated|"&amp;TEXT(_xlfn.MAXIFS(Status_Log!$E:$E,Status_Log!$A:$A,$A76,Status_Log!$B:$B,$B76,Status_Log!$C:$C,$C76,Status_Log!$D:$D,"Changed to the status of Calculated"),"0.000000"),Status_Log!$H:$H,0)),""))</f>
        <v/>
      </c>
      <c r="M76" s="4" t="str">
        <f aca="false">IF($A76="","",IF(E76="Client","n/a — no control step",IFERROR(INDEX(Status_Log!$F:$F,MATCH($A76&amp;"|"&amp;$B76&amp;"|"&amp;$C76&amp;"|Changed to the status of Controlled|"&amp;TEXT(_xlfn.MAXIFS(Status_Log!$E:$E,Status_Log!$A:$A,$A76,Status_Log!$B:$B,$B76,Status_Log!$C:$C,$C76,Status_Log!$D:$D,"Changed to the status of Controlled"),"0.000000"),Status_Log!$H:$H,0)),"")))</f>
        <v/>
      </c>
      <c r="N76" s="4" t="str">
        <f aca="false">IF($A76="","",IFERROR(VLOOKUP($C76,Dim_Fund!$A:$G,7,0),""))</f>
        <v/>
      </c>
      <c r="O76" s="4" t="str">
        <f aca="false">IF($A76="","",IF(L76=N76,"No","Yes"))</f>
        <v/>
      </c>
      <c r="P76" s="4" t="str">
        <f aca="false">IF($A76="","",IF(E76="Client","n/a",IF(L76=M76,"YES — four-eyes breach","No")))</f>
        <v/>
      </c>
      <c r="Q76" s="38" t="str">
        <f aca="false">IF($A76="","",IFERROR(VLOOKUP($C76,Dim_Fund!$A:$AB,28,0),""))</f>
        <v/>
      </c>
      <c r="R76" s="38" t="str">
        <f aca="false">IF($A76="","",IFERROR(VLOOKUP($C76,Dim_Fund!$A:$AC,29,0),""))</f>
        <v/>
      </c>
      <c r="S76" s="38" t="str">
        <f aca="false">IF($A76="","",IFERROR(VLOOKUP($C76,Dim_Fund!$A:$AD,30,0),""))</f>
        <v/>
      </c>
      <c r="T76" s="38" t="str">
        <f aca="false">IF($A76="","",IFERROR(VLOOKUP($C76,Dim_Fund!$A:$AL,38,0),""))</f>
        <v/>
      </c>
      <c r="U76" s="37" t="str">
        <f aca="false">IF($A76="","",IF(AL76="","",IFERROR(IF(COUNTIFS(Fact_Milestone!$A:$A,$B76,Fact_Milestone!$B:$B,AL76)=0,"",_xlfn.MAXIFS(Fact_Milestone!$C:$C,Fact_Milestone!$A:$A,$B76,Fact_Milestone!$B:$B,AL76)),"")))</f>
        <v/>
      </c>
      <c r="V76" s="37" t="str">
        <f aca="false">IF($A76="","",IFERROR(IF(VLOOKUP($C76,Dim_Fund!$A:$AI,35,0)&gt;0,$B76+VLOOKUP($C76,Dim_Fund!$A:$AI,35,0)/24,""),""))</f>
        <v/>
      </c>
      <c r="W76" s="37" t="str">
        <f aca="false">IF($A76="","",F76)</f>
        <v/>
      </c>
      <c r="X76" s="37" t="str">
        <f aca="false">IF($A76="","",IF(E76="Client",H76,G76))</f>
        <v/>
      </c>
      <c r="Y76" s="37" t="str">
        <f aca="false">IF($A76="","",I76)</f>
        <v/>
      </c>
      <c r="Z76" s="37" t="str">
        <f aca="false">IF($A76="","",IFERROR(W76-R76/1440,""))</f>
        <v/>
      </c>
      <c r="AA76" s="38" t="str">
        <f aca="false">IF($A76="","",IF(OR(U76="",V76=""),"",ROUND((V76-U76)*1440,0)))</f>
        <v/>
      </c>
      <c r="AB76" s="38" t="str">
        <f aca="false">IF($A76="","",IF(U76="","",ROUND((W76-U76)*1440,0)))</f>
        <v/>
      </c>
      <c r="AC76" s="38" t="str">
        <f aca="false">IF($A76="","",IF(AB76="","",MAX(0,AB76)))</f>
        <v/>
      </c>
      <c r="AD76" s="38" t="str">
        <f aca="false">IF($A76="","",IFERROR(ROUND((X76-W76)*1440,0),""))</f>
        <v/>
      </c>
      <c r="AE76" s="38" t="str">
        <f aca="false">IF($A76="","",IF(E76="Client","n/a",IFERROR(ROUND((H76-G76)*1440,0),"")))</f>
        <v/>
      </c>
      <c r="AF76" s="38" t="str">
        <f aca="false">IF($A76="","",IFERROR(ROUND((Y76-H76)*1440,0),""))</f>
        <v/>
      </c>
      <c r="AG76" s="38" t="str">
        <f aca="false">IF($A76="","",IFERROR(ROUND((H76-F76)*1440,0),""))</f>
        <v/>
      </c>
      <c r="AH76" s="38" t="str">
        <f aca="false">IF($A76="","",IFERROR(ROUND((Y76-V76)*1440,0),""))</f>
        <v/>
      </c>
      <c r="AI76" s="4" t="str">
        <f aca="false">IF($A76="","",IF(AH76="","",IF(AH76&gt;0,"Yes","No")))</f>
        <v/>
      </c>
      <c r="AJ76" s="4" t="str">
        <f aca="false">IF($A76="","",IF(AI76&lt;&gt;"Yes","On time",IF(N(AC76)&gt;=MAX(N(AF76),N(K76)),"Wait for analyst",IF(N(AF76)&gt;=N(K76),"External sign-off","Rework"))))</f>
        <v/>
      </c>
      <c r="AK76" s="4" t="str">
        <f aca="false">IF($A76="","",IF(OR(F76="",Y76="",ISNA(MATCH(L76,Dim_Analyst!$A:$A,0))),"CHECK","OK"))</f>
        <v/>
      </c>
      <c r="AL76" s="4" t="str">
        <f aca="false">IF($A76="","",IFERROR(VLOOKUP($C76,Dim_Fund!$A:$U,21,0),""))</f>
        <v/>
      </c>
      <c r="AM76" s="4" t="str">
        <f aca="false">IF($A76="","",IF($U76="","",IF($U76&gt;$B76+IFERROR(VLOOKUP($C76,Dim_Fund!$A:$AH,34,0),0)/24,"Yes","No")))</f>
        <v/>
      </c>
      <c r="AN76" s="22" t="str">
        <f aca="false">IF($A76="","",IFERROR(VLOOKUP($C76,Dim_Fund!$A:$AH,34,0),""))</f>
        <v/>
      </c>
      <c r="AO76" s="22" t="str">
        <f aca="false">IF($A76="","",IF($AL76="","",IFERROR(FLOOR(IF(COUNTIFS(Fact_Milestone!$A:$A,$B76,Fact_Milestone!$B:$B,$AL76,Fact_Milestone!$F:$F,"&gt;0")&gt;0,_xlfn.MINIFS(Fact_Milestone!$F:$F,Fact_Milestone!$A:$A,$B76,Fact_Milestone!$B:$B,$AL76,Fact_Milestone!$F:$F,"&gt;0"),VLOOKUP($AL76,Dim_TOP!$A:$E,5,0)),0.5),"")))</f>
        <v/>
      </c>
      <c r="AP76" s="22" t="str">
        <f aca="false">IF($A76="","",IF($U76="","",ROUND(($U76-INT($U76))*24,4)))</f>
        <v/>
      </c>
      <c r="AQ76" s="22" t="str">
        <f aca="false">IF($A76="","",IF($W76="","",ROUND(($W76-INT($W76))*24,4)))</f>
        <v/>
      </c>
      <c r="AR76" s="22" t="str">
        <f aca="false">IF($A76="","",IF($X76="","",ROUND(($X76-INT($X76))*24,4)))</f>
        <v/>
      </c>
      <c r="AS76" s="38" t="str">
        <f aca="false">IF($A76="","",IF(OR($AN76="",$V76="",$S76="",$T76=""),"",ROUND(($V76-($B76+$AN76/24))*1440-$S76-$T76,0)))</f>
        <v/>
      </c>
      <c r="AT76" s="38" t="str">
        <f aca="false">IF($A76="","",IF(OR($AN76="",$U76=""),"",ROUND(($U76-($B76+$AN76/24))*1440,0)))</f>
        <v/>
      </c>
      <c r="AU76" s="38" t="str">
        <f aca="false">IF($A76="","",IF(OR($AD76="",$S76=""),"",ROUND($AD76-$S76,0)))</f>
        <v/>
      </c>
      <c r="AV76" s="38" t="str">
        <f aca="false">IF($A76="","",N($AE76))</f>
        <v/>
      </c>
      <c r="AW76" s="38" t="str">
        <f aca="false">IF($A76="","",IF(OR($AF76="",$T76=""),"",$AF76-$T76))</f>
        <v/>
      </c>
      <c r="AX76" s="38" t="str">
        <f aca="false">IF($A76="","",IF(COUNT($AT76,$AB76,$AU76,$AW76,$AS76,$AH76)&lt;6,"",ROUND($AT76+$AB76+$AU76+$AV76+$AW76-$AS76-$AH76,0)))</f>
        <v/>
      </c>
      <c r="AY76" s="4" t="str">
        <f aca="false">IF($A76="","",IF($AX76="","No",IF(ABS($AX76)&lt;=2,"Yes","No")))</f>
        <v/>
      </c>
      <c r="AZ76" s="4" t="str">
        <f aca="false">IF($A76="","",IF($AI76&lt;&gt;"Yes","n/a",IF(OR($AA76="",$S76="",$T76=""),"Unknown",IF($AA76&lt;$S76+$T76,"Lost on arrival","Lost after arrival"))))</f>
        <v/>
      </c>
      <c r="BA76" s="10" t="str">
        <f aca="false">IF($A76="","",IFERROR(VLOOKUP($C76,Dim_Fund!$A:$D,4,0),""))</f>
        <v/>
      </c>
      <c r="BB76" s="10" t="str">
        <f aca="false">IF($A76="","",IF($AL76="","",IF(COUNTIFS(Fact_Milestone!$A:$A,$B76,Fact_Milestone!$B:$B,$AL76,Fact_Milestone!$I:$I,"No")&gt;0,"No",IF(COUNTIFS(Fact_Milestone!$A:$A,$B76,Fact_Milestone!$B:$B,$AL76,Fact_Milestone!$I:$I,"Yes")&gt;0,"Yes",""))))</f>
        <v/>
      </c>
      <c r="BC76" s="45" t="str">
        <f aca="false">IF($A76="","",IF(OR($L76="",$W76=""),"",IF(COUNTIFS($L:$L,$L76,$B:$B,$B76,$W:$W,"&lt;"&amp;$W76)=0,"",_xlfn.MAXIFS($W:$W,$L:$L,$L76,$B:$B,$B76,$W:$W,"&lt;"&amp;$W76))))</f>
        <v/>
      </c>
      <c r="BD76" s="39" t="str">
        <f aca="false">IF($A76="","",IF($AC76="","",IF(OR($L76="",$AC76=0),0,MIN($AC76,ROUND(ROUND(1440*SUMPRODUCT(($L$2:INDEX($L:$L,COUNTA($C:$C))=$L76)*($B$2:INDEX($B:$B,COUNTA($C:$C))=$B76)*(ROW($L$2:INDEX($L:$L,COUNTA($C:$C)))&lt;&gt;ROW())*((((($W76+$BT$2:INDEX($BT:$BT,COUNTA($C:$C))-ABS($W76-$BT$2:INDEX($BT:$BT,COUNTA($C:$C))))/2)-(($U76+$BS$2:INDEX($BS:$BS,COUNTA($C:$C))+ABS($U76-$BS$2:INDEX($BS:$BS,COUNTA($C:$C))))/2))+ABS(((($W76+$BT$2:INDEX($BT:$BT,COUNTA($C:$C))-ABS($W76-$BT$2:INDEX($BT:$BT,COUNTA($C:$C))))/2)-(($U76+$BS$2:INDEX($BS:$BS,COUNTA($C:$C))+ABS($U76-$BS$2:INDEX($BS:$BS,COUNTA($C:$C))))/2))))/2)),4),0)))))</f>
        <v/>
      </c>
      <c r="BE76" s="39" t="str">
        <f aca="false">IF($A76="","",IF($AC76="","",ROUND(MIN($AC76-$BD76,N($R76)),0)))</f>
        <v/>
      </c>
      <c r="BF76" s="10" t="str">
        <f aca="false">IF($A76="","",IFERROR(VLOOKUP($C76,Dim_Fund!$A:$BD,56,0),""))</f>
        <v/>
      </c>
      <c r="BG76" s="10" t="str">
        <f aca="false">IF($A76="","",IFERROR(VLOOKUP($C76,Dim_Fund!$A:$BH,60,0),""))</f>
        <v/>
      </c>
      <c r="BH76" s="10" t="str">
        <f aca="false">IF($A76="","",IF($AI76&lt;&gt;"Yes","Not breached",IF($AM76="Yes","Pricing late",IF($BG76="Thin custody slack","Thin custody slack",IF($BF76="Yes","Broker-dependent","None of these")))))</f>
        <v/>
      </c>
      <c r="BI76" s="23" t="str">
        <f aca="false">IF($A76="","",IFERROR(IF(VLOOKUP($C76,Dim_Fund!$A:$AI,35,0)&gt;0,VLOOKUP($C76,Dim_Fund!$A:$AI,35,0),""),""))</f>
        <v/>
      </c>
      <c r="BJ76" s="10" t="str">
        <f aca="false">IF($A76="","",$C76&amp;IF($E76="Client","*",""))</f>
        <v/>
      </c>
      <c r="BK76" s="39" t="str">
        <f aca="false">IF($A76="","",IFERROR(ROUND(($Y76-$X76)*1440,0),""))</f>
        <v/>
      </c>
      <c r="BL76" s="39" t="str">
        <f aca="false">IF($A76="","",IF($AH76="","",-$AH76))</f>
        <v/>
      </c>
      <c r="BM76" s="46" t="str">
        <f aca="false">IF($A76="","",IF($AQ76="","",IF($AP76="",$AQ76,MIN($AP76,$AQ76))))</f>
        <v/>
      </c>
      <c r="BN76" s="46" t="str">
        <f aca="false">IF($A76="","",IF($BM76="","",ROUND(N($AC76)/60,4)))</f>
        <v/>
      </c>
      <c r="BO76" s="46" t="str">
        <f aca="false">IF($A76="","",IF(OR($BM76="",$AD76=""),"",ROUND($AD76/60,4)))</f>
        <v/>
      </c>
      <c r="BP76" s="46" t="str">
        <f aca="false">IF($A76="","",IF($BM76="","",ROUND(N($AE76)/60,4)))</f>
        <v/>
      </c>
      <c r="BQ76" s="46" t="str">
        <f aca="false">IF($A76="","",IF(OR($BM76="",$AF76=""),"",ROUND($AF76/60,4)))</f>
        <v/>
      </c>
      <c r="BR76" s="39" t="str">
        <f aca="false">IF($A76="","",IF($AC76="","",$AC76-$BD76-$BE76))</f>
        <v/>
      </c>
      <c r="BS76" s="45" t="str">
        <f aca="false">IF($A76="","",IF(AND(ISNUMBER($Z76),ISNUMBER($W76)),$Z76,0))</f>
        <v/>
      </c>
      <c r="BT76" s="45" t="str">
        <f aca="false">IF($A76="","",IF(ISNUMBER($W76),$W76,0))</f>
        <v/>
      </c>
      <c r="BU76" s="23" t="str">
        <f aca="false">IF($A76="","",IF(ISNUMBER($W76),ROUND(($W76-$B76)*24,4),""))</f>
        <v/>
      </c>
      <c r="BV76" s="23" t="str">
        <f aca="false">IF($A76="","",IF(ISNUMBER($X76),ROUND(($X76-$B76)*24,4),""))</f>
        <v/>
      </c>
      <c r="BW76" s="10" t="str">
        <f aca="false">IF($A76="","",IF(NOT(ISNUMBER($W76)),"Missing Calculated",IF(NOT(ISNUMBER($X76)),IF($E76="Client","Missing FA signed off","Missing Controlled"),IF($X76&lt;$W76,"End before start","OK"))))</f>
        <v/>
      </c>
      <c r="BX76" s="23" t="str">
        <f aca="false">IF($A76="","",IF(NOT(ISNUMBER($Z76)),"",ROUND((IF(ISNUMBER($U76),MIN($U76,$Z76),$Z76)-$B76)*24,4)))</f>
        <v/>
      </c>
      <c r="BY76" s="23" t="str">
        <f aca="false">IF($A76="","",IF(ISNUMBER($Z76),ROUND(($Z76-$B76)*24,4),""))</f>
        <v/>
      </c>
      <c r="BZ76" s="23" t="str">
        <f aca="false">IF($A76="","",IF(AND(ISNUMBER($W76),ISNUMBER($S76)),ROUND(($W76+$S76/1440-$B76)*24,4),""))</f>
        <v/>
      </c>
    </row>
    <row r="77" customFormat="false" ht="15" hidden="false" customHeight="true" outlineLevel="0" collapsed="false">
      <c r="A77" s="47"/>
      <c r="B77" s="47"/>
      <c r="D77" s="4" t="str">
        <f aca="false">IF($A77="","",$B77-$A77)</f>
        <v/>
      </c>
      <c r="E77" s="4" t="str">
        <f aca="false">IF($A77="","",IFERROR(VLOOKUP($C77,Dim_Fund!$A:$X,24,0),""))</f>
        <v/>
      </c>
      <c r="F77" s="37" t="str">
        <f aca="false">IF($A77="","",IF(COUNTIFS(Status_Log!$A:$A,$A77,Status_Log!$B:$B,$B77,Status_Log!$C:$C,$C77,Status_Log!$D:$D,"Changed to the status of Calculated")=0,"",_xlfn.MINIFS(Status_Log!$E:$E,Status_Log!$A:$A,$A77,Status_Log!$B:$B,$B77,Status_Log!$C:$C,$C77,Status_Log!$D:$D,"Changed to the status of Calculated")))</f>
        <v/>
      </c>
      <c r="G77" s="37" t="str">
        <f aca="false">IF($A77="","",IF(COUNTIFS(Status_Log!$A:$A,$A77,Status_Log!$B:$B,$B77,Status_Log!$C:$C,$C77,Status_Log!$D:$D,"Changed to the status of Controlled")=0,"",_xlfn.MAXIFS(Status_Log!$E:$E,Status_Log!$A:$A,$A77,Status_Log!$B:$B,$B77,Status_Log!$C:$C,$C77,Status_Log!$D:$D,"Changed to the status of Controlled")))</f>
        <v/>
      </c>
      <c r="H77" s="37" t="str">
        <f aca="false">IF($A77="","",IF(COUNTIFS(Status_Log!$A:$A,$A77,Status_Log!$B:$B,$B77,Status_Log!$C:$C,$C77,Status_Log!$D:$D,"Changed to the status of Fund accounting signed off")=0,"",_xlfn.MAXIFS(Status_Log!$E:$E,Status_Log!$A:$A,$A77,Status_Log!$B:$B,$B77,Status_Log!$C:$C,$C77,Status_Log!$D:$D,"Changed to the status of Fund accounting signed off")))</f>
        <v/>
      </c>
      <c r="I77" s="37" t="str">
        <f aca="false">IF($A77="","",IF(COUNTIFS(Status_Log!$A:$A,$A77,Status_Log!$B:$B,$B77,Status_Log!$C:$C,$C77,Status_Log!$D:$D,"Changed to the status of signed off")=0,"",_xlfn.MAXIFS(Status_Log!$E:$E,Status_Log!$A:$A,$A77,Status_Log!$B:$B,$B77,Status_Log!$C:$C,$C77,Status_Log!$D:$D,"Changed to the status of signed off")))</f>
        <v/>
      </c>
      <c r="J77" s="4" t="str">
        <f aca="false">IF($A77="","",COUNTIFS(Status_Log!$A:$A,$A77,Status_Log!$B:$B,$B77,Status_Log!$C:$C,$C77,Status_Log!$D:$D,"Changed to the status of Calculated"))</f>
        <v/>
      </c>
      <c r="K77" s="38" t="str">
        <f aca="false">IF($A77="","",IF(J77&lt;=1,0,ROUND((_xlfn.MAXIFS(Status_Log!$E:$E,Status_Log!$A:$A,$A77,Status_Log!$B:$B,$B77,Status_Log!$C:$C,$C77,Status_Log!$D:$D,"Changed to the status of Calculated")-F77)*1440,0)))</f>
        <v/>
      </c>
      <c r="L77" s="4" t="str">
        <f aca="false">IF($A77="","",IFERROR(INDEX(Status_Log!$F:$F,MATCH($A77&amp;"|"&amp;$B77&amp;"|"&amp;$C77&amp;"|Changed to the status of Calculated|"&amp;TEXT(_xlfn.MAXIFS(Status_Log!$E:$E,Status_Log!$A:$A,$A77,Status_Log!$B:$B,$B77,Status_Log!$C:$C,$C77,Status_Log!$D:$D,"Changed to the status of Calculated"),"0.000000"),Status_Log!$H:$H,0)),""))</f>
        <v/>
      </c>
      <c r="M77" s="4" t="str">
        <f aca="false">IF($A77="","",IF(E77="Client","n/a — no control step",IFERROR(INDEX(Status_Log!$F:$F,MATCH($A77&amp;"|"&amp;$B77&amp;"|"&amp;$C77&amp;"|Changed to the status of Controlled|"&amp;TEXT(_xlfn.MAXIFS(Status_Log!$E:$E,Status_Log!$A:$A,$A77,Status_Log!$B:$B,$B77,Status_Log!$C:$C,$C77,Status_Log!$D:$D,"Changed to the status of Controlled"),"0.000000"),Status_Log!$H:$H,0)),"")))</f>
        <v/>
      </c>
      <c r="N77" s="4" t="str">
        <f aca="false">IF($A77="","",IFERROR(VLOOKUP($C77,Dim_Fund!$A:$G,7,0),""))</f>
        <v/>
      </c>
      <c r="O77" s="4" t="str">
        <f aca="false">IF($A77="","",IF(L77=N77,"No","Yes"))</f>
        <v/>
      </c>
      <c r="P77" s="4" t="str">
        <f aca="false">IF($A77="","",IF(E77="Client","n/a",IF(L77=M77,"YES — four-eyes breach","No")))</f>
        <v/>
      </c>
      <c r="Q77" s="38" t="str">
        <f aca="false">IF($A77="","",IFERROR(VLOOKUP($C77,Dim_Fund!$A:$AB,28,0),""))</f>
        <v/>
      </c>
      <c r="R77" s="38" t="str">
        <f aca="false">IF($A77="","",IFERROR(VLOOKUP($C77,Dim_Fund!$A:$AC,29,0),""))</f>
        <v/>
      </c>
      <c r="S77" s="38" t="str">
        <f aca="false">IF($A77="","",IFERROR(VLOOKUP($C77,Dim_Fund!$A:$AD,30,0),""))</f>
        <v/>
      </c>
      <c r="T77" s="38" t="str">
        <f aca="false">IF($A77="","",IFERROR(VLOOKUP($C77,Dim_Fund!$A:$AL,38,0),""))</f>
        <v/>
      </c>
      <c r="U77" s="37" t="str">
        <f aca="false">IF($A77="","",IF(AL77="","",IFERROR(IF(COUNTIFS(Fact_Milestone!$A:$A,$B77,Fact_Milestone!$B:$B,AL77)=0,"",_xlfn.MAXIFS(Fact_Milestone!$C:$C,Fact_Milestone!$A:$A,$B77,Fact_Milestone!$B:$B,AL77)),"")))</f>
        <v/>
      </c>
      <c r="V77" s="37" t="str">
        <f aca="false">IF($A77="","",IFERROR(IF(VLOOKUP($C77,Dim_Fund!$A:$AI,35,0)&gt;0,$B77+VLOOKUP($C77,Dim_Fund!$A:$AI,35,0)/24,""),""))</f>
        <v/>
      </c>
      <c r="W77" s="37" t="str">
        <f aca="false">IF($A77="","",F77)</f>
        <v/>
      </c>
      <c r="X77" s="37" t="str">
        <f aca="false">IF($A77="","",IF(E77="Client",H77,G77))</f>
        <v/>
      </c>
      <c r="Y77" s="37" t="str">
        <f aca="false">IF($A77="","",I77)</f>
        <v/>
      </c>
      <c r="Z77" s="37" t="str">
        <f aca="false">IF($A77="","",IFERROR(W77-R77/1440,""))</f>
        <v/>
      </c>
      <c r="AA77" s="38" t="str">
        <f aca="false">IF($A77="","",IF(OR(U77="",V77=""),"",ROUND((V77-U77)*1440,0)))</f>
        <v/>
      </c>
      <c r="AB77" s="38" t="str">
        <f aca="false">IF($A77="","",IF(U77="","",ROUND((W77-U77)*1440,0)))</f>
        <v/>
      </c>
      <c r="AC77" s="38" t="str">
        <f aca="false">IF($A77="","",IF(AB77="","",MAX(0,AB77)))</f>
        <v/>
      </c>
      <c r="AD77" s="38" t="str">
        <f aca="false">IF($A77="","",IFERROR(ROUND((X77-W77)*1440,0),""))</f>
        <v/>
      </c>
      <c r="AE77" s="38" t="str">
        <f aca="false">IF($A77="","",IF(E77="Client","n/a",IFERROR(ROUND((H77-G77)*1440,0),"")))</f>
        <v/>
      </c>
      <c r="AF77" s="38" t="str">
        <f aca="false">IF($A77="","",IFERROR(ROUND((Y77-H77)*1440,0),""))</f>
        <v/>
      </c>
      <c r="AG77" s="38" t="str">
        <f aca="false">IF($A77="","",IFERROR(ROUND((H77-F77)*1440,0),""))</f>
        <v/>
      </c>
      <c r="AH77" s="38" t="str">
        <f aca="false">IF($A77="","",IFERROR(ROUND((Y77-V77)*1440,0),""))</f>
        <v/>
      </c>
      <c r="AI77" s="4" t="str">
        <f aca="false">IF($A77="","",IF(AH77="","",IF(AH77&gt;0,"Yes","No")))</f>
        <v/>
      </c>
      <c r="AJ77" s="4" t="str">
        <f aca="false">IF($A77="","",IF(AI77&lt;&gt;"Yes","On time",IF(N(AC77)&gt;=MAX(N(AF77),N(K77)),"Wait for analyst",IF(N(AF77)&gt;=N(K77),"External sign-off","Rework"))))</f>
        <v/>
      </c>
      <c r="AK77" s="4" t="str">
        <f aca="false">IF($A77="","",IF(OR(F77="",Y77="",ISNA(MATCH(L77,Dim_Analyst!$A:$A,0))),"CHECK","OK"))</f>
        <v/>
      </c>
      <c r="AL77" s="4" t="str">
        <f aca="false">IF($A77="","",IFERROR(VLOOKUP($C77,Dim_Fund!$A:$U,21,0),""))</f>
        <v/>
      </c>
      <c r="AM77" s="4" t="str">
        <f aca="false">IF($A77="","",IF($U77="","",IF($U77&gt;$B77+IFERROR(VLOOKUP($C77,Dim_Fund!$A:$AH,34,0),0)/24,"Yes","No")))</f>
        <v/>
      </c>
      <c r="AN77" s="22" t="str">
        <f aca="false">IF($A77="","",IFERROR(VLOOKUP($C77,Dim_Fund!$A:$AH,34,0),""))</f>
        <v/>
      </c>
      <c r="AO77" s="22" t="str">
        <f aca="false">IF($A77="","",IF($AL77="","",IFERROR(FLOOR(IF(COUNTIFS(Fact_Milestone!$A:$A,$B77,Fact_Milestone!$B:$B,$AL77,Fact_Milestone!$F:$F,"&gt;0")&gt;0,_xlfn.MINIFS(Fact_Milestone!$F:$F,Fact_Milestone!$A:$A,$B77,Fact_Milestone!$B:$B,$AL77,Fact_Milestone!$F:$F,"&gt;0"),VLOOKUP($AL77,Dim_TOP!$A:$E,5,0)),0.5),"")))</f>
        <v/>
      </c>
      <c r="AP77" s="22" t="str">
        <f aca="false">IF($A77="","",IF($U77="","",ROUND(($U77-INT($U77))*24,4)))</f>
        <v/>
      </c>
      <c r="AQ77" s="22" t="str">
        <f aca="false">IF($A77="","",IF($W77="","",ROUND(($W77-INT($W77))*24,4)))</f>
        <v/>
      </c>
      <c r="AR77" s="22" t="str">
        <f aca="false">IF($A77="","",IF($X77="","",ROUND(($X77-INT($X77))*24,4)))</f>
        <v/>
      </c>
      <c r="AS77" s="38" t="str">
        <f aca="false">IF($A77="","",IF(OR($AN77="",$V77="",$S77="",$T77=""),"",ROUND(($V77-($B77+$AN77/24))*1440-$S77-$T77,0)))</f>
        <v/>
      </c>
      <c r="AT77" s="38" t="str">
        <f aca="false">IF($A77="","",IF(OR($AN77="",$U77=""),"",ROUND(($U77-($B77+$AN77/24))*1440,0)))</f>
        <v/>
      </c>
      <c r="AU77" s="38" t="str">
        <f aca="false">IF($A77="","",IF(OR($AD77="",$S77=""),"",ROUND($AD77-$S77,0)))</f>
        <v/>
      </c>
      <c r="AV77" s="38" t="str">
        <f aca="false">IF($A77="","",N($AE77))</f>
        <v/>
      </c>
      <c r="AW77" s="38" t="str">
        <f aca="false">IF($A77="","",IF(OR($AF77="",$T77=""),"",$AF77-$T77))</f>
        <v/>
      </c>
      <c r="AX77" s="38" t="str">
        <f aca="false">IF($A77="","",IF(COUNT($AT77,$AB77,$AU77,$AW77,$AS77,$AH77)&lt;6,"",ROUND($AT77+$AB77+$AU77+$AV77+$AW77-$AS77-$AH77,0)))</f>
        <v/>
      </c>
      <c r="AY77" s="4" t="str">
        <f aca="false">IF($A77="","",IF($AX77="","No",IF(ABS($AX77)&lt;=2,"Yes","No")))</f>
        <v/>
      </c>
      <c r="AZ77" s="4" t="str">
        <f aca="false">IF($A77="","",IF($AI77&lt;&gt;"Yes","n/a",IF(OR($AA77="",$S77="",$T77=""),"Unknown",IF($AA77&lt;$S77+$T77,"Lost on arrival","Lost after arrival"))))</f>
        <v/>
      </c>
      <c r="BA77" s="10" t="str">
        <f aca="false">IF($A77="","",IFERROR(VLOOKUP($C77,Dim_Fund!$A:$D,4,0),""))</f>
        <v/>
      </c>
      <c r="BB77" s="10" t="str">
        <f aca="false">IF($A77="","",IF($AL77="","",IF(COUNTIFS(Fact_Milestone!$A:$A,$B77,Fact_Milestone!$B:$B,$AL77,Fact_Milestone!$I:$I,"No")&gt;0,"No",IF(COUNTIFS(Fact_Milestone!$A:$A,$B77,Fact_Milestone!$B:$B,$AL77,Fact_Milestone!$I:$I,"Yes")&gt;0,"Yes",""))))</f>
        <v/>
      </c>
      <c r="BC77" s="45" t="str">
        <f aca="false">IF($A77="","",IF(OR($L77="",$W77=""),"",IF(COUNTIFS($L:$L,$L77,$B:$B,$B77,$W:$W,"&lt;"&amp;$W77)=0,"",_xlfn.MAXIFS($W:$W,$L:$L,$L77,$B:$B,$B77,$W:$W,"&lt;"&amp;$W77))))</f>
        <v/>
      </c>
      <c r="BD77" s="39" t="str">
        <f aca="false">IF($A77="","",IF($AC77="","",IF(OR($L77="",$AC77=0),0,MIN($AC77,ROUND(ROUND(1440*SUMPRODUCT(($L$2:INDEX($L:$L,COUNTA($C:$C))=$L77)*($B$2:INDEX($B:$B,COUNTA($C:$C))=$B77)*(ROW($L$2:INDEX($L:$L,COUNTA($C:$C)))&lt;&gt;ROW())*((((($W77+$BT$2:INDEX($BT:$BT,COUNTA($C:$C))-ABS($W77-$BT$2:INDEX($BT:$BT,COUNTA($C:$C))))/2)-(($U77+$BS$2:INDEX($BS:$BS,COUNTA($C:$C))+ABS($U77-$BS$2:INDEX($BS:$BS,COUNTA($C:$C))))/2))+ABS(((($W77+$BT$2:INDEX($BT:$BT,COUNTA($C:$C))-ABS($W77-$BT$2:INDEX($BT:$BT,COUNTA($C:$C))))/2)-(($U77+$BS$2:INDEX($BS:$BS,COUNTA($C:$C))+ABS($U77-$BS$2:INDEX($BS:$BS,COUNTA($C:$C))))/2))))/2)),4),0)))))</f>
        <v/>
      </c>
      <c r="BE77" s="39" t="str">
        <f aca="false">IF($A77="","",IF($AC77="","",ROUND(MIN($AC77-$BD77,N($R77)),0)))</f>
        <v/>
      </c>
      <c r="BF77" s="10" t="str">
        <f aca="false">IF($A77="","",IFERROR(VLOOKUP($C77,Dim_Fund!$A:$BD,56,0),""))</f>
        <v/>
      </c>
      <c r="BG77" s="10" t="str">
        <f aca="false">IF($A77="","",IFERROR(VLOOKUP($C77,Dim_Fund!$A:$BH,60,0),""))</f>
        <v/>
      </c>
      <c r="BH77" s="10" t="str">
        <f aca="false">IF($A77="","",IF($AI77&lt;&gt;"Yes","Not breached",IF($AM77="Yes","Pricing late",IF($BG77="Thin custody slack","Thin custody slack",IF($BF77="Yes","Broker-dependent","None of these")))))</f>
        <v/>
      </c>
      <c r="BI77" s="23" t="str">
        <f aca="false">IF($A77="","",IFERROR(IF(VLOOKUP($C77,Dim_Fund!$A:$AI,35,0)&gt;0,VLOOKUP($C77,Dim_Fund!$A:$AI,35,0),""),""))</f>
        <v/>
      </c>
      <c r="BJ77" s="10" t="str">
        <f aca="false">IF($A77="","",$C77&amp;IF($E77="Client","*",""))</f>
        <v/>
      </c>
      <c r="BK77" s="39" t="str">
        <f aca="false">IF($A77="","",IFERROR(ROUND(($Y77-$X77)*1440,0),""))</f>
        <v/>
      </c>
      <c r="BL77" s="39" t="str">
        <f aca="false">IF($A77="","",IF($AH77="","",-$AH77))</f>
        <v/>
      </c>
      <c r="BM77" s="46" t="str">
        <f aca="false">IF($A77="","",IF($AQ77="","",IF($AP77="",$AQ77,MIN($AP77,$AQ77))))</f>
        <v/>
      </c>
      <c r="BN77" s="46" t="str">
        <f aca="false">IF($A77="","",IF($BM77="","",ROUND(N($AC77)/60,4)))</f>
        <v/>
      </c>
      <c r="BO77" s="46" t="str">
        <f aca="false">IF($A77="","",IF(OR($BM77="",$AD77=""),"",ROUND($AD77/60,4)))</f>
        <v/>
      </c>
      <c r="BP77" s="46" t="str">
        <f aca="false">IF($A77="","",IF($BM77="","",ROUND(N($AE77)/60,4)))</f>
        <v/>
      </c>
      <c r="BQ77" s="46" t="str">
        <f aca="false">IF($A77="","",IF(OR($BM77="",$AF77=""),"",ROUND($AF77/60,4)))</f>
        <v/>
      </c>
      <c r="BR77" s="39" t="str">
        <f aca="false">IF($A77="","",IF($AC77="","",$AC77-$BD77-$BE77))</f>
        <v/>
      </c>
      <c r="BS77" s="45" t="str">
        <f aca="false">IF($A77="","",IF(AND(ISNUMBER($Z77),ISNUMBER($W77)),$Z77,0))</f>
        <v/>
      </c>
      <c r="BT77" s="45" t="str">
        <f aca="false">IF($A77="","",IF(ISNUMBER($W77),$W77,0))</f>
        <v/>
      </c>
      <c r="BU77" s="23" t="str">
        <f aca="false">IF($A77="","",IF(ISNUMBER($W77),ROUND(($W77-$B77)*24,4),""))</f>
        <v/>
      </c>
      <c r="BV77" s="23" t="str">
        <f aca="false">IF($A77="","",IF(ISNUMBER($X77),ROUND(($X77-$B77)*24,4),""))</f>
        <v/>
      </c>
      <c r="BW77" s="10" t="str">
        <f aca="false">IF($A77="","",IF(NOT(ISNUMBER($W77)),"Missing Calculated",IF(NOT(ISNUMBER($X77)),IF($E77="Client","Missing FA signed off","Missing Controlled"),IF($X77&lt;$W77,"End before start","OK"))))</f>
        <v/>
      </c>
      <c r="BX77" s="23" t="str">
        <f aca="false">IF($A77="","",IF(NOT(ISNUMBER($Z77)),"",ROUND((IF(ISNUMBER($U77),MIN($U77,$Z77),$Z77)-$B77)*24,4)))</f>
        <v/>
      </c>
      <c r="BY77" s="23" t="str">
        <f aca="false">IF($A77="","",IF(ISNUMBER($Z77),ROUND(($Z77-$B77)*24,4),""))</f>
        <v/>
      </c>
      <c r="BZ77" s="23" t="str">
        <f aca="false">IF($A77="","",IF(AND(ISNUMBER($W77),ISNUMBER($S77)),ROUND(($W77+$S77/1440-$B77)*24,4),""))</f>
        <v/>
      </c>
    </row>
    <row r="78" customFormat="false" ht="15" hidden="false" customHeight="true" outlineLevel="0" collapsed="false">
      <c r="A78" s="47"/>
      <c r="B78" s="47"/>
      <c r="D78" s="4" t="str">
        <f aca="false">IF($A78="","",$B78-$A78)</f>
        <v/>
      </c>
      <c r="E78" s="4" t="str">
        <f aca="false">IF($A78="","",IFERROR(VLOOKUP($C78,Dim_Fund!$A:$X,24,0),""))</f>
        <v/>
      </c>
      <c r="F78" s="37" t="str">
        <f aca="false">IF($A78="","",IF(COUNTIFS(Status_Log!$A:$A,$A78,Status_Log!$B:$B,$B78,Status_Log!$C:$C,$C78,Status_Log!$D:$D,"Changed to the status of Calculated")=0,"",_xlfn.MINIFS(Status_Log!$E:$E,Status_Log!$A:$A,$A78,Status_Log!$B:$B,$B78,Status_Log!$C:$C,$C78,Status_Log!$D:$D,"Changed to the status of Calculated")))</f>
        <v/>
      </c>
      <c r="G78" s="37" t="str">
        <f aca="false">IF($A78="","",IF(COUNTIFS(Status_Log!$A:$A,$A78,Status_Log!$B:$B,$B78,Status_Log!$C:$C,$C78,Status_Log!$D:$D,"Changed to the status of Controlled")=0,"",_xlfn.MAXIFS(Status_Log!$E:$E,Status_Log!$A:$A,$A78,Status_Log!$B:$B,$B78,Status_Log!$C:$C,$C78,Status_Log!$D:$D,"Changed to the status of Controlled")))</f>
        <v/>
      </c>
      <c r="H78" s="37" t="str">
        <f aca="false">IF($A78="","",IF(COUNTIFS(Status_Log!$A:$A,$A78,Status_Log!$B:$B,$B78,Status_Log!$C:$C,$C78,Status_Log!$D:$D,"Changed to the status of Fund accounting signed off")=0,"",_xlfn.MAXIFS(Status_Log!$E:$E,Status_Log!$A:$A,$A78,Status_Log!$B:$B,$B78,Status_Log!$C:$C,$C78,Status_Log!$D:$D,"Changed to the status of Fund accounting signed off")))</f>
        <v/>
      </c>
      <c r="I78" s="37" t="str">
        <f aca="false">IF($A78="","",IF(COUNTIFS(Status_Log!$A:$A,$A78,Status_Log!$B:$B,$B78,Status_Log!$C:$C,$C78,Status_Log!$D:$D,"Changed to the status of signed off")=0,"",_xlfn.MAXIFS(Status_Log!$E:$E,Status_Log!$A:$A,$A78,Status_Log!$B:$B,$B78,Status_Log!$C:$C,$C78,Status_Log!$D:$D,"Changed to the status of signed off")))</f>
        <v/>
      </c>
      <c r="J78" s="4" t="str">
        <f aca="false">IF($A78="","",COUNTIFS(Status_Log!$A:$A,$A78,Status_Log!$B:$B,$B78,Status_Log!$C:$C,$C78,Status_Log!$D:$D,"Changed to the status of Calculated"))</f>
        <v/>
      </c>
      <c r="K78" s="38" t="str">
        <f aca="false">IF($A78="","",IF(J78&lt;=1,0,ROUND((_xlfn.MAXIFS(Status_Log!$E:$E,Status_Log!$A:$A,$A78,Status_Log!$B:$B,$B78,Status_Log!$C:$C,$C78,Status_Log!$D:$D,"Changed to the status of Calculated")-F78)*1440,0)))</f>
        <v/>
      </c>
      <c r="L78" s="4" t="str">
        <f aca="false">IF($A78="","",IFERROR(INDEX(Status_Log!$F:$F,MATCH($A78&amp;"|"&amp;$B78&amp;"|"&amp;$C78&amp;"|Changed to the status of Calculated|"&amp;TEXT(_xlfn.MAXIFS(Status_Log!$E:$E,Status_Log!$A:$A,$A78,Status_Log!$B:$B,$B78,Status_Log!$C:$C,$C78,Status_Log!$D:$D,"Changed to the status of Calculated"),"0.000000"),Status_Log!$H:$H,0)),""))</f>
        <v/>
      </c>
      <c r="M78" s="4" t="str">
        <f aca="false">IF($A78="","",IF(E78="Client","n/a — no control step",IFERROR(INDEX(Status_Log!$F:$F,MATCH($A78&amp;"|"&amp;$B78&amp;"|"&amp;$C78&amp;"|Changed to the status of Controlled|"&amp;TEXT(_xlfn.MAXIFS(Status_Log!$E:$E,Status_Log!$A:$A,$A78,Status_Log!$B:$B,$B78,Status_Log!$C:$C,$C78,Status_Log!$D:$D,"Changed to the status of Controlled"),"0.000000"),Status_Log!$H:$H,0)),"")))</f>
        <v/>
      </c>
      <c r="N78" s="4" t="str">
        <f aca="false">IF($A78="","",IFERROR(VLOOKUP($C78,Dim_Fund!$A:$G,7,0),""))</f>
        <v/>
      </c>
      <c r="O78" s="4" t="str">
        <f aca="false">IF($A78="","",IF(L78=N78,"No","Yes"))</f>
        <v/>
      </c>
      <c r="P78" s="4" t="str">
        <f aca="false">IF($A78="","",IF(E78="Client","n/a",IF(L78=M78,"YES — four-eyes breach","No")))</f>
        <v/>
      </c>
      <c r="Q78" s="38" t="str">
        <f aca="false">IF($A78="","",IFERROR(VLOOKUP($C78,Dim_Fund!$A:$AB,28,0),""))</f>
        <v/>
      </c>
      <c r="R78" s="38" t="str">
        <f aca="false">IF($A78="","",IFERROR(VLOOKUP($C78,Dim_Fund!$A:$AC,29,0),""))</f>
        <v/>
      </c>
      <c r="S78" s="38" t="str">
        <f aca="false">IF($A78="","",IFERROR(VLOOKUP($C78,Dim_Fund!$A:$AD,30,0),""))</f>
        <v/>
      </c>
      <c r="T78" s="38" t="str">
        <f aca="false">IF($A78="","",IFERROR(VLOOKUP($C78,Dim_Fund!$A:$AL,38,0),""))</f>
        <v/>
      </c>
      <c r="U78" s="37" t="str">
        <f aca="false">IF($A78="","",IF(AL78="","",IFERROR(IF(COUNTIFS(Fact_Milestone!$A:$A,$B78,Fact_Milestone!$B:$B,AL78)=0,"",_xlfn.MAXIFS(Fact_Milestone!$C:$C,Fact_Milestone!$A:$A,$B78,Fact_Milestone!$B:$B,AL78)),"")))</f>
        <v/>
      </c>
      <c r="V78" s="37" t="str">
        <f aca="false">IF($A78="","",IFERROR(IF(VLOOKUP($C78,Dim_Fund!$A:$AI,35,0)&gt;0,$B78+VLOOKUP($C78,Dim_Fund!$A:$AI,35,0)/24,""),""))</f>
        <v/>
      </c>
      <c r="W78" s="37" t="str">
        <f aca="false">IF($A78="","",F78)</f>
        <v/>
      </c>
      <c r="X78" s="37" t="str">
        <f aca="false">IF($A78="","",IF(E78="Client",H78,G78))</f>
        <v/>
      </c>
      <c r="Y78" s="37" t="str">
        <f aca="false">IF($A78="","",I78)</f>
        <v/>
      </c>
      <c r="Z78" s="37" t="str">
        <f aca="false">IF($A78="","",IFERROR(W78-R78/1440,""))</f>
        <v/>
      </c>
      <c r="AA78" s="38" t="str">
        <f aca="false">IF($A78="","",IF(OR(U78="",V78=""),"",ROUND((V78-U78)*1440,0)))</f>
        <v/>
      </c>
      <c r="AB78" s="38" t="str">
        <f aca="false">IF($A78="","",IF(U78="","",ROUND((W78-U78)*1440,0)))</f>
        <v/>
      </c>
      <c r="AC78" s="38" t="str">
        <f aca="false">IF($A78="","",IF(AB78="","",MAX(0,AB78)))</f>
        <v/>
      </c>
      <c r="AD78" s="38" t="str">
        <f aca="false">IF($A78="","",IFERROR(ROUND((X78-W78)*1440,0),""))</f>
        <v/>
      </c>
      <c r="AE78" s="38" t="str">
        <f aca="false">IF($A78="","",IF(E78="Client","n/a",IFERROR(ROUND((H78-G78)*1440,0),"")))</f>
        <v/>
      </c>
      <c r="AF78" s="38" t="str">
        <f aca="false">IF($A78="","",IFERROR(ROUND((Y78-H78)*1440,0),""))</f>
        <v/>
      </c>
      <c r="AG78" s="38" t="str">
        <f aca="false">IF($A78="","",IFERROR(ROUND((H78-F78)*1440,0),""))</f>
        <v/>
      </c>
      <c r="AH78" s="38" t="str">
        <f aca="false">IF($A78="","",IFERROR(ROUND((Y78-V78)*1440,0),""))</f>
        <v/>
      </c>
      <c r="AI78" s="4" t="str">
        <f aca="false">IF($A78="","",IF(AH78="","",IF(AH78&gt;0,"Yes","No")))</f>
        <v/>
      </c>
      <c r="AJ78" s="4" t="str">
        <f aca="false">IF($A78="","",IF(AI78&lt;&gt;"Yes","On time",IF(N(AC78)&gt;=MAX(N(AF78),N(K78)),"Wait for analyst",IF(N(AF78)&gt;=N(K78),"External sign-off","Rework"))))</f>
        <v/>
      </c>
      <c r="AK78" s="4" t="str">
        <f aca="false">IF($A78="","",IF(OR(F78="",Y78="",ISNA(MATCH(L78,Dim_Analyst!$A:$A,0))),"CHECK","OK"))</f>
        <v/>
      </c>
      <c r="AL78" s="4" t="str">
        <f aca="false">IF($A78="","",IFERROR(VLOOKUP($C78,Dim_Fund!$A:$U,21,0),""))</f>
        <v/>
      </c>
      <c r="AM78" s="4" t="str">
        <f aca="false">IF($A78="","",IF($U78="","",IF($U78&gt;$B78+IFERROR(VLOOKUP($C78,Dim_Fund!$A:$AH,34,0),0)/24,"Yes","No")))</f>
        <v/>
      </c>
      <c r="AN78" s="22" t="str">
        <f aca="false">IF($A78="","",IFERROR(VLOOKUP($C78,Dim_Fund!$A:$AH,34,0),""))</f>
        <v/>
      </c>
      <c r="AO78" s="22" t="str">
        <f aca="false">IF($A78="","",IF($AL78="","",IFERROR(FLOOR(IF(COUNTIFS(Fact_Milestone!$A:$A,$B78,Fact_Milestone!$B:$B,$AL78,Fact_Milestone!$F:$F,"&gt;0")&gt;0,_xlfn.MINIFS(Fact_Milestone!$F:$F,Fact_Milestone!$A:$A,$B78,Fact_Milestone!$B:$B,$AL78,Fact_Milestone!$F:$F,"&gt;0"),VLOOKUP($AL78,Dim_TOP!$A:$E,5,0)),0.5),"")))</f>
        <v/>
      </c>
      <c r="AP78" s="22" t="str">
        <f aca="false">IF($A78="","",IF($U78="","",ROUND(($U78-INT($U78))*24,4)))</f>
        <v/>
      </c>
      <c r="AQ78" s="22" t="str">
        <f aca="false">IF($A78="","",IF($W78="","",ROUND(($W78-INT($W78))*24,4)))</f>
        <v/>
      </c>
      <c r="AR78" s="22" t="str">
        <f aca="false">IF($A78="","",IF($X78="","",ROUND(($X78-INT($X78))*24,4)))</f>
        <v/>
      </c>
      <c r="AS78" s="38" t="str">
        <f aca="false">IF($A78="","",IF(OR($AN78="",$V78="",$S78="",$T78=""),"",ROUND(($V78-($B78+$AN78/24))*1440-$S78-$T78,0)))</f>
        <v/>
      </c>
      <c r="AT78" s="38" t="str">
        <f aca="false">IF($A78="","",IF(OR($AN78="",$U78=""),"",ROUND(($U78-($B78+$AN78/24))*1440,0)))</f>
        <v/>
      </c>
      <c r="AU78" s="38" t="str">
        <f aca="false">IF($A78="","",IF(OR($AD78="",$S78=""),"",ROUND($AD78-$S78,0)))</f>
        <v/>
      </c>
      <c r="AV78" s="38" t="str">
        <f aca="false">IF($A78="","",N($AE78))</f>
        <v/>
      </c>
      <c r="AW78" s="38" t="str">
        <f aca="false">IF($A78="","",IF(OR($AF78="",$T78=""),"",$AF78-$T78))</f>
        <v/>
      </c>
      <c r="AX78" s="38" t="str">
        <f aca="false">IF($A78="","",IF(COUNT($AT78,$AB78,$AU78,$AW78,$AS78,$AH78)&lt;6,"",ROUND($AT78+$AB78+$AU78+$AV78+$AW78-$AS78-$AH78,0)))</f>
        <v/>
      </c>
      <c r="AY78" s="4" t="str">
        <f aca="false">IF($A78="","",IF($AX78="","No",IF(ABS($AX78)&lt;=2,"Yes","No")))</f>
        <v/>
      </c>
      <c r="AZ78" s="4" t="str">
        <f aca="false">IF($A78="","",IF($AI78&lt;&gt;"Yes","n/a",IF(OR($AA78="",$S78="",$T78=""),"Unknown",IF($AA78&lt;$S78+$T78,"Lost on arrival","Lost after arrival"))))</f>
        <v/>
      </c>
      <c r="BA78" s="10" t="str">
        <f aca="false">IF($A78="","",IFERROR(VLOOKUP($C78,Dim_Fund!$A:$D,4,0),""))</f>
        <v/>
      </c>
      <c r="BB78" s="10" t="str">
        <f aca="false">IF($A78="","",IF($AL78="","",IF(COUNTIFS(Fact_Milestone!$A:$A,$B78,Fact_Milestone!$B:$B,$AL78,Fact_Milestone!$I:$I,"No")&gt;0,"No",IF(COUNTIFS(Fact_Milestone!$A:$A,$B78,Fact_Milestone!$B:$B,$AL78,Fact_Milestone!$I:$I,"Yes")&gt;0,"Yes",""))))</f>
        <v/>
      </c>
      <c r="BC78" s="45" t="str">
        <f aca="false">IF($A78="","",IF(OR($L78="",$W78=""),"",IF(COUNTIFS($L:$L,$L78,$B:$B,$B78,$W:$W,"&lt;"&amp;$W78)=0,"",_xlfn.MAXIFS($W:$W,$L:$L,$L78,$B:$B,$B78,$W:$W,"&lt;"&amp;$W78))))</f>
        <v/>
      </c>
      <c r="BD78" s="39" t="str">
        <f aca="false">IF($A78="","",IF($AC78="","",IF(OR($L78="",$AC78=0),0,MIN($AC78,ROUND(ROUND(1440*SUMPRODUCT(($L$2:INDEX($L:$L,COUNTA($C:$C))=$L78)*($B$2:INDEX($B:$B,COUNTA($C:$C))=$B78)*(ROW($L$2:INDEX($L:$L,COUNTA($C:$C)))&lt;&gt;ROW())*((((($W78+$BT$2:INDEX($BT:$BT,COUNTA($C:$C))-ABS($W78-$BT$2:INDEX($BT:$BT,COUNTA($C:$C))))/2)-(($U78+$BS$2:INDEX($BS:$BS,COUNTA($C:$C))+ABS($U78-$BS$2:INDEX($BS:$BS,COUNTA($C:$C))))/2))+ABS(((($W78+$BT$2:INDEX($BT:$BT,COUNTA($C:$C))-ABS($W78-$BT$2:INDEX($BT:$BT,COUNTA($C:$C))))/2)-(($U78+$BS$2:INDEX($BS:$BS,COUNTA($C:$C))+ABS($U78-$BS$2:INDEX($BS:$BS,COUNTA($C:$C))))/2))))/2)),4),0)))))</f>
        <v/>
      </c>
      <c r="BE78" s="39" t="str">
        <f aca="false">IF($A78="","",IF($AC78="","",ROUND(MIN($AC78-$BD78,N($R78)),0)))</f>
        <v/>
      </c>
      <c r="BF78" s="10" t="str">
        <f aca="false">IF($A78="","",IFERROR(VLOOKUP($C78,Dim_Fund!$A:$BD,56,0),""))</f>
        <v/>
      </c>
      <c r="BG78" s="10" t="str">
        <f aca="false">IF($A78="","",IFERROR(VLOOKUP($C78,Dim_Fund!$A:$BH,60,0),""))</f>
        <v/>
      </c>
      <c r="BH78" s="10" t="str">
        <f aca="false">IF($A78="","",IF($AI78&lt;&gt;"Yes","Not breached",IF($AM78="Yes","Pricing late",IF($BG78="Thin custody slack","Thin custody slack",IF($BF78="Yes","Broker-dependent","None of these")))))</f>
        <v/>
      </c>
      <c r="BI78" s="23" t="str">
        <f aca="false">IF($A78="","",IFERROR(IF(VLOOKUP($C78,Dim_Fund!$A:$AI,35,0)&gt;0,VLOOKUP($C78,Dim_Fund!$A:$AI,35,0),""),""))</f>
        <v/>
      </c>
      <c r="BJ78" s="10" t="str">
        <f aca="false">IF($A78="","",$C78&amp;IF($E78="Client","*",""))</f>
        <v/>
      </c>
      <c r="BK78" s="39" t="str">
        <f aca="false">IF($A78="","",IFERROR(ROUND(($Y78-$X78)*1440,0),""))</f>
        <v/>
      </c>
      <c r="BL78" s="39" t="str">
        <f aca="false">IF($A78="","",IF($AH78="","",-$AH78))</f>
        <v/>
      </c>
      <c r="BM78" s="46" t="str">
        <f aca="false">IF($A78="","",IF($AQ78="","",IF($AP78="",$AQ78,MIN($AP78,$AQ78))))</f>
        <v/>
      </c>
      <c r="BN78" s="46" t="str">
        <f aca="false">IF($A78="","",IF($BM78="","",ROUND(N($AC78)/60,4)))</f>
        <v/>
      </c>
      <c r="BO78" s="46" t="str">
        <f aca="false">IF($A78="","",IF(OR($BM78="",$AD78=""),"",ROUND($AD78/60,4)))</f>
        <v/>
      </c>
      <c r="BP78" s="46" t="str">
        <f aca="false">IF($A78="","",IF($BM78="","",ROUND(N($AE78)/60,4)))</f>
        <v/>
      </c>
      <c r="BQ78" s="46" t="str">
        <f aca="false">IF($A78="","",IF(OR($BM78="",$AF78=""),"",ROUND($AF78/60,4)))</f>
        <v/>
      </c>
      <c r="BR78" s="39" t="str">
        <f aca="false">IF($A78="","",IF($AC78="","",$AC78-$BD78-$BE78))</f>
        <v/>
      </c>
      <c r="BS78" s="45" t="str">
        <f aca="false">IF($A78="","",IF(AND(ISNUMBER($Z78),ISNUMBER($W78)),$Z78,0))</f>
        <v/>
      </c>
      <c r="BT78" s="45" t="str">
        <f aca="false">IF($A78="","",IF(ISNUMBER($W78),$W78,0))</f>
        <v/>
      </c>
      <c r="BU78" s="23" t="str">
        <f aca="false">IF($A78="","",IF(ISNUMBER($W78),ROUND(($W78-$B78)*24,4),""))</f>
        <v/>
      </c>
      <c r="BV78" s="23" t="str">
        <f aca="false">IF($A78="","",IF(ISNUMBER($X78),ROUND(($X78-$B78)*24,4),""))</f>
        <v/>
      </c>
      <c r="BW78" s="10" t="str">
        <f aca="false">IF($A78="","",IF(NOT(ISNUMBER($W78)),"Missing Calculated",IF(NOT(ISNUMBER($X78)),IF($E78="Client","Missing FA signed off","Missing Controlled"),IF($X78&lt;$W78,"End before start","OK"))))</f>
        <v/>
      </c>
      <c r="BX78" s="23" t="str">
        <f aca="false">IF($A78="","",IF(NOT(ISNUMBER($Z78)),"",ROUND((IF(ISNUMBER($U78),MIN($U78,$Z78),$Z78)-$B78)*24,4)))</f>
        <v/>
      </c>
      <c r="BY78" s="23" t="str">
        <f aca="false">IF($A78="","",IF(ISNUMBER($Z78),ROUND(($Z78-$B78)*24,4),""))</f>
        <v/>
      </c>
      <c r="BZ78" s="23" t="str">
        <f aca="false">IF($A78="","",IF(AND(ISNUMBER($W78),ISNUMBER($S78)),ROUND(($W78+$S78/1440-$B78)*24,4),""))</f>
        <v/>
      </c>
    </row>
    <row r="79" customFormat="false" ht="15" hidden="false" customHeight="true" outlineLevel="0" collapsed="false">
      <c r="A79" s="47"/>
      <c r="B79" s="47"/>
      <c r="D79" s="4" t="str">
        <f aca="false">IF($A79="","",$B79-$A79)</f>
        <v/>
      </c>
      <c r="E79" s="4" t="str">
        <f aca="false">IF($A79="","",IFERROR(VLOOKUP($C79,Dim_Fund!$A:$X,24,0),""))</f>
        <v/>
      </c>
      <c r="F79" s="37" t="str">
        <f aca="false">IF($A79="","",IF(COUNTIFS(Status_Log!$A:$A,$A79,Status_Log!$B:$B,$B79,Status_Log!$C:$C,$C79,Status_Log!$D:$D,"Changed to the status of Calculated")=0,"",_xlfn.MINIFS(Status_Log!$E:$E,Status_Log!$A:$A,$A79,Status_Log!$B:$B,$B79,Status_Log!$C:$C,$C79,Status_Log!$D:$D,"Changed to the status of Calculated")))</f>
        <v/>
      </c>
      <c r="G79" s="37" t="str">
        <f aca="false">IF($A79="","",IF(COUNTIFS(Status_Log!$A:$A,$A79,Status_Log!$B:$B,$B79,Status_Log!$C:$C,$C79,Status_Log!$D:$D,"Changed to the status of Controlled")=0,"",_xlfn.MAXIFS(Status_Log!$E:$E,Status_Log!$A:$A,$A79,Status_Log!$B:$B,$B79,Status_Log!$C:$C,$C79,Status_Log!$D:$D,"Changed to the status of Controlled")))</f>
        <v/>
      </c>
      <c r="H79" s="37" t="str">
        <f aca="false">IF($A79="","",IF(COUNTIFS(Status_Log!$A:$A,$A79,Status_Log!$B:$B,$B79,Status_Log!$C:$C,$C79,Status_Log!$D:$D,"Changed to the status of Fund accounting signed off")=0,"",_xlfn.MAXIFS(Status_Log!$E:$E,Status_Log!$A:$A,$A79,Status_Log!$B:$B,$B79,Status_Log!$C:$C,$C79,Status_Log!$D:$D,"Changed to the status of Fund accounting signed off")))</f>
        <v/>
      </c>
      <c r="I79" s="37" t="str">
        <f aca="false">IF($A79="","",IF(COUNTIFS(Status_Log!$A:$A,$A79,Status_Log!$B:$B,$B79,Status_Log!$C:$C,$C79,Status_Log!$D:$D,"Changed to the status of signed off")=0,"",_xlfn.MAXIFS(Status_Log!$E:$E,Status_Log!$A:$A,$A79,Status_Log!$B:$B,$B79,Status_Log!$C:$C,$C79,Status_Log!$D:$D,"Changed to the status of signed off")))</f>
        <v/>
      </c>
      <c r="J79" s="4" t="str">
        <f aca="false">IF($A79="","",COUNTIFS(Status_Log!$A:$A,$A79,Status_Log!$B:$B,$B79,Status_Log!$C:$C,$C79,Status_Log!$D:$D,"Changed to the status of Calculated"))</f>
        <v/>
      </c>
      <c r="K79" s="38" t="str">
        <f aca="false">IF($A79="","",IF(J79&lt;=1,0,ROUND((_xlfn.MAXIFS(Status_Log!$E:$E,Status_Log!$A:$A,$A79,Status_Log!$B:$B,$B79,Status_Log!$C:$C,$C79,Status_Log!$D:$D,"Changed to the status of Calculated")-F79)*1440,0)))</f>
        <v/>
      </c>
      <c r="L79" s="4" t="str">
        <f aca="false">IF($A79="","",IFERROR(INDEX(Status_Log!$F:$F,MATCH($A79&amp;"|"&amp;$B79&amp;"|"&amp;$C79&amp;"|Changed to the status of Calculated|"&amp;TEXT(_xlfn.MAXIFS(Status_Log!$E:$E,Status_Log!$A:$A,$A79,Status_Log!$B:$B,$B79,Status_Log!$C:$C,$C79,Status_Log!$D:$D,"Changed to the status of Calculated"),"0.000000"),Status_Log!$H:$H,0)),""))</f>
        <v/>
      </c>
      <c r="M79" s="4" t="str">
        <f aca="false">IF($A79="","",IF(E79="Client","n/a — no control step",IFERROR(INDEX(Status_Log!$F:$F,MATCH($A79&amp;"|"&amp;$B79&amp;"|"&amp;$C79&amp;"|Changed to the status of Controlled|"&amp;TEXT(_xlfn.MAXIFS(Status_Log!$E:$E,Status_Log!$A:$A,$A79,Status_Log!$B:$B,$B79,Status_Log!$C:$C,$C79,Status_Log!$D:$D,"Changed to the status of Controlled"),"0.000000"),Status_Log!$H:$H,0)),"")))</f>
        <v/>
      </c>
      <c r="N79" s="4" t="str">
        <f aca="false">IF($A79="","",IFERROR(VLOOKUP($C79,Dim_Fund!$A:$G,7,0),""))</f>
        <v/>
      </c>
      <c r="O79" s="4" t="str">
        <f aca="false">IF($A79="","",IF(L79=N79,"No","Yes"))</f>
        <v/>
      </c>
      <c r="P79" s="4" t="str">
        <f aca="false">IF($A79="","",IF(E79="Client","n/a",IF(L79=M79,"YES — four-eyes breach","No")))</f>
        <v/>
      </c>
      <c r="Q79" s="38" t="str">
        <f aca="false">IF($A79="","",IFERROR(VLOOKUP($C79,Dim_Fund!$A:$AB,28,0),""))</f>
        <v/>
      </c>
      <c r="R79" s="38" t="str">
        <f aca="false">IF($A79="","",IFERROR(VLOOKUP($C79,Dim_Fund!$A:$AC,29,0),""))</f>
        <v/>
      </c>
      <c r="S79" s="38" t="str">
        <f aca="false">IF($A79="","",IFERROR(VLOOKUP($C79,Dim_Fund!$A:$AD,30,0),""))</f>
        <v/>
      </c>
      <c r="T79" s="38" t="str">
        <f aca="false">IF($A79="","",IFERROR(VLOOKUP($C79,Dim_Fund!$A:$AL,38,0),""))</f>
        <v/>
      </c>
      <c r="U79" s="37" t="str">
        <f aca="false">IF($A79="","",IF(AL79="","",IFERROR(IF(COUNTIFS(Fact_Milestone!$A:$A,$B79,Fact_Milestone!$B:$B,AL79)=0,"",_xlfn.MAXIFS(Fact_Milestone!$C:$C,Fact_Milestone!$A:$A,$B79,Fact_Milestone!$B:$B,AL79)),"")))</f>
        <v/>
      </c>
      <c r="V79" s="37" t="str">
        <f aca="false">IF($A79="","",IFERROR(IF(VLOOKUP($C79,Dim_Fund!$A:$AI,35,0)&gt;0,$B79+VLOOKUP($C79,Dim_Fund!$A:$AI,35,0)/24,""),""))</f>
        <v/>
      </c>
      <c r="W79" s="37" t="str">
        <f aca="false">IF($A79="","",F79)</f>
        <v/>
      </c>
      <c r="X79" s="37" t="str">
        <f aca="false">IF($A79="","",IF(E79="Client",H79,G79))</f>
        <v/>
      </c>
      <c r="Y79" s="37" t="str">
        <f aca="false">IF($A79="","",I79)</f>
        <v/>
      </c>
      <c r="Z79" s="37" t="str">
        <f aca="false">IF($A79="","",IFERROR(W79-R79/1440,""))</f>
        <v/>
      </c>
      <c r="AA79" s="38" t="str">
        <f aca="false">IF($A79="","",IF(OR(U79="",V79=""),"",ROUND((V79-U79)*1440,0)))</f>
        <v/>
      </c>
      <c r="AB79" s="38" t="str">
        <f aca="false">IF($A79="","",IF(U79="","",ROUND((W79-U79)*1440,0)))</f>
        <v/>
      </c>
      <c r="AC79" s="38" t="str">
        <f aca="false">IF($A79="","",IF(AB79="","",MAX(0,AB79)))</f>
        <v/>
      </c>
      <c r="AD79" s="38" t="str">
        <f aca="false">IF($A79="","",IFERROR(ROUND((X79-W79)*1440,0),""))</f>
        <v/>
      </c>
      <c r="AE79" s="38" t="str">
        <f aca="false">IF($A79="","",IF(E79="Client","n/a",IFERROR(ROUND((H79-G79)*1440,0),"")))</f>
        <v/>
      </c>
      <c r="AF79" s="38" t="str">
        <f aca="false">IF($A79="","",IFERROR(ROUND((Y79-H79)*1440,0),""))</f>
        <v/>
      </c>
      <c r="AG79" s="38" t="str">
        <f aca="false">IF($A79="","",IFERROR(ROUND((H79-F79)*1440,0),""))</f>
        <v/>
      </c>
      <c r="AH79" s="38" t="str">
        <f aca="false">IF($A79="","",IFERROR(ROUND((Y79-V79)*1440,0),""))</f>
        <v/>
      </c>
      <c r="AI79" s="4" t="str">
        <f aca="false">IF($A79="","",IF(AH79="","",IF(AH79&gt;0,"Yes","No")))</f>
        <v/>
      </c>
      <c r="AJ79" s="4" t="str">
        <f aca="false">IF($A79="","",IF(AI79&lt;&gt;"Yes","On time",IF(N(AC79)&gt;=MAX(N(AF79),N(K79)),"Wait for analyst",IF(N(AF79)&gt;=N(K79),"External sign-off","Rework"))))</f>
        <v/>
      </c>
      <c r="AK79" s="4" t="str">
        <f aca="false">IF($A79="","",IF(OR(F79="",Y79="",ISNA(MATCH(L79,Dim_Analyst!$A:$A,0))),"CHECK","OK"))</f>
        <v/>
      </c>
      <c r="AL79" s="4" t="str">
        <f aca="false">IF($A79="","",IFERROR(VLOOKUP($C79,Dim_Fund!$A:$U,21,0),""))</f>
        <v/>
      </c>
      <c r="AM79" s="4" t="str">
        <f aca="false">IF($A79="","",IF($U79="","",IF($U79&gt;$B79+IFERROR(VLOOKUP($C79,Dim_Fund!$A:$AH,34,0),0)/24,"Yes","No")))</f>
        <v/>
      </c>
      <c r="AN79" s="22" t="str">
        <f aca="false">IF($A79="","",IFERROR(VLOOKUP($C79,Dim_Fund!$A:$AH,34,0),""))</f>
        <v/>
      </c>
      <c r="AO79" s="22" t="str">
        <f aca="false">IF($A79="","",IF($AL79="","",IFERROR(FLOOR(IF(COUNTIFS(Fact_Milestone!$A:$A,$B79,Fact_Milestone!$B:$B,$AL79,Fact_Milestone!$F:$F,"&gt;0")&gt;0,_xlfn.MINIFS(Fact_Milestone!$F:$F,Fact_Milestone!$A:$A,$B79,Fact_Milestone!$B:$B,$AL79,Fact_Milestone!$F:$F,"&gt;0"),VLOOKUP($AL79,Dim_TOP!$A:$E,5,0)),0.5),"")))</f>
        <v/>
      </c>
      <c r="AP79" s="22" t="str">
        <f aca="false">IF($A79="","",IF($U79="","",ROUND(($U79-INT($U79))*24,4)))</f>
        <v/>
      </c>
      <c r="AQ79" s="22" t="str">
        <f aca="false">IF($A79="","",IF($W79="","",ROUND(($W79-INT($W79))*24,4)))</f>
        <v/>
      </c>
      <c r="AR79" s="22" t="str">
        <f aca="false">IF($A79="","",IF($X79="","",ROUND(($X79-INT($X79))*24,4)))</f>
        <v/>
      </c>
      <c r="AS79" s="38" t="str">
        <f aca="false">IF($A79="","",IF(OR($AN79="",$V79="",$S79="",$T79=""),"",ROUND(($V79-($B79+$AN79/24))*1440-$S79-$T79,0)))</f>
        <v/>
      </c>
      <c r="AT79" s="38" t="str">
        <f aca="false">IF($A79="","",IF(OR($AN79="",$U79=""),"",ROUND(($U79-($B79+$AN79/24))*1440,0)))</f>
        <v/>
      </c>
      <c r="AU79" s="38" t="str">
        <f aca="false">IF($A79="","",IF(OR($AD79="",$S79=""),"",ROUND($AD79-$S79,0)))</f>
        <v/>
      </c>
      <c r="AV79" s="38" t="str">
        <f aca="false">IF($A79="","",N($AE79))</f>
        <v/>
      </c>
      <c r="AW79" s="38" t="str">
        <f aca="false">IF($A79="","",IF(OR($AF79="",$T79=""),"",$AF79-$T79))</f>
        <v/>
      </c>
      <c r="AX79" s="38" t="str">
        <f aca="false">IF($A79="","",IF(COUNT($AT79,$AB79,$AU79,$AW79,$AS79,$AH79)&lt;6,"",ROUND($AT79+$AB79+$AU79+$AV79+$AW79-$AS79-$AH79,0)))</f>
        <v/>
      </c>
      <c r="AY79" s="4" t="str">
        <f aca="false">IF($A79="","",IF($AX79="","No",IF(ABS($AX79)&lt;=2,"Yes","No")))</f>
        <v/>
      </c>
      <c r="AZ79" s="4" t="str">
        <f aca="false">IF($A79="","",IF($AI79&lt;&gt;"Yes","n/a",IF(OR($AA79="",$S79="",$T79=""),"Unknown",IF($AA79&lt;$S79+$T79,"Lost on arrival","Lost after arrival"))))</f>
        <v/>
      </c>
      <c r="BA79" s="10" t="str">
        <f aca="false">IF($A79="","",IFERROR(VLOOKUP($C79,Dim_Fund!$A:$D,4,0),""))</f>
        <v/>
      </c>
      <c r="BB79" s="10" t="str">
        <f aca="false">IF($A79="","",IF($AL79="","",IF(COUNTIFS(Fact_Milestone!$A:$A,$B79,Fact_Milestone!$B:$B,$AL79,Fact_Milestone!$I:$I,"No")&gt;0,"No",IF(COUNTIFS(Fact_Milestone!$A:$A,$B79,Fact_Milestone!$B:$B,$AL79,Fact_Milestone!$I:$I,"Yes")&gt;0,"Yes",""))))</f>
        <v/>
      </c>
      <c r="BC79" s="45" t="str">
        <f aca="false">IF($A79="","",IF(OR($L79="",$W79=""),"",IF(COUNTIFS($L:$L,$L79,$B:$B,$B79,$W:$W,"&lt;"&amp;$W79)=0,"",_xlfn.MAXIFS($W:$W,$L:$L,$L79,$B:$B,$B79,$W:$W,"&lt;"&amp;$W79))))</f>
        <v/>
      </c>
      <c r="BD79" s="39" t="str">
        <f aca="false">IF($A79="","",IF($AC79="","",IF(OR($L79="",$AC79=0),0,MIN($AC79,ROUND(ROUND(1440*SUMPRODUCT(($L$2:INDEX($L:$L,COUNTA($C:$C))=$L79)*($B$2:INDEX($B:$B,COUNTA($C:$C))=$B79)*(ROW($L$2:INDEX($L:$L,COUNTA($C:$C)))&lt;&gt;ROW())*((((($W79+$BT$2:INDEX($BT:$BT,COUNTA($C:$C))-ABS($W79-$BT$2:INDEX($BT:$BT,COUNTA($C:$C))))/2)-(($U79+$BS$2:INDEX($BS:$BS,COUNTA($C:$C))+ABS($U79-$BS$2:INDEX($BS:$BS,COUNTA($C:$C))))/2))+ABS(((($W79+$BT$2:INDEX($BT:$BT,COUNTA($C:$C))-ABS($W79-$BT$2:INDEX($BT:$BT,COUNTA($C:$C))))/2)-(($U79+$BS$2:INDEX($BS:$BS,COUNTA($C:$C))+ABS($U79-$BS$2:INDEX($BS:$BS,COUNTA($C:$C))))/2))))/2)),4),0)))))</f>
        <v/>
      </c>
      <c r="BE79" s="39" t="str">
        <f aca="false">IF($A79="","",IF($AC79="","",ROUND(MIN($AC79-$BD79,N($R79)),0)))</f>
        <v/>
      </c>
      <c r="BF79" s="10" t="str">
        <f aca="false">IF($A79="","",IFERROR(VLOOKUP($C79,Dim_Fund!$A:$BD,56,0),""))</f>
        <v/>
      </c>
      <c r="BG79" s="10" t="str">
        <f aca="false">IF($A79="","",IFERROR(VLOOKUP($C79,Dim_Fund!$A:$BH,60,0),""))</f>
        <v/>
      </c>
      <c r="BH79" s="10" t="str">
        <f aca="false">IF($A79="","",IF($AI79&lt;&gt;"Yes","Not breached",IF($AM79="Yes","Pricing late",IF($BG79="Thin custody slack","Thin custody slack",IF($BF79="Yes","Broker-dependent","None of these")))))</f>
        <v/>
      </c>
      <c r="BI79" s="23" t="str">
        <f aca="false">IF($A79="","",IFERROR(IF(VLOOKUP($C79,Dim_Fund!$A:$AI,35,0)&gt;0,VLOOKUP($C79,Dim_Fund!$A:$AI,35,0),""),""))</f>
        <v/>
      </c>
      <c r="BJ79" s="10" t="str">
        <f aca="false">IF($A79="","",$C79&amp;IF($E79="Client","*",""))</f>
        <v/>
      </c>
      <c r="BK79" s="39" t="str">
        <f aca="false">IF($A79="","",IFERROR(ROUND(($Y79-$X79)*1440,0),""))</f>
        <v/>
      </c>
      <c r="BL79" s="39" t="str">
        <f aca="false">IF($A79="","",IF($AH79="","",-$AH79))</f>
        <v/>
      </c>
      <c r="BM79" s="46" t="str">
        <f aca="false">IF($A79="","",IF($AQ79="","",IF($AP79="",$AQ79,MIN($AP79,$AQ79))))</f>
        <v/>
      </c>
      <c r="BN79" s="46" t="str">
        <f aca="false">IF($A79="","",IF($BM79="","",ROUND(N($AC79)/60,4)))</f>
        <v/>
      </c>
      <c r="BO79" s="46" t="str">
        <f aca="false">IF($A79="","",IF(OR($BM79="",$AD79=""),"",ROUND($AD79/60,4)))</f>
        <v/>
      </c>
      <c r="BP79" s="46" t="str">
        <f aca="false">IF($A79="","",IF($BM79="","",ROUND(N($AE79)/60,4)))</f>
        <v/>
      </c>
      <c r="BQ79" s="46" t="str">
        <f aca="false">IF($A79="","",IF(OR($BM79="",$AF79=""),"",ROUND($AF79/60,4)))</f>
        <v/>
      </c>
      <c r="BR79" s="39" t="str">
        <f aca="false">IF($A79="","",IF($AC79="","",$AC79-$BD79-$BE79))</f>
        <v/>
      </c>
      <c r="BS79" s="45" t="str">
        <f aca="false">IF($A79="","",IF(AND(ISNUMBER($Z79),ISNUMBER($W79)),$Z79,0))</f>
        <v/>
      </c>
      <c r="BT79" s="45" t="str">
        <f aca="false">IF($A79="","",IF(ISNUMBER($W79),$W79,0))</f>
        <v/>
      </c>
      <c r="BU79" s="23" t="str">
        <f aca="false">IF($A79="","",IF(ISNUMBER($W79),ROUND(($W79-$B79)*24,4),""))</f>
        <v/>
      </c>
      <c r="BV79" s="23" t="str">
        <f aca="false">IF($A79="","",IF(ISNUMBER($X79),ROUND(($X79-$B79)*24,4),""))</f>
        <v/>
      </c>
      <c r="BW79" s="10" t="str">
        <f aca="false">IF($A79="","",IF(NOT(ISNUMBER($W79)),"Missing Calculated",IF(NOT(ISNUMBER($X79)),IF($E79="Client","Missing FA signed off","Missing Controlled"),IF($X79&lt;$W79,"End before start","OK"))))</f>
        <v/>
      </c>
      <c r="BX79" s="23" t="str">
        <f aca="false">IF($A79="","",IF(NOT(ISNUMBER($Z79)),"",ROUND((IF(ISNUMBER($U79),MIN($U79,$Z79),$Z79)-$B79)*24,4)))</f>
        <v/>
      </c>
      <c r="BY79" s="23" t="str">
        <f aca="false">IF($A79="","",IF(ISNUMBER($Z79),ROUND(($Z79-$B79)*24,4),""))</f>
        <v/>
      </c>
      <c r="BZ79" s="23" t="str">
        <f aca="false">IF($A79="","",IF(AND(ISNUMBER($W79),ISNUMBER($S79)),ROUND(($W79+$S79/1440-$B79)*24,4),""))</f>
        <v/>
      </c>
    </row>
    <row r="80" customFormat="false" ht="15" hidden="false" customHeight="true" outlineLevel="0" collapsed="false">
      <c r="A80" s="47"/>
      <c r="B80" s="47"/>
      <c r="D80" s="4" t="str">
        <f aca="false">IF($A80="","",$B80-$A80)</f>
        <v/>
      </c>
      <c r="E80" s="4" t="str">
        <f aca="false">IF($A80="","",IFERROR(VLOOKUP($C80,Dim_Fund!$A:$X,24,0),""))</f>
        <v/>
      </c>
      <c r="F80" s="37" t="str">
        <f aca="false">IF($A80="","",IF(COUNTIFS(Status_Log!$A:$A,$A80,Status_Log!$B:$B,$B80,Status_Log!$C:$C,$C80,Status_Log!$D:$D,"Changed to the status of Calculated")=0,"",_xlfn.MINIFS(Status_Log!$E:$E,Status_Log!$A:$A,$A80,Status_Log!$B:$B,$B80,Status_Log!$C:$C,$C80,Status_Log!$D:$D,"Changed to the status of Calculated")))</f>
        <v/>
      </c>
      <c r="G80" s="37" t="str">
        <f aca="false">IF($A80="","",IF(COUNTIFS(Status_Log!$A:$A,$A80,Status_Log!$B:$B,$B80,Status_Log!$C:$C,$C80,Status_Log!$D:$D,"Changed to the status of Controlled")=0,"",_xlfn.MAXIFS(Status_Log!$E:$E,Status_Log!$A:$A,$A80,Status_Log!$B:$B,$B80,Status_Log!$C:$C,$C80,Status_Log!$D:$D,"Changed to the status of Controlled")))</f>
        <v/>
      </c>
      <c r="H80" s="37" t="str">
        <f aca="false">IF($A80="","",IF(COUNTIFS(Status_Log!$A:$A,$A80,Status_Log!$B:$B,$B80,Status_Log!$C:$C,$C80,Status_Log!$D:$D,"Changed to the status of Fund accounting signed off")=0,"",_xlfn.MAXIFS(Status_Log!$E:$E,Status_Log!$A:$A,$A80,Status_Log!$B:$B,$B80,Status_Log!$C:$C,$C80,Status_Log!$D:$D,"Changed to the status of Fund accounting signed off")))</f>
        <v/>
      </c>
      <c r="I80" s="37" t="str">
        <f aca="false">IF($A80="","",IF(COUNTIFS(Status_Log!$A:$A,$A80,Status_Log!$B:$B,$B80,Status_Log!$C:$C,$C80,Status_Log!$D:$D,"Changed to the status of signed off")=0,"",_xlfn.MAXIFS(Status_Log!$E:$E,Status_Log!$A:$A,$A80,Status_Log!$B:$B,$B80,Status_Log!$C:$C,$C80,Status_Log!$D:$D,"Changed to the status of signed off")))</f>
        <v/>
      </c>
      <c r="J80" s="4" t="str">
        <f aca="false">IF($A80="","",COUNTIFS(Status_Log!$A:$A,$A80,Status_Log!$B:$B,$B80,Status_Log!$C:$C,$C80,Status_Log!$D:$D,"Changed to the status of Calculated"))</f>
        <v/>
      </c>
      <c r="K80" s="38" t="str">
        <f aca="false">IF($A80="","",IF(J80&lt;=1,0,ROUND((_xlfn.MAXIFS(Status_Log!$E:$E,Status_Log!$A:$A,$A80,Status_Log!$B:$B,$B80,Status_Log!$C:$C,$C80,Status_Log!$D:$D,"Changed to the status of Calculated")-F80)*1440,0)))</f>
        <v/>
      </c>
      <c r="L80" s="4" t="str">
        <f aca="false">IF($A80="","",IFERROR(INDEX(Status_Log!$F:$F,MATCH($A80&amp;"|"&amp;$B80&amp;"|"&amp;$C80&amp;"|Changed to the status of Calculated|"&amp;TEXT(_xlfn.MAXIFS(Status_Log!$E:$E,Status_Log!$A:$A,$A80,Status_Log!$B:$B,$B80,Status_Log!$C:$C,$C80,Status_Log!$D:$D,"Changed to the status of Calculated"),"0.000000"),Status_Log!$H:$H,0)),""))</f>
        <v/>
      </c>
      <c r="M80" s="4" t="str">
        <f aca="false">IF($A80="","",IF(E80="Client","n/a — no control step",IFERROR(INDEX(Status_Log!$F:$F,MATCH($A80&amp;"|"&amp;$B80&amp;"|"&amp;$C80&amp;"|Changed to the status of Controlled|"&amp;TEXT(_xlfn.MAXIFS(Status_Log!$E:$E,Status_Log!$A:$A,$A80,Status_Log!$B:$B,$B80,Status_Log!$C:$C,$C80,Status_Log!$D:$D,"Changed to the status of Controlled"),"0.000000"),Status_Log!$H:$H,0)),"")))</f>
        <v/>
      </c>
      <c r="N80" s="4" t="str">
        <f aca="false">IF($A80="","",IFERROR(VLOOKUP($C80,Dim_Fund!$A:$G,7,0),""))</f>
        <v/>
      </c>
      <c r="O80" s="4" t="str">
        <f aca="false">IF($A80="","",IF(L80=N80,"No","Yes"))</f>
        <v/>
      </c>
      <c r="P80" s="4" t="str">
        <f aca="false">IF($A80="","",IF(E80="Client","n/a",IF(L80=M80,"YES — four-eyes breach","No")))</f>
        <v/>
      </c>
      <c r="Q80" s="38" t="str">
        <f aca="false">IF($A80="","",IFERROR(VLOOKUP($C80,Dim_Fund!$A:$AB,28,0),""))</f>
        <v/>
      </c>
      <c r="R80" s="38" t="str">
        <f aca="false">IF($A80="","",IFERROR(VLOOKUP($C80,Dim_Fund!$A:$AC,29,0),""))</f>
        <v/>
      </c>
      <c r="S80" s="38" t="str">
        <f aca="false">IF($A80="","",IFERROR(VLOOKUP($C80,Dim_Fund!$A:$AD,30,0),""))</f>
        <v/>
      </c>
      <c r="T80" s="38" t="str">
        <f aca="false">IF($A80="","",IFERROR(VLOOKUP($C80,Dim_Fund!$A:$AL,38,0),""))</f>
        <v/>
      </c>
      <c r="U80" s="37" t="str">
        <f aca="false">IF($A80="","",IF(AL80="","",IFERROR(IF(COUNTIFS(Fact_Milestone!$A:$A,$B80,Fact_Milestone!$B:$B,AL80)=0,"",_xlfn.MAXIFS(Fact_Milestone!$C:$C,Fact_Milestone!$A:$A,$B80,Fact_Milestone!$B:$B,AL80)),"")))</f>
        <v/>
      </c>
      <c r="V80" s="37" t="str">
        <f aca="false">IF($A80="","",IFERROR(IF(VLOOKUP($C80,Dim_Fund!$A:$AI,35,0)&gt;0,$B80+VLOOKUP($C80,Dim_Fund!$A:$AI,35,0)/24,""),""))</f>
        <v/>
      </c>
      <c r="W80" s="37" t="str">
        <f aca="false">IF($A80="","",F80)</f>
        <v/>
      </c>
      <c r="X80" s="37" t="str">
        <f aca="false">IF($A80="","",IF(E80="Client",H80,G80))</f>
        <v/>
      </c>
      <c r="Y80" s="37" t="str">
        <f aca="false">IF($A80="","",I80)</f>
        <v/>
      </c>
      <c r="Z80" s="37" t="str">
        <f aca="false">IF($A80="","",IFERROR(W80-R80/1440,""))</f>
        <v/>
      </c>
      <c r="AA80" s="38" t="str">
        <f aca="false">IF($A80="","",IF(OR(U80="",V80=""),"",ROUND((V80-U80)*1440,0)))</f>
        <v/>
      </c>
      <c r="AB80" s="38" t="str">
        <f aca="false">IF($A80="","",IF(U80="","",ROUND((W80-U80)*1440,0)))</f>
        <v/>
      </c>
      <c r="AC80" s="38" t="str">
        <f aca="false">IF($A80="","",IF(AB80="","",MAX(0,AB80)))</f>
        <v/>
      </c>
      <c r="AD80" s="38" t="str">
        <f aca="false">IF($A80="","",IFERROR(ROUND((X80-W80)*1440,0),""))</f>
        <v/>
      </c>
      <c r="AE80" s="38" t="str">
        <f aca="false">IF($A80="","",IF(E80="Client","n/a",IFERROR(ROUND((H80-G80)*1440,0),"")))</f>
        <v/>
      </c>
      <c r="AF80" s="38" t="str">
        <f aca="false">IF($A80="","",IFERROR(ROUND((Y80-H80)*1440,0),""))</f>
        <v/>
      </c>
      <c r="AG80" s="38" t="str">
        <f aca="false">IF($A80="","",IFERROR(ROUND((H80-F80)*1440,0),""))</f>
        <v/>
      </c>
      <c r="AH80" s="38" t="str">
        <f aca="false">IF($A80="","",IFERROR(ROUND((Y80-V80)*1440,0),""))</f>
        <v/>
      </c>
      <c r="AI80" s="4" t="str">
        <f aca="false">IF($A80="","",IF(AH80="","",IF(AH80&gt;0,"Yes","No")))</f>
        <v/>
      </c>
      <c r="AJ80" s="4" t="str">
        <f aca="false">IF($A80="","",IF(AI80&lt;&gt;"Yes","On time",IF(N(AC80)&gt;=MAX(N(AF80),N(K80)),"Wait for analyst",IF(N(AF80)&gt;=N(K80),"External sign-off","Rework"))))</f>
        <v/>
      </c>
      <c r="AK80" s="4" t="str">
        <f aca="false">IF($A80="","",IF(OR(F80="",Y80="",ISNA(MATCH(L80,Dim_Analyst!$A:$A,0))),"CHECK","OK"))</f>
        <v/>
      </c>
      <c r="AL80" s="4" t="str">
        <f aca="false">IF($A80="","",IFERROR(VLOOKUP($C80,Dim_Fund!$A:$U,21,0),""))</f>
        <v/>
      </c>
      <c r="AM80" s="4" t="str">
        <f aca="false">IF($A80="","",IF($U80="","",IF($U80&gt;$B80+IFERROR(VLOOKUP($C80,Dim_Fund!$A:$AH,34,0),0)/24,"Yes","No")))</f>
        <v/>
      </c>
      <c r="AN80" s="22" t="str">
        <f aca="false">IF($A80="","",IFERROR(VLOOKUP($C80,Dim_Fund!$A:$AH,34,0),""))</f>
        <v/>
      </c>
      <c r="AO80" s="22" t="str">
        <f aca="false">IF($A80="","",IF($AL80="","",IFERROR(FLOOR(IF(COUNTIFS(Fact_Milestone!$A:$A,$B80,Fact_Milestone!$B:$B,$AL80,Fact_Milestone!$F:$F,"&gt;0")&gt;0,_xlfn.MINIFS(Fact_Milestone!$F:$F,Fact_Milestone!$A:$A,$B80,Fact_Milestone!$B:$B,$AL80,Fact_Milestone!$F:$F,"&gt;0"),VLOOKUP($AL80,Dim_TOP!$A:$E,5,0)),0.5),"")))</f>
        <v/>
      </c>
      <c r="AP80" s="22" t="str">
        <f aca="false">IF($A80="","",IF($U80="","",ROUND(($U80-INT($U80))*24,4)))</f>
        <v/>
      </c>
      <c r="AQ80" s="22" t="str">
        <f aca="false">IF($A80="","",IF($W80="","",ROUND(($W80-INT($W80))*24,4)))</f>
        <v/>
      </c>
      <c r="AR80" s="22" t="str">
        <f aca="false">IF($A80="","",IF($X80="","",ROUND(($X80-INT($X80))*24,4)))</f>
        <v/>
      </c>
      <c r="AS80" s="38" t="str">
        <f aca="false">IF($A80="","",IF(OR($AN80="",$V80="",$S80="",$T80=""),"",ROUND(($V80-($B80+$AN80/24))*1440-$S80-$T80,0)))</f>
        <v/>
      </c>
      <c r="AT80" s="38" t="str">
        <f aca="false">IF($A80="","",IF(OR($AN80="",$U80=""),"",ROUND(($U80-($B80+$AN80/24))*1440,0)))</f>
        <v/>
      </c>
      <c r="AU80" s="38" t="str">
        <f aca="false">IF($A80="","",IF(OR($AD80="",$S80=""),"",ROUND($AD80-$S80,0)))</f>
        <v/>
      </c>
      <c r="AV80" s="38" t="str">
        <f aca="false">IF($A80="","",N($AE80))</f>
        <v/>
      </c>
      <c r="AW80" s="38" t="str">
        <f aca="false">IF($A80="","",IF(OR($AF80="",$T80=""),"",$AF80-$T80))</f>
        <v/>
      </c>
      <c r="AX80" s="38" t="str">
        <f aca="false">IF($A80="","",IF(COUNT($AT80,$AB80,$AU80,$AW80,$AS80,$AH80)&lt;6,"",ROUND($AT80+$AB80+$AU80+$AV80+$AW80-$AS80-$AH80,0)))</f>
        <v/>
      </c>
      <c r="AY80" s="4" t="str">
        <f aca="false">IF($A80="","",IF($AX80="","No",IF(ABS($AX80)&lt;=2,"Yes","No")))</f>
        <v/>
      </c>
      <c r="AZ80" s="4" t="str">
        <f aca="false">IF($A80="","",IF($AI80&lt;&gt;"Yes","n/a",IF(OR($AA80="",$S80="",$T80=""),"Unknown",IF($AA80&lt;$S80+$T80,"Lost on arrival","Lost after arrival"))))</f>
        <v/>
      </c>
      <c r="BA80" s="10" t="str">
        <f aca="false">IF($A80="","",IFERROR(VLOOKUP($C80,Dim_Fund!$A:$D,4,0),""))</f>
        <v/>
      </c>
      <c r="BB80" s="10" t="str">
        <f aca="false">IF($A80="","",IF($AL80="","",IF(COUNTIFS(Fact_Milestone!$A:$A,$B80,Fact_Milestone!$B:$B,$AL80,Fact_Milestone!$I:$I,"No")&gt;0,"No",IF(COUNTIFS(Fact_Milestone!$A:$A,$B80,Fact_Milestone!$B:$B,$AL80,Fact_Milestone!$I:$I,"Yes")&gt;0,"Yes",""))))</f>
        <v/>
      </c>
      <c r="BC80" s="45" t="str">
        <f aca="false">IF($A80="","",IF(OR($L80="",$W80=""),"",IF(COUNTIFS($L:$L,$L80,$B:$B,$B80,$W:$W,"&lt;"&amp;$W80)=0,"",_xlfn.MAXIFS($W:$W,$L:$L,$L80,$B:$B,$B80,$W:$W,"&lt;"&amp;$W80))))</f>
        <v/>
      </c>
      <c r="BD80" s="39" t="str">
        <f aca="false">IF($A80="","",IF($AC80="","",IF(OR($L80="",$AC80=0),0,MIN($AC80,ROUND(ROUND(1440*SUMPRODUCT(($L$2:INDEX($L:$L,COUNTA($C:$C))=$L80)*($B$2:INDEX($B:$B,COUNTA($C:$C))=$B80)*(ROW($L$2:INDEX($L:$L,COUNTA($C:$C)))&lt;&gt;ROW())*((((($W80+$BT$2:INDEX($BT:$BT,COUNTA($C:$C))-ABS($W80-$BT$2:INDEX($BT:$BT,COUNTA($C:$C))))/2)-(($U80+$BS$2:INDEX($BS:$BS,COUNTA($C:$C))+ABS($U80-$BS$2:INDEX($BS:$BS,COUNTA($C:$C))))/2))+ABS(((($W80+$BT$2:INDEX($BT:$BT,COUNTA($C:$C))-ABS($W80-$BT$2:INDEX($BT:$BT,COUNTA($C:$C))))/2)-(($U80+$BS$2:INDEX($BS:$BS,COUNTA($C:$C))+ABS($U80-$BS$2:INDEX($BS:$BS,COUNTA($C:$C))))/2))))/2)),4),0)))))</f>
        <v/>
      </c>
      <c r="BE80" s="39" t="str">
        <f aca="false">IF($A80="","",IF($AC80="","",ROUND(MIN($AC80-$BD80,N($R80)),0)))</f>
        <v/>
      </c>
      <c r="BF80" s="10" t="str">
        <f aca="false">IF($A80="","",IFERROR(VLOOKUP($C80,Dim_Fund!$A:$BD,56,0),""))</f>
        <v/>
      </c>
      <c r="BG80" s="10" t="str">
        <f aca="false">IF($A80="","",IFERROR(VLOOKUP($C80,Dim_Fund!$A:$BH,60,0),""))</f>
        <v/>
      </c>
      <c r="BH80" s="10" t="str">
        <f aca="false">IF($A80="","",IF($AI80&lt;&gt;"Yes","Not breached",IF($AM80="Yes","Pricing late",IF($BG80="Thin custody slack","Thin custody slack",IF($BF80="Yes","Broker-dependent","None of these")))))</f>
        <v/>
      </c>
      <c r="BI80" s="23" t="str">
        <f aca="false">IF($A80="","",IFERROR(IF(VLOOKUP($C80,Dim_Fund!$A:$AI,35,0)&gt;0,VLOOKUP($C80,Dim_Fund!$A:$AI,35,0),""),""))</f>
        <v/>
      </c>
      <c r="BJ80" s="10" t="str">
        <f aca="false">IF($A80="","",$C80&amp;IF($E80="Client","*",""))</f>
        <v/>
      </c>
      <c r="BK80" s="39" t="str">
        <f aca="false">IF($A80="","",IFERROR(ROUND(($Y80-$X80)*1440,0),""))</f>
        <v/>
      </c>
      <c r="BL80" s="39" t="str">
        <f aca="false">IF($A80="","",IF($AH80="","",-$AH80))</f>
        <v/>
      </c>
      <c r="BM80" s="46" t="str">
        <f aca="false">IF($A80="","",IF($AQ80="","",IF($AP80="",$AQ80,MIN($AP80,$AQ80))))</f>
        <v/>
      </c>
      <c r="BN80" s="46" t="str">
        <f aca="false">IF($A80="","",IF($BM80="","",ROUND(N($AC80)/60,4)))</f>
        <v/>
      </c>
      <c r="BO80" s="46" t="str">
        <f aca="false">IF($A80="","",IF(OR($BM80="",$AD80=""),"",ROUND($AD80/60,4)))</f>
        <v/>
      </c>
      <c r="BP80" s="46" t="str">
        <f aca="false">IF($A80="","",IF($BM80="","",ROUND(N($AE80)/60,4)))</f>
        <v/>
      </c>
      <c r="BQ80" s="46" t="str">
        <f aca="false">IF($A80="","",IF(OR($BM80="",$AF80=""),"",ROUND($AF80/60,4)))</f>
        <v/>
      </c>
      <c r="BR80" s="39" t="str">
        <f aca="false">IF($A80="","",IF($AC80="","",$AC80-$BD80-$BE80))</f>
        <v/>
      </c>
      <c r="BS80" s="45" t="str">
        <f aca="false">IF($A80="","",IF(AND(ISNUMBER($Z80),ISNUMBER($W80)),$Z80,0))</f>
        <v/>
      </c>
      <c r="BT80" s="45" t="str">
        <f aca="false">IF($A80="","",IF(ISNUMBER($W80),$W80,0))</f>
        <v/>
      </c>
      <c r="BU80" s="23" t="str">
        <f aca="false">IF($A80="","",IF(ISNUMBER($W80),ROUND(($W80-$B80)*24,4),""))</f>
        <v/>
      </c>
      <c r="BV80" s="23" t="str">
        <f aca="false">IF($A80="","",IF(ISNUMBER($X80),ROUND(($X80-$B80)*24,4),""))</f>
        <v/>
      </c>
      <c r="BW80" s="10" t="str">
        <f aca="false">IF($A80="","",IF(NOT(ISNUMBER($W80)),"Missing Calculated",IF(NOT(ISNUMBER($X80)),IF($E80="Client","Missing FA signed off","Missing Controlled"),IF($X80&lt;$W80,"End before start","OK"))))</f>
        <v/>
      </c>
      <c r="BX80" s="23" t="str">
        <f aca="false">IF($A80="","",IF(NOT(ISNUMBER($Z80)),"",ROUND((IF(ISNUMBER($U80),MIN($U80,$Z80),$Z80)-$B80)*24,4)))</f>
        <v/>
      </c>
      <c r="BY80" s="23" t="str">
        <f aca="false">IF($A80="","",IF(ISNUMBER($Z80),ROUND(($Z80-$B80)*24,4),""))</f>
        <v/>
      </c>
      <c r="BZ80" s="23" t="str">
        <f aca="false">IF($A80="","",IF(AND(ISNUMBER($W80),ISNUMBER($S80)),ROUND(($W80+$S80/1440-$B80)*24,4),""))</f>
        <v/>
      </c>
    </row>
    <row r="81" customFormat="false" ht="15" hidden="false" customHeight="true" outlineLevel="0" collapsed="false">
      <c r="A81" s="47"/>
      <c r="B81" s="47"/>
      <c r="D81" s="4" t="str">
        <f aca="false">IF($A81="","",$B81-$A81)</f>
        <v/>
      </c>
      <c r="E81" s="4" t="str">
        <f aca="false">IF($A81="","",IFERROR(VLOOKUP($C81,Dim_Fund!$A:$X,24,0),""))</f>
        <v/>
      </c>
      <c r="F81" s="37" t="str">
        <f aca="false">IF($A81="","",IF(COUNTIFS(Status_Log!$A:$A,$A81,Status_Log!$B:$B,$B81,Status_Log!$C:$C,$C81,Status_Log!$D:$D,"Changed to the status of Calculated")=0,"",_xlfn.MINIFS(Status_Log!$E:$E,Status_Log!$A:$A,$A81,Status_Log!$B:$B,$B81,Status_Log!$C:$C,$C81,Status_Log!$D:$D,"Changed to the status of Calculated")))</f>
        <v/>
      </c>
      <c r="G81" s="37" t="str">
        <f aca="false">IF($A81="","",IF(COUNTIFS(Status_Log!$A:$A,$A81,Status_Log!$B:$B,$B81,Status_Log!$C:$C,$C81,Status_Log!$D:$D,"Changed to the status of Controlled")=0,"",_xlfn.MAXIFS(Status_Log!$E:$E,Status_Log!$A:$A,$A81,Status_Log!$B:$B,$B81,Status_Log!$C:$C,$C81,Status_Log!$D:$D,"Changed to the status of Controlled")))</f>
        <v/>
      </c>
      <c r="H81" s="37" t="str">
        <f aca="false">IF($A81="","",IF(COUNTIFS(Status_Log!$A:$A,$A81,Status_Log!$B:$B,$B81,Status_Log!$C:$C,$C81,Status_Log!$D:$D,"Changed to the status of Fund accounting signed off")=0,"",_xlfn.MAXIFS(Status_Log!$E:$E,Status_Log!$A:$A,$A81,Status_Log!$B:$B,$B81,Status_Log!$C:$C,$C81,Status_Log!$D:$D,"Changed to the status of Fund accounting signed off")))</f>
        <v/>
      </c>
      <c r="I81" s="37" t="str">
        <f aca="false">IF($A81="","",IF(COUNTIFS(Status_Log!$A:$A,$A81,Status_Log!$B:$B,$B81,Status_Log!$C:$C,$C81,Status_Log!$D:$D,"Changed to the status of signed off")=0,"",_xlfn.MAXIFS(Status_Log!$E:$E,Status_Log!$A:$A,$A81,Status_Log!$B:$B,$B81,Status_Log!$C:$C,$C81,Status_Log!$D:$D,"Changed to the status of signed off")))</f>
        <v/>
      </c>
      <c r="J81" s="4" t="str">
        <f aca="false">IF($A81="","",COUNTIFS(Status_Log!$A:$A,$A81,Status_Log!$B:$B,$B81,Status_Log!$C:$C,$C81,Status_Log!$D:$D,"Changed to the status of Calculated"))</f>
        <v/>
      </c>
      <c r="K81" s="38" t="str">
        <f aca="false">IF($A81="","",IF(J81&lt;=1,0,ROUND((_xlfn.MAXIFS(Status_Log!$E:$E,Status_Log!$A:$A,$A81,Status_Log!$B:$B,$B81,Status_Log!$C:$C,$C81,Status_Log!$D:$D,"Changed to the status of Calculated")-F81)*1440,0)))</f>
        <v/>
      </c>
      <c r="L81" s="4" t="str">
        <f aca="false">IF($A81="","",IFERROR(INDEX(Status_Log!$F:$F,MATCH($A81&amp;"|"&amp;$B81&amp;"|"&amp;$C81&amp;"|Changed to the status of Calculated|"&amp;TEXT(_xlfn.MAXIFS(Status_Log!$E:$E,Status_Log!$A:$A,$A81,Status_Log!$B:$B,$B81,Status_Log!$C:$C,$C81,Status_Log!$D:$D,"Changed to the status of Calculated"),"0.000000"),Status_Log!$H:$H,0)),""))</f>
        <v/>
      </c>
      <c r="M81" s="4" t="str">
        <f aca="false">IF($A81="","",IF(E81="Client","n/a — no control step",IFERROR(INDEX(Status_Log!$F:$F,MATCH($A81&amp;"|"&amp;$B81&amp;"|"&amp;$C81&amp;"|Changed to the status of Controlled|"&amp;TEXT(_xlfn.MAXIFS(Status_Log!$E:$E,Status_Log!$A:$A,$A81,Status_Log!$B:$B,$B81,Status_Log!$C:$C,$C81,Status_Log!$D:$D,"Changed to the status of Controlled"),"0.000000"),Status_Log!$H:$H,0)),"")))</f>
        <v/>
      </c>
      <c r="N81" s="4" t="str">
        <f aca="false">IF($A81="","",IFERROR(VLOOKUP($C81,Dim_Fund!$A:$G,7,0),""))</f>
        <v/>
      </c>
      <c r="O81" s="4" t="str">
        <f aca="false">IF($A81="","",IF(L81=N81,"No","Yes"))</f>
        <v/>
      </c>
      <c r="P81" s="4" t="str">
        <f aca="false">IF($A81="","",IF(E81="Client","n/a",IF(L81=M81,"YES — four-eyes breach","No")))</f>
        <v/>
      </c>
      <c r="Q81" s="38" t="str">
        <f aca="false">IF($A81="","",IFERROR(VLOOKUP($C81,Dim_Fund!$A:$AB,28,0),""))</f>
        <v/>
      </c>
      <c r="R81" s="38" t="str">
        <f aca="false">IF($A81="","",IFERROR(VLOOKUP($C81,Dim_Fund!$A:$AC,29,0),""))</f>
        <v/>
      </c>
      <c r="S81" s="38" t="str">
        <f aca="false">IF($A81="","",IFERROR(VLOOKUP($C81,Dim_Fund!$A:$AD,30,0),""))</f>
        <v/>
      </c>
      <c r="T81" s="38" t="str">
        <f aca="false">IF($A81="","",IFERROR(VLOOKUP($C81,Dim_Fund!$A:$AL,38,0),""))</f>
        <v/>
      </c>
      <c r="U81" s="37" t="str">
        <f aca="false">IF($A81="","",IF(AL81="","",IFERROR(IF(COUNTIFS(Fact_Milestone!$A:$A,$B81,Fact_Milestone!$B:$B,AL81)=0,"",_xlfn.MAXIFS(Fact_Milestone!$C:$C,Fact_Milestone!$A:$A,$B81,Fact_Milestone!$B:$B,AL81)),"")))</f>
        <v/>
      </c>
      <c r="V81" s="37" t="str">
        <f aca="false">IF($A81="","",IFERROR(IF(VLOOKUP($C81,Dim_Fund!$A:$AI,35,0)&gt;0,$B81+VLOOKUP($C81,Dim_Fund!$A:$AI,35,0)/24,""),""))</f>
        <v/>
      </c>
      <c r="W81" s="37" t="str">
        <f aca="false">IF($A81="","",F81)</f>
        <v/>
      </c>
      <c r="X81" s="37" t="str">
        <f aca="false">IF($A81="","",IF(E81="Client",H81,G81))</f>
        <v/>
      </c>
      <c r="Y81" s="37" t="str">
        <f aca="false">IF($A81="","",I81)</f>
        <v/>
      </c>
      <c r="Z81" s="37" t="str">
        <f aca="false">IF($A81="","",IFERROR(W81-R81/1440,""))</f>
        <v/>
      </c>
      <c r="AA81" s="38" t="str">
        <f aca="false">IF($A81="","",IF(OR(U81="",V81=""),"",ROUND((V81-U81)*1440,0)))</f>
        <v/>
      </c>
      <c r="AB81" s="38" t="str">
        <f aca="false">IF($A81="","",IF(U81="","",ROUND((W81-U81)*1440,0)))</f>
        <v/>
      </c>
      <c r="AC81" s="38" t="str">
        <f aca="false">IF($A81="","",IF(AB81="","",MAX(0,AB81)))</f>
        <v/>
      </c>
      <c r="AD81" s="38" t="str">
        <f aca="false">IF($A81="","",IFERROR(ROUND((X81-W81)*1440,0),""))</f>
        <v/>
      </c>
      <c r="AE81" s="38" t="str">
        <f aca="false">IF($A81="","",IF(E81="Client","n/a",IFERROR(ROUND((H81-G81)*1440,0),"")))</f>
        <v/>
      </c>
      <c r="AF81" s="38" t="str">
        <f aca="false">IF($A81="","",IFERROR(ROUND((Y81-H81)*1440,0),""))</f>
        <v/>
      </c>
      <c r="AG81" s="38" t="str">
        <f aca="false">IF($A81="","",IFERROR(ROUND((H81-F81)*1440,0),""))</f>
        <v/>
      </c>
      <c r="AH81" s="38" t="str">
        <f aca="false">IF($A81="","",IFERROR(ROUND((Y81-V81)*1440,0),""))</f>
        <v/>
      </c>
      <c r="AI81" s="4" t="str">
        <f aca="false">IF($A81="","",IF(AH81="","",IF(AH81&gt;0,"Yes","No")))</f>
        <v/>
      </c>
      <c r="AJ81" s="4" t="str">
        <f aca="false">IF($A81="","",IF(AI81&lt;&gt;"Yes","On time",IF(N(AC81)&gt;=MAX(N(AF81),N(K81)),"Wait for analyst",IF(N(AF81)&gt;=N(K81),"External sign-off","Rework"))))</f>
        <v/>
      </c>
      <c r="AK81" s="4" t="str">
        <f aca="false">IF($A81="","",IF(OR(F81="",Y81="",ISNA(MATCH(L81,Dim_Analyst!$A:$A,0))),"CHECK","OK"))</f>
        <v/>
      </c>
      <c r="AL81" s="4" t="str">
        <f aca="false">IF($A81="","",IFERROR(VLOOKUP($C81,Dim_Fund!$A:$U,21,0),""))</f>
        <v/>
      </c>
      <c r="AM81" s="4" t="str">
        <f aca="false">IF($A81="","",IF($U81="","",IF($U81&gt;$B81+IFERROR(VLOOKUP($C81,Dim_Fund!$A:$AH,34,0),0)/24,"Yes","No")))</f>
        <v/>
      </c>
      <c r="AN81" s="22" t="str">
        <f aca="false">IF($A81="","",IFERROR(VLOOKUP($C81,Dim_Fund!$A:$AH,34,0),""))</f>
        <v/>
      </c>
      <c r="AO81" s="22" t="str">
        <f aca="false">IF($A81="","",IF($AL81="","",IFERROR(FLOOR(IF(COUNTIFS(Fact_Milestone!$A:$A,$B81,Fact_Milestone!$B:$B,$AL81,Fact_Milestone!$F:$F,"&gt;0")&gt;0,_xlfn.MINIFS(Fact_Milestone!$F:$F,Fact_Milestone!$A:$A,$B81,Fact_Milestone!$B:$B,$AL81,Fact_Milestone!$F:$F,"&gt;0"),VLOOKUP($AL81,Dim_TOP!$A:$E,5,0)),0.5),"")))</f>
        <v/>
      </c>
      <c r="AP81" s="22" t="str">
        <f aca="false">IF($A81="","",IF($U81="","",ROUND(($U81-INT($U81))*24,4)))</f>
        <v/>
      </c>
      <c r="AQ81" s="22" t="str">
        <f aca="false">IF($A81="","",IF($W81="","",ROUND(($W81-INT($W81))*24,4)))</f>
        <v/>
      </c>
      <c r="AR81" s="22" t="str">
        <f aca="false">IF($A81="","",IF($X81="","",ROUND(($X81-INT($X81))*24,4)))</f>
        <v/>
      </c>
      <c r="AS81" s="38" t="str">
        <f aca="false">IF($A81="","",IF(OR($AN81="",$V81="",$S81="",$T81=""),"",ROUND(($V81-($B81+$AN81/24))*1440-$S81-$T81,0)))</f>
        <v/>
      </c>
      <c r="AT81" s="38" t="str">
        <f aca="false">IF($A81="","",IF(OR($AN81="",$U81=""),"",ROUND(($U81-($B81+$AN81/24))*1440,0)))</f>
        <v/>
      </c>
      <c r="AU81" s="38" t="str">
        <f aca="false">IF($A81="","",IF(OR($AD81="",$S81=""),"",ROUND($AD81-$S81,0)))</f>
        <v/>
      </c>
      <c r="AV81" s="38" t="str">
        <f aca="false">IF($A81="","",N($AE81))</f>
        <v/>
      </c>
      <c r="AW81" s="38" t="str">
        <f aca="false">IF($A81="","",IF(OR($AF81="",$T81=""),"",$AF81-$T81))</f>
        <v/>
      </c>
      <c r="AX81" s="38" t="str">
        <f aca="false">IF($A81="","",IF(COUNT($AT81,$AB81,$AU81,$AW81,$AS81,$AH81)&lt;6,"",ROUND($AT81+$AB81+$AU81+$AV81+$AW81-$AS81-$AH81,0)))</f>
        <v/>
      </c>
      <c r="AY81" s="4" t="str">
        <f aca="false">IF($A81="","",IF($AX81="","No",IF(ABS($AX81)&lt;=2,"Yes","No")))</f>
        <v/>
      </c>
      <c r="AZ81" s="4" t="str">
        <f aca="false">IF($A81="","",IF($AI81&lt;&gt;"Yes","n/a",IF(OR($AA81="",$S81="",$T81=""),"Unknown",IF($AA81&lt;$S81+$T81,"Lost on arrival","Lost after arrival"))))</f>
        <v/>
      </c>
      <c r="BA81" s="10" t="str">
        <f aca="false">IF($A81="","",IFERROR(VLOOKUP($C81,Dim_Fund!$A:$D,4,0),""))</f>
        <v/>
      </c>
      <c r="BB81" s="10" t="str">
        <f aca="false">IF($A81="","",IF($AL81="","",IF(COUNTIFS(Fact_Milestone!$A:$A,$B81,Fact_Milestone!$B:$B,$AL81,Fact_Milestone!$I:$I,"No")&gt;0,"No",IF(COUNTIFS(Fact_Milestone!$A:$A,$B81,Fact_Milestone!$B:$B,$AL81,Fact_Milestone!$I:$I,"Yes")&gt;0,"Yes",""))))</f>
        <v/>
      </c>
      <c r="BC81" s="45" t="str">
        <f aca="false">IF($A81="","",IF(OR($L81="",$W81=""),"",IF(COUNTIFS($L:$L,$L81,$B:$B,$B81,$W:$W,"&lt;"&amp;$W81)=0,"",_xlfn.MAXIFS($W:$W,$L:$L,$L81,$B:$B,$B81,$W:$W,"&lt;"&amp;$W81))))</f>
        <v/>
      </c>
      <c r="BD81" s="39" t="str">
        <f aca="false">IF($A81="","",IF($AC81="","",IF(OR($L81="",$AC81=0),0,MIN($AC81,ROUND(ROUND(1440*SUMPRODUCT(($L$2:INDEX($L:$L,COUNTA($C:$C))=$L81)*($B$2:INDEX($B:$B,COUNTA($C:$C))=$B81)*(ROW($L$2:INDEX($L:$L,COUNTA($C:$C)))&lt;&gt;ROW())*((((($W81+$BT$2:INDEX($BT:$BT,COUNTA($C:$C))-ABS($W81-$BT$2:INDEX($BT:$BT,COUNTA($C:$C))))/2)-(($U81+$BS$2:INDEX($BS:$BS,COUNTA($C:$C))+ABS($U81-$BS$2:INDEX($BS:$BS,COUNTA($C:$C))))/2))+ABS(((($W81+$BT$2:INDEX($BT:$BT,COUNTA($C:$C))-ABS($W81-$BT$2:INDEX($BT:$BT,COUNTA($C:$C))))/2)-(($U81+$BS$2:INDEX($BS:$BS,COUNTA($C:$C))+ABS($U81-$BS$2:INDEX($BS:$BS,COUNTA($C:$C))))/2))))/2)),4),0)))))</f>
        <v/>
      </c>
      <c r="BE81" s="39" t="str">
        <f aca="false">IF($A81="","",IF($AC81="","",ROUND(MIN($AC81-$BD81,N($R81)),0)))</f>
        <v/>
      </c>
      <c r="BF81" s="10" t="str">
        <f aca="false">IF($A81="","",IFERROR(VLOOKUP($C81,Dim_Fund!$A:$BD,56,0),""))</f>
        <v/>
      </c>
      <c r="BG81" s="10" t="str">
        <f aca="false">IF($A81="","",IFERROR(VLOOKUP($C81,Dim_Fund!$A:$BH,60,0),""))</f>
        <v/>
      </c>
      <c r="BH81" s="10" t="str">
        <f aca="false">IF($A81="","",IF($AI81&lt;&gt;"Yes","Not breached",IF($AM81="Yes","Pricing late",IF($BG81="Thin custody slack","Thin custody slack",IF($BF81="Yes","Broker-dependent","None of these")))))</f>
        <v/>
      </c>
      <c r="BI81" s="23" t="str">
        <f aca="false">IF($A81="","",IFERROR(IF(VLOOKUP($C81,Dim_Fund!$A:$AI,35,0)&gt;0,VLOOKUP($C81,Dim_Fund!$A:$AI,35,0),""),""))</f>
        <v/>
      </c>
      <c r="BJ81" s="10" t="str">
        <f aca="false">IF($A81="","",$C81&amp;IF($E81="Client","*",""))</f>
        <v/>
      </c>
      <c r="BK81" s="39" t="str">
        <f aca="false">IF($A81="","",IFERROR(ROUND(($Y81-$X81)*1440,0),""))</f>
        <v/>
      </c>
      <c r="BL81" s="39" t="str">
        <f aca="false">IF($A81="","",IF($AH81="","",-$AH81))</f>
        <v/>
      </c>
      <c r="BM81" s="46" t="str">
        <f aca="false">IF($A81="","",IF($AQ81="","",IF($AP81="",$AQ81,MIN($AP81,$AQ81))))</f>
        <v/>
      </c>
      <c r="BN81" s="46" t="str">
        <f aca="false">IF($A81="","",IF($BM81="","",ROUND(N($AC81)/60,4)))</f>
        <v/>
      </c>
      <c r="BO81" s="46" t="str">
        <f aca="false">IF($A81="","",IF(OR($BM81="",$AD81=""),"",ROUND($AD81/60,4)))</f>
        <v/>
      </c>
      <c r="BP81" s="46" t="str">
        <f aca="false">IF($A81="","",IF($BM81="","",ROUND(N($AE81)/60,4)))</f>
        <v/>
      </c>
      <c r="BQ81" s="46" t="str">
        <f aca="false">IF($A81="","",IF(OR($BM81="",$AF81=""),"",ROUND($AF81/60,4)))</f>
        <v/>
      </c>
      <c r="BR81" s="39" t="str">
        <f aca="false">IF($A81="","",IF($AC81="","",$AC81-$BD81-$BE81))</f>
        <v/>
      </c>
      <c r="BS81" s="45" t="str">
        <f aca="false">IF($A81="","",IF(AND(ISNUMBER($Z81),ISNUMBER($W81)),$Z81,0))</f>
        <v/>
      </c>
      <c r="BT81" s="45" t="str">
        <f aca="false">IF($A81="","",IF(ISNUMBER($W81),$W81,0))</f>
        <v/>
      </c>
      <c r="BU81" s="23" t="str">
        <f aca="false">IF($A81="","",IF(ISNUMBER($W81),ROUND(($W81-$B81)*24,4),""))</f>
        <v/>
      </c>
      <c r="BV81" s="23" t="str">
        <f aca="false">IF($A81="","",IF(ISNUMBER($X81),ROUND(($X81-$B81)*24,4),""))</f>
        <v/>
      </c>
      <c r="BW81" s="10" t="str">
        <f aca="false">IF($A81="","",IF(NOT(ISNUMBER($W81)),"Missing Calculated",IF(NOT(ISNUMBER($X81)),IF($E81="Client","Missing FA signed off","Missing Controlled"),IF($X81&lt;$W81,"End before start","OK"))))</f>
        <v/>
      </c>
      <c r="BX81" s="23" t="str">
        <f aca="false">IF($A81="","",IF(NOT(ISNUMBER($Z81)),"",ROUND((IF(ISNUMBER($U81),MIN($U81,$Z81),$Z81)-$B81)*24,4)))</f>
        <v/>
      </c>
      <c r="BY81" s="23" t="str">
        <f aca="false">IF($A81="","",IF(ISNUMBER($Z81),ROUND(($Z81-$B81)*24,4),""))</f>
        <v/>
      </c>
      <c r="BZ81" s="23" t="str">
        <f aca="false">IF($A81="","",IF(AND(ISNUMBER($W81),ISNUMBER($S81)),ROUND(($W81+$S81/1440-$B81)*24,4),""))</f>
        <v/>
      </c>
    </row>
    <row r="82" customFormat="false" ht="15" hidden="false" customHeight="true" outlineLevel="0" collapsed="false">
      <c r="A82" s="47"/>
      <c r="B82" s="47"/>
      <c r="D82" s="4" t="str">
        <f aca="false">IF($A82="","",$B82-$A82)</f>
        <v/>
      </c>
      <c r="E82" s="4" t="str">
        <f aca="false">IF($A82="","",IFERROR(VLOOKUP($C82,Dim_Fund!$A:$X,24,0),""))</f>
        <v/>
      </c>
      <c r="F82" s="37" t="str">
        <f aca="false">IF($A82="","",IF(COUNTIFS(Status_Log!$A:$A,$A82,Status_Log!$B:$B,$B82,Status_Log!$C:$C,$C82,Status_Log!$D:$D,"Changed to the status of Calculated")=0,"",_xlfn.MINIFS(Status_Log!$E:$E,Status_Log!$A:$A,$A82,Status_Log!$B:$B,$B82,Status_Log!$C:$C,$C82,Status_Log!$D:$D,"Changed to the status of Calculated")))</f>
        <v/>
      </c>
      <c r="G82" s="37" t="str">
        <f aca="false">IF($A82="","",IF(COUNTIFS(Status_Log!$A:$A,$A82,Status_Log!$B:$B,$B82,Status_Log!$C:$C,$C82,Status_Log!$D:$D,"Changed to the status of Controlled")=0,"",_xlfn.MAXIFS(Status_Log!$E:$E,Status_Log!$A:$A,$A82,Status_Log!$B:$B,$B82,Status_Log!$C:$C,$C82,Status_Log!$D:$D,"Changed to the status of Controlled")))</f>
        <v/>
      </c>
      <c r="H82" s="37" t="str">
        <f aca="false">IF($A82="","",IF(COUNTIFS(Status_Log!$A:$A,$A82,Status_Log!$B:$B,$B82,Status_Log!$C:$C,$C82,Status_Log!$D:$D,"Changed to the status of Fund accounting signed off")=0,"",_xlfn.MAXIFS(Status_Log!$E:$E,Status_Log!$A:$A,$A82,Status_Log!$B:$B,$B82,Status_Log!$C:$C,$C82,Status_Log!$D:$D,"Changed to the status of Fund accounting signed off")))</f>
        <v/>
      </c>
      <c r="I82" s="37" t="str">
        <f aca="false">IF($A82="","",IF(COUNTIFS(Status_Log!$A:$A,$A82,Status_Log!$B:$B,$B82,Status_Log!$C:$C,$C82,Status_Log!$D:$D,"Changed to the status of signed off")=0,"",_xlfn.MAXIFS(Status_Log!$E:$E,Status_Log!$A:$A,$A82,Status_Log!$B:$B,$B82,Status_Log!$C:$C,$C82,Status_Log!$D:$D,"Changed to the status of signed off")))</f>
        <v/>
      </c>
      <c r="J82" s="4" t="str">
        <f aca="false">IF($A82="","",COUNTIFS(Status_Log!$A:$A,$A82,Status_Log!$B:$B,$B82,Status_Log!$C:$C,$C82,Status_Log!$D:$D,"Changed to the status of Calculated"))</f>
        <v/>
      </c>
      <c r="K82" s="38" t="str">
        <f aca="false">IF($A82="","",IF(J82&lt;=1,0,ROUND((_xlfn.MAXIFS(Status_Log!$E:$E,Status_Log!$A:$A,$A82,Status_Log!$B:$B,$B82,Status_Log!$C:$C,$C82,Status_Log!$D:$D,"Changed to the status of Calculated")-F82)*1440,0)))</f>
        <v/>
      </c>
      <c r="L82" s="4" t="str">
        <f aca="false">IF($A82="","",IFERROR(INDEX(Status_Log!$F:$F,MATCH($A82&amp;"|"&amp;$B82&amp;"|"&amp;$C82&amp;"|Changed to the status of Calculated|"&amp;TEXT(_xlfn.MAXIFS(Status_Log!$E:$E,Status_Log!$A:$A,$A82,Status_Log!$B:$B,$B82,Status_Log!$C:$C,$C82,Status_Log!$D:$D,"Changed to the status of Calculated"),"0.000000"),Status_Log!$H:$H,0)),""))</f>
        <v/>
      </c>
      <c r="M82" s="4" t="str">
        <f aca="false">IF($A82="","",IF(E82="Client","n/a — no control step",IFERROR(INDEX(Status_Log!$F:$F,MATCH($A82&amp;"|"&amp;$B82&amp;"|"&amp;$C82&amp;"|Changed to the status of Controlled|"&amp;TEXT(_xlfn.MAXIFS(Status_Log!$E:$E,Status_Log!$A:$A,$A82,Status_Log!$B:$B,$B82,Status_Log!$C:$C,$C82,Status_Log!$D:$D,"Changed to the status of Controlled"),"0.000000"),Status_Log!$H:$H,0)),"")))</f>
        <v/>
      </c>
      <c r="N82" s="4" t="str">
        <f aca="false">IF($A82="","",IFERROR(VLOOKUP($C82,Dim_Fund!$A:$G,7,0),""))</f>
        <v/>
      </c>
      <c r="O82" s="4" t="str">
        <f aca="false">IF($A82="","",IF(L82=N82,"No","Yes"))</f>
        <v/>
      </c>
      <c r="P82" s="4" t="str">
        <f aca="false">IF($A82="","",IF(E82="Client","n/a",IF(L82=M82,"YES — four-eyes breach","No")))</f>
        <v/>
      </c>
      <c r="Q82" s="38" t="str">
        <f aca="false">IF($A82="","",IFERROR(VLOOKUP($C82,Dim_Fund!$A:$AB,28,0),""))</f>
        <v/>
      </c>
      <c r="R82" s="38" t="str">
        <f aca="false">IF($A82="","",IFERROR(VLOOKUP($C82,Dim_Fund!$A:$AC,29,0),""))</f>
        <v/>
      </c>
      <c r="S82" s="38" t="str">
        <f aca="false">IF($A82="","",IFERROR(VLOOKUP($C82,Dim_Fund!$A:$AD,30,0),""))</f>
        <v/>
      </c>
      <c r="T82" s="38" t="str">
        <f aca="false">IF($A82="","",IFERROR(VLOOKUP($C82,Dim_Fund!$A:$AL,38,0),""))</f>
        <v/>
      </c>
      <c r="U82" s="37" t="str">
        <f aca="false">IF($A82="","",IF(AL82="","",IFERROR(IF(COUNTIFS(Fact_Milestone!$A:$A,$B82,Fact_Milestone!$B:$B,AL82)=0,"",_xlfn.MAXIFS(Fact_Milestone!$C:$C,Fact_Milestone!$A:$A,$B82,Fact_Milestone!$B:$B,AL82)),"")))</f>
        <v/>
      </c>
      <c r="V82" s="37" t="str">
        <f aca="false">IF($A82="","",IFERROR(IF(VLOOKUP($C82,Dim_Fund!$A:$AI,35,0)&gt;0,$B82+VLOOKUP($C82,Dim_Fund!$A:$AI,35,0)/24,""),""))</f>
        <v/>
      </c>
      <c r="W82" s="37" t="str">
        <f aca="false">IF($A82="","",F82)</f>
        <v/>
      </c>
      <c r="X82" s="37" t="str">
        <f aca="false">IF($A82="","",IF(E82="Client",H82,G82))</f>
        <v/>
      </c>
      <c r="Y82" s="37" t="str">
        <f aca="false">IF($A82="","",I82)</f>
        <v/>
      </c>
      <c r="Z82" s="37" t="str">
        <f aca="false">IF($A82="","",IFERROR(W82-R82/1440,""))</f>
        <v/>
      </c>
      <c r="AA82" s="38" t="str">
        <f aca="false">IF($A82="","",IF(OR(U82="",V82=""),"",ROUND((V82-U82)*1440,0)))</f>
        <v/>
      </c>
      <c r="AB82" s="38" t="str">
        <f aca="false">IF($A82="","",IF(U82="","",ROUND((W82-U82)*1440,0)))</f>
        <v/>
      </c>
      <c r="AC82" s="38" t="str">
        <f aca="false">IF($A82="","",IF(AB82="","",MAX(0,AB82)))</f>
        <v/>
      </c>
      <c r="AD82" s="38" t="str">
        <f aca="false">IF($A82="","",IFERROR(ROUND((X82-W82)*1440,0),""))</f>
        <v/>
      </c>
      <c r="AE82" s="38" t="str">
        <f aca="false">IF($A82="","",IF(E82="Client","n/a",IFERROR(ROUND((H82-G82)*1440,0),"")))</f>
        <v/>
      </c>
      <c r="AF82" s="38" t="str">
        <f aca="false">IF($A82="","",IFERROR(ROUND((Y82-H82)*1440,0),""))</f>
        <v/>
      </c>
      <c r="AG82" s="38" t="str">
        <f aca="false">IF($A82="","",IFERROR(ROUND((H82-F82)*1440,0),""))</f>
        <v/>
      </c>
      <c r="AH82" s="38" t="str">
        <f aca="false">IF($A82="","",IFERROR(ROUND((Y82-V82)*1440,0),""))</f>
        <v/>
      </c>
      <c r="AI82" s="4" t="str">
        <f aca="false">IF($A82="","",IF(AH82="","",IF(AH82&gt;0,"Yes","No")))</f>
        <v/>
      </c>
      <c r="AJ82" s="4" t="str">
        <f aca="false">IF($A82="","",IF(AI82&lt;&gt;"Yes","On time",IF(N(AC82)&gt;=MAX(N(AF82),N(K82)),"Wait for analyst",IF(N(AF82)&gt;=N(K82),"External sign-off","Rework"))))</f>
        <v/>
      </c>
      <c r="AK82" s="4" t="str">
        <f aca="false">IF($A82="","",IF(OR(F82="",Y82="",ISNA(MATCH(L82,Dim_Analyst!$A:$A,0))),"CHECK","OK"))</f>
        <v/>
      </c>
      <c r="AL82" s="4" t="str">
        <f aca="false">IF($A82="","",IFERROR(VLOOKUP($C82,Dim_Fund!$A:$U,21,0),""))</f>
        <v/>
      </c>
      <c r="AM82" s="4" t="str">
        <f aca="false">IF($A82="","",IF($U82="","",IF($U82&gt;$B82+IFERROR(VLOOKUP($C82,Dim_Fund!$A:$AH,34,0),0)/24,"Yes","No")))</f>
        <v/>
      </c>
      <c r="AN82" s="22" t="str">
        <f aca="false">IF($A82="","",IFERROR(VLOOKUP($C82,Dim_Fund!$A:$AH,34,0),""))</f>
        <v/>
      </c>
      <c r="AO82" s="22" t="str">
        <f aca="false">IF($A82="","",IF($AL82="","",IFERROR(FLOOR(IF(COUNTIFS(Fact_Milestone!$A:$A,$B82,Fact_Milestone!$B:$B,$AL82,Fact_Milestone!$F:$F,"&gt;0")&gt;0,_xlfn.MINIFS(Fact_Milestone!$F:$F,Fact_Milestone!$A:$A,$B82,Fact_Milestone!$B:$B,$AL82,Fact_Milestone!$F:$F,"&gt;0"),VLOOKUP($AL82,Dim_TOP!$A:$E,5,0)),0.5),"")))</f>
        <v/>
      </c>
      <c r="AP82" s="22" t="str">
        <f aca="false">IF($A82="","",IF($U82="","",ROUND(($U82-INT($U82))*24,4)))</f>
        <v/>
      </c>
      <c r="AQ82" s="22" t="str">
        <f aca="false">IF($A82="","",IF($W82="","",ROUND(($W82-INT($W82))*24,4)))</f>
        <v/>
      </c>
      <c r="AR82" s="22" t="str">
        <f aca="false">IF($A82="","",IF($X82="","",ROUND(($X82-INT($X82))*24,4)))</f>
        <v/>
      </c>
      <c r="AS82" s="38" t="str">
        <f aca="false">IF($A82="","",IF(OR($AN82="",$V82="",$S82="",$T82=""),"",ROUND(($V82-($B82+$AN82/24))*1440-$S82-$T82,0)))</f>
        <v/>
      </c>
      <c r="AT82" s="38" t="str">
        <f aca="false">IF($A82="","",IF(OR($AN82="",$U82=""),"",ROUND(($U82-($B82+$AN82/24))*1440,0)))</f>
        <v/>
      </c>
      <c r="AU82" s="38" t="str">
        <f aca="false">IF($A82="","",IF(OR($AD82="",$S82=""),"",ROUND($AD82-$S82,0)))</f>
        <v/>
      </c>
      <c r="AV82" s="38" t="str">
        <f aca="false">IF($A82="","",N($AE82))</f>
        <v/>
      </c>
      <c r="AW82" s="38" t="str">
        <f aca="false">IF($A82="","",IF(OR($AF82="",$T82=""),"",$AF82-$T82))</f>
        <v/>
      </c>
      <c r="AX82" s="38" t="str">
        <f aca="false">IF($A82="","",IF(COUNT($AT82,$AB82,$AU82,$AW82,$AS82,$AH82)&lt;6,"",ROUND($AT82+$AB82+$AU82+$AV82+$AW82-$AS82-$AH82,0)))</f>
        <v/>
      </c>
      <c r="AY82" s="4" t="str">
        <f aca="false">IF($A82="","",IF($AX82="","No",IF(ABS($AX82)&lt;=2,"Yes","No")))</f>
        <v/>
      </c>
      <c r="AZ82" s="4" t="str">
        <f aca="false">IF($A82="","",IF($AI82&lt;&gt;"Yes","n/a",IF(OR($AA82="",$S82="",$T82=""),"Unknown",IF($AA82&lt;$S82+$T82,"Lost on arrival","Lost after arrival"))))</f>
        <v/>
      </c>
      <c r="BA82" s="10" t="str">
        <f aca="false">IF($A82="","",IFERROR(VLOOKUP($C82,Dim_Fund!$A:$D,4,0),""))</f>
        <v/>
      </c>
      <c r="BB82" s="10" t="str">
        <f aca="false">IF($A82="","",IF($AL82="","",IF(COUNTIFS(Fact_Milestone!$A:$A,$B82,Fact_Milestone!$B:$B,$AL82,Fact_Milestone!$I:$I,"No")&gt;0,"No",IF(COUNTIFS(Fact_Milestone!$A:$A,$B82,Fact_Milestone!$B:$B,$AL82,Fact_Milestone!$I:$I,"Yes")&gt;0,"Yes",""))))</f>
        <v/>
      </c>
      <c r="BC82" s="45" t="str">
        <f aca="false">IF($A82="","",IF(OR($L82="",$W82=""),"",IF(COUNTIFS($L:$L,$L82,$B:$B,$B82,$W:$W,"&lt;"&amp;$W82)=0,"",_xlfn.MAXIFS($W:$W,$L:$L,$L82,$B:$B,$B82,$W:$W,"&lt;"&amp;$W82))))</f>
        <v/>
      </c>
      <c r="BD82" s="39" t="str">
        <f aca="false">IF($A82="","",IF($AC82="","",IF(OR($L82="",$AC82=0),0,MIN($AC82,ROUND(ROUND(1440*SUMPRODUCT(($L$2:INDEX($L:$L,COUNTA($C:$C))=$L82)*($B$2:INDEX($B:$B,COUNTA($C:$C))=$B82)*(ROW($L$2:INDEX($L:$L,COUNTA($C:$C)))&lt;&gt;ROW())*((((($W82+$BT$2:INDEX($BT:$BT,COUNTA($C:$C))-ABS($W82-$BT$2:INDEX($BT:$BT,COUNTA($C:$C))))/2)-(($U82+$BS$2:INDEX($BS:$BS,COUNTA($C:$C))+ABS($U82-$BS$2:INDEX($BS:$BS,COUNTA($C:$C))))/2))+ABS(((($W82+$BT$2:INDEX($BT:$BT,COUNTA($C:$C))-ABS($W82-$BT$2:INDEX($BT:$BT,COUNTA($C:$C))))/2)-(($U82+$BS$2:INDEX($BS:$BS,COUNTA($C:$C))+ABS($U82-$BS$2:INDEX($BS:$BS,COUNTA($C:$C))))/2))))/2)),4),0)))))</f>
        <v/>
      </c>
      <c r="BE82" s="39" t="str">
        <f aca="false">IF($A82="","",IF($AC82="","",ROUND(MIN($AC82-$BD82,N($R82)),0)))</f>
        <v/>
      </c>
      <c r="BF82" s="10" t="str">
        <f aca="false">IF($A82="","",IFERROR(VLOOKUP($C82,Dim_Fund!$A:$BD,56,0),""))</f>
        <v/>
      </c>
      <c r="BG82" s="10" t="str">
        <f aca="false">IF($A82="","",IFERROR(VLOOKUP($C82,Dim_Fund!$A:$BH,60,0),""))</f>
        <v/>
      </c>
      <c r="BH82" s="10" t="str">
        <f aca="false">IF($A82="","",IF($AI82&lt;&gt;"Yes","Not breached",IF($AM82="Yes","Pricing late",IF($BG82="Thin custody slack","Thin custody slack",IF($BF82="Yes","Broker-dependent","None of these")))))</f>
        <v/>
      </c>
      <c r="BI82" s="23" t="str">
        <f aca="false">IF($A82="","",IFERROR(IF(VLOOKUP($C82,Dim_Fund!$A:$AI,35,0)&gt;0,VLOOKUP($C82,Dim_Fund!$A:$AI,35,0),""),""))</f>
        <v/>
      </c>
      <c r="BJ82" s="10" t="str">
        <f aca="false">IF($A82="","",$C82&amp;IF($E82="Client","*",""))</f>
        <v/>
      </c>
      <c r="BK82" s="39" t="str">
        <f aca="false">IF($A82="","",IFERROR(ROUND(($Y82-$X82)*1440,0),""))</f>
        <v/>
      </c>
      <c r="BL82" s="39" t="str">
        <f aca="false">IF($A82="","",IF($AH82="","",-$AH82))</f>
        <v/>
      </c>
      <c r="BM82" s="46" t="str">
        <f aca="false">IF($A82="","",IF($AQ82="","",IF($AP82="",$AQ82,MIN($AP82,$AQ82))))</f>
        <v/>
      </c>
      <c r="BN82" s="46" t="str">
        <f aca="false">IF($A82="","",IF($BM82="","",ROUND(N($AC82)/60,4)))</f>
        <v/>
      </c>
      <c r="BO82" s="46" t="str">
        <f aca="false">IF($A82="","",IF(OR($BM82="",$AD82=""),"",ROUND($AD82/60,4)))</f>
        <v/>
      </c>
      <c r="BP82" s="46" t="str">
        <f aca="false">IF($A82="","",IF($BM82="","",ROUND(N($AE82)/60,4)))</f>
        <v/>
      </c>
      <c r="BQ82" s="46" t="str">
        <f aca="false">IF($A82="","",IF(OR($BM82="",$AF82=""),"",ROUND($AF82/60,4)))</f>
        <v/>
      </c>
      <c r="BR82" s="39" t="str">
        <f aca="false">IF($A82="","",IF($AC82="","",$AC82-$BD82-$BE82))</f>
        <v/>
      </c>
      <c r="BS82" s="45" t="str">
        <f aca="false">IF($A82="","",IF(AND(ISNUMBER($Z82),ISNUMBER($W82)),$Z82,0))</f>
        <v/>
      </c>
      <c r="BT82" s="45" t="str">
        <f aca="false">IF($A82="","",IF(ISNUMBER($W82),$W82,0))</f>
        <v/>
      </c>
      <c r="BU82" s="23" t="str">
        <f aca="false">IF($A82="","",IF(ISNUMBER($W82),ROUND(($W82-$B82)*24,4),""))</f>
        <v/>
      </c>
      <c r="BV82" s="23" t="str">
        <f aca="false">IF($A82="","",IF(ISNUMBER($X82),ROUND(($X82-$B82)*24,4),""))</f>
        <v/>
      </c>
      <c r="BW82" s="10" t="str">
        <f aca="false">IF($A82="","",IF(NOT(ISNUMBER($W82)),"Missing Calculated",IF(NOT(ISNUMBER($X82)),IF($E82="Client","Missing FA signed off","Missing Controlled"),IF($X82&lt;$W82,"End before start","OK"))))</f>
        <v/>
      </c>
      <c r="BX82" s="23" t="str">
        <f aca="false">IF($A82="","",IF(NOT(ISNUMBER($Z82)),"",ROUND((IF(ISNUMBER($U82),MIN($U82,$Z82),$Z82)-$B82)*24,4)))</f>
        <v/>
      </c>
      <c r="BY82" s="23" t="str">
        <f aca="false">IF($A82="","",IF(ISNUMBER($Z82),ROUND(($Z82-$B82)*24,4),""))</f>
        <v/>
      </c>
      <c r="BZ82" s="23" t="str">
        <f aca="false">IF($A82="","",IF(AND(ISNUMBER($W82),ISNUMBER($S82)),ROUND(($W82+$S82/1440-$B82)*24,4),""))</f>
        <v/>
      </c>
    </row>
    <row r="83" customFormat="false" ht="15" hidden="false" customHeight="true" outlineLevel="0" collapsed="false">
      <c r="A83" s="47"/>
      <c r="B83" s="47"/>
      <c r="D83" s="4" t="str">
        <f aca="false">IF($A83="","",$B83-$A83)</f>
        <v/>
      </c>
      <c r="E83" s="4" t="str">
        <f aca="false">IF($A83="","",IFERROR(VLOOKUP($C83,Dim_Fund!$A:$X,24,0),""))</f>
        <v/>
      </c>
      <c r="F83" s="37" t="str">
        <f aca="false">IF($A83="","",IF(COUNTIFS(Status_Log!$A:$A,$A83,Status_Log!$B:$B,$B83,Status_Log!$C:$C,$C83,Status_Log!$D:$D,"Changed to the status of Calculated")=0,"",_xlfn.MINIFS(Status_Log!$E:$E,Status_Log!$A:$A,$A83,Status_Log!$B:$B,$B83,Status_Log!$C:$C,$C83,Status_Log!$D:$D,"Changed to the status of Calculated")))</f>
        <v/>
      </c>
      <c r="G83" s="37" t="str">
        <f aca="false">IF($A83="","",IF(COUNTIFS(Status_Log!$A:$A,$A83,Status_Log!$B:$B,$B83,Status_Log!$C:$C,$C83,Status_Log!$D:$D,"Changed to the status of Controlled")=0,"",_xlfn.MAXIFS(Status_Log!$E:$E,Status_Log!$A:$A,$A83,Status_Log!$B:$B,$B83,Status_Log!$C:$C,$C83,Status_Log!$D:$D,"Changed to the status of Controlled")))</f>
        <v/>
      </c>
      <c r="H83" s="37" t="str">
        <f aca="false">IF($A83="","",IF(COUNTIFS(Status_Log!$A:$A,$A83,Status_Log!$B:$B,$B83,Status_Log!$C:$C,$C83,Status_Log!$D:$D,"Changed to the status of Fund accounting signed off")=0,"",_xlfn.MAXIFS(Status_Log!$E:$E,Status_Log!$A:$A,$A83,Status_Log!$B:$B,$B83,Status_Log!$C:$C,$C83,Status_Log!$D:$D,"Changed to the status of Fund accounting signed off")))</f>
        <v/>
      </c>
      <c r="I83" s="37" t="str">
        <f aca="false">IF($A83="","",IF(COUNTIFS(Status_Log!$A:$A,$A83,Status_Log!$B:$B,$B83,Status_Log!$C:$C,$C83,Status_Log!$D:$D,"Changed to the status of signed off")=0,"",_xlfn.MAXIFS(Status_Log!$E:$E,Status_Log!$A:$A,$A83,Status_Log!$B:$B,$B83,Status_Log!$C:$C,$C83,Status_Log!$D:$D,"Changed to the status of signed off")))</f>
        <v/>
      </c>
      <c r="J83" s="4" t="str">
        <f aca="false">IF($A83="","",COUNTIFS(Status_Log!$A:$A,$A83,Status_Log!$B:$B,$B83,Status_Log!$C:$C,$C83,Status_Log!$D:$D,"Changed to the status of Calculated"))</f>
        <v/>
      </c>
      <c r="K83" s="38" t="str">
        <f aca="false">IF($A83="","",IF(J83&lt;=1,0,ROUND((_xlfn.MAXIFS(Status_Log!$E:$E,Status_Log!$A:$A,$A83,Status_Log!$B:$B,$B83,Status_Log!$C:$C,$C83,Status_Log!$D:$D,"Changed to the status of Calculated")-F83)*1440,0)))</f>
        <v/>
      </c>
      <c r="L83" s="4" t="str">
        <f aca="false">IF($A83="","",IFERROR(INDEX(Status_Log!$F:$F,MATCH($A83&amp;"|"&amp;$B83&amp;"|"&amp;$C83&amp;"|Changed to the status of Calculated|"&amp;TEXT(_xlfn.MAXIFS(Status_Log!$E:$E,Status_Log!$A:$A,$A83,Status_Log!$B:$B,$B83,Status_Log!$C:$C,$C83,Status_Log!$D:$D,"Changed to the status of Calculated"),"0.000000"),Status_Log!$H:$H,0)),""))</f>
        <v/>
      </c>
      <c r="M83" s="4" t="str">
        <f aca="false">IF($A83="","",IF(E83="Client","n/a — no control step",IFERROR(INDEX(Status_Log!$F:$F,MATCH($A83&amp;"|"&amp;$B83&amp;"|"&amp;$C83&amp;"|Changed to the status of Controlled|"&amp;TEXT(_xlfn.MAXIFS(Status_Log!$E:$E,Status_Log!$A:$A,$A83,Status_Log!$B:$B,$B83,Status_Log!$C:$C,$C83,Status_Log!$D:$D,"Changed to the status of Controlled"),"0.000000"),Status_Log!$H:$H,0)),"")))</f>
        <v/>
      </c>
      <c r="N83" s="4" t="str">
        <f aca="false">IF($A83="","",IFERROR(VLOOKUP($C83,Dim_Fund!$A:$G,7,0),""))</f>
        <v/>
      </c>
      <c r="O83" s="4" t="str">
        <f aca="false">IF($A83="","",IF(L83=N83,"No","Yes"))</f>
        <v/>
      </c>
      <c r="P83" s="4" t="str">
        <f aca="false">IF($A83="","",IF(E83="Client","n/a",IF(L83=M83,"YES — four-eyes breach","No")))</f>
        <v/>
      </c>
      <c r="Q83" s="38" t="str">
        <f aca="false">IF($A83="","",IFERROR(VLOOKUP($C83,Dim_Fund!$A:$AB,28,0),""))</f>
        <v/>
      </c>
      <c r="R83" s="38" t="str">
        <f aca="false">IF($A83="","",IFERROR(VLOOKUP($C83,Dim_Fund!$A:$AC,29,0),""))</f>
        <v/>
      </c>
      <c r="S83" s="38" t="str">
        <f aca="false">IF($A83="","",IFERROR(VLOOKUP($C83,Dim_Fund!$A:$AD,30,0),""))</f>
        <v/>
      </c>
      <c r="T83" s="38" t="str">
        <f aca="false">IF($A83="","",IFERROR(VLOOKUP($C83,Dim_Fund!$A:$AL,38,0),""))</f>
        <v/>
      </c>
      <c r="U83" s="37" t="str">
        <f aca="false">IF($A83="","",IF(AL83="","",IFERROR(IF(COUNTIFS(Fact_Milestone!$A:$A,$B83,Fact_Milestone!$B:$B,AL83)=0,"",_xlfn.MAXIFS(Fact_Milestone!$C:$C,Fact_Milestone!$A:$A,$B83,Fact_Milestone!$B:$B,AL83)),"")))</f>
        <v/>
      </c>
      <c r="V83" s="37" t="str">
        <f aca="false">IF($A83="","",IFERROR(IF(VLOOKUP($C83,Dim_Fund!$A:$AI,35,0)&gt;0,$B83+VLOOKUP($C83,Dim_Fund!$A:$AI,35,0)/24,""),""))</f>
        <v/>
      </c>
      <c r="W83" s="37" t="str">
        <f aca="false">IF($A83="","",F83)</f>
        <v/>
      </c>
      <c r="X83" s="37" t="str">
        <f aca="false">IF($A83="","",IF(E83="Client",H83,G83))</f>
        <v/>
      </c>
      <c r="Y83" s="37" t="str">
        <f aca="false">IF($A83="","",I83)</f>
        <v/>
      </c>
      <c r="Z83" s="37" t="str">
        <f aca="false">IF($A83="","",IFERROR(W83-R83/1440,""))</f>
        <v/>
      </c>
      <c r="AA83" s="38" t="str">
        <f aca="false">IF($A83="","",IF(OR(U83="",V83=""),"",ROUND((V83-U83)*1440,0)))</f>
        <v/>
      </c>
      <c r="AB83" s="38" t="str">
        <f aca="false">IF($A83="","",IF(U83="","",ROUND((W83-U83)*1440,0)))</f>
        <v/>
      </c>
      <c r="AC83" s="38" t="str">
        <f aca="false">IF($A83="","",IF(AB83="","",MAX(0,AB83)))</f>
        <v/>
      </c>
      <c r="AD83" s="38" t="str">
        <f aca="false">IF($A83="","",IFERROR(ROUND((X83-W83)*1440,0),""))</f>
        <v/>
      </c>
      <c r="AE83" s="38" t="str">
        <f aca="false">IF($A83="","",IF(E83="Client","n/a",IFERROR(ROUND((H83-G83)*1440,0),"")))</f>
        <v/>
      </c>
      <c r="AF83" s="38" t="str">
        <f aca="false">IF($A83="","",IFERROR(ROUND((Y83-H83)*1440,0),""))</f>
        <v/>
      </c>
      <c r="AG83" s="38" t="str">
        <f aca="false">IF($A83="","",IFERROR(ROUND((H83-F83)*1440,0),""))</f>
        <v/>
      </c>
      <c r="AH83" s="38" t="str">
        <f aca="false">IF($A83="","",IFERROR(ROUND((Y83-V83)*1440,0),""))</f>
        <v/>
      </c>
      <c r="AI83" s="4" t="str">
        <f aca="false">IF($A83="","",IF(AH83="","",IF(AH83&gt;0,"Yes","No")))</f>
        <v/>
      </c>
      <c r="AJ83" s="4" t="str">
        <f aca="false">IF($A83="","",IF(AI83&lt;&gt;"Yes","On time",IF(N(AC83)&gt;=MAX(N(AF83),N(K83)),"Wait for analyst",IF(N(AF83)&gt;=N(K83),"External sign-off","Rework"))))</f>
        <v/>
      </c>
      <c r="AK83" s="4" t="str">
        <f aca="false">IF($A83="","",IF(OR(F83="",Y83="",ISNA(MATCH(L83,Dim_Analyst!$A:$A,0))),"CHECK","OK"))</f>
        <v/>
      </c>
      <c r="AL83" s="4" t="str">
        <f aca="false">IF($A83="","",IFERROR(VLOOKUP($C83,Dim_Fund!$A:$U,21,0),""))</f>
        <v/>
      </c>
      <c r="AM83" s="4" t="str">
        <f aca="false">IF($A83="","",IF($U83="","",IF($U83&gt;$B83+IFERROR(VLOOKUP($C83,Dim_Fund!$A:$AH,34,0),0)/24,"Yes","No")))</f>
        <v/>
      </c>
      <c r="AN83" s="22" t="str">
        <f aca="false">IF($A83="","",IFERROR(VLOOKUP($C83,Dim_Fund!$A:$AH,34,0),""))</f>
        <v/>
      </c>
      <c r="AO83" s="22" t="str">
        <f aca="false">IF($A83="","",IF($AL83="","",IFERROR(FLOOR(IF(COUNTIFS(Fact_Milestone!$A:$A,$B83,Fact_Milestone!$B:$B,$AL83,Fact_Milestone!$F:$F,"&gt;0")&gt;0,_xlfn.MINIFS(Fact_Milestone!$F:$F,Fact_Milestone!$A:$A,$B83,Fact_Milestone!$B:$B,$AL83,Fact_Milestone!$F:$F,"&gt;0"),VLOOKUP($AL83,Dim_TOP!$A:$E,5,0)),0.5),"")))</f>
        <v/>
      </c>
      <c r="AP83" s="22" t="str">
        <f aca="false">IF($A83="","",IF($U83="","",ROUND(($U83-INT($U83))*24,4)))</f>
        <v/>
      </c>
      <c r="AQ83" s="22" t="str">
        <f aca="false">IF($A83="","",IF($W83="","",ROUND(($W83-INT($W83))*24,4)))</f>
        <v/>
      </c>
      <c r="AR83" s="22" t="str">
        <f aca="false">IF($A83="","",IF($X83="","",ROUND(($X83-INT($X83))*24,4)))</f>
        <v/>
      </c>
      <c r="AS83" s="38" t="str">
        <f aca="false">IF($A83="","",IF(OR($AN83="",$V83="",$S83="",$T83=""),"",ROUND(($V83-($B83+$AN83/24))*1440-$S83-$T83,0)))</f>
        <v/>
      </c>
      <c r="AT83" s="38" t="str">
        <f aca="false">IF($A83="","",IF(OR($AN83="",$U83=""),"",ROUND(($U83-($B83+$AN83/24))*1440,0)))</f>
        <v/>
      </c>
      <c r="AU83" s="38" t="str">
        <f aca="false">IF($A83="","",IF(OR($AD83="",$S83=""),"",ROUND($AD83-$S83,0)))</f>
        <v/>
      </c>
      <c r="AV83" s="38" t="str">
        <f aca="false">IF($A83="","",N($AE83))</f>
        <v/>
      </c>
      <c r="AW83" s="38" t="str">
        <f aca="false">IF($A83="","",IF(OR($AF83="",$T83=""),"",$AF83-$T83))</f>
        <v/>
      </c>
      <c r="AX83" s="38" t="str">
        <f aca="false">IF($A83="","",IF(COUNT($AT83,$AB83,$AU83,$AW83,$AS83,$AH83)&lt;6,"",ROUND($AT83+$AB83+$AU83+$AV83+$AW83-$AS83-$AH83,0)))</f>
        <v/>
      </c>
      <c r="AY83" s="4" t="str">
        <f aca="false">IF($A83="","",IF($AX83="","No",IF(ABS($AX83)&lt;=2,"Yes","No")))</f>
        <v/>
      </c>
      <c r="AZ83" s="4" t="str">
        <f aca="false">IF($A83="","",IF($AI83&lt;&gt;"Yes","n/a",IF(OR($AA83="",$S83="",$T83=""),"Unknown",IF($AA83&lt;$S83+$T83,"Lost on arrival","Lost after arrival"))))</f>
        <v/>
      </c>
      <c r="BA83" s="10" t="str">
        <f aca="false">IF($A83="","",IFERROR(VLOOKUP($C83,Dim_Fund!$A:$D,4,0),""))</f>
        <v/>
      </c>
      <c r="BB83" s="10" t="str">
        <f aca="false">IF($A83="","",IF($AL83="","",IF(COUNTIFS(Fact_Milestone!$A:$A,$B83,Fact_Milestone!$B:$B,$AL83,Fact_Milestone!$I:$I,"No")&gt;0,"No",IF(COUNTIFS(Fact_Milestone!$A:$A,$B83,Fact_Milestone!$B:$B,$AL83,Fact_Milestone!$I:$I,"Yes")&gt;0,"Yes",""))))</f>
        <v/>
      </c>
      <c r="BC83" s="45" t="str">
        <f aca="false">IF($A83="","",IF(OR($L83="",$W83=""),"",IF(COUNTIFS($L:$L,$L83,$B:$B,$B83,$W:$W,"&lt;"&amp;$W83)=0,"",_xlfn.MAXIFS($W:$W,$L:$L,$L83,$B:$B,$B83,$W:$W,"&lt;"&amp;$W83))))</f>
        <v/>
      </c>
      <c r="BD83" s="39" t="str">
        <f aca="false">IF($A83="","",IF($AC83="","",IF(OR($L83="",$AC83=0),0,MIN($AC83,ROUND(ROUND(1440*SUMPRODUCT(($L$2:INDEX($L:$L,COUNTA($C:$C))=$L83)*($B$2:INDEX($B:$B,COUNTA($C:$C))=$B83)*(ROW($L$2:INDEX($L:$L,COUNTA($C:$C)))&lt;&gt;ROW())*((((($W83+$BT$2:INDEX($BT:$BT,COUNTA($C:$C))-ABS($W83-$BT$2:INDEX($BT:$BT,COUNTA($C:$C))))/2)-(($U83+$BS$2:INDEX($BS:$BS,COUNTA($C:$C))+ABS($U83-$BS$2:INDEX($BS:$BS,COUNTA($C:$C))))/2))+ABS(((($W83+$BT$2:INDEX($BT:$BT,COUNTA($C:$C))-ABS($W83-$BT$2:INDEX($BT:$BT,COUNTA($C:$C))))/2)-(($U83+$BS$2:INDEX($BS:$BS,COUNTA($C:$C))+ABS($U83-$BS$2:INDEX($BS:$BS,COUNTA($C:$C))))/2))))/2)),4),0)))))</f>
        <v/>
      </c>
      <c r="BE83" s="39" t="str">
        <f aca="false">IF($A83="","",IF($AC83="","",ROUND(MIN($AC83-$BD83,N($R83)),0)))</f>
        <v/>
      </c>
      <c r="BF83" s="10" t="str">
        <f aca="false">IF($A83="","",IFERROR(VLOOKUP($C83,Dim_Fund!$A:$BD,56,0),""))</f>
        <v/>
      </c>
      <c r="BG83" s="10" t="str">
        <f aca="false">IF($A83="","",IFERROR(VLOOKUP($C83,Dim_Fund!$A:$BH,60,0),""))</f>
        <v/>
      </c>
      <c r="BH83" s="10" t="str">
        <f aca="false">IF($A83="","",IF($AI83&lt;&gt;"Yes","Not breached",IF($AM83="Yes","Pricing late",IF($BG83="Thin custody slack","Thin custody slack",IF($BF83="Yes","Broker-dependent","None of these")))))</f>
        <v/>
      </c>
      <c r="BI83" s="23" t="str">
        <f aca="false">IF($A83="","",IFERROR(IF(VLOOKUP($C83,Dim_Fund!$A:$AI,35,0)&gt;0,VLOOKUP($C83,Dim_Fund!$A:$AI,35,0),""),""))</f>
        <v/>
      </c>
      <c r="BJ83" s="10" t="str">
        <f aca="false">IF($A83="","",$C83&amp;IF($E83="Client","*",""))</f>
        <v/>
      </c>
      <c r="BK83" s="39" t="str">
        <f aca="false">IF($A83="","",IFERROR(ROUND(($Y83-$X83)*1440,0),""))</f>
        <v/>
      </c>
      <c r="BL83" s="39" t="str">
        <f aca="false">IF($A83="","",IF($AH83="","",-$AH83))</f>
        <v/>
      </c>
      <c r="BM83" s="46" t="str">
        <f aca="false">IF($A83="","",IF($AQ83="","",IF($AP83="",$AQ83,MIN($AP83,$AQ83))))</f>
        <v/>
      </c>
      <c r="BN83" s="46" t="str">
        <f aca="false">IF($A83="","",IF($BM83="","",ROUND(N($AC83)/60,4)))</f>
        <v/>
      </c>
      <c r="BO83" s="46" t="str">
        <f aca="false">IF($A83="","",IF(OR($BM83="",$AD83=""),"",ROUND($AD83/60,4)))</f>
        <v/>
      </c>
      <c r="BP83" s="46" t="str">
        <f aca="false">IF($A83="","",IF($BM83="","",ROUND(N($AE83)/60,4)))</f>
        <v/>
      </c>
      <c r="BQ83" s="46" t="str">
        <f aca="false">IF($A83="","",IF(OR($BM83="",$AF83=""),"",ROUND($AF83/60,4)))</f>
        <v/>
      </c>
      <c r="BR83" s="39" t="str">
        <f aca="false">IF($A83="","",IF($AC83="","",$AC83-$BD83-$BE83))</f>
        <v/>
      </c>
      <c r="BS83" s="45" t="str">
        <f aca="false">IF($A83="","",IF(AND(ISNUMBER($Z83),ISNUMBER($W83)),$Z83,0))</f>
        <v/>
      </c>
      <c r="BT83" s="45" t="str">
        <f aca="false">IF($A83="","",IF(ISNUMBER($W83),$W83,0))</f>
        <v/>
      </c>
      <c r="BU83" s="23" t="str">
        <f aca="false">IF($A83="","",IF(ISNUMBER($W83),ROUND(($W83-$B83)*24,4),""))</f>
        <v/>
      </c>
      <c r="BV83" s="23" t="str">
        <f aca="false">IF($A83="","",IF(ISNUMBER($X83),ROUND(($X83-$B83)*24,4),""))</f>
        <v/>
      </c>
      <c r="BW83" s="10" t="str">
        <f aca="false">IF($A83="","",IF(NOT(ISNUMBER($W83)),"Missing Calculated",IF(NOT(ISNUMBER($X83)),IF($E83="Client","Missing FA signed off","Missing Controlled"),IF($X83&lt;$W83,"End before start","OK"))))</f>
        <v/>
      </c>
      <c r="BX83" s="23" t="str">
        <f aca="false">IF($A83="","",IF(NOT(ISNUMBER($Z83)),"",ROUND((IF(ISNUMBER($U83),MIN($U83,$Z83),$Z83)-$B83)*24,4)))</f>
        <v/>
      </c>
      <c r="BY83" s="23" t="str">
        <f aca="false">IF($A83="","",IF(ISNUMBER($Z83),ROUND(($Z83-$B83)*24,4),""))</f>
        <v/>
      </c>
      <c r="BZ83" s="23" t="str">
        <f aca="false">IF($A83="","",IF(AND(ISNUMBER($W83),ISNUMBER($S83)),ROUND(($W83+$S83/1440-$B83)*24,4),""))</f>
        <v/>
      </c>
    </row>
    <row r="84" customFormat="false" ht="15" hidden="false" customHeight="true" outlineLevel="0" collapsed="false">
      <c r="A84" s="47"/>
      <c r="B84" s="47"/>
      <c r="D84" s="4" t="str">
        <f aca="false">IF($A84="","",$B84-$A84)</f>
        <v/>
      </c>
      <c r="E84" s="4" t="str">
        <f aca="false">IF($A84="","",IFERROR(VLOOKUP($C84,Dim_Fund!$A:$X,24,0),""))</f>
        <v/>
      </c>
      <c r="F84" s="37" t="str">
        <f aca="false">IF($A84="","",IF(COUNTIFS(Status_Log!$A:$A,$A84,Status_Log!$B:$B,$B84,Status_Log!$C:$C,$C84,Status_Log!$D:$D,"Changed to the status of Calculated")=0,"",_xlfn.MINIFS(Status_Log!$E:$E,Status_Log!$A:$A,$A84,Status_Log!$B:$B,$B84,Status_Log!$C:$C,$C84,Status_Log!$D:$D,"Changed to the status of Calculated")))</f>
        <v/>
      </c>
      <c r="G84" s="37" t="str">
        <f aca="false">IF($A84="","",IF(COUNTIFS(Status_Log!$A:$A,$A84,Status_Log!$B:$B,$B84,Status_Log!$C:$C,$C84,Status_Log!$D:$D,"Changed to the status of Controlled")=0,"",_xlfn.MAXIFS(Status_Log!$E:$E,Status_Log!$A:$A,$A84,Status_Log!$B:$B,$B84,Status_Log!$C:$C,$C84,Status_Log!$D:$D,"Changed to the status of Controlled")))</f>
        <v/>
      </c>
      <c r="H84" s="37" t="str">
        <f aca="false">IF($A84="","",IF(COUNTIFS(Status_Log!$A:$A,$A84,Status_Log!$B:$B,$B84,Status_Log!$C:$C,$C84,Status_Log!$D:$D,"Changed to the status of Fund accounting signed off")=0,"",_xlfn.MAXIFS(Status_Log!$E:$E,Status_Log!$A:$A,$A84,Status_Log!$B:$B,$B84,Status_Log!$C:$C,$C84,Status_Log!$D:$D,"Changed to the status of Fund accounting signed off")))</f>
        <v/>
      </c>
      <c r="I84" s="37" t="str">
        <f aca="false">IF($A84="","",IF(COUNTIFS(Status_Log!$A:$A,$A84,Status_Log!$B:$B,$B84,Status_Log!$C:$C,$C84,Status_Log!$D:$D,"Changed to the status of signed off")=0,"",_xlfn.MAXIFS(Status_Log!$E:$E,Status_Log!$A:$A,$A84,Status_Log!$B:$B,$B84,Status_Log!$C:$C,$C84,Status_Log!$D:$D,"Changed to the status of signed off")))</f>
        <v/>
      </c>
      <c r="J84" s="4" t="str">
        <f aca="false">IF($A84="","",COUNTIFS(Status_Log!$A:$A,$A84,Status_Log!$B:$B,$B84,Status_Log!$C:$C,$C84,Status_Log!$D:$D,"Changed to the status of Calculated"))</f>
        <v/>
      </c>
      <c r="K84" s="38" t="str">
        <f aca="false">IF($A84="","",IF(J84&lt;=1,0,ROUND((_xlfn.MAXIFS(Status_Log!$E:$E,Status_Log!$A:$A,$A84,Status_Log!$B:$B,$B84,Status_Log!$C:$C,$C84,Status_Log!$D:$D,"Changed to the status of Calculated")-F84)*1440,0)))</f>
        <v/>
      </c>
      <c r="L84" s="4" t="str">
        <f aca="false">IF($A84="","",IFERROR(INDEX(Status_Log!$F:$F,MATCH($A84&amp;"|"&amp;$B84&amp;"|"&amp;$C84&amp;"|Changed to the status of Calculated|"&amp;TEXT(_xlfn.MAXIFS(Status_Log!$E:$E,Status_Log!$A:$A,$A84,Status_Log!$B:$B,$B84,Status_Log!$C:$C,$C84,Status_Log!$D:$D,"Changed to the status of Calculated"),"0.000000"),Status_Log!$H:$H,0)),""))</f>
        <v/>
      </c>
      <c r="M84" s="4" t="str">
        <f aca="false">IF($A84="","",IF(E84="Client","n/a — no control step",IFERROR(INDEX(Status_Log!$F:$F,MATCH($A84&amp;"|"&amp;$B84&amp;"|"&amp;$C84&amp;"|Changed to the status of Controlled|"&amp;TEXT(_xlfn.MAXIFS(Status_Log!$E:$E,Status_Log!$A:$A,$A84,Status_Log!$B:$B,$B84,Status_Log!$C:$C,$C84,Status_Log!$D:$D,"Changed to the status of Controlled"),"0.000000"),Status_Log!$H:$H,0)),"")))</f>
        <v/>
      </c>
      <c r="N84" s="4" t="str">
        <f aca="false">IF($A84="","",IFERROR(VLOOKUP($C84,Dim_Fund!$A:$G,7,0),""))</f>
        <v/>
      </c>
      <c r="O84" s="4" t="str">
        <f aca="false">IF($A84="","",IF(L84=N84,"No","Yes"))</f>
        <v/>
      </c>
      <c r="P84" s="4" t="str">
        <f aca="false">IF($A84="","",IF(E84="Client","n/a",IF(L84=M84,"YES — four-eyes breach","No")))</f>
        <v/>
      </c>
      <c r="Q84" s="38" t="str">
        <f aca="false">IF($A84="","",IFERROR(VLOOKUP($C84,Dim_Fund!$A:$AB,28,0),""))</f>
        <v/>
      </c>
      <c r="R84" s="38" t="str">
        <f aca="false">IF($A84="","",IFERROR(VLOOKUP($C84,Dim_Fund!$A:$AC,29,0),""))</f>
        <v/>
      </c>
      <c r="S84" s="38" t="str">
        <f aca="false">IF($A84="","",IFERROR(VLOOKUP($C84,Dim_Fund!$A:$AD,30,0),""))</f>
        <v/>
      </c>
      <c r="T84" s="38" t="str">
        <f aca="false">IF($A84="","",IFERROR(VLOOKUP($C84,Dim_Fund!$A:$AL,38,0),""))</f>
        <v/>
      </c>
      <c r="U84" s="37" t="str">
        <f aca="false">IF($A84="","",IF(AL84="","",IFERROR(IF(COUNTIFS(Fact_Milestone!$A:$A,$B84,Fact_Milestone!$B:$B,AL84)=0,"",_xlfn.MAXIFS(Fact_Milestone!$C:$C,Fact_Milestone!$A:$A,$B84,Fact_Milestone!$B:$B,AL84)),"")))</f>
        <v/>
      </c>
      <c r="V84" s="37" t="str">
        <f aca="false">IF($A84="","",IFERROR(IF(VLOOKUP($C84,Dim_Fund!$A:$AI,35,0)&gt;0,$B84+VLOOKUP($C84,Dim_Fund!$A:$AI,35,0)/24,""),""))</f>
        <v/>
      </c>
      <c r="W84" s="37" t="str">
        <f aca="false">IF($A84="","",F84)</f>
        <v/>
      </c>
      <c r="X84" s="37" t="str">
        <f aca="false">IF($A84="","",IF(E84="Client",H84,G84))</f>
        <v/>
      </c>
      <c r="Y84" s="37" t="str">
        <f aca="false">IF($A84="","",I84)</f>
        <v/>
      </c>
      <c r="Z84" s="37" t="str">
        <f aca="false">IF($A84="","",IFERROR(W84-R84/1440,""))</f>
        <v/>
      </c>
      <c r="AA84" s="38" t="str">
        <f aca="false">IF($A84="","",IF(OR(U84="",V84=""),"",ROUND((V84-U84)*1440,0)))</f>
        <v/>
      </c>
      <c r="AB84" s="38" t="str">
        <f aca="false">IF($A84="","",IF(U84="","",ROUND((W84-U84)*1440,0)))</f>
        <v/>
      </c>
      <c r="AC84" s="38" t="str">
        <f aca="false">IF($A84="","",IF(AB84="","",MAX(0,AB84)))</f>
        <v/>
      </c>
      <c r="AD84" s="38" t="str">
        <f aca="false">IF($A84="","",IFERROR(ROUND((X84-W84)*1440,0),""))</f>
        <v/>
      </c>
      <c r="AE84" s="38" t="str">
        <f aca="false">IF($A84="","",IF(E84="Client","n/a",IFERROR(ROUND((H84-G84)*1440,0),"")))</f>
        <v/>
      </c>
      <c r="AF84" s="38" t="str">
        <f aca="false">IF($A84="","",IFERROR(ROUND((Y84-H84)*1440,0),""))</f>
        <v/>
      </c>
      <c r="AG84" s="38" t="str">
        <f aca="false">IF($A84="","",IFERROR(ROUND((H84-F84)*1440,0),""))</f>
        <v/>
      </c>
      <c r="AH84" s="38" t="str">
        <f aca="false">IF($A84="","",IFERROR(ROUND((Y84-V84)*1440,0),""))</f>
        <v/>
      </c>
      <c r="AI84" s="4" t="str">
        <f aca="false">IF($A84="","",IF(AH84="","",IF(AH84&gt;0,"Yes","No")))</f>
        <v/>
      </c>
      <c r="AJ84" s="4" t="str">
        <f aca="false">IF($A84="","",IF(AI84&lt;&gt;"Yes","On time",IF(N(AC84)&gt;=MAX(N(AF84),N(K84)),"Wait for analyst",IF(N(AF84)&gt;=N(K84),"External sign-off","Rework"))))</f>
        <v/>
      </c>
      <c r="AK84" s="4" t="str">
        <f aca="false">IF($A84="","",IF(OR(F84="",Y84="",ISNA(MATCH(L84,Dim_Analyst!$A:$A,0))),"CHECK","OK"))</f>
        <v/>
      </c>
      <c r="AL84" s="4" t="str">
        <f aca="false">IF($A84="","",IFERROR(VLOOKUP($C84,Dim_Fund!$A:$U,21,0),""))</f>
        <v/>
      </c>
      <c r="AM84" s="4" t="str">
        <f aca="false">IF($A84="","",IF($U84="","",IF($U84&gt;$B84+IFERROR(VLOOKUP($C84,Dim_Fund!$A:$AH,34,0),0)/24,"Yes","No")))</f>
        <v/>
      </c>
      <c r="AN84" s="22" t="str">
        <f aca="false">IF($A84="","",IFERROR(VLOOKUP($C84,Dim_Fund!$A:$AH,34,0),""))</f>
        <v/>
      </c>
      <c r="AO84" s="22" t="str">
        <f aca="false">IF($A84="","",IF($AL84="","",IFERROR(FLOOR(IF(COUNTIFS(Fact_Milestone!$A:$A,$B84,Fact_Milestone!$B:$B,$AL84,Fact_Milestone!$F:$F,"&gt;0")&gt;0,_xlfn.MINIFS(Fact_Milestone!$F:$F,Fact_Milestone!$A:$A,$B84,Fact_Milestone!$B:$B,$AL84,Fact_Milestone!$F:$F,"&gt;0"),VLOOKUP($AL84,Dim_TOP!$A:$E,5,0)),0.5),"")))</f>
        <v/>
      </c>
      <c r="AP84" s="22" t="str">
        <f aca="false">IF($A84="","",IF($U84="","",ROUND(($U84-INT($U84))*24,4)))</f>
        <v/>
      </c>
      <c r="AQ84" s="22" t="str">
        <f aca="false">IF($A84="","",IF($W84="","",ROUND(($W84-INT($W84))*24,4)))</f>
        <v/>
      </c>
      <c r="AR84" s="22" t="str">
        <f aca="false">IF($A84="","",IF($X84="","",ROUND(($X84-INT($X84))*24,4)))</f>
        <v/>
      </c>
      <c r="AS84" s="38" t="str">
        <f aca="false">IF($A84="","",IF(OR($AN84="",$V84="",$S84="",$T84=""),"",ROUND(($V84-($B84+$AN84/24))*1440-$S84-$T84,0)))</f>
        <v/>
      </c>
      <c r="AT84" s="38" t="str">
        <f aca="false">IF($A84="","",IF(OR($AN84="",$U84=""),"",ROUND(($U84-($B84+$AN84/24))*1440,0)))</f>
        <v/>
      </c>
      <c r="AU84" s="38" t="str">
        <f aca="false">IF($A84="","",IF(OR($AD84="",$S84=""),"",ROUND($AD84-$S84,0)))</f>
        <v/>
      </c>
      <c r="AV84" s="38" t="str">
        <f aca="false">IF($A84="","",N($AE84))</f>
        <v/>
      </c>
      <c r="AW84" s="38" t="str">
        <f aca="false">IF($A84="","",IF(OR($AF84="",$T84=""),"",$AF84-$T84))</f>
        <v/>
      </c>
      <c r="AX84" s="38" t="str">
        <f aca="false">IF($A84="","",IF(COUNT($AT84,$AB84,$AU84,$AW84,$AS84,$AH84)&lt;6,"",ROUND($AT84+$AB84+$AU84+$AV84+$AW84-$AS84-$AH84,0)))</f>
        <v/>
      </c>
      <c r="AY84" s="4" t="str">
        <f aca="false">IF($A84="","",IF($AX84="","No",IF(ABS($AX84)&lt;=2,"Yes","No")))</f>
        <v/>
      </c>
      <c r="AZ84" s="4" t="str">
        <f aca="false">IF($A84="","",IF($AI84&lt;&gt;"Yes","n/a",IF(OR($AA84="",$S84="",$T84=""),"Unknown",IF($AA84&lt;$S84+$T84,"Lost on arrival","Lost after arrival"))))</f>
        <v/>
      </c>
      <c r="BA84" s="10" t="str">
        <f aca="false">IF($A84="","",IFERROR(VLOOKUP($C84,Dim_Fund!$A:$D,4,0),""))</f>
        <v/>
      </c>
      <c r="BB84" s="10" t="str">
        <f aca="false">IF($A84="","",IF($AL84="","",IF(COUNTIFS(Fact_Milestone!$A:$A,$B84,Fact_Milestone!$B:$B,$AL84,Fact_Milestone!$I:$I,"No")&gt;0,"No",IF(COUNTIFS(Fact_Milestone!$A:$A,$B84,Fact_Milestone!$B:$B,$AL84,Fact_Milestone!$I:$I,"Yes")&gt;0,"Yes",""))))</f>
        <v/>
      </c>
      <c r="BC84" s="45" t="str">
        <f aca="false">IF($A84="","",IF(OR($L84="",$W84=""),"",IF(COUNTIFS($L:$L,$L84,$B:$B,$B84,$W:$W,"&lt;"&amp;$W84)=0,"",_xlfn.MAXIFS($W:$W,$L:$L,$L84,$B:$B,$B84,$W:$W,"&lt;"&amp;$W84))))</f>
        <v/>
      </c>
      <c r="BD84" s="39" t="str">
        <f aca="false">IF($A84="","",IF($AC84="","",IF(OR($L84="",$AC84=0),0,MIN($AC84,ROUND(ROUND(1440*SUMPRODUCT(($L$2:INDEX($L:$L,COUNTA($C:$C))=$L84)*($B$2:INDEX($B:$B,COUNTA($C:$C))=$B84)*(ROW($L$2:INDEX($L:$L,COUNTA($C:$C)))&lt;&gt;ROW())*((((($W84+$BT$2:INDEX($BT:$BT,COUNTA($C:$C))-ABS($W84-$BT$2:INDEX($BT:$BT,COUNTA($C:$C))))/2)-(($U84+$BS$2:INDEX($BS:$BS,COUNTA($C:$C))+ABS($U84-$BS$2:INDEX($BS:$BS,COUNTA($C:$C))))/2))+ABS(((($W84+$BT$2:INDEX($BT:$BT,COUNTA($C:$C))-ABS($W84-$BT$2:INDEX($BT:$BT,COUNTA($C:$C))))/2)-(($U84+$BS$2:INDEX($BS:$BS,COUNTA($C:$C))+ABS($U84-$BS$2:INDEX($BS:$BS,COUNTA($C:$C))))/2))))/2)),4),0)))))</f>
        <v/>
      </c>
      <c r="BE84" s="39" t="str">
        <f aca="false">IF($A84="","",IF($AC84="","",ROUND(MIN($AC84-$BD84,N($R84)),0)))</f>
        <v/>
      </c>
      <c r="BF84" s="10" t="str">
        <f aca="false">IF($A84="","",IFERROR(VLOOKUP($C84,Dim_Fund!$A:$BD,56,0),""))</f>
        <v/>
      </c>
      <c r="BG84" s="10" t="str">
        <f aca="false">IF($A84="","",IFERROR(VLOOKUP($C84,Dim_Fund!$A:$BH,60,0),""))</f>
        <v/>
      </c>
      <c r="BH84" s="10" t="str">
        <f aca="false">IF($A84="","",IF($AI84&lt;&gt;"Yes","Not breached",IF($AM84="Yes","Pricing late",IF($BG84="Thin custody slack","Thin custody slack",IF($BF84="Yes","Broker-dependent","None of these")))))</f>
        <v/>
      </c>
      <c r="BI84" s="23" t="str">
        <f aca="false">IF($A84="","",IFERROR(IF(VLOOKUP($C84,Dim_Fund!$A:$AI,35,0)&gt;0,VLOOKUP($C84,Dim_Fund!$A:$AI,35,0),""),""))</f>
        <v/>
      </c>
      <c r="BJ84" s="10" t="str">
        <f aca="false">IF($A84="","",$C84&amp;IF($E84="Client","*",""))</f>
        <v/>
      </c>
      <c r="BK84" s="39" t="str">
        <f aca="false">IF($A84="","",IFERROR(ROUND(($Y84-$X84)*1440,0),""))</f>
        <v/>
      </c>
      <c r="BL84" s="39" t="str">
        <f aca="false">IF($A84="","",IF($AH84="","",-$AH84))</f>
        <v/>
      </c>
      <c r="BM84" s="46" t="str">
        <f aca="false">IF($A84="","",IF($AQ84="","",IF($AP84="",$AQ84,MIN($AP84,$AQ84))))</f>
        <v/>
      </c>
      <c r="BN84" s="46" t="str">
        <f aca="false">IF($A84="","",IF($BM84="","",ROUND(N($AC84)/60,4)))</f>
        <v/>
      </c>
      <c r="BO84" s="46" t="str">
        <f aca="false">IF($A84="","",IF(OR($BM84="",$AD84=""),"",ROUND($AD84/60,4)))</f>
        <v/>
      </c>
      <c r="BP84" s="46" t="str">
        <f aca="false">IF($A84="","",IF($BM84="","",ROUND(N($AE84)/60,4)))</f>
        <v/>
      </c>
      <c r="BQ84" s="46" t="str">
        <f aca="false">IF($A84="","",IF(OR($BM84="",$AF84=""),"",ROUND($AF84/60,4)))</f>
        <v/>
      </c>
      <c r="BR84" s="39" t="str">
        <f aca="false">IF($A84="","",IF($AC84="","",$AC84-$BD84-$BE84))</f>
        <v/>
      </c>
      <c r="BS84" s="45" t="str">
        <f aca="false">IF($A84="","",IF(AND(ISNUMBER($Z84),ISNUMBER($W84)),$Z84,0))</f>
        <v/>
      </c>
      <c r="BT84" s="45" t="str">
        <f aca="false">IF($A84="","",IF(ISNUMBER($W84),$W84,0))</f>
        <v/>
      </c>
      <c r="BU84" s="23" t="str">
        <f aca="false">IF($A84="","",IF(ISNUMBER($W84),ROUND(($W84-$B84)*24,4),""))</f>
        <v/>
      </c>
      <c r="BV84" s="23" t="str">
        <f aca="false">IF($A84="","",IF(ISNUMBER($X84),ROUND(($X84-$B84)*24,4),""))</f>
        <v/>
      </c>
      <c r="BW84" s="10" t="str">
        <f aca="false">IF($A84="","",IF(NOT(ISNUMBER($W84)),"Missing Calculated",IF(NOT(ISNUMBER($X84)),IF($E84="Client","Missing FA signed off","Missing Controlled"),IF($X84&lt;$W84,"End before start","OK"))))</f>
        <v/>
      </c>
      <c r="BX84" s="23" t="str">
        <f aca="false">IF($A84="","",IF(NOT(ISNUMBER($Z84)),"",ROUND((IF(ISNUMBER($U84),MIN($U84,$Z84),$Z84)-$B84)*24,4)))</f>
        <v/>
      </c>
      <c r="BY84" s="23" t="str">
        <f aca="false">IF($A84="","",IF(ISNUMBER($Z84),ROUND(($Z84-$B84)*24,4),""))</f>
        <v/>
      </c>
      <c r="BZ84" s="23" t="str">
        <f aca="false">IF($A84="","",IF(AND(ISNUMBER($W84),ISNUMBER($S84)),ROUND(($W84+$S84/1440-$B84)*24,4),""))</f>
        <v/>
      </c>
    </row>
    <row r="85" customFormat="false" ht="15" hidden="false" customHeight="true" outlineLevel="0" collapsed="false">
      <c r="A85" s="47"/>
      <c r="B85" s="47"/>
      <c r="D85" s="4" t="str">
        <f aca="false">IF($A85="","",$B85-$A85)</f>
        <v/>
      </c>
      <c r="E85" s="4" t="str">
        <f aca="false">IF($A85="","",IFERROR(VLOOKUP($C85,Dim_Fund!$A:$X,24,0),""))</f>
        <v/>
      </c>
      <c r="F85" s="37" t="str">
        <f aca="false">IF($A85="","",IF(COUNTIFS(Status_Log!$A:$A,$A85,Status_Log!$B:$B,$B85,Status_Log!$C:$C,$C85,Status_Log!$D:$D,"Changed to the status of Calculated")=0,"",_xlfn.MINIFS(Status_Log!$E:$E,Status_Log!$A:$A,$A85,Status_Log!$B:$B,$B85,Status_Log!$C:$C,$C85,Status_Log!$D:$D,"Changed to the status of Calculated")))</f>
        <v/>
      </c>
      <c r="G85" s="37" t="str">
        <f aca="false">IF($A85="","",IF(COUNTIFS(Status_Log!$A:$A,$A85,Status_Log!$B:$B,$B85,Status_Log!$C:$C,$C85,Status_Log!$D:$D,"Changed to the status of Controlled")=0,"",_xlfn.MAXIFS(Status_Log!$E:$E,Status_Log!$A:$A,$A85,Status_Log!$B:$B,$B85,Status_Log!$C:$C,$C85,Status_Log!$D:$D,"Changed to the status of Controlled")))</f>
        <v/>
      </c>
      <c r="H85" s="37" t="str">
        <f aca="false">IF($A85="","",IF(COUNTIFS(Status_Log!$A:$A,$A85,Status_Log!$B:$B,$B85,Status_Log!$C:$C,$C85,Status_Log!$D:$D,"Changed to the status of Fund accounting signed off")=0,"",_xlfn.MAXIFS(Status_Log!$E:$E,Status_Log!$A:$A,$A85,Status_Log!$B:$B,$B85,Status_Log!$C:$C,$C85,Status_Log!$D:$D,"Changed to the status of Fund accounting signed off")))</f>
        <v/>
      </c>
      <c r="I85" s="37" t="str">
        <f aca="false">IF($A85="","",IF(COUNTIFS(Status_Log!$A:$A,$A85,Status_Log!$B:$B,$B85,Status_Log!$C:$C,$C85,Status_Log!$D:$D,"Changed to the status of signed off")=0,"",_xlfn.MAXIFS(Status_Log!$E:$E,Status_Log!$A:$A,$A85,Status_Log!$B:$B,$B85,Status_Log!$C:$C,$C85,Status_Log!$D:$D,"Changed to the status of signed off")))</f>
        <v/>
      </c>
      <c r="J85" s="4" t="str">
        <f aca="false">IF($A85="","",COUNTIFS(Status_Log!$A:$A,$A85,Status_Log!$B:$B,$B85,Status_Log!$C:$C,$C85,Status_Log!$D:$D,"Changed to the status of Calculated"))</f>
        <v/>
      </c>
      <c r="K85" s="38" t="str">
        <f aca="false">IF($A85="","",IF(J85&lt;=1,0,ROUND((_xlfn.MAXIFS(Status_Log!$E:$E,Status_Log!$A:$A,$A85,Status_Log!$B:$B,$B85,Status_Log!$C:$C,$C85,Status_Log!$D:$D,"Changed to the status of Calculated")-F85)*1440,0)))</f>
        <v/>
      </c>
      <c r="L85" s="4" t="str">
        <f aca="false">IF($A85="","",IFERROR(INDEX(Status_Log!$F:$F,MATCH($A85&amp;"|"&amp;$B85&amp;"|"&amp;$C85&amp;"|Changed to the status of Calculated|"&amp;TEXT(_xlfn.MAXIFS(Status_Log!$E:$E,Status_Log!$A:$A,$A85,Status_Log!$B:$B,$B85,Status_Log!$C:$C,$C85,Status_Log!$D:$D,"Changed to the status of Calculated"),"0.000000"),Status_Log!$H:$H,0)),""))</f>
        <v/>
      </c>
      <c r="M85" s="4" t="str">
        <f aca="false">IF($A85="","",IF(E85="Client","n/a — no control step",IFERROR(INDEX(Status_Log!$F:$F,MATCH($A85&amp;"|"&amp;$B85&amp;"|"&amp;$C85&amp;"|Changed to the status of Controlled|"&amp;TEXT(_xlfn.MAXIFS(Status_Log!$E:$E,Status_Log!$A:$A,$A85,Status_Log!$B:$B,$B85,Status_Log!$C:$C,$C85,Status_Log!$D:$D,"Changed to the status of Controlled"),"0.000000"),Status_Log!$H:$H,0)),"")))</f>
        <v/>
      </c>
      <c r="N85" s="4" t="str">
        <f aca="false">IF($A85="","",IFERROR(VLOOKUP($C85,Dim_Fund!$A:$G,7,0),""))</f>
        <v/>
      </c>
      <c r="O85" s="4" t="str">
        <f aca="false">IF($A85="","",IF(L85=N85,"No","Yes"))</f>
        <v/>
      </c>
      <c r="P85" s="4" t="str">
        <f aca="false">IF($A85="","",IF(E85="Client","n/a",IF(L85=M85,"YES — four-eyes breach","No")))</f>
        <v/>
      </c>
      <c r="Q85" s="38" t="str">
        <f aca="false">IF($A85="","",IFERROR(VLOOKUP($C85,Dim_Fund!$A:$AB,28,0),""))</f>
        <v/>
      </c>
      <c r="R85" s="38" t="str">
        <f aca="false">IF($A85="","",IFERROR(VLOOKUP($C85,Dim_Fund!$A:$AC,29,0),""))</f>
        <v/>
      </c>
      <c r="S85" s="38" t="str">
        <f aca="false">IF($A85="","",IFERROR(VLOOKUP($C85,Dim_Fund!$A:$AD,30,0),""))</f>
        <v/>
      </c>
      <c r="T85" s="38" t="str">
        <f aca="false">IF($A85="","",IFERROR(VLOOKUP($C85,Dim_Fund!$A:$AL,38,0),""))</f>
        <v/>
      </c>
      <c r="U85" s="37" t="str">
        <f aca="false">IF($A85="","",IF(AL85="","",IFERROR(IF(COUNTIFS(Fact_Milestone!$A:$A,$B85,Fact_Milestone!$B:$B,AL85)=0,"",_xlfn.MAXIFS(Fact_Milestone!$C:$C,Fact_Milestone!$A:$A,$B85,Fact_Milestone!$B:$B,AL85)),"")))</f>
        <v/>
      </c>
      <c r="V85" s="37" t="str">
        <f aca="false">IF($A85="","",IFERROR(IF(VLOOKUP($C85,Dim_Fund!$A:$AI,35,0)&gt;0,$B85+VLOOKUP($C85,Dim_Fund!$A:$AI,35,0)/24,""),""))</f>
        <v/>
      </c>
      <c r="W85" s="37" t="str">
        <f aca="false">IF($A85="","",F85)</f>
        <v/>
      </c>
      <c r="X85" s="37" t="str">
        <f aca="false">IF($A85="","",IF(E85="Client",H85,G85))</f>
        <v/>
      </c>
      <c r="Y85" s="37" t="str">
        <f aca="false">IF($A85="","",I85)</f>
        <v/>
      </c>
      <c r="Z85" s="37" t="str">
        <f aca="false">IF($A85="","",IFERROR(W85-R85/1440,""))</f>
        <v/>
      </c>
      <c r="AA85" s="38" t="str">
        <f aca="false">IF($A85="","",IF(OR(U85="",V85=""),"",ROUND((V85-U85)*1440,0)))</f>
        <v/>
      </c>
      <c r="AB85" s="38" t="str">
        <f aca="false">IF($A85="","",IF(U85="","",ROUND((W85-U85)*1440,0)))</f>
        <v/>
      </c>
      <c r="AC85" s="38" t="str">
        <f aca="false">IF($A85="","",IF(AB85="","",MAX(0,AB85)))</f>
        <v/>
      </c>
      <c r="AD85" s="38" t="str">
        <f aca="false">IF($A85="","",IFERROR(ROUND((X85-W85)*1440,0),""))</f>
        <v/>
      </c>
      <c r="AE85" s="38" t="str">
        <f aca="false">IF($A85="","",IF(E85="Client","n/a",IFERROR(ROUND((H85-G85)*1440,0),"")))</f>
        <v/>
      </c>
      <c r="AF85" s="38" t="str">
        <f aca="false">IF($A85="","",IFERROR(ROUND((Y85-H85)*1440,0),""))</f>
        <v/>
      </c>
      <c r="AG85" s="38" t="str">
        <f aca="false">IF($A85="","",IFERROR(ROUND((H85-F85)*1440,0),""))</f>
        <v/>
      </c>
      <c r="AH85" s="38" t="str">
        <f aca="false">IF($A85="","",IFERROR(ROUND((Y85-V85)*1440,0),""))</f>
        <v/>
      </c>
      <c r="AI85" s="4" t="str">
        <f aca="false">IF($A85="","",IF(AH85="","",IF(AH85&gt;0,"Yes","No")))</f>
        <v/>
      </c>
      <c r="AJ85" s="4" t="str">
        <f aca="false">IF($A85="","",IF(AI85&lt;&gt;"Yes","On time",IF(N(AC85)&gt;=MAX(N(AF85),N(K85)),"Wait for analyst",IF(N(AF85)&gt;=N(K85),"External sign-off","Rework"))))</f>
        <v/>
      </c>
      <c r="AK85" s="4" t="str">
        <f aca="false">IF($A85="","",IF(OR(F85="",Y85="",ISNA(MATCH(L85,Dim_Analyst!$A:$A,0))),"CHECK","OK"))</f>
        <v/>
      </c>
      <c r="AL85" s="4" t="str">
        <f aca="false">IF($A85="","",IFERROR(VLOOKUP($C85,Dim_Fund!$A:$U,21,0),""))</f>
        <v/>
      </c>
      <c r="AM85" s="4" t="str">
        <f aca="false">IF($A85="","",IF($U85="","",IF($U85&gt;$B85+IFERROR(VLOOKUP($C85,Dim_Fund!$A:$AH,34,0),0)/24,"Yes","No")))</f>
        <v/>
      </c>
      <c r="AN85" s="22" t="str">
        <f aca="false">IF($A85="","",IFERROR(VLOOKUP($C85,Dim_Fund!$A:$AH,34,0),""))</f>
        <v/>
      </c>
      <c r="AO85" s="22" t="str">
        <f aca="false">IF($A85="","",IF($AL85="","",IFERROR(FLOOR(IF(COUNTIFS(Fact_Milestone!$A:$A,$B85,Fact_Milestone!$B:$B,$AL85,Fact_Milestone!$F:$F,"&gt;0")&gt;0,_xlfn.MINIFS(Fact_Milestone!$F:$F,Fact_Milestone!$A:$A,$B85,Fact_Milestone!$B:$B,$AL85,Fact_Milestone!$F:$F,"&gt;0"),VLOOKUP($AL85,Dim_TOP!$A:$E,5,0)),0.5),"")))</f>
        <v/>
      </c>
      <c r="AP85" s="22" t="str">
        <f aca="false">IF($A85="","",IF($U85="","",ROUND(($U85-INT($U85))*24,4)))</f>
        <v/>
      </c>
      <c r="AQ85" s="22" t="str">
        <f aca="false">IF($A85="","",IF($W85="","",ROUND(($W85-INT($W85))*24,4)))</f>
        <v/>
      </c>
      <c r="AR85" s="22" t="str">
        <f aca="false">IF($A85="","",IF($X85="","",ROUND(($X85-INT($X85))*24,4)))</f>
        <v/>
      </c>
      <c r="AS85" s="38" t="str">
        <f aca="false">IF($A85="","",IF(OR($AN85="",$V85="",$S85="",$T85=""),"",ROUND(($V85-($B85+$AN85/24))*1440-$S85-$T85,0)))</f>
        <v/>
      </c>
      <c r="AT85" s="38" t="str">
        <f aca="false">IF($A85="","",IF(OR($AN85="",$U85=""),"",ROUND(($U85-($B85+$AN85/24))*1440,0)))</f>
        <v/>
      </c>
      <c r="AU85" s="38" t="str">
        <f aca="false">IF($A85="","",IF(OR($AD85="",$S85=""),"",ROUND($AD85-$S85,0)))</f>
        <v/>
      </c>
      <c r="AV85" s="38" t="str">
        <f aca="false">IF($A85="","",N($AE85))</f>
        <v/>
      </c>
      <c r="AW85" s="38" t="str">
        <f aca="false">IF($A85="","",IF(OR($AF85="",$T85=""),"",$AF85-$T85))</f>
        <v/>
      </c>
      <c r="AX85" s="38" t="str">
        <f aca="false">IF($A85="","",IF(COUNT($AT85,$AB85,$AU85,$AW85,$AS85,$AH85)&lt;6,"",ROUND($AT85+$AB85+$AU85+$AV85+$AW85-$AS85-$AH85,0)))</f>
        <v/>
      </c>
      <c r="AY85" s="4" t="str">
        <f aca="false">IF($A85="","",IF($AX85="","No",IF(ABS($AX85)&lt;=2,"Yes","No")))</f>
        <v/>
      </c>
      <c r="AZ85" s="4" t="str">
        <f aca="false">IF($A85="","",IF($AI85&lt;&gt;"Yes","n/a",IF(OR($AA85="",$S85="",$T85=""),"Unknown",IF($AA85&lt;$S85+$T85,"Lost on arrival","Lost after arrival"))))</f>
        <v/>
      </c>
      <c r="BA85" s="10" t="str">
        <f aca="false">IF($A85="","",IFERROR(VLOOKUP($C85,Dim_Fund!$A:$D,4,0),""))</f>
        <v/>
      </c>
      <c r="BB85" s="10" t="str">
        <f aca="false">IF($A85="","",IF($AL85="","",IF(COUNTIFS(Fact_Milestone!$A:$A,$B85,Fact_Milestone!$B:$B,$AL85,Fact_Milestone!$I:$I,"No")&gt;0,"No",IF(COUNTIFS(Fact_Milestone!$A:$A,$B85,Fact_Milestone!$B:$B,$AL85,Fact_Milestone!$I:$I,"Yes")&gt;0,"Yes",""))))</f>
        <v/>
      </c>
      <c r="BC85" s="45" t="str">
        <f aca="false">IF($A85="","",IF(OR($L85="",$W85=""),"",IF(COUNTIFS($L:$L,$L85,$B:$B,$B85,$W:$W,"&lt;"&amp;$W85)=0,"",_xlfn.MAXIFS($W:$W,$L:$L,$L85,$B:$B,$B85,$W:$W,"&lt;"&amp;$W85))))</f>
        <v/>
      </c>
      <c r="BD85" s="39" t="str">
        <f aca="false">IF($A85="","",IF($AC85="","",IF(OR($L85="",$AC85=0),0,MIN($AC85,ROUND(ROUND(1440*SUMPRODUCT(($L$2:INDEX($L:$L,COUNTA($C:$C))=$L85)*($B$2:INDEX($B:$B,COUNTA($C:$C))=$B85)*(ROW($L$2:INDEX($L:$L,COUNTA($C:$C)))&lt;&gt;ROW())*((((($W85+$BT$2:INDEX($BT:$BT,COUNTA($C:$C))-ABS($W85-$BT$2:INDEX($BT:$BT,COUNTA($C:$C))))/2)-(($U85+$BS$2:INDEX($BS:$BS,COUNTA($C:$C))+ABS($U85-$BS$2:INDEX($BS:$BS,COUNTA($C:$C))))/2))+ABS(((($W85+$BT$2:INDEX($BT:$BT,COUNTA($C:$C))-ABS($W85-$BT$2:INDEX($BT:$BT,COUNTA($C:$C))))/2)-(($U85+$BS$2:INDEX($BS:$BS,COUNTA($C:$C))+ABS($U85-$BS$2:INDEX($BS:$BS,COUNTA($C:$C))))/2))))/2)),4),0)))))</f>
        <v/>
      </c>
      <c r="BE85" s="39" t="str">
        <f aca="false">IF($A85="","",IF($AC85="","",ROUND(MIN($AC85-$BD85,N($R85)),0)))</f>
        <v/>
      </c>
      <c r="BF85" s="10" t="str">
        <f aca="false">IF($A85="","",IFERROR(VLOOKUP($C85,Dim_Fund!$A:$BD,56,0),""))</f>
        <v/>
      </c>
      <c r="BG85" s="10" t="str">
        <f aca="false">IF($A85="","",IFERROR(VLOOKUP($C85,Dim_Fund!$A:$BH,60,0),""))</f>
        <v/>
      </c>
      <c r="BH85" s="10" t="str">
        <f aca="false">IF($A85="","",IF($AI85&lt;&gt;"Yes","Not breached",IF($AM85="Yes","Pricing late",IF($BG85="Thin custody slack","Thin custody slack",IF($BF85="Yes","Broker-dependent","None of these")))))</f>
        <v/>
      </c>
      <c r="BI85" s="23" t="str">
        <f aca="false">IF($A85="","",IFERROR(IF(VLOOKUP($C85,Dim_Fund!$A:$AI,35,0)&gt;0,VLOOKUP($C85,Dim_Fund!$A:$AI,35,0),""),""))</f>
        <v/>
      </c>
      <c r="BJ85" s="10" t="str">
        <f aca="false">IF($A85="","",$C85&amp;IF($E85="Client","*",""))</f>
        <v/>
      </c>
      <c r="BK85" s="39" t="str">
        <f aca="false">IF($A85="","",IFERROR(ROUND(($Y85-$X85)*1440,0),""))</f>
        <v/>
      </c>
      <c r="BL85" s="39" t="str">
        <f aca="false">IF($A85="","",IF($AH85="","",-$AH85))</f>
        <v/>
      </c>
      <c r="BM85" s="46" t="str">
        <f aca="false">IF($A85="","",IF($AQ85="","",IF($AP85="",$AQ85,MIN($AP85,$AQ85))))</f>
        <v/>
      </c>
      <c r="BN85" s="46" t="str">
        <f aca="false">IF($A85="","",IF($BM85="","",ROUND(N($AC85)/60,4)))</f>
        <v/>
      </c>
      <c r="BO85" s="46" t="str">
        <f aca="false">IF($A85="","",IF(OR($BM85="",$AD85=""),"",ROUND($AD85/60,4)))</f>
        <v/>
      </c>
      <c r="BP85" s="46" t="str">
        <f aca="false">IF($A85="","",IF($BM85="","",ROUND(N($AE85)/60,4)))</f>
        <v/>
      </c>
      <c r="BQ85" s="46" t="str">
        <f aca="false">IF($A85="","",IF(OR($BM85="",$AF85=""),"",ROUND($AF85/60,4)))</f>
        <v/>
      </c>
      <c r="BR85" s="39" t="str">
        <f aca="false">IF($A85="","",IF($AC85="","",$AC85-$BD85-$BE85))</f>
        <v/>
      </c>
      <c r="BS85" s="45" t="str">
        <f aca="false">IF($A85="","",IF(AND(ISNUMBER($Z85),ISNUMBER($W85)),$Z85,0))</f>
        <v/>
      </c>
      <c r="BT85" s="45" t="str">
        <f aca="false">IF($A85="","",IF(ISNUMBER($W85),$W85,0))</f>
        <v/>
      </c>
      <c r="BU85" s="23" t="str">
        <f aca="false">IF($A85="","",IF(ISNUMBER($W85),ROUND(($W85-$B85)*24,4),""))</f>
        <v/>
      </c>
      <c r="BV85" s="23" t="str">
        <f aca="false">IF($A85="","",IF(ISNUMBER($X85),ROUND(($X85-$B85)*24,4),""))</f>
        <v/>
      </c>
      <c r="BW85" s="10" t="str">
        <f aca="false">IF($A85="","",IF(NOT(ISNUMBER($W85)),"Missing Calculated",IF(NOT(ISNUMBER($X85)),IF($E85="Client","Missing FA signed off","Missing Controlled"),IF($X85&lt;$W85,"End before start","OK"))))</f>
        <v/>
      </c>
      <c r="BX85" s="23" t="str">
        <f aca="false">IF($A85="","",IF(NOT(ISNUMBER($Z85)),"",ROUND((IF(ISNUMBER($U85),MIN($U85,$Z85),$Z85)-$B85)*24,4)))</f>
        <v/>
      </c>
      <c r="BY85" s="23" t="str">
        <f aca="false">IF($A85="","",IF(ISNUMBER($Z85),ROUND(($Z85-$B85)*24,4),""))</f>
        <v/>
      </c>
      <c r="BZ85" s="23" t="str">
        <f aca="false">IF($A85="","",IF(AND(ISNUMBER($W85),ISNUMBER($S85)),ROUND(($W85+$S85/1440-$B85)*24,4),""))</f>
        <v/>
      </c>
    </row>
    <row r="86" customFormat="false" ht="15" hidden="false" customHeight="true" outlineLevel="0" collapsed="false">
      <c r="A86" s="47"/>
      <c r="B86" s="47"/>
      <c r="D86" s="4" t="str">
        <f aca="false">IF($A86="","",$B86-$A86)</f>
        <v/>
      </c>
      <c r="E86" s="4" t="str">
        <f aca="false">IF($A86="","",IFERROR(VLOOKUP($C86,Dim_Fund!$A:$X,24,0),""))</f>
        <v/>
      </c>
      <c r="F86" s="37" t="str">
        <f aca="false">IF($A86="","",IF(COUNTIFS(Status_Log!$A:$A,$A86,Status_Log!$B:$B,$B86,Status_Log!$C:$C,$C86,Status_Log!$D:$D,"Changed to the status of Calculated")=0,"",_xlfn.MINIFS(Status_Log!$E:$E,Status_Log!$A:$A,$A86,Status_Log!$B:$B,$B86,Status_Log!$C:$C,$C86,Status_Log!$D:$D,"Changed to the status of Calculated")))</f>
        <v/>
      </c>
      <c r="G86" s="37" t="str">
        <f aca="false">IF($A86="","",IF(COUNTIFS(Status_Log!$A:$A,$A86,Status_Log!$B:$B,$B86,Status_Log!$C:$C,$C86,Status_Log!$D:$D,"Changed to the status of Controlled")=0,"",_xlfn.MAXIFS(Status_Log!$E:$E,Status_Log!$A:$A,$A86,Status_Log!$B:$B,$B86,Status_Log!$C:$C,$C86,Status_Log!$D:$D,"Changed to the status of Controlled")))</f>
        <v/>
      </c>
      <c r="H86" s="37" t="str">
        <f aca="false">IF($A86="","",IF(COUNTIFS(Status_Log!$A:$A,$A86,Status_Log!$B:$B,$B86,Status_Log!$C:$C,$C86,Status_Log!$D:$D,"Changed to the status of Fund accounting signed off")=0,"",_xlfn.MAXIFS(Status_Log!$E:$E,Status_Log!$A:$A,$A86,Status_Log!$B:$B,$B86,Status_Log!$C:$C,$C86,Status_Log!$D:$D,"Changed to the status of Fund accounting signed off")))</f>
        <v/>
      </c>
      <c r="I86" s="37" t="str">
        <f aca="false">IF($A86="","",IF(COUNTIFS(Status_Log!$A:$A,$A86,Status_Log!$B:$B,$B86,Status_Log!$C:$C,$C86,Status_Log!$D:$D,"Changed to the status of signed off")=0,"",_xlfn.MAXIFS(Status_Log!$E:$E,Status_Log!$A:$A,$A86,Status_Log!$B:$B,$B86,Status_Log!$C:$C,$C86,Status_Log!$D:$D,"Changed to the status of signed off")))</f>
        <v/>
      </c>
      <c r="J86" s="4" t="str">
        <f aca="false">IF($A86="","",COUNTIFS(Status_Log!$A:$A,$A86,Status_Log!$B:$B,$B86,Status_Log!$C:$C,$C86,Status_Log!$D:$D,"Changed to the status of Calculated"))</f>
        <v/>
      </c>
      <c r="K86" s="38" t="str">
        <f aca="false">IF($A86="","",IF(J86&lt;=1,0,ROUND((_xlfn.MAXIFS(Status_Log!$E:$E,Status_Log!$A:$A,$A86,Status_Log!$B:$B,$B86,Status_Log!$C:$C,$C86,Status_Log!$D:$D,"Changed to the status of Calculated")-F86)*1440,0)))</f>
        <v/>
      </c>
      <c r="L86" s="4" t="str">
        <f aca="false">IF($A86="","",IFERROR(INDEX(Status_Log!$F:$F,MATCH($A86&amp;"|"&amp;$B86&amp;"|"&amp;$C86&amp;"|Changed to the status of Calculated|"&amp;TEXT(_xlfn.MAXIFS(Status_Log!$E:$E,Status_Log!$A:$A,$A86,Status_Log!$B:$B,$B86,Status_Log!$C:$C,$C86,Status_Log!$D:$D,"Changed to the status of Calculated"),"0.000000"),Status_Log!$H:$H,0)),""))</f>
        <v/>
      </c>
      <c r="M86" s="4" t="str">
        <f aca="false">IF($A86="","",IF(E86="Client","n/a — no control step",IFERROR(INDEX(Status_Log!$F:$F,MATCH($A86&amp;"|"&amp;$B86&amp;"|"&amp;$C86&amp;"|Changed to the status of Controlled|"&amp;TEXT(_xlfn.MAXIFS(Status_Log!$E:$E,Status_Log!$A:$A,$A86,Status_Log!$B:$B,$B86,Status_Log!$C:$C,$C86,Status_Log!$D:$D,"Changed to the status of Controlled"),"0.000000"),Status_Log!$H:$H,0)),"")))</f>
        <v/>
      </c>
      <c r="N86" s="4" t="str">
        <f aca="false">IF($A86="","",IFERROR(VLOOKUP($C86,Dim_Fund!$A:$G,7,0),""))</f>
        <v/>
      </c>
      <c r="O86" s="4" t="str">
        <f aca="false">IF($A86="","",IF(L86=N86,"No","Yes"))</f>
        <v/>
      </c>
      <c r="P86" s="4" t="str">
        <f aca="false">IF($A86="","",IF(E86="Client","n/a",IF(L86=M86,"YES — four-eyes breach","No")))</f>
        <v/>
      </c>
      <c r="Q86" s="38" t="str">
        <f aca="false">IF($A86="","",IFERROR(VLOOKUP($C86,Dim_Fund!$A:$AB,28,0),""))</f>
        <v/>
      </c>
      <c r="R86" s="38" t="str">
        <f aca="false">IF($A86="","",IFERROR(VLOOKUP($C86,Dim_Fund!$A:$AC,29,0),""))</f>
        <v/>
      </c>
      <c r="S86" s="38" t="str">
        <f aca="false">IF($A86="","",IFERROR(VLOOKUP($C86,Dim_Fund!$A:$AD,30,0),""))</f>
        <v/>
      </c>
      <c r="T86" s="38" t="str">
        <f aca="false">IF($A86="","",IFERROR(VLOOKUP($C86,Dim_Fund!$A:$AL,38,0),""))</f>
        <v/>
      </c>
      <c r="U86" s="37" t="str">
        <f aca="false">IF($A86="","",IF(AL86="","",IFERROR(IF(COUNTIFS(Fact_Milestone!$A:$A,$B86,Fact_Milestone!$B:$B,AL86)=0,"",_xlfn.MAXIFS(Fact_Milestone!$C:$C,Fact_Milestone!$A:$A,$B86,Fact_Milestone!$B:$B,AL86)),"")))</f>
        <v/>
      </c>
      <c r="V86" s="37" t="str">
        <f aca="false">IF($A86="","",IFERROR(IF(VLOOKUP($C86,Dim_Fund!$A:$AI,35,0)&gt;0,$B86+VLOOKUP($C86,Dim_Fund!$A:$AI,35,0)/24,""),""))</f>
        <v/>
      </c>
      <c r="W86" s="37" t="str">
        <f aca="false">IF($A86="","",F86)</f>
        <v/>
      </c>
      <c r="X86" s="37" t="str">
        <f aca="false">IF($A86="","",IF(E86="Client",H86,G86))</f>
        <v/>
      </c>
      <c r="Y86" s="37" t="str">
        <f aca="false">IF($A86="","",I86)</f>
        <v/>
      </c>
      <c r="Z86" s="37" t="str">
        <f aca="false">IF($A86="","",IFERROR(W86-R86/1440,""))</f>
        <v/>
      </c>
      <c r="AA86" s="38" t="str">
        <f aca="false">IF($A86="","",IF(OR(U86="",V86=""),"",ROUND((V86-U86)*1440,0)))</f>
        <v/>
      </c>
      <c r="AB86" s="38" t="str">
        <f aca="false">IF($A86="","",IF(U86="","",ROUND((W86-U86)*1440,0)))</f>
        <v/>
      </c>
      <c r="AC86" s="38" t="str">
        <f aca="false">IF($A86="","",IF(AB86="","",MAX(0,AB86)))</f>
        <v/>
      </c>
      <c r="AD86" s="38" t="str">
        <f aca="false">IF($A86="","",IFERROR(ROUND((X86-W86)*1440,0),""))</f>
        <v/>
      </c>
      <c r="AE86" s="38" t="str">
        <f aca="false">IF($A86="","",IF(E86="Client","n/a",IFERROR(ROUND((H86-G86)*1440,0),"")))</f>
        <v/>
      </c>
      <c r="AF86" s="38" t="str">
        <f aca="false">IF($A86="","",IFERROR(ROUND((Y86-H86)*1440,0),""))</f>
        <v/>
      </c>
      <c r="AG86" s="38" t="str">
        <f aca="false">IF($A86="","",IFERROR(ROUND((H86-F86)*1440,0),""))</f>
        <v/>
      </c>
      <c r="AH86" s="38" t="str">
        <f aca="false">IF($A86="","",IFERROR(ROUND((Y86-V86)*1440,0),""))</f>
        <v/>
      </c>
      <c r="AI86" s="4" t="str">
        <f aca="false">IF($A86="","",IF(AH86="","",IF(AH86&gt;0,"Yes","No")))</f>
        <v/>
      </c>
      <c r="AJ86" s="4" t="str">
        <f aca="false">IF($A86="","",IF(AI86&lt;&gt;"Yes","On time",IF(N(AC86)&gt;=MAX(N(AF86),N(K86)),"Wait for analyst",IF(N(AF86)&gt;=N(K86),"External sign-off","Rework"))))</f>
        <v/>
      </c>
      <c r="AK86" s="4" t="str">
        <f aca="false">IF($A86="","",IF(OR(F86="",Y86="",ISNA(MATCH(L86,Dim_Analyst!$A:$A,0))),"CHECK","OK"))</f>
        <v/>
      </c>
      <c r="AL86" s="4" t="str">
        <f aca="false">IF($A86="","",IFERROR(VLOOKUP($C86,Dim_Fund!$A:$U,21,0),""))</f>
        <v/>
      </c>
      <c r="AM86" s="4" t="str">
        <f aca="false">IF($A86="","",IF($U86="","",IF($U86&gt;$B86+IFERROR(VLOOKUP($C86,Dim_Fund!$A:$AH,34,0),0)/24,"Yes","No")))</f>
        <v/>
      </c>
      <c r="AN86" s="22" t="str">
        <f aca="false">IF($A86="","",IFERROR(VLOOKUP($C86,Dim_Fund!$A:$AH,34,0),""))</f>
        <v/>
      </c>
      <c r="AO86" s="22" t="str">
        <f aca="false">IF($A86="","",IF($AL86="","",IFERROR(FLOOR(IF(COUNTIFS(Fact_Milestone!$A:$A,$B86,Fact_Milestone!$B:$B,$AL86,Fact_Milestone!$F:$F,"&gt;0")&gt;0,_xlfn.MINIFS(Fact_Milestone!$F:$F,Fact_Milestone!$A:$A,$B86,Fact_Milestone!$B:$B,$AL86,Fact_Milestone!$F:$F,"&gt;0"),VLOOKUP($AL86,Dim_TOP!$A:$E,5,0)),0.5),"")))</f>
        <v/>
      </c>
      <c r="AP86" s="22" t="str">
        <f aca="false">IF($A86="","",IF($U86="","",ROUND(($U86-INT($U86))*24,4)))</f>
        <v/>
      </c>
      <c r="AQ86" s="22" t="str">
        <f aca="false">IF($A86="","",IF($W86="","",ROUND(($W86-INT($W86))*24,4)))</f>
        <v/>
      </c>
      <c r="AR86" s="22" t="str">
        <f aca="false">IF($A86="","",IF($X86="","",ROUND(($X86-INT($X86))*24,4)))</f>
        <v/>
      </c>
      <c r="AS86" s="38" t="str">
        <f aca="false">IF($A86="","",IF(OR($AN86="",$V86="",$S86="",$T86=""),"",ROUND(($V86-($B86+$AN86/24))*1440-$S86-$T86,0)))</f>
        <v/>
      </c>
      <c r="AT86" s="38" t="str">
        <f aca="false">IF($A86="","",IF(OR($AN86="",$U86=""),"",ROUND(($U86-($B86+$AN86/24))*1440,0)))</f>
        <v/>
      </c>
      <c r="AU86" s="38" t="str">
        <f aca="false">IF($A86="","",IF(OR($AD86="",$S86=""),"",ROUND($AD86-$S86,0)))</f>
        <v/>
      </c>
      <c r="AV86" s="38" t="str">
        <f aca="false">IF($A86="","",N($AE86))</f>
        <v/>
      </c>
      <c r="AW86" s="38" t="str">
        <f aca="false">IF($A86="","",IF(OR($AF86="",$T86=""),"",$AF86-$T86))</f>
        <v/>
      </c>
      <c r="AX86" s="38" t="str">
        <f aca="false">IF($A86="","",IF(COUNT($AT86,$AB86,$AU86,$AW86,$AS86,$AH86)&lt;6,"",ROUND($AT86+$AB86+$AU86+$AV86+$AW86-$AS86-$AH86,0)))</f>
        <v/>
      </c>
      <c r="AY86" s="4" t="str">
        <f aca="false">IF($A86="","",IF($AX86="","No",IF(ABS($AX86)&lt;=2,"Yes","No")))</f>
        <v/>
      </c>
      <c r="AZ86" s="4" t="str">
        <f aca="false">IF($A86="","",IF($AI86&lt;&gt;"Yes","n/a",IF(OR($AA86="",$S86="",$T86=""),"Unknown",IF($AA86&lt;$S86+$T86,"Lost on arrival","Lost after arrival"))))</f>
        <v/>
      </c>
      <c r="BA86" s="10" t="str">
        <f aca="false">IF($A86="","",IFERROR(VLOOKUP($C86,Dim_Fund!$A:$D,4,0),""))</f>
        <v/>
      </c>
      <c r="BB86" s="10" t="str">
        <f aca="false">IF($A86="","",IF($AL86="","",IF(COUNTIFS(Fact_Milestone!$A:$A,$B86,Fact_Milestone!$B:$B,$AL86,Fact_Milestone!$I:$I,"No")&gt;0,"No",IF(COUNTIFS(Fact_Milestone!$A:$A,$B86,Fact_Milestone!$B:$B,$AL86,Fact_Milestone!$I:$I,"Yes")&gt;0,"Yes",""))))</f>
        <v/>
      </c>
      <c r="BC86" s="45" t="str">
        <f aca="false">IF($A86="","",IF(OR($L86="",$W86=""),"",IF(COUNTIFS($L:$L,$L86,$B:$B,$B86,$W:$W,"&lt;"&amp;$W86)=0,"",_xlfn.MAXIFS($W:$W,$L:$L,$L86,$B:$B,$B86,$W:$W,"&lt;"&amp;$W86))))</f>
        <v/>
      </c>
      <c r="BD86" s="39" t="str">
        <f aca="false">IF($A86="","",IF($AC86="","",IF(OR($L86="",$AC86=0),0,MIN($AC86,ROUND(ROUND(1440*SUMPRODUCT(($L$2:INDEX($L:$L,COUNTA($C:$C))=$L86)*($B$2:INDEX($B:$B,COUNTA($C:$C))=$B86)*(ROW($L$2:INDEX($L:$L,COUNTA($C:$C)))&lt;&gt;ROW())*((((($W86+$BT$2:INDEX($BT:$BT,COUNTA($C:$C))-ABS($W86-$BT$2:INDEX($BT:$BT,COUNTA($C:$C))))/2)-(($U86+$BS$2:INDEX($BS:$BS,COUNTA($C:$C))+ABS($U86-$BS$2:INDEX($BS:$BS,COUNTA($C:$C))))/2))+ABS(((($W86+$BT$2:INDEX($BT:$BT,COUNTA($C:$C))-ABS($W86-$BT$2:INDEX($BT:$BT,COUNTA($C:$C))))/2)-(($U86+$BS$2:INDEX($BS:$BS,COUNTA($C:$C))+ABS($U86-$BS$2:INDEX($BS:$BS,COUNTA($C:$C))))/2))))/2)),4),0)))))</f>
        <v/>
      </c>
      <c r="BE86" s="39" t="str">
        <f aca="false">IF($A86="","",IF($AC86="","",ROUND(MIN($AC86-$BD86,N($R86)),0)))</f>
        <v/>
      </c>
      <c r="BF86" s="10" t="str">
        <f aca="false">IF($A86="","",IFERROR(VLOOKUP($C86,Dim_Fund!$A:$BD,56,0),""))</f>
        <v/>
      </c>
      <c r="BG86" s="10" t="str">
        <f aca="false">IF($A86="","",IFERROR(VLOOKUP($C86,Dim_Fund!$A:$BH,60,0),""))</f>
        <v/>
      </c>
      <c r="BH86" s="10" t="str">
        <f aca="false">IF($A86="","",IF($AI86&lt;&gt;"Yes","Not breached",IF($AM86="Yes","Pricing late",IF($BG86="Thin custody slack","Thin custody slack",IF($BF86="Yes","Broker-dependent","None of these")))))</f>
        <v/>
      </c>
      <c r="BI86" s="23" t="str">
        <f aca="false">IF($A86="","",IFERROR(IF(VLOOKUP($C86,Dim_Fund!$A:$AI,35,0)&gt;0,VLOOKUP($C86,Dim_Fund!$A:$AI,35,0),""),""))</f>
        <v/>
      </c>
      <c r="BJ86" s="10" t="str">
        <f aca="false">IF($A86="","",$C86&amp;IF($E86="Client","*",""))</f>
        <v/>
      </c>
      <c r="BK86" s="39" t="str">
        <f aca="false">IF($A86="","",IFERROR(ROUND(($Y86-$X86)*1440,0),""))</f>
        <v/>
      </c>
      <c r="BL86" s="39" t="str">
        <f aca="false">IF($A86="","",IF($AH86="","",-$AH86))</f>
        <v/>
      </c>
      <c r="BM86" s="46" t="str">
        <f aca="false">IF($A86="","",IF($AQ86="","",IF($AP86="",$AQ86,MIN($AP86,$AQ86))))</f>
        <v/>
      </c>
      <c r="BN86" s="46" t="str">
        <f aca="false">IF($A86="","",IF($BM86="","",ROUND(N($AC86)/60,4)))</f>
        <v/>
      </c>
      <c r="BO86" s="46" t="str">
        <f aca="false">IF($A86="","",IF(OR($BM86="",$AD86=""),"",ROUND($AD86/60,4)))</f>
        <v/>
      </c>
      <c r="BP86" s="46" t="str">
        <f aca="false">IF($A86="","",IF($BM86="","",ROUND(N($AE86)/60,4)))</f>
        <v/>
      </c>
      <c r="BQ86" s="46" t="str">
        <f aca="false">IF($A86="","",IF(OR($BM86="",$AF86=""),"",ROUND($AF86/60,4)))</f>
        <v/>
      </c>
      <c r="BR86" s="39" t="str">
        <f aca="false">IF($A86="","",IF($AC86="","",$AC86-$BD86-$BE86))</f>
        <v/>
      </c>
      <c r="BS86" s="45" t="str">
        <f aca="false">IF($A86="","",IF(AND(ISNUMBER($Z86),ISNUMBER($W86)),$Z86,0))</f>
        <v/>
      </c>
      <c r="BT86" s="45" t="str">
        <f aca="false">IF($A86="","",IF(ISNUMBER($W86),$W86,0))</f>
        <v/>
      </c>
      <c r="BU86" s="23" t="str">
        <f aca="false">IF($A86="","",IF(ISNUMBER($W86),ROUND(($W86-$B86)*24,4),""))</f>
        <v/>
      </c>
      <c r="BV86" s="23" t="str">
        <f aca="false">IF($A86="","",IF(ISNUMBER($X86),ROUND(($X86-$B86)*24,4),""))</f>
        <v/>
      </c>
      <c r="BW86" s="10" t="str">
        <f aca="false">IF($A86="","",IF(NOT(ISNUMBER($W86)),"Missing Calculated",IF(NOT(ISNUMBER($X86)),IF($E86="Client","Missing FA signed off","Missing Controlled"),IF($X86&lt;$W86,"End before start","OK"))))</f>
        <v/>
      </c>
      <c r="BX86" s="23" t="str">
        <f aca="false">IF($A86="","",IF(NOT(ISNUMBER($Z86)),"",ROUND((IF(ISNUMBER($U86),MIN($U86,$Z86),$Z86)-$B86)*24,4)))</f>
        <v/>
      </c>
      <c r="BY86" s="23" t="str">
        <f aca="false">IF($A86="","",IF(ISNUMBER($Z86),ROUND(($Z86-$B86)*24,4),""))</f>
        <v/>
      </c>
      <c r="BZ86" s="23" t="str">
        <f aca="false">IF($A86="","",IF(AND(ISNUMBER($W86),ISNUMBER($S86)),ROUND(($W86+$S86/1440-$B86)*24,4),""))</f>
        <v/>
      </c>
    </row>
    <row r="87" customFormat="false" ht="15" hidden="false" customHeight="true" outlineLevel="0" collapsed="false">
      <c r="A87" s="47"/>
      <c r="B87" s="47"/>
      <c r="D87" s="4" t="str">
        <f aca="false">IF($A87="","",$B87-$A87)</f>
        <v/>
      </c>
      <c r="E87" s="4" t="str">
        <f aca="false">IF($A87="","",IFERROR(VLOOKUP($C87,Dim_Fund!$A:$X,24,0),""))</f>
        <v/>
      </c>
      <c r="F87" s="37" t="str">
        <f aca="false">IF($A87="","",IF(COUNTIFS(Status_Log!$A:$A,$A87,Status_Log!$B:$B,$B87,Status_Log!$C:$C,$C87,Status_Log!$D:$D,"Changed to the status of Calculated")=0,"",_xlfn.MINIFS(Status_Log!$E:$E,Status_Log!$A:$A,$A87,Status_Log!$B:$B,$B87,Status_Log!$C:$C,$C87,Status_Log!$D:$D,"Changed to the status of Calculated")))</f>
        <v/>
      </c>
      <c r="G87" s="37" t="str">
        <f aca="false">IF($A87="","",IF(COUNTIFS(Status_Log!$A:$A,$A87,Status_Log!$B:$B,$B87,Status_Log!$C:$C,$C87,Status_Log!$D:$D,"Changed to the status of Controlled")=0,"",_xlfn.MAXIFS(Status_Log!$E:$E,Status_Log!$A:$A,$A87,Status_Log!$B:$B,$B87,Status_Log!$C:$C,$C87,Status_Log!$D:$D,"Changed to the status of Controlled")))</f>
        <v/>
      </c>
      <c r="H87" s="37" t="str">
        <f aca="false">IF($A87="","",IF(COUNTIFS(Status_Log!$A:$A,$A87,Status_Log!$B:$B,$B87,Status_Log!$C:$C,$C87,Status_Log!$D:$D,"Changed to the status of Fund accounting signed off")=0,"",_xlfn.MAXIFS(Status_Log!$E:$E,Status_Log!$A:$A,$A87,Status_Log!$B:$B,$B87,Status_Log!$C:$C,$C87,Status_Log!$D:$D,"Changed to the status of Fund accounting signed off")))</f>
        <v/>
      </c>
      <c r="I87" s="37" t="str">
        <f aca="false">IF($A87="","",IF(COUNTIFS(Status_Log!$A:$A,$A87,Status_Log!$B:$B,$B87,Status_Log!$C:$C,$C87,Status_Log!$D:$D,"Changed to the status of signed off")=0,"",_xlfn.MAXIFS(Status_Log!$E:$E,Status_Log!$A:$A,$A87,Status_Log!$B:$B,$B87,Status_Log!$C:$C,$C87,Status_Log!$D:$D,"Changed to the status of signed off")))</f>
        <v/>
      </c>
      <c r="J87" s="4" t="str">
        <f aca="false">IF($A87="","",COUNTIFS(Status_Log!$A:$A,$A87,Status_Log!$B:$B,$B87,Status_Log!$C:$C,$C87,Status_Log!$D:$D,"Changed to the status of Calculated"))</f>
        <v/>
      </c>
      <c r="K87" s="38" t="str">
        <f aca="false">IF($A87="","",IF(J87&lt;=1,0,ROUND((_xlfn.MAXIFS(Status_Log!$E:$E,Status_Log!$A:$A,$A87,Status_Log!$B:$B,$B87,Status_Log!$C:$C,$C87,Status_Log!$D:$D,"Changed to the status of Calculated")-F87)*1440,0)))</f>
        <v/>
      </c>
      <c r="L87" s="4" t="str">
        <f aca="false">IF($A87="","",IFERROR(INDEX(Status_Log!$F:$F,MATCH($A87&amp;"|"&amp;$B87&amp;"|"&amp;$C87&amp;"|Changed to the status of Calculated|"&amp;TEXT(_xlfn.MAXIFS(Status_Log!$E:$E,Status_Log!$A:$A,$A87,Status_Log!$B:$B,$B87,Status_Log!$C:$C,$C87,Status_Log!$D:$D,"Changed to the status of Calculated"),"0.000000"),Status_Log!$H:$H,0)),""))</f>
        <v/>
      </c>
      <c r="M87" s="4" t="str">
        <f aca="false">IF($A87="","",IF(E87="Client","n/a — no control step",IFERROR(INDEX(Status_Log!$F:$F,MATCH($A87&amp;"|"&amp;$B87&amp;"|"&amp;$C87&amp;"|Changed to the status of Controlled|"&amp;TEXT(_xlfn.MAXIFS(Status_Log!$E:$E,Status_Log!$A:$A,$A87,Status_Log!$B:$B,$B87,Status_Log!$C:$C,$C87,Status_Log!$D:$D,"Changed to the status of Controlled"),"0.000000"),Status_Log!$H:$H,0)),"")))</f>
        <v/>
      </c>
      <c r="N87" s="4" t="str">
        <f aca="false">IF($A87="","",IFERROR(VLOOKUP($C87,Dim_Fund!$A:$G,7,0),""))</f>
        <v/>
      </c>
      <c r="O87" s="4" t="str">
        <f aca="false">IF($A87="","",IF(L87=N87,"No","Yes"))</f>
        <v/>
      </c>
      <c r="P87" s="4" t="str">
        <f aca="false">IF($A87="","",IF(E87="Client","n/a",IF(L87=M87,"YES — four-eyes breach","No")))</f>
        <v/>
      </c>
      <c r="Q87" s="38" t="str">
        <f aca="false">IF($A87="","",IFERROR(VLOOKUP($C87,Dim_Fund!$A:$AB,28,0),""))</f>
        <v/>
      </c>
      <c r="R87" s="38" t="str">
        <f aca="false">IF($A87="","",IFERROR(VLOOKUP($C87,Dim_Fund!$A:$AC,29,0),""))</f>
        <v/>
      </c>
      <c r="S87" s="38" t="str">
        <f aca="false">IF($A87="","",IFERROR(VLOOKUP($C87,Dim_Fund!$A:$AD,30,0),""))</f>
        <v/>
      </c>
      <c r="T87" s="38" t="str">
        <f aca="false">IF($A87="","",IFERROR(VLOOKUP($C87,Dim_Fund!$A:$AL,38,0),""))</f>
        <v/>
      </c>
      <c r="U87" s="37" t="str">
        <f aca="false">IF($A87="","",IF(AL87="","",IFERROR(IF(COUNTIFS(Fact_Milestone!$A:$A,$B87,Fact_Milestone!$B:$B,AL87)=0,"",_xlfn.MAXIFS(Fact_Milestone!$C:$C,Fact_Milestone!$A:$A,$B87,Fact_Milestone!$B:$B,AL87)),"")))</f>
        <v/>
      </c>
      <c r="V87" s="37" t="str">
        <f aca="false">IF($A87="","",IFERROR(IF(VLOOKUP($C87,Dim_Fund!$A:$AI,35,0)&gt;0,$B87+VLOOKUP($C87,Dim_Fund!$A:$AI,35,0)/24,""),""))</f>
        <v/>
      </c>
      <c r="W87" s="37" t="str">
        <f aca="false">IF($A87="","",F87)</f>
        <v/>
      </c>
      <c r="X87" s="37" t="str">
        <f aca="false">IF($A87="","",IF(E87="Client",H87,G87))</f>
        <v/>
      </c>
      <c r="Y87" s="37" t="str">
        <f aca="false">IF($A87="","",I87)</f>
        <v/>
      </c>
      <c r="Z87" s="37" t="str">
        <f aca="false">IF($A87="","",IFERROR(W87-R87/1440,""))</f>
        <v/>
      </c>
      <c r="AA87" s="38" t="str">
        <f aca="false">IF($A87="","",IF(OR(U87="",V87=""),"",ROUND((V87-U87)*1440,0)))</f>
        <v/>
      </c>
      <c r="AB87" s="38" t="str">
        <f aca="false">IF($A87="","",IF(U87="","",ROUND((W87-U87)*1440,0)))</f>
        <v/>
      </c>
      <c r="AC87" s="38" t="str">
        <f aca="false">IF($A87="","",IF(AB87="","",MAX(0,AB87)))</f>
        <v/>
      </c>
      <c r="AD87" s="38" t="str">
        <f aca="false">IF($A87="","",IFERROR(ROUND((X87-W87)*1440,0),""))</f>
        <v/>
      </c>
      <c r="AE87" s="38" t="str">
        <f aca="false">IF($A87="","",IF(E87="Client","n/a",IFERROR(ROUND((H87-G87)*1440,0),"")))</f>
        <v/>
      </c>
      <c r="AF87" s="38" t="str">
        <f aca="false">IF($A87="","",IFERROR(ROUND((Y87-H87)*1440,0),""))</f>
        <v/>
      </c>
      <c r="AG87" s="38" t="str">
        <f aca="false">IF($A87="","",IFERROR(ROUND((H87-F87)*1440,0),""))</f>
        <v/>
      </c>
      <c r="AH87" s="38" t="str">
        <f aca="false">IF($A87="","",IFERROR(ROUND((Y87-V87)*1440,0),""))</f>
        <v/>
      </c>
      <c r="AI87" s="4" t="str">
        <f aca="false">IF($A87="","",IF(AH87="","",IF(AH87&gt;0,"Yes","No")))</f>
        <v/>
      </c>
      <c r="AJ87" s="4" t="str">
        <f aca="false">IF($A87="","",IF(AI87&lt;&gt;"Yes","On time",IF(N(AC87)&gt;=MAX(N(AF87),N(K87)),"Wait for analyst",IF(N(AF87)&gt;=N(K87),"External sign-off","Rework"))))</f>
        <v/>
      </c>
      <c r="AK87" s="4" t="str">
        <f aca="false">IF($A87="","",IF(OR(F87="",Y87="",ISNA(MATCH(L87,Dim_Analyst!$A:$A,0))),"CHECK","OK"))</f>
        <v/>
      </c>
      <c r="AL87" s="4" t="str">
        <f aca="false">IF($A87="","",IFERROR(VLOOKUP($C87,Dim_Fund!$A:$U,21,0),""))</f>
        <v/>
      </c>
      <c r="AM87" s="4" t="str">
        <f aca="false">IF($A87="","",IF($U87="","",IF($U87&gt;$B87+IFERROR(VLOOKUP($C87,Dim_Fund!$A:$AH,34,0),0)/24,"Yes","No")))</f>
        <v/>
      </c>
      <c r="AN87" s="22" t="str">
        <f aca="false">IF($A87="","",IFERROR(VLOOKUP($C87,Dim_Fund!$A:$AH,34,0),""))</f>
        <v/>
      </c>
      <c r="AO87" s="22" t="str">
        <f aca="false">IF($A87="","",IF($AL87="","",IFERROR(FLOOR(IF(COUNTIFS(Fact_Milestone!$A:$A,$B87,Fact_Milestone!$B:$B,$AL87,Fact_Milestone!$F:$F,"&gt;0")&gt;0,_xlfn.MINIFS(Fact_Milestone!$F:$F,Fact_Milestone!$A:$A,$B87,Fact_Milestone!$B:$B,$AL87,Fact_Milestone!$F:$F,"&gt;0"),VLOOKUP($AL87,Dim_TOP!$A:$E,5,0)),0.5),"")))</f>
        <v/>
      </c>
      <c r="AP87" s="22" t="str">
        <f aca="false">IF($A87="","",IF($U87="","",ROUND(($U87-INT($U87))*24,4)))</f>
        <v/>
      </c>
      <c r="AQ87" s="22" t="str">
        <f aca="false">IF($A87="","",IF($W87="","",ROUND(($W87-INT($W87))*24,4)))</f>
        <v/>
      </c>
      <c r="AR87" s="22" t="str">
        <f aca="false">IF($A87="","",IF($X87="","",ROUND(($X87-INT($X87))*24,4)))</f>
        <v/>
      </c>
      <c r="AS87" s="38" t="str">
        <f aca="false">IF($A87="","",IF(OR($AN87="",$V87="",$S87="",$T87=""),"",ROUND(($V87-($B87+$AN87/24))*1440-$S87-$T87,0)))</f>
        <v/>
      </c>
      <c r="AT87" s="38" t="str">
        <f aca="false">IF($A87="","",IF(OR($AN87="",$U87=""),"",ROUND(($U87-($B87+$AN87/24))*1440,0)))</f>
        <v/>
      </c>
      <c r="AU87" s="38" t="str">
        <f aca="false">IF($A87="","",IF(OR($AD87="",$S87=""),"",ROUND($AD87-$S87,0)))</f>
        <v/>
      </c>
      <c r="AV87" s="38" t="str">
        <f aca="false">IF($A87="","",N($AE87))</f>
        <v/>
      </c>
      <c r="AW87" s="38" t="str">
        <f aca="false">IF($A87="","",IF(OR($AF87="",$T87=""),"",$AF87-$T87))</f>
        <v/>
      </c>
      <c r="AX87" s="38" t="str">
        <f aca="false">IF($A87="","",IF(COUNT($AT87,$AB87,$AU87,$AW87,$AS87,$AH87)&lt;6,"",ROUND($AT87+$AB87+$AU87+$AV87+$AW87-$AS87-$AH87,0)))</f>
        <v/>
      </c>
      <c r="AY87" s="4" t="str">
        <f aca="false">IF($A87="","",IF($AX87="","No",IF(ABS($AX87)&lt;=2,"Yes","No")))</f>
        <v/>
      </c>
      <c r="AZ87" s="4" t="str">
        <f aca="false">IF($A87="","",IF($AI87&lt;&gt;"Yes","n/a",IF(OR($AA87="",$S87="",$T87=""),"Unknown",IF($AA87&lt;$S87+$T87,"Lost on arrival","Lost after arrival"))))</f>
        <v/>
      </c>
      <c r="BA87" s="10" t="str">
        <f aca="false">IF($A87="","",IFERROR(VLOOKUP($C87,Dim_Fund!$A:$D,4,0),""))</f>
        <v/>
      </c>
      <c r="BB87" s="10" t="str">
        <f aca="false">IF($A87="","",IF($AL87="","",IF(COUNTIFS(Fact_Milestone!$A:$A,$B87,Fact_Milestone!$B:$B,$AL87,Fact_Milestone!$I:$I,"No")&gt;0,"No",IF(COUNTIFS(Fact_Milestone!$A:$A,$B87,Fact_Milestone!$B:$B,$AL87,Fact_Milestone!$I:$I,"Yes")&gt;0,"Yes",""))))</f>
        <v/>
      </c>
      <c r="BC87" s="45" t="str">
        <f aca="false">IF($A87="","",IF(OR($L87="",$W87=""),"",IF(COUNTIFS($L:$L,$L87,$B:$B,$B87,$W:$W,"&lt;"&amp;$W87)=0,"",_xlfn.MAXIFS($W:$W,$L:$L,$L87,$B:$B,$B87,$W:$W,"&lt;"&amp;$W87))))</f>
        <v/>
      </c>
      <c r="BD87" s="39" t="str">
        <f aca="false">IF($A87="","",IF($AC87="","",IF(OR($L87="",$AC87=0),0,MIN($AC87,ROUND(ROUND(1440*SUMPRODUCT(($L$2:INDEX($L:$L,COUNTA($C:$C))=$L87)*($B$2:INDEX($B:$B,COUNTA($C:$C))=$B87)*(ROW($L$2:INDEX($L:$L,COUNTA($C:$C)))&lt;&gt;ROW())*((((($W87+$BT$2:INDEX($BT:$BT,COUNTA($C:$C))-ABS($W87-$BT$2:INDEX($BT:$BT,COUNTA($C:$C))))/2)-(($U87+$BS$2:INDEX($BS:$BS,COUNTA($C:$C))+ABS($U87-$BS$2:INDEX($BS:$BS,COUNTA($C:$C))))/2))+ABS(((($W87+$BT$2:INDEX($BT:$BT,COUNTA($C:$C))-ABS($W87-$BT$2:INDEX($BT:$BT,COUNTA($C:$C))))/2)-(($U87+$BS$2:INDEX($BS:$BS,COUNTA($C:$C))+ABS($U87-$BS$2:INDEX($BS:$BS,COUNTA($C:$C))))/2))))/2)),4),0)))))</f>
        <v/>
      </c>
      <c r="BE87" s="39" t="str">
        <f aca="false">IF($A87="","",IF($AC87="","",ROUND(MIN($AC87-$BD87,N($R87)),0)))</f>
        <v/>
      </c>
      <c r="BF87" s="10" t="str">
        <f aca="false">IF($A87="","",IFERROR(VLOOKUP($C87,Dim_Fund!$A:$BD,56,0),""))</f>
        <v/>
      </c>
      <c r="BG87" s="10" t="str">
        <f aca="false">IF($A87="","",IFERROR(VLOOKUP($C87,Dim_Fund!$A:$BH,60,0),""))</f>
        <v/>
      </c>
      <c r="BH87" s="10" t="str">
        <f aca="false">IF($A87="","",IF($AI87&lt;&gt;"Yes","Not breached",IF($AM87="Yes","Pricing late",IF($BG87="Thin custody slack","Thin custody slack",IF($BF87="Yes","Broker-dependent","None of these")))))</f>
        <v/>
      </c>
      <c r="BI87" s="23" t="str">
        <f aca="false">IF($A87="","",IFERROR(IF(VLOOKUP($C87,Dim_Fund!$A:$AI,35,0)&gt;0,VLOOKUP($C87,Dim_Fund!$A:$AI,35,0),""),""))</f>
        <v/>
      </c>
      <c r="BJ87" s="10" t="str">
        <f aca="false">IF($A87="","",$C87&amp;IF($E87="Client","*",""))</f>
        <v/>
      </c>
      <c r="BK87" s="39" t="str">
        <f aca="false">IF($A87="","",IFERROR(ROUND(($Y87-$X87)*1440,0),""))</f>
        <v/>
      </c>
      <c r="BL87" s="39" t="str">
        <f aca="false">IF($A87="","",IF($AH87="","",-$AH87))</f>
        <v/>
      </c>
      <c r="BM87" s="46" t="str">
        <f aca="false">IF($A87="","",IF($AQ87="","",IF($AP87="",$AQ87,MIN($AP87,$AQ87))))</f>
        <v/>
      </c>
      <c r="BN87" s="46" t="str">
        <f aca="false">IF($A87="","",IF($BM87="","",ROUND(N($AC87)/60,4)))</f>
        <v/>
      </c>
      <c r="BO87" s="46" t="str">
        <f aca="false">IF($A87="","",IF(OR($BM87="",$AD87=""),"",ROUND($AD87/60,4)))</f>
        <v/>
      </c>
      <c r="BP87" s="46" t="str">
        <f aca="false">IF($A87="","",IF($BM87="","",ROUND(N($AE87)/60,4)))</f>
        <v/>
      </c>
      <c r="BQ87" s="46" t="str">
        <f aca="false">IF($A87="","",IF(OR($BM87="",$AF87=""),"",ROUND($AF87/60,4)))</f>
        <v/>
      </c>
      <c r="BR87" s="39" t="str">
        <f aca="false">IF($A87="","",IF($AC87="","",$AC87-$BD87-$BE87))</f>
        <v/>
      </c>
      <c r="BS87" s="45" t="str">
        <f aca="false">IF($A87="","",IF(AND(ISNUMBER($Z87),ISNUMBER($W87)),$Z87,0))</f>
        <v/>
      </c>
      <c r="BT87" s="45" t="str">
        <f aca="false">IF($A87="","",IF(ISNUMBER($W87),$W87,0))</f>
        <v/>
      </c>
      <c r="BU87" s="23" t="str">
        <f aca="false">IF($A87="","",IF(ISNUMBER($W87),ROUND(($W87-$B87)*24,4),""))</f>
        <v/>
      </c>
      <c r="BV87" s="23" t="str">
        <f aca="false">IF($A87="","",IF(ISNUMBER($X87),ROUND(($X87-$B87)*24,4),""))</f>
        <v/>
      </c>
      <c r="BW87" s="10" t="str">
        <f aca="false">IF($A87="","",IF(NOT(ISNUMBER($W87)),"Missing Calculated",IF(NOT(ISNUMBER($X87)),IF($E87="Client","Missing FA signed off","Missing Controlled"),IF($X87&lt;$W87,"End before start","OK"))))</f>
        <v/>
      </c>
      <c r="BX87" s="23" t="str">
        <f aca="false">IF($A87="","",IF(NOT(ISNUMBER($Z87)),"",ROUND((IF(ISNUMBER($U87),MIN($U87,$Z87),$Z87)-$B87)*24,4)))</f>
        <v/>
      </c>
      <c r="BY87" s="23" t="str">
        <f aca="false">IF($A87="","",IF(ISNUMBER($Z87),ROUND(($Z87-$B87)*24,4),""))</f>
        <v/>
      </c>
      <c r="BZ87" s="23" t="str">
        <f aca="false">IF($A87="","",IF(AND(ISNUMBER($W87),ISNUMBER($S87)),ROUND(($W87+$S87/1440-$B87)*24,4),""))</f>
        <v/>
      </c>
    </row>
    <row r="88" customFormat="false" ht="15" hidden="false" customHeight="true" outlineLevel="0" collapsed="false">
      <c r="A88" s="47"/>
      <c r="B88" s="47"/>
      <c r="D88" s="4" t="str">
        <f aca="false">IF($A88="","",$B88-$A88)</f>
        <v/>
      </c>
      <c r="E88" s="4" t="str">
        <f aca="false">IF($A88="","",IFERROR(VLOOKUP($C88,Dim_Fund!$A:$X,24,0),""))</f>
        <v/>
      </c>
      <c r="F88" s="37" t="str">
        <f aca="false">IF($A88="","",IF(COUNTIFS(Status_Log!$A:$A,$A88,Status_Log!$B:$B,$B88,Status_Log!$C:$C,$C88,Status_Log!$D:$D,"Changed to the status of Calculated")=0,"",_xlfn.MINIFS(Status_Log!$E:$E,Status_Log!$A:$A,$A88,Status_Log!$B:$B,$B88,Status_Log!$C:$C,$C88,Status_Log!$D:$D,"Changed to the status of Calculated")))</f>
        <v/>
      </c>
      <c r="G88" s="37" t="str">
        <f aca="false">IF($A88="","",IF(COUNTIFS(Status_Log!$A:$A,$A88,Status_Log!$B:$B,$B88,Status_Log!$C:$C,$C88,Status_Log!$D:$D,"Changed to the status of Controlled")=0,"",_xlfn.MAXIFS(Status_Log!$E:$E,Status_Log!$A:$A,$A88,Status_Log!$B:$B,$B88,Status_Log!$C:$C,$C88,Status_Log!$D:$D,"Changed to the status of Controlled")))</f>
        <v/>
      </c>
      <c r="H88" s="37" t="str">
        <f aca="false">IF($A88="","",IF(COUNTIFS(Status_Log!$A:$A,$A88,Status_Log!$B:$B,$B88,Status_Log!$C:$C,$C88,Status_Log!$D:$D,"Changed to the status of Fund accounting signed off")=0,"",_xlfn.MAXIFS(Status_Log!$E:$E,Status_Log!$A:$A,$A88,Status_Log!$B:$B,$B88,Status_Log!$C:$C,$C88,Status_Log!$D:$D,"Changed to the status of Fund accounting signed off")))</f>
        <v/>
      </c>
      <c r="I88" s="37" t="str">
        <f aca="false">IF($A88="","",IF(COUNTIFS(Status_Log!$A:$A,$A88,Status_Log!$B:$B,$B88,Status_Log!$C:$C,$C88,Status_Log!$D:$D,"Changed to the status of signed off")=0,"",_xlfn.MAXIFS(Status_Log!$E:$E,Status_Log!$A:$A,$A88,Status_Log!$B:$B,$B88,Status_Log!$C:$C,$C88,Status_Log!$D:$D,"Changed to the status of signed off")))</f>
        <v/>
      </c>
      <c r="J88" s="4" t="str">
        <f aca="false">IF($A88="","",COUNTIFS(Status_Log!$A:$A,$A88,Status_Log!$B:$B,$B88,Status_Log!$C:$C,$C88,Status_Log!$D:$D,"Changed to the status of Calculated"))</f>
        <v/>
      </c>
      <c r="K88" s="38" t="str">
        <f aca="false">IF($A88="","",IF(J88&lt;=1,0,ROUND((_xlfn.MAXIFS(Status_Log!$E:$E,Status_Log!$A:$A,$A88,Status_Log!$B:$B,$B88,Status_Log!$C:$C,$C88,Status_Log!$D:$D,"Changed to the status of Calculated")-F88)*1440,0)))</f>
        <v/>
      </c>
      <c r="L88" s="4" t="str">
        <f aca="false">IF($A88="","",IFERROR(INDEX(Status_Log!$F:$F,MATCH($A88&amp;"|"&amp;$B88&amp;"|"&amp;$C88&amp;"|Changed to the status of Calculated|"&amp;TEXT(_xlfn.MAXIFS(Status_Log!$E:$E,Status_Log!$A:$A,$A88,Status_Log!$B:$B,$B88,Status_Log!$C:$C,$C88,Status_Log!$D:$D,"Changed to the status of Calculated"),"0.000000"),Status_Log!$H:$H,0)),""))</f>
        <v/>
      </c>
      <c r="M88" s="4" t="str">
        <f aca="false">IF($A88="","",IF(E88="Client","n/a — no control step",IFERROR(INDEX(Status_Log!$F:$F,MATCH($A88&amp;"|"&amp;$B88&amp;"|"&amp;$C88&amp;"|Changed to the status of Controlled|"&amp;TEXT(_xlfn.MAXIFS(Status_Log!$E:$E,Status_Log!$A:$A,$A88,Status_Log!$B:$B,$B88,Status_Log!$C:$C,$C88,Status_Log!$D:$D,"Changed to the status of Controlled"),"0.000000"),Status_Log!$H:$H,0)),"")))</f>
        <v/>
      </c>
      <c r="N88" s="4" t="str">
        <f aca="false">IF($A88="","",IFERROR(VLOOKUP($C88,Dim_Fund!$A:$G,7,0),""))</f>
        <v/>
      </c>
      <c r="O88" s="4" t="str">
        <f aca="false">IF($A88="","",IF(L88=N88,"No","Yes"))</f>
        <v/>
      </c>
      <c r="P88" s="4" t="str">
        <f aca="false">IF($A88="","",IF(E88="Client","n/a",IF(L88=M88,"YES — four-eyes breach","No")))</f>
        <v/>
      </c>
      <c r="Q88" s="38" t="str">
        <f aca="false">IF($A88="","",IFERROR(VLOOKUP($C88,Dim_Fund!$A:$AB,28,0),""))</f>
        <v/>
      </c>
      <c r="R88" s="38" t="str">
        <f aca="false">IF($A88="","",IFERROR(VLOOKUP($C88,Dim_Fund!$A:$AC,29,0),""))</f>
        <v/>
      </c>
      <c r="S88" s="38" t="str">
        <f aca="false">IF($A88="","",IFERROR(VLOOKUP($C88,Dim_Fund!$A:$AD,30,0),""))</f>
        <v/>
      </c>
      <c r="T88" s="38" t="str">
        <f aca="false">IF($A88="","",IFERROR(VLOOKUP($C88,Dim_Fund!$A:$AL,38,0),""))</f>
        <v/>
      </c>
      <c r="U88" s="37" t="str">
        <f aca="false">IF($A88="","",IF(AL88="","",IFERROR(IF(COUNTIFS(Fact_Milestone!$A:$A,$B88,Fact_Milestone!$B:$B,AL88)=0,"",_xlfn.MAXIFS(Fact_Milestone!$C:$C,Fact_Milestone!$A:$A,$B88,Fact_Milestone!$B:$B,AL88)),"")))</f>
        <v/>
      </c>
      <c r="V88" s="37" t="str">
        <f aca="false">IF($A88="","",IFERROR(IF(VLOOKUP($C88,Dim_Fund!$A:$AI,35,0)&gt;0,$B88+VLOOKUP($C88,Dim_Fund!$A:$AI,35,0)/24,""),""))</f>
        <v/>
      </c>
      <c r="W88" s="37" t="str">
        <f aca="false">IF($A88="","",F88)</f>
        <v/>
      </c>
      <c r="X88" s="37" t="str">
        <f aca="false">IF($A88="","",IF(E88="Client",H88,G88))</f>
        <v/>
      </c>
      <c r="Y88" s="37" t="str">
        <f aca="false">IF($A88="","",I88)</f>
        <v/>
      </c>
      <c r="Z88" s="37" t="str">
        <f aca="false">IF($A88="","",IFERROR(W88-R88/1440,""))</f>
        <v/>
      </c>
      <c r="AA88" s="38" t="str">
        <f aca="false">IF($A88="","",IF(OR(U88="",V88=""),"",ROUND((V88-U88)*1440,0)))</f>
        <v/>
      </c>
      <c r="AB88" s="38" t="str">
        <f aca="false">IF($A88="","",IF(U88="","",ROUND((W88-U88)*1440,0)))</f>
        <v/>
      </c>
      <c r="AC88" s="38" t="str">
        <f aca="false">IF($A88="","",IF(AB88="","",MAX(0,AB88)))</f>
        <v/>
      </c>
      <c r="AD88" s="38" t="str">
        <f aca="false">IF($A88="","",IFERROR(ROUND((X88-W88)*1440,0),""))</f>
        <v/>
      </c>
      <c r="AE88" s="38" t="str">
        <f aca="false">IF($A88="","",IF(E88="Client","n/a",IFERROR(ROUND((H88-G88)*1440,0),"")))</f>
        <v/>
      </c>
      <c r="AF88" s="38" t="str">
        <f aca="false">IF($A88="","",IFERROR(ROUND((Y88-H88)*1440,0),""))</f>
        <v/>
      </c>
      <c r="AG88" s="38" t="str">
        <f aca="false">IF($A88="","",IFERROR(ROUND((H88-F88)*1440,0),""))</f>
        <v/>
      </c>
      <c r="AH88" s="38" t="str">
        <f aca="false">IF($A88="","",IFERROR(ROUND((Y88-V88)*1440,0),""))</f>
        <v/>
      </c>
      <c r="AI88" s="4" t="str">
        <f aca="false">IF($A88="","",IF(AH88="","",IF(AH88&gt;0,"Yes","No")))</f>
        <v/>
      </c>
      <c r="AJ88" s="4" t="str">
        <f aca="false">IF($A88="","",IF(AI88&lt;&gt;"Yes","On time",IF(N(AC88)&gt;=MAX(N(AF88),N(K88)),"Wait for analyst",IF(N(AF88)&gt;=N(K88),"External sign-off","Rework"))))</f>
        <v/>
      </c>
      <c r="AK88" s="4" t="str">
        <f aca="false">IF($A88="","",IF(OR(F88="",Y88="",ISNA(MATCH(L88,Dim_Analyst!$A:$A,0))),"CHECK","OK"))</f>
        <v/>
      </c>
      <c r="AL88" s="4" t="str">
        <f aca="false">IF($A88="","",IFERROR(VLOOKUP($C88,Dim_Fund!$A:$U,21,0),""))</f>
        <v/>
      </c>
      <c r="AM88" s="4" t="str">
        <f aca="false">IF($A88="","",IF($U88="","",IF($U88&gt;$B88+IFERROR(VLOOKUP($C88,Dim_Fund!$A:$AH,34,0),0)/24,"Yes","No")))</f>
        <v/>
      </c>
      <c r="AN88" s="22" t="str">
        <f aca="false">IF($A88="","",IFERROR(VLOOKUP($C88,Dim_Fund!$A:$AH,34,0),""))</f>
        <v/>
      </c>
      <c r="AO88" s="22" t="str">
        <f aca="false">IF($A88="","",IF($AL88="","",IFERROR(FLOOR(IF(COUNTIFS(Fact_Milestone!$A:$A,$B88,Fact_Milestone!$B:$B,$AL88,Fact_Milestone!$F:$F,"&gt;0")&gt;0,_xlfn.MINIFS(Fact_Milestone!$F:$F,Fact_Milestone!$A:$A,$B88,Fact_Milestone!$B:$B,$AL88,Fact_Milestone!$F:$F,"&gt;0"),VLOOKUP($AL88,Dim_TOP!$A:$E,5,0)),0.5),"")))</f>
        <v/>
      </c>
      <c r="AP88" s="22" t="str">
        <f aca="false">IF($A88="","",IF($U88="","",ROUND(($U88-INT($U88))*24,4)))</f>
        <v/>
      </c>
      <c r="AQ88" s="22" t="str">
        <f aca="false">IF($A88="","",IF($W88="","",ROUND(($W88-INT($W88))*24,4)))</f>
        <v/>
      </c>
      <c r="AR88" s="22" t="str">
        <f aca="false">IF($A88="","",IF($X88="","",ROUND(($X88-INT($X88))*24,4)))</f>
        <v/>
      </c>
      <c r="AS88" s="38" t="str">
        <f aca="false">IF($A88="","",IF(OR($AN88="",$V88="",$S88="",$T88=""),"",ROUND(($V88-($B88+$AN88/24))*1440-$S88-$T88,0)))</f>
        <v/>
      </c>
      <c r="AT88" s="38" t="str">
        <f aca="false">IF($A88="","",IF(OR($AN88="",$U88=""),"",ROUND(($U88-($B88+$AN88/24))*1440,0)))</f>
        <v/>
      </c>
      <c r="AU88" s="38" t="str">
        <f aca="false">IF($A88="","",IF(OR($AD88="",$S88=""),"",ROUND($AD88-$S88,0)))</f>
        <v/>
      </c>
      <c r="AV88" s="38" t="str">
        <f aca="false">IF($A88="","",N($AE88))</f>
        <v/>
      </c>
      <c r="AW88" s="38" t="str">
        <f aca="false">IF($A88="","",IF(OR($AF88="",$T88=""),"",$AF88-$T88))</f>
        <v/>
      </c>
      <c r="AX88" s="38" t="str">
        <f aca="false">IF($A88="","",IF(COUNT($AT88,$AB88,$AU88,$AW88,$AS88,$AH88)&lt;6,"",ROUND($AT88+$AB88+$AU88+$AV88+$AW88-$AS88-$AH88,0)))</f>
        <v/>
      </c>
      <c r="AY88" s="4" t="str">
        <f aca="false">IF($A88="","",IF($AX88="","No",IF(ABS($AX88)&lt;=2,"Yes","No")))</f>
        <v/>
      </c>
      <c r="AZ88" s="4" t="str">
        <f aca="false">IF($A88="","",IF($AI88&lt;&gt;"Yes","n/a",IF(OR($AA88="",$S88="",$T88=""),"Unknown",IF($AA88&lt;$S88+$T88,"Lost on arrival","Lost after arrival"))))</f>
        <v/>
      </c>
      <c r="BA88" s="10" t="str">
        <f aca="false">IF($A88="","",IFERROR(VLOOKUP($C88,Dim_Fund!$A:$D,4,0),""))</f>
        <v/>
      </c>
      <c r="BB88" s="10" t="str">
        <f aca="false">IF($A88="","",IF($AL88="","",IF(COUNTIFS(Fact_Milestone!$A:$A,$B88,Fact_Milestone!$B:$B,$AL88,Fact_Milestone!$I:$I,"No")&gt;0,"No",IF(COUNTIFS(Fact_Milestone!$A:$A,$B88,Fact_Milestone!$B:$B,$AL88,Fact_Milestone!$I:$I,"Yes")&gt;0,"Yes",""))))</f>
        <v/>
      </c>
      <c r="BC88" s="45" t="str">
        <f aca="false">IF($A88="","",IF(OR($L88="",$W88=""),"",IF(COUNTIFS($L:$L,$L88,$B:$B,$B88,$W:$W,"&lt;"&amp;$W88)=0,"",_xlfn.MAXIFS($W:$W,$L:$L,$L88,$B:$B,$B88,$W:$W,"&lt;"&amp;$W88))))</f>
        <v/>
      </c>
      <c r="BD88" s="39" t="str">
        <f aca="false">IF($A88="","",IF($AC88="","",IF(OR($L88="",$AC88=0),0,MIN($AC88,ROUND(ROUND(1440*SUMPRODUCT(($L$2:INDEX($L:$L,COUNTA($C:$C))=$L88)*($B$2:INDEX($B:$B,COUNTA($C:$C))=$B88)*(ROW($L$2:INDEX($L:$L,COUNTA($C:$C)))&lt;&gt;ROW())*((((($W88+$BT$2:INDEX($BT:$BT,COUNTA($C:$C))-ABS($W88-$BT$2:INDEX($BT:$BT,COUNTA($C:$C))))/2)-(($U88+$BS$2:INDEX($BS:$BS,COUNTA($C:$C))+ABS($U88-$BS$2:INDEX($BS:$BS,COUNTA($C:$C))))/2))+ABS(((($W88+$BT$2:INDEX($BT:$BT,COUNTA($C:$C))-ABS($W88-$BT$2:INDEX($BT:$BT,COUNTA($C:$C))))/2)-(($U88+$BS$2:INDEX($BS:$BS,COUNTA($C:$C))+ABS($U88-$BS$2:INDEX($BS:$BS,COUNTA($C:$C))))/2))))/2)),4),0)))))</f>
        <v/>
      </c>
      <c r="BE88" s="39" t="str">
        <f aca="false">IF($A88="","",IF($AC88="","",ROUND(MIN($AC88-$BD88,N($R88)),0)))</f>
        <v/>
      </c>
      <c r="BF88" s="10" t="str">
        <f aca="false">IF($A88="","",IFERROR(VLOOKUP($C88,Dim_Fund!$A:$BD,56,0),""))</f>
        <v/>
      </c>
      <c r="BG88" s="10" t="str">
        <f aca="false">IF($A88="","",IFERROR(VLOOKUP($C88,Dim_Fund!$A:$BH,60,0),""))</f>
        <v/>
      </c>
      <c r="BH88" s="10" t="str">
        <f aca="false">IF($A88="","",IF($AI88&lt;&gt;"Yes","Not breached",IF($AM88="Yes","Pricing late",IF($BG88="Thin custody slack","Thin custody slack",IF($BF88="Yes","Broker-dependent","None of these")))))</f>
        <v/>
      </c>
      <c r="BI88" s="23" t="str">
        <f aca="false">IF($A88="","",IFERROR(IF(VLOOKUP($C88,Dim_Fund!$A:$AI,35,0)&gt;0,VLOOKUP($C88,Dim_Fund!$A:$AI,35,0),""),""))</f>
        <v/>
      </c>
      <c r="BJ88" s="10" t="str">
        <f aca="false">IF($A88="","",$C88&amp;IF($E88="Client","*",""))</f>
        <v/>
      </c>
      <c r="BK88" s="39" t="str">
        <f aca="false">IF($A88="","",IFERROR(ROUND(($Y88-$X88)*1440,0),""))</f>
        <v/>
      </c>
      <c r="BL88" s="39" t="str">
        <f aca="false">IF($A88="","",IF($AH88="","",-$AH88))</f>
        <v/>
      </c>
      <c r="BM88" s="46" t="str">
        <f aca="false">IF($A88="","",IF($AQ88="","",IF($AP88="",$AQ88,MIN($AP88,$AQ88))))</f>
        <v/>
      </c>
      <c r="BN88" s="46" t="str">
        <f aca="false">IF($A88="","",IF($BM88="","",ROUND(N($AC88)/60,4)))</f>
        <v/>
      </c>
      <c r="BO88" s="46" t="str">
        <f aca="false">IF($A88="","",IF(OR($BM88="",$AD88=""),"",ROUND($AD88/60,4)))</f>
        <v/>
      </c>
      <c r="BP88" s="46" t="str">
        <f aca="false">IF($A88="","",IF($BM88="","",ROUND(N($AE88)/60,4)))</f>
        <v/>
      </c>
      <c r="BQ88" s="46" t="str">
        <f aca="false">IF($A88="","",IF(OR($BM88="",$AF88=""),"",ROUND($AF88/60,4)))</f>
        <v/>
      </c>
      <c r="BR88" s="39" t="str">
        <f aca="false">IF($A88="","",IF($AC88="","",$AC88-$BD88-$BE88))</f>
        <v/>
      </c>
      <c r="BS88" s="45" t="str">
        <f aca="false">IF($A88="","",IF(AND(ISNUMBER($Z88),ISNUMBER($W88)),$Z88,0))</f>
        <v/>
      </c>
      <c r="BT88" s="45" t="str">
        <f aca="false">IF($A88="","",IF(ISNUMBER($W88),$W88,0))</f>
        <v/>
      </c>
      <c r="BU88" s="23" t="str">
        <f aca="false">IF($A88="","",IF(ISNUMBER($W88),ROUND(($W88-$B88)*24,4),""))</f>
        <v/>
      </c>
      <c r="BV88" s="23" t="str">
        <f aca="false">IF($A88="","",IF(ISNUMBER($X88),ROUND(($X88-$B88)*24,4),""))</f>
        <v/>
      </c>
      <c r="BW88" s="10" t="str">
        <f aca="false">IF($A88="","",IF(NOT(ISNUMBER($W88)),"Missing Calculated",IF(NOT(ISNUMBER($X88)),IF($E88="Client","Missing FA signed off","Missing Controlled"),IF($X88&lt;$W88,"End before start","OK"))))</f>
        <v/>
      </c>
      <c r="BX88" s="23" t="str">
        <f aca="false">IF($A88="","",IF(NOT(ISNUMBER($Z88)),"",ROUND((IF(ISNUMBER($U88),MIN($U88,$Z88),$Z88)-$B88)*24,4)))</f>
        <v/>
      </c>
      <c r="BY88" s="23" t="str">
        <f aca="false">IF($A88="","",IF(ISNUMBER($Z88),ROUND(($Z88-$B88)*24,4),""))</f>
        <v/>
      </c>
      <c r="BZ88" s="23" t="str">
        <f aca="false">IF($A88="","",IF(AND(ISNUMBER($W88),ISNUMBER($S88)),ROUND(($W88+$S88/1440-$B88)*24,4),""))</f>
        <v/>
      </c>
    </row>
    <row r="89" customFormat="false" ht="15" hidden="false" customHeight="true" outlineLevel="0" collapsed="false">
      <c r="A89" s="47"/>
      <c r="B89" s="47"/>
      <c r="D89" s="4" t="str">
        <f aca="false">IF($A89="","",$B89-$A89)</f>
        <v/>
      </c>
      <c r="E89" s="4" t="str">
        <f aca="false">IF($A89="","",IFERROR(VLOOKUP($C89,Dim_Fund!$A:$X,24,0),""))</f>
        <v/>
      </c>
      <c r="F89" s="37" t="str">
        <f aca="false">IF($A89="","",IF(COUNTIFS(Status_Log!$A:$A,$A89,Status_Log!$B:$B,$B89,Status_Log!$C:$C,$C89,Status_Log!$D:$D,"Changed to the status of Calculated")=0,"",_xlfn.MINIFS(Status_Log!$E:$E,Status_Log!$A:$A,$A89,Status_Log!$B:$B,$B89,Status_Log!$C:$C,$C89,Status_Log!$D:$D,"Changed to the status of Calculated")))</f>
        <v/>
      </c>
      <c r="G89" s="37" t="str">
        <f aca="false">IF($A89="","",IF(COUNTIFS(Status_Log!$A:$A,$A89,Status_Log!$B:$B,$B89,Status_Log!$C:$C,$C89,Status_Log!$D:$D,"Changed to the status of Controlled")=0,"",_xlfn.MAXIFS(Status_Log!$E:$E,Status_Log!$A:$A,$A89,Status_Log!$B:$B,$B89,Status_Log!$C:$C,$C89,Status_Log!$D:$D,"Changed to the status of Controlled")))</f>
        <v/>
      </c>
      <c r="H89" s="37" t="str">
        <f aca="false">IF($A89="","",IF(COUNTIFS(Status_Log!$A:$A,$A89,Status_Log!$B:$B,$B89,Status_Log!$C:$C,$C89,Status_Log!$D:$D,"Changed to the status of Fund accounting signed off")=0,"",_xlfn.MAXIFS(Status_Log!$E:$E,Status_Log!$A:$A,$A89,Status_Log!$B:$B,$B89,Status_Log!$C:$C,$C89,Status_Log!$D:$D,"Changed to the status of Fund accounting signed off")))</f>
        <v/>
      </c>
      <c r="I89" s="37" t="str">
        <f aca="false">IF($A89="","",IF(COUNTIFS(Status_Log!$A:$A,$A89,Status_Log!$B:$B,$B89,Status_Log!$C:$C,$C89,Status_Log!$D:$D,"Changed to the status of signed off")=0,"",_xlfn.MAXIFS(Status_Log!$E:$E,Status_Log!$A:$A,$A89,Status_Log!$B:$B,$B89,Status_Log!$C:$C,$C89,Status_Log!$D:$D,"Changed to the status of signed off")))</f>
        <v/>
      </c>
      <c r="J89" s="4" t="str">
        <f aca="false">IF($A89="","",COUNTIFS(Status_Log!$A:$A,$A89,Status_Log!$B:$B,$B89,Status_Log!$C:$C,$C89,Status_Log!$D:$D,"Changed to the status of Calculated"))</f>
        <v/>
      </c>
      <c r="K89" s="38" t="str">
        <f aca="false">IF($A89="","",IF(J89&lt;=1,0,ROUND((_xlfn.MAXIFS(Status_Log!$E:$E,Status_Log!$A:$A,$A89,Status_Log!$B:$B,$B89,Status_Log!$C:$C,$C89,Status_Log!$D:$D,"Changed to the status of Calculated")-F89)*1440,0)))</f>
        <v/>
      </c>
      <c r="L89" s="4" t="str">
        <f aca="false">IF($A89="","",IFERROR(INDEX(Status_Log!$F:$F,MATCH($A89&amp;"|"&amp;$B89&amp;"|"&amp;$C89&amp;"|Changed to the status of Calculated|"&amp;TEXT(_xlfn.MAXIFS(Status_Log!$E:$E,Status_Log!$A:$A,$A89,Status_Log!$B:$B,$B89,Status_Log!$C:$C,$C89,Status_Log!$D:$D,"Changed to the status of Calculated"),"0.000000"),Status_Log!$H:$H,0)),""))</f>
        <v/>
      </c>
      <c r="M89" s="4" t="str">
        <f aca="false">IF($A89="","",IF(E89="Client","n/a — no control step",IFERROR(INDEX(Status_Log!$F:$F,MATCH($A89&amp;"|"&amp;$B89&amp;"|"&amp;$C89&amp;"|Changed to the status of Controlled|"&amp;TEXT(_xlfn.MAXIFS(Status_Log!$E:$E,Status_Log!$A:$A,$A89,Status_Log!$B:$B,$B89,Status_Log!$C:$C,$C89,Status_Log!$D:$D,"Changed to the status of Controlled"),"0.000000"),Status_Log!$H:$H,0)),"")))</f>
        <v/>
      </c>
      <c r="N89" s="4" t="str">
        <f aca="false">IF($A89="","",IFERROR(VLOOKUP($C89,Dim_Fund!$A:$G,7,0),""))</f>
        <v/>
      </c>
      <c r="O89" s="4" t="str">
        <f aca="false">IF($A89="","",IF(L89=N89,"No","Yes"))</f>
        <v/>
      </c>
      <c r="P89" s="4" t="str">
        <f aca="false">IF($A89="","",IF(E89="Client","n/a",IF(L89=M89,"YES — four-eyes breach","No")))</f>
        <v/>
      </c>
      <c r="Q89" s="38" t="str">
        <f aca="false">IF($A89="","",IFERROR(VLOOKUP($C89,Dim_Fund!$A:$AB,28,0),""))</f>
        <v/>
      </c>
      <c r="R89" s="38" t="str">
        <f aca="false">IF($A89="","",IFERROR(VLOOKUP($C89,Dim_Fund!$A:$AC,29,0),""))</f>
        <v/>
      </c>
      <c r="S89" s="38" t="str">
        <f aca="false">IF($A89="","",IFERROR(VLOOKUP($C89,Dim_Fund!$A:$AD,30,0),""))</f>
        <v/>
      </c>
      <c r="T89" s="38" t="str">
        <f aca="false">IF($A89="","",IFERROR(VLOOKUP($C89,Dim_Fund!$A:$AL,38,0),""))</f>
        <v/>
      </c>
      <c r="U89" s="37" t="str">
        <f aca="false">IF($A89="","",IF(AL89="","",IFERROR(IF(COUNTIFS(Fact_Milestone!$A:$A,$B89,Fact_Milestone!$B:$B,AL89)=0,"",_xlfn.MAXIFS(Fact_Milestone!$C:$C,Fact_Milestone!$A:$A,$B89,Fact_Milestone!$B:$B,AL89)),"")))</f>
        <v/>
      </c>
      <c r="V89" s="37" t="str">
        <f aca="false">IF($A89="","",IFERROR(IF(VLOOKUP($C89,Dim_Fund!$A:$AI,35,0)&gt;0,$B89+VLOOKUP($C89,Dim_Fund!$A:$AI,35,0)/24,""),""))</f>
        <v/>
      </c>
      <c r="W89" s="37" t="str">
        <f aca="false">IF($A89="","",F89)</f>
        <v/>
      </c>
      <c r="X89" s="37" t="str">
        <f aca="false">IF($A89="","",IF(E89="Client",H89,G89))</f>
        <v/>
      </c>
      <c r="Y89" s="37" t="str">
        <f aca="false">IF($A89="","",I89)</f>
        <v/>
      </c>
      <c r="Z89" s="37" t="str">
        <f aca="false">IF($A89="","",IFERROR(W89-R89/1440,""))</f>
        <v/>
      </c>
      <c r="AA89" s="38" t="str">
        <f aca="false">IF($A89="","",IF(OR(U89="",V89=""),"",ROUND((V89-U89)*1440,0)))</f>
        <v/>
      </c>
      <c r="AB89" s="38" t="str">
        <f aca="false">IF($A89="","",IF(U89="","",ROUND((W89-U89)*1440,0)))</f>
        <v/>
      </c>
      <c r="AC89" s="38" t="str">
        <f aca="false">IF($A89="","",IF(AB89="","",MAX(0,AB89)))</f>
        <v/>
      </c>
      <c r="AD89" s="38" t="str">
        <f aca="false">IF($A89="","",IFERROR(ROUND((X89-W89)*1440,0),""))</f>
        <v/>
      </c>
      <c r="AE89" s="38" t="str">
        <f aca="false">IF($A89="","",IF(E89="Client","n/a",IFERROR(ROUND((H89-G89)*1440,0),"")))</f>
        <v/>
      </c>
      <c r="AF89" s="38" t="str">
        <f aca="false">IF($A89="","",IFERROR(ROUND((Y89-H89)*1440,0),""))</f>
        <v/>
      </c>
      <c r="AG89" s="38" t="str">
        <f aca="false">IF($A89="","",IFERROR(ROUND((H89-F89)*1440,0),""))</f>
        <v/>
      </c>
      <c r="AH89" s="38" t="str">
        <f aca="false">IF($A89="","",IFERROR(ROUND((Y89-V89)*1440,0),""))</f>
        <v/>
      </c>
      <c r="AI89" s="4" t="str">
        <f aca="false">IF($A89="","",IF(AH89="","",IF(AH89&gt;0,"Yes","No")))</f>
        <v/>
      </c>
      <c r="AJ89" s="4" t="str">
        <f aca="false">IF($A89="","",IF(AI89&lt;&gt;"Yes","On time",IF(N(AC89)&gt;=MAX(N(AF89),N(K89)),"Wait for analyst",IF(N(AF89)&gt;=N(K89),"External sign-off","Rework"))))</f>
        <v/>
      </c>
      <c r="AK89" s="4" t="str">
        <f aca="false">IF($A89="","",IF(OR(F89="",Y89="",ISNA(MATCH(L89,Dim_Analyst!$A:$A,0))),"CHECK","OK"))</f>
        <v/>
      </c>
      <c r="AL89" s="4" t="str">
        <f aca="false">IF($A89="","",IFERROR(VLOOKUP($C89,Dim_Fund!$A:$U,21,0),""))</f>
        <v/>
      </c>
      <c r="AM89" s="4" t="str">
        <f aca="false">IF($A89="","",IF($U89="","",IF($U89&gt;$B89+IFERROR(VLOOKUP($C89,Dim_Fund!$A:$AH,34,0),0)/24,"Yes","No")))</f>
        <v/>
      </c>
      <c r="AN89" s="22" t="str">
        <f aca="false">IF($A89="","",IFERROR(VLOOKUP($C89,Dim_Fund!$A:$AH,34,0),""))</f>
        <v/>
      </c>
      <c r="AO89" s="22" t="str">
        <f aca="false">IF($A89="","",IF($AL89="","",IFERROR(FLOOR(IF(COUNTIFS(Fact_Milestone!$A:$A,$B89,Fact_Milestone!$B:$B,$AL89,Fact_Milestone!$F:$F,"&gt;0")&gt;0,_xlfn.MINIFS(Fact_Milestone!$F:$F,Fact_Milestone!$A:$A,$B89,Fact_Milestone!$B:$B,$AL89,Fact_Milestone!$F:$F,"&gt;0"),VLOOKUP($AL89,Dim_TOP!$A:$E,5,0)),0.5),"")))</f>
        <v/>
      </c>
      <c r="AP89" s="22" t="str">
        <f aca="false">IF($A89="","",IF($U89="","",ROUND(($U89-INT($U89))*24,4)))</f>
        <v/>
      </c>
      <c r="AQ89" s="22" t="str">
        <f aca="false">IF($A89="","",IF($W89="","",ROUND(($W89-INT($W89))*24,4)))</f>
        <v/>
      </c>
      <c r="AR89" s="22" t="str">
        <f aca="false">IF($A89="","",IF($X89="","",ROUND(($X89-INT($X89))*24,4)))</f>
        <v/>
      </c>
      <c r="AS89" s="38" t="str">
        <f aca="false">IF($A89="","",IF(OR($AN89="",$V89="",$S89="",$T89=""),"",ROUND(($V89-($B89+$AN89/24))*1440-$S89-$T89,0)))</f>
        <v/>
      </c>
      <c r="AT89" s="38" t="str">
        <f aca="false">IF($A89="","",IF(OR($AN89="",$U89=""),"",ROUND(($U89-($B89+$AN89/24))*1440,0)))</f>
        <v/>
      </c>
      <c r="AU89" s="38" t="str">
        <f aca="false">IF($A89="","",IF(OR($AD89="",$S89=""),"",ROUND($AD89-$S89,0)))</f>
        <v/>
      </c>
      <c r="AV89" s="38" t="str">
        <f aca="false">IF($A89="","",N($AE89))</f>
        <v/>
      </c>
      <c r="AW89" s="38" t="str">
        <f aca="false">IF($A89="","",IF(OR($AF89="",$T89=""),"",$AF89-$T89))</f>
        <v/>
      </c>
      <c r="AX89" s="38" t="str">
        <f aca="false">IF($A89="","",IF(COUNT($AT89,$AB89,$AU89,$AW89,$AS89,$AH89)&lt;6,"",ROUND($AT89+$AB89+$AU89+$AV89+$AW89-$AS89-$AH89,0)))</f>
        <v/>
      </c>
      <c r="AY89" s="4" t="str">
        <f aca="false">IF($A89="","",IF($AX89="","No",IF(ABS($AX89)&lt;=2,"Yes","No")))</f>
        <v/>
      </c>
      <c r="AZ89" s="4" t="str">
        <f aca="false">IF($A89="","",IF($AI89&lt;&gt;"Yes","n/a",IF(OR($AA89="",$S89="",$T89=""),"Unknown",IF($AA89&lt;$S89+$T89,"Lost on arrival","Lost after arrival"))))</f>
        <v/>
      </c>
      <c r="BA89" s="10" t="str">
        <f aca="false">IF($A89="","",IFERROR(VLOOKUP($C89,Dim_Fund!$A:$D,4,0),""))</f>
        <v/>
      </c>
      <c r="BB89" s="10" t="str">
        <f aca="false">IF($A89="","",IF($AL89="","",IF(COUNTIFS(Fact_Milestone!$A:$A,$B89,Fact_Milestone!$B:$B,$AL89,Fact_Milestone!$I:$I,"No")&gt;0,"No",IF(COUNTIFS(Fact_Milestone!$A:$A,$B89,Fact_Milestone!$B:$B,$AL89,Fact_Milestone!$I:$I,"Yes")&gt;0,"Yes",""))))</f>
        <v/>
      </c>
      <c r="BC89" s="45" t="str">
        <f aca="false">IF($A89="","",IF(OR($L89="",$W89=""),"",IF(COUNTIFS($L:$L,$L89,$B:$B,$B89,$W:$W,"&lt;"&amp;$W89)=0,"",_xlfn.MAXIFS($W:$W,$L:$L,$L89,$B:$B,$B89,$W:$W,"&lt;"&amp;$W89))))</f>
        <v/>
      </c>
      <c r="BD89" s="39" t="str">
        <f aca="false">IF($A89="","",IF($AC89="","",IF(OR($L89="",$AC89=0),0,MIN($AC89,ROUND(ROUND(1440*SUMPRODUCT(($L$2:INDEX($L:$L,COUNTA($C:$C))=$L89)*($B$2:INDEX($B:$B,COUNTA($C:$C))=$B89)*(ROW($L$2:INDEX($L:$L,COUNTA($C:$C)))&lt;&gt;ROW())*((((($W89+$BT$2:INDEX($BT:$BT,COUNTA($C:$C))-ABS($W89-$BT$2:INDEX($BT:$BT,COUNTA($C:$C))))/2)-(($U89+$BS$2:INDEX($BS:$BS,COUNTA($C:$C))+ABS($U89-$BS$2:INDEX($BS:$BS,COUNTA($C:$C))))/2))+ABS(((($W89+$BT$2:INDEX($BT:$BT,COUNTA($C:$C))-ABS($W89-$BT$2:INDEX($BT:$BT,COUNTA($C:$C))))/2)-(($U89+$BS$2:INDEX($BS:$BS,COUNTA($C:$C))+ABS($U89-$BS$2:INDEX($BS:$BS,COUNTA($C:$C))))/2))))/2)),4),0)))))</f>
        <v/>
      </c>
      <c r="BE89" s="39" t="str">
        <f aca="false">IF($A89="","",IF($AC89="","",ROUND(MIN($AC89-$BD89,N($R89)),0)))</f>
        <v/>
      </c>
      <c r="BF89" s="10" t="str">
        <f aca="false">IF($A89="","",IFERROR(VLOOKUP($C89,Dim_Fund!$A:$BD,56,0),""))</f>
        <v/>
      </c>
      <c r="BG89" s="10" t="str">
        <f aca="false">IF($A89="","",IFERROR(VLOOKUP($C89,Dim_Fund!$A:$BH,60,0),""))</f>
        <v/>
      </c>
      <c r="BH89" s="10" t="str">
        <f aca="false">IF($A89="","",IF($AI89&lt;&gt;"Yes","Not breached",IF($AM89="Yes","Pricing late",IF($BG89="Thin custody slack","Thin custody slack",IF($BF89="Yes","Broker-dependent","None of these")))))</f>
        <v/>
      </c>
      <c r="BI89" s="23" t="str">
        <f aca="false">IF($A89="","",IFERROR(IF(VLOOKUP($C89,Dim_Fund!$A:$AI,35,0)&gt;0,VLOOKUP($C89,Dim_Fund!$A:$AI,35,0),""),""))</f>
        <v/>
      </c>
      <c r="BJ89" s="10" t="str">
        <f aca="false">IF($A89="","",$C89&amp;IF($E89="Client","*",""))</f>
        <v/>
      </c>
      <c r="BK89" s="39" t="str">
        <f aca="false">IF($A89="","",IFERROR(ROUND(($Y89-$X89)*1440,0),""))</f>
        <v/>
      </c>
      <c r="BL89" s="39" t="str">
        <f aca="false">IF($A89="","",IF($AH89="","",-$AH89))</f>
        <v/>
      </c>
      <c r="BM89" s="46" t="str">
        <f aca="false">IF($A89="","",IF($AQ89="","",IF($AP89="",$AQ89,MIN($AP89,$AQ89))))</f>
        <v/>
      </c>
      <c r="BN89" s="46" t="str">
        <f aca="false">IF($A89="","",IF($BM89="","",ROUND(N($AC89)/60,4)))</f>
        <v/>
      </c>
      <c r="BO89" s="46" t="str">
        <f aca="false">IF($A89="","",IF(OR($BM89="",$AD89=""),"",ROUND($AD89/60,4)))</f>
        <v/>
      </c>
      <c r="BP89" s="46" t="str">
        <f aca="false">IF($A89="","",IF($BM89="","",ROUND(N($AE89)/60,4)))</f>
        <v/>
      </c>
      <c r="BQ89" s="46" t="str">
        <f aca="false">IF($A89="","",IF(OR($BM89="",$AF89=""),"",ROUND($AF89/60,4)))</f>
        <v/>
      </c>
      <c r="BR89" s="39" t="str">
        <f aca="false">IF($A89="","",IF($AC89="","",$AC89-$BD89-$BE89))</f>
        <v/>
      </c>
      <c r="BS89" s="45" t="str">
        <f aca="false">IF($A89="","",IF(AND(ISNUMBER($Z89),ISNUMBER($W89)),$Z89,0))</f>
        <v/>
      </c>
      <c r="BT89" s="45" t="str">
        <f aca="false">IF($A89="","",IF(ISNUMBER($W89),$W89,0))</f>
        <v/>
      </c>
      <c r="BU89" s="23" t="str">
        <f aca="false">IF($A89="","",IF(ISNUMBER($W89),ROUND(($W89-$B89)*24,4),""))</f>
        <v/>
      </c>
      <c r="BV89" s="23" t="str">
        <f aca="false">IF($A89="","",IF(ISNUMBER($X89),ROUND(($X89-$B89)*24,4),""))</f>
        <v/>
      </c>
      <c r="BW89" s="10" t="str">
        <f aca="false">IF($A89="","",IF(NOT(ISNUMBER($W89)),"Missing Calculated",IF(NOT(ISNUMBER($X89)),IF($E89="Client","Missing FA signed off","Missing Controlled"),IF($X89&lt;$W89,"End before start","OK"))))</f>
        <v/>
      </c>
      <c r="BX89" s="23" t="str">
        <f aca="false">IF($A89="","",IF(NOT(ISNUMBER($Z89)),"",ROUND((IF(ISNUMBER($U89),MIN($U89,$Z89),$Z89)-$B89)*24,4)))</f>
        <v/>
      </c>
      <c r="BY89" s="23" t="str">
        <f aca="false">IF($A89="","",IF(ISNUMBER($Z89),ROUND(($Z89-$B89)*24,4),""))</f>
        <v/>
      </c>
      <c r="BZ89" s="23" t="str">
        <f aca="false">IF($A89="","",IF(AND(ISNUMBER($W89),ISNUMBER($S89)),ROUND(($W89+$S89/1440-$B89)*24,4),""))</f>
        <v/>
      </c>
    </row>
    <row r="90" customFormat="false" ht="15" hidden="false" customHeight="true" outlineLevel="0" collapsed="false">
      <c r="A90" s="47"/>
      <c r="B90" s="47"/>
      <c r="D90" s="4" t="str">
        <f aca="false">IF($A90="","",$B90-$A90)</f>
        <v/>
      </c>
      <c r="E90" s="4" t="str">
        <f aca="false">IF($A90="","",IFERROR(VLOOKUP($C90,Dim_Fund!$A:$X,24,0),""))</f>
        <v/>
      </c>
      <c r="F90" s="37" t="str">
        <f aca="false">IF($A90="","",IF(COUNTIFS(Status_Log!$A:$A,$A90,Status_Log!$B:$B,$B90,Status_Log!$C:$C,$C90,Status_Log!$D:$D,"Changed to the status of Calculated")=0,"",_xlfn.MINIFS(Status_Log!$E:$E,Status_Log!$A:$A,$A90,Status_Log!$B:$B,$B90,Status_Log!$C:$C,$C90,Status_Log!$D:$D,"Changed to the status of Calculated")))</f>
        <v/>
      </c>
      <c r="G90" s="37" t="str">
        <f aca="false">IF($A90="","",IF(COUNTIFS(Status_Log!$A:$A,$A90,Status_Log!$B:$B,$B90,Status_Log!$C:$C,$C90,Status_Log!$D:$D,"Changed to the status of Controlled")=0,"",_xlfn.MAXIFS(Status_Log!$E:$E,Status_Log!$A:$A,$A90,Status_Log!$B:$B,$B90,Status_Log!$C:$C,$C90,Status_Log!$D:$D,"Changed to the status of Controlled")))</f>
        <v/>
      </c>
      <c r="H90" s="37" t="str">
        <f aca="false">IF($A90="","",IF(COUNTIFS(Status_Log!$A:$A,$A90,Status_Log!$B:$B,$B90,Status_Log!$C:$C,$C90,Status_Log!$D:$D,"Changed to the status of Fund accounting signed off")=0,"",_xlfn.MAXIFS(Status_Log!$E:$E,Status_Log!$A:$A,$A90,Status_Log!$B:$B,$B90,Status_Log!$C:$C,$C90,Status_Log!$D:$D,"Changed to the status of Fund accounting signed off")))</f>
        <v/>
      </c>
      <c r="I90" s="37" t="str">
        <f aca="false">IF($A90="","",IF(COUNTIFS(Status_Log!$A:$A,$A90,Status_Log!$B:$B,$B90,Status_Log!$C:$C,$C90,Status_Log!$D:$D,"Changed to the status of signed off")=0,"",_xlfn.MAXIFS(Status_Log!$E:$E,Status_Log!$A:$A,$A90,Status_Log!$B:$B,$B90,Status_Log!$C:$C,$C90,Status_Log!$D:$D,"Changed to the status of signed off")))</f>
        <v/>
      </c>
      <c r="J90" s="4" t="str">
        <f aca="false">IF($A90="","",COUNTIFS(Status_Log!$A:$A,$A90,Status_Log!$B:$B,$B90,Status_Log!$C:$C,$C90,Status_Log!$D:$D,"Changed to the status of Calculated"))</f>
        <v/>
      </c>
      <c r="K90" s="38" t="str">
        <f aca="false">IF($A90="","",IF(J90&lt;=1,0,ROUND((_xlfn.MAXIFS(Status_Log!$E:$E,Status_Log!$A:$A,$A90,Status_Log!$B:$B,$B90,Status_Log!$C:$C,$C90,Status_Log!$D:$D,"Changed to the status of Calculated")-F90)*1440,0)))</f>
        <v/>
      </c>
      <c r="L90" s="4" t="str">
        <f aca="false">IF($A90="","",IFERROR(INDEX(Status_Log!$F:$F,MATCH($A90&amp;"|"&amp;$B90&amp;"|"&amp;$C90&amp;"|Changed to the status of Calculated|"&amp;TEXT(_xlfn.MAXIFS(Status_Log!$E:$E,Status_Log!$A:$A,$A90,Status_Log!$B:$B,$B90,Status_Log!$C:$C,$C90,Status_Log!$D:$D,"Changed to the status of Calculated"),"0.000000"),Status_Log!$H:$H,0)),""))</f>
        <v/>
      </c>
      <c r="M90" s="4" t="str">
        <f aca="false">IF($A90="","",IF(E90="Client","n/a — no control step",IFERROR(INDEX(Status_Log!$F:$F,MATCH($A90&amp;"|"&amp;$B90&amp;"|"&amp;$C90&amp;"|Changed to the status of Controlled|"&amp;TEXT(_xlfn.MAXIFS(Status_Log!$E:$E,Status_Log!$A:$A,$A90,Status_Log!$B:$B,$B90,Status_Log!$C:$C,$C90,Status_Log!$D:$D,"Changed to the status of Controlled"),"0.000000"),Status_Log!$H:$H,0)),"")))</f>
        <v/>
      </c>
      <c r="N90" s="4" t="str">
        <f aca="false">IF($A90="","",IFERROR(VLOOKUP($C90,Dim_Fund!$A:$G,7,0),""))</f>
        <v/>
      </c>
      <c r="O90" s="4" t="str">
        <f aca="false">IF($A90="","",IF(L90=N90,"No","Yes"))</f>
        <v/>
      </c>
      <c r="P90" s="4" t="str">
        <f aca="false">IF($A90="","",IF(E90="Client","n/a",IF(L90=M90,"YES — four-eyes breach","No")))</f>
        <v/>
      </c>
      <c r="Q90" s="38" t="str">
        <f aca="false">IF($A90="","",IFERROR(VLOOKUP($C90,Dim_Fund!$A:$AB,28,0),""))</f>
        <v/>
      </c>
      <c r="R90" s="38" t="str">
        <f aca="false">IF($A90="","",IFERROR(VLOOKUP($C90,Dim_Fund!$A:$AC,29,0),""))</f>
        <v/>
      </c>
      <c r="S90" s="38" t="str">
        <f aca="false">IF($A90="","",IFERROR(VLOOKUP($C90,Dim_Fund!$A:$AD,30,0),""))</f>
        <v/>
      </c>
      <c r="T90" s="38" t="str">
        <f aca="false">IF($A90="","",IFERROR(VLOOKUP($C90,Dim_Fund!$A:$AL,38,0),""))</f>
        <v/>
      </c>
      <c r="U90" s="37" t="str">
        <f aca="false">IF($A90="","",IF(AL90="","",IFERROR(IF(COUNTIFS(Fact_Milestone!$A:$A,$B90,Fact_Milestone!$B:$B,AL90)=0,"",_xlfn.MAXIFS(Fact_Milestone!$C:$C,Fact_Milestone!$A:$A,$B90,Fact_Milestone!$B:$B,AL90)),"")))</f>
        <v/>
      </c>
      <c r="V90" s="37" t="str">
        <f aca="false">IF($A90="","",IFERROR(IF(VLOOKUP($C90,Dim_Fund!$A:$AI,35,0)&gt;0,$B90+VLOOKUP($C90,Dim_Fund!$A:$AI,35,0)/24,""),""))</f>
        <v/>
      </c>
      <c r="W90" s="37" t="str">
        <f aca="false">IF($A90="","",F90)</f>
        <v/>
      </c>
      <c r="X90" s="37" t="str">
        <f aca="false">IF($A90="","",IF(E90="Client",H90,G90))</f>
        <v/>
      </c>
      <c r="Y90" s="37" t="str">
        <f aca="false">IF($A90="","",I90)</f>
        <v/>
      </c>
      <c r="Z90" s="37" t="str">
        <f aca="false">IF($A90="","",IFERROR(W90-R90/1440,""))</f>
        <v/>
      </c>
      <c r="AA90" s="38" t="str">
        <f aca="false">IF($A90="","",IF(OR(U90="",V90=""),"",ROUND((V90-U90)*1440,0)))</f>
        <v/>
      </c>
      <c r="AB90" s="38" t="str">
        <f aca="false">IF($A90="","",IF(U90="","",ROUND((W90-U90)*1440,0)))</f>
        <v/>
      </c>
      <c r="AC90" s="38" t="str">
        <f aca="false">IF($A90="","",IF(AB90="","",MAX(0,AB90)))</f>
        <v/>
      </c>
      <c r="AD90" s="38" t="str">
        <f aca="false">IF($A90="","",IFERROR(ROUND((X90-W90)*1440,0),""))</f>
        <v/>
      </c>
      <c r="AE90" s="38" t="str">
        <f aca="false">IF($A90="","",IF(E90="Client","n/a",IFERROR(ROUND((H90-G90)*1440,0),"")))</f>
        <v/>
      </c>
      <c r="AF90" s="38" t="str">
        <f aca="false">IF($A90="","",IFERROR(ROUND((Y90-H90)*1440,0),""))</f>
        <v/>
      </c>
      <c r="AG90" s="38" t="str">
        <f aca="false">IF($A90="","",IFERROR(ROUND((H90-F90)*1440,0),""))</f>
        <v/>
      </c>
      <c r="AH90" s="38" t="str">
        <f aca="false">IF($A90="","",IFERROR(ROUND((Y90-V90)*1440,0),""))</f>
        <v/>
      </c>
      <c r="AI90" s="4" t="str">
        <f aca="false">IF($A90="","",IF(AH90="","",IF(AH90&gt;0,"Yes","No")))</f>
        <v/>
      </c>
      <c r="AJ90" s="4" t="str">
        <f aca="false">IF($A90="","",IF(AI90&lt;&gt;"Yes","On time",IF(N(AC90)&gt;=MAX(N(AF90),N(K90)),"Wait for analyst",IF(N(AF90)&gt;=N(K90),"External sign-off","Rework"))))</f>
        <v/>
      </c>
      <c r="AK90" s="4" t="str">
        <f aca="false">IF($A90="","",IF(OR(F90="",Y90="",ISNA(MATCH(L90,Dim_Analyst!$A:$A,0))),"CHECK","OK"))</f>
        <v/>
      </c>
      <c r="AL90" s="4" t="str">
        <f aca="false">IF($A90="","",IFERROR(VLOOKUP($C90,Dim_Fund!$A:$U,21,0),""))</f>
        <v/>
      </c>
      <c r="AM90" s="4" t="str">
        <f aca="false">IF($A90="","",IF($U90="","",IF($U90&gt;$B90+IFERROR(VLOOKUP($C90,Dim_Fund!$A:$AH,34,0),0)/24,"Yes","No")))</f>
        <v/>
      </c>
      <c r="AN90" s="22" t="str">
        <f aca="false">IF($A90="","",IFERROR(VLOOKUP($C90,Dim_Fund!$A:$AH,34,0),""))</f>
        <v/>
      </c>
      <c r="AO90" s="22" t="str">
        <f aca="false">IF($A90="","",IF($AL90="","",IFERROR(FLOOR(IF(COUNTIFS(Fact_Milestone!$A:$A,$B90,Fact_Milestone!$B:$B,$AL90,Fact_Milestone!$F:$F,"&gt;0")&gt;0,_xlfn.MINIFS(Fact_Milestone!$F:$F,Fact_Milestone!$A:$A,$B90,Fact_Milestone!$B:$B,$AL90,Fact_Milestone!$F:$F,"&gt;0"),VLOOKUP($AL90,Dim_TOP!$A:$E,5,0)),0.5),"")))</f>
        <v/>
      </c>
      <c r="AP90" s="22" t="str">
        <f aca="false">IF($A90="","",IF($U90="","",ROUND(($U90-INT($U90))*24,4)))</f>
        <v/>
      </c>
      <c r="AQ90" s="22" t="str">
        <f aca="false">IF($A90="","",IF($W90="","",ROUND(($W90-INT($W90))*24,4)))</f>
        <v/>
      </c>
      <c r="AR90" s="22" t="str">
        <f aca="false">IF($A90="","",IF($X90="","",ROUND(($X90-INT($X90))*24,4)))</f>
        <v/>
      </c>
      <c r="AS90" s="38" t="str">
        <f aca="false">IF($A90="","",IF(OR($AN90="",$V90="",$S90="",$T90=""),"",ROUND(($V90-($B90+$AN90/24))*1440-$S90-$T90,0)))</f>
        <v/>
      </c>
      <c r="AT90" s="38" t="str">
        <f aca="false">IF($A90="","",IF(OR($AN90="",$U90=""),"",ROUND(($U90-($B90+$AN90/24))*1440,0)))</f>
        <v/>
      </c>
      <c r="AU90" s="38" t="str">
        <f aca="false">IF($A90="","",IF(OR($AD90="",$S90=""),"",ROUND($AD90-$S90,0)))</f>
        <v/>
      </c>
      <c r="AV90" s="38" t="str">
        <f aca="false">IF($A90="","",N($AE90))</f>
        <v/>
      </c>
      <c r="AW90" s="38" t="str">
        <f aca="false">IF($A90="","",IF(OR($AF90="",$T90=""),"",$AF90-$T90))</f>
        <v/>
      </c>
      <c r="AX90" s="38" t="str">
        <f aca="false">IF($A90="","",IF(COUNT($AT90,$AB90,$AU90,$AW90,$AS90,$AH90)&lt;6,"",ROUND($AT90+$AB90+$AU90+$AV90+$AW90-$AS90-$AH90,0)))</f>
        <v/>
      </c>
      <c r="AY90" s="4" t="str">
        <f aca="false">IF($A90="","",IF($AX90="","No",IF(ABS($AX90)&lt;=2,"Yes","No")))</f>
        <v/>
      </c>
      <c r="AZ90" s="4" t="str">
        <f aca="false">IF($A90="","",IF($AI90&lt;&gt;"Yes","n/a",IF(OR($AA90="",$S90="",$T90=""),"Unknown",IF($AA90&lt;$S90+$T90,"Lost on arrival","Lost after arrival"))))</f>
        <v/>
      </c>
      <c r="BA90" s="10" t="str">
        <f aca="false">IF($A90="","",IFERROR(VLOOKUP($C90,Dim_Fund!$A:$D,4,0),""))</f>
        <v/>
      </c>
      <c r="BB90" s="10" t="str">
        <f aca="false">IF($A90="","",IF($AL90="","",IF(COUNTIFS(Fact_Milestone!$A:$A,$B90,Fact_Milestone!$B:$B,$AL90,Fact_Milestone!$I:$I,"No")&gt;0,"No",IF(COUNTIFS(Fact_Milestone!$A:$A,$B90,Fact_Milestone!$B:$B,$AL90,Fact_Milestone!$I:$I,"Yes")&gt;0,"Yes",""))))</f>
        <v/>
      </c>
      <c r="BC90" s="45" t="str">
        <f aca="false">IF($A90="","",IF(OR($L90="",$W90=""),"",IF(COUNTIFS($L:$L,$L90,$B:$B,$B90,$W:$W,"&lt;"&amp;$W90)=0,"",_xlfn.MAXIFS($W:$W,$L:$L,$L90,$B:$B,$B90,$W:$W,"&lt;"&amp;$W90))))</f>
        <v/>
      </c>
      <c r="BD90" s="39" t="str">
        <f aca="false">IF($A90="","",IF($AC90="","",IF(OR($L90="",$AC90=0),0,MIN($AC90,ROUND(ROUND(1440*SUMPRODUCT(($L$2:INDEX($L:$L,COUNTA($C:$C))=$L90)*($B$2:INDEX($B:$B,COUNTA($C:$C))=$B90)*(ROW($L$2:INDEX($L:$L,COUNTA($C:$C)))&lt;&gt;ROW())*((((($W90+$BT$2:INDEX($BT:$BT,COUNTA($C:$C))-ABS($W90-$BT$2:INDEX($BT:$BT,COUNTA($C:$C))))/2)-(($U90+$BS$2:INDEX($BS:$BS,COUNTA($C:$C))+ABS($U90-$BS$2:INDEX($BS:$BS,COUNTA($C:$C))))/2))+ABS(((($W90+$BT$2:INDEX($BT:$BT,COUNTA($C:$C))-ABS($W90-$BT$2:INDEX($BT:$BT,COUNTA($C:$C))))/2)-(($U90+$BS$2:INDEX($BS:$BS,COUNTA($C:$C))+ABS($U90-$BS$2:INDEX($BS:$BS,COUNTA($C:$C))))/2))))/2)),4),0)))))</f>
        <v/>
      </c>
      <c r="BE90" s="39" t="str">
        <f aca="false">IF($A90="","",IF($AC90="","",ROUND(MIN($AC90-$BD90,N($R90)),0)))</f>
        <v/>
      </c>
      <c r="BF90" s="10" t="str">
        <f aca="false">IF($A90="","",IFERROR(VLOOKUP($C90,Dim_Fund!$A:$BD,56,0),""))</f>
        <v/>
      </c>
      <c r="BG90" s="10" t="str">
        <f aca="false">IF($A90="","",IFERROR(VLOOKUP($C90,Dim_Fund!$A:$BH,60,0),""))</f>
        <v/>
      </c>
      <c r="BH90" s="10" t="str">
        <f aca="false">IF($A90="","",IF($AI90&lt;&gt;"Yes","Not breached",IF($AM90="Yes","Pricing late",IF($BG90="Thin custody slack","Thin custody slack",IF($BF90="Yes","Broker-dependent","None of these")))))</f>
        <v/>
      </c>
      <c r="BI90" s="23" t="str">
        <f aca="false">IF($A90="","",IFERROR(IF(VLOOKUP($C90,Dim_Fund!$A:$AI,35,0)&gt;0,VLOOKUP($C90,Dim_Fund!$A:$AI,35,0),""),""))</f>
        <v/>
      </c>
      <c r="BJ90" s="10" t="str">
        <f aca="false">IF($A90="","",$C90&amp;IF($E90="Client","*",""))</f>
        <v/>
      </c>
      <c r="BK90" s="39" t="str">
        <f aca="false">IF($A90="","",IFERROR(ROUND(($Y90-$X90)*1440,0),""))</f>
        <v/>
      </c>
      <c r="BL90" s="39" t="str">
        <f aca="false">IF($A90="","",IF($AH90="","",-$AH90))</f>
        <v/>
      </c>
      <c r="BM90" s="46" t="str">
        <f aca="false">IF($A90="","",IF($AQ90="","",IF($AP90="",$AQ90,MIN($AP90,$AQ90))))</f>
        <v/>
      </c>
      <c r="BN90" s="46" t="str">
        <f aca="false">IF($A90="","",IF($BM90="","",ROUND(N($AC90)/60,4)))</f>
        <v/>
      </c>
      <c r="BO90" s="46" t="str">
        <f aca="false">IF($A90="","",IF(OR($BM90="",$AD90=""),"",ROUND($AD90/60,4)))</f>
        <v/>
      </c>
      <c r="BP90" s="46" t="str">
        <f aca="false">IF($A90="","",IF($BM90="","",ROUND(N($AE90)/60,4)))</f>
        <v/>
      </c>
      <c r="BQ90" s="46" t="str">
        <f aca="false">IF($A90="","",IF(OR($BM90="",$AF90=""),"",ROUND($AF90/60,4)))</f>
        <v/>
      </c>
      <c r="BR90" s="39" t="str">
        <f aca="false">IF($A90="","",IF($AC90="","",$AC90-$BD90-$BE90))</f>
        <v/>
      </c>
      <c r="BS90" s="45" t="str">
        <f aca="false">IF($A90="","",IF(AND(ISNUMBER($Z90),ISNUMBER($W90)),$Z90,0))</f>
        <v/>
      </c>
      <c r="BT90" s="45" t="str">
        <f aca="false">IF($A90="","",IF(ISNUMBER($W90),$W90,0))</f>
        <v/>
      </c>
      <c r="BU90" s="23" t="str">
        <f aca="false">IF($A90="","",IF(ISNUMBER($W90),ROUND(($W90-$B90)*24,4),""))</f>
        <v/>
      </c>
      <c r="BV90" s="23" t="str">
        <f aca="false">IF($A90="","",IF(ISNUMBER($X90),ROUND(($X90-$B90)*24,4),""))</f>
        <v/>
      </c>
      <c r="BW90" s="10" t="str">
        <f aca="false">IF($A90="","",IF(NOT(ISNUMBER($W90)),"Missing Calculated",IF(NOT(ISNUMBER($X90)),IF($E90="Client","Missing FA signed off","Missing Controlled"),IF($X90&lt;$W90,"End before start","OK"))))</f>
        <v/>
      </c>
      <c r="BX90" s="23" t="str">
        <f aca="false">IF($A90="","",IF(NOT(ISNUMBER($Z90)),"",ROUND((IF(ISNUMBER($U90),MIN($U90,$Z90),$Z90)-$B90)*24,4)))</f>
        <v/>
      </c>
      <c r="BY90" s="23" t="str">
        <f aca="false">IF($A90="","",IF(ISNUMBER($Z90),ROUND(($Z90-$B90)*24,4),""))</f>
        <v/>
      </c>
      <c r="BZ90" s="23" t="str">
        <f aca="false">IF($A90="","",IF(AND(ISNUMBER($W90),ISNUMBER($S90)),ROUND(($W90+$S90/1440-$B90)*24,4),""))</f>
        <v/>
      </c>
    </row>
    <row r="91" customFormat="false" ht="15" hidden="false" customHeight="true" outlineLevel="0" collapsed="false">
      <c r="A91" s="47"/>
      <c r="B91" s="47"/>
      <c r="D91" s="4" t="str">
        <f aca="false">IF($A91="","",$B91-$A91)</f>
        <v/>
      </c>
      <c r="E91" s="4" t="str">
        <f aca="false">IF($A91="","",IFERROR(VLOOKUP($C91,Dim_Fund!$A:$X,24,0),""))</f>
        <v/>
      </c>
      <c r="F91" s="37" t="str">
        <f aca="false">IF($A91="","",IF(COUNTIFS(Status_Log!$A:$A,$A91,Status_Log!$B:$B,$B91,Status_Log!$C:$C,$C91,Status_Log!$D:$D,"Changed to the status of Calculated")=0,"",_xlfn.MINIFS(Status_Log!$E:$E,Status_Log!$A:$A,$A91,Status_Log!$B:$B,$B91,Status_Log!$C:$C,$C91,Status_Log!$D:$D,"Changed to the status of Calculated")))</f>
        <v/>
      </c>
      <c r="G91" s="37" t="str">
        <f aca="false">IF($A91="","",IF(COUNTIFS(Status_Log!$A:$A,$A91,Status_Log!$B:$B,$B91,Status_Log!$C:$C,$C91,Status_Log!$D:$D,"Changed to the status of Controlled")=0,"",_xlfn.MAXIFS(Status_Log!$E:$E,Status_Log!$A:$A,$A91,Status_Log!$B:$B,$B91,Status_Log!$C:$C,$C91,Status_Log!$D:$D,"Changed to the status of Controlled")))</f>
        <v/>
      </c>
      <c r="H91" s="37" t="str">
        <f aca="false">IF($A91="","",IF(COUNTIFS(Status_Log!$A:$A,$A91,Status_Log!$B:$B,$B91,Status_Log!$C:$C,$C91,Status_Log!$D:$D,"Changed to the status of Fund accounting signed off")=0,"",_xlfn.MAXIFS(Status_Log!$E:$E,Status_Log!$A:$A,$A91,Status_Log!$B:$B,$B91,Status_Log!$C:$C,$C91,Status_Log!$D:$D,"Changed to the status of Fund accounting signed off")))</f>
        <v/>
      </c>
      <c r="I91" s="37" t="str">
        <f aca="false">IF($A91="","",IF(COUNTIFS(Status_Log!$A:$A,$A91,Status_Log!$B:$B,$B91,Status_Log!$C:$C,$C91,Status_Log!$D:$D,"Changed to the status of signed off")=0,"",_xlfn.MAXIFS(Status_Log!$E:$E,Status_Log!$A:$A,$A91,Status_Log!$B:$B,$B91,Status_Log!$C:$C,$C91,Status_Log!$D:$D,"Changed to the status of signed off")))</f>
        <v/>
      </c>
      <c r="J91" s="4" t="str">
        <f aca="false">IF($A91="","",COUNTIFS(Status_Log!$A:$A,$A91,Status_Log!$B:$B,$B91,Status_Log!$C:$C,$C91,Status_Log!$D:$D,"Changed to the status of Calculated"))</f>
        <v/>
      </c>
      <c r="K91" s="38" t="str">
        <f aca="false">IF($A91="","",IF(J91&lt;=1,0,ROUND((_xlfn.MAXIFS(Status_Log!$E:$E,Status_Log!$A:$A,$A91,Status_Log!$B:$B,$B91,Status_Log!$C:$C,$C91,Status_Log!$D:$D,"Changed to the status of Calculated")-F91)*1440,0)))</f>
        <v/>
      </c>
      <c r="L91" s="4" t="str">
        <f aca="false">IF($A91="","",IFERROR(INDEX(Status_Log!$F:$F,MATCH($A91&amp;"|"&amp;$B91&amp;"|"&amp;$C91&amp;"|Changed to the status of Calculated|"&amp;TEXT(_xlfn.MAXIFS(Status_Log!$E:$E,Status_Log!$A:$A,$A91,Status_Log!$B:$B,$B91,Status_Log!$C:$C,$C91,Status_Log!$D:$D,"Changed to the status of Calculated"),"0.000000"),Status_Log!$H:$H,0)),""))</f>
        <v/>
      </c>
      <c r="M91" s="4" t="str">
        <f aca="false">IF($A91="","",IF(E91="Client","n/a — no control step",IFERROR(INDEX(Status_Log!$F:$F,MATCH($A91&amp;"|"&amp;$B91&amp;"|"&amp;$C91&amp;"|Changed to the status of Controlled|"&amp;TEXT(_xlfn.MAXIFS(Status_Log!$E:$E,Status_Log!$A:$A,$A91,Status_Log!$B:$B,$B91,Status_Log!$C:$C,$C91,Status_Log!$D:$D,"Changed to the status of Controlled"),"0.000000"),Status_Log!$H:$H,0)),"")))</f>
        <v/>
      </c>
      <c r="N91" s="4" t="str">
        <f aca="false">IF($A91="","",IFERROR(VLOOKUP($C91,Dim_Fund!$A:$G,7,0),""))</f>
        <v/>
      </c>
      <c r="O91" s="4" t="str">
        <f aca="false">IF($A91="","",IF(L91=N91,"No","Yes"))</f>
        <v/>
      </c>
      <c r="P91" s="4" t="str">
        <f aca="false">IF($A91="","",IF(E91="Client","n/a",IF(L91=M91,"YES — four-eyes breach","No")))</f>
        <v/>
      </c>
      <c r="Q91" s="38" t="str">
        <f aca="false">IF($A91="","",IFERROR(VLOOKUP($C91,Dim_Fund!$A:$AB,28,0),""))</f>
        <v/>
      </c>
      <c r="R91" s="38" t="str">
        <f aca="false">IF($A91="","",IFERROR(VLOOKUP($C91,Dim_Fund!$A:$AC,29,0),""))</f>
        <v/>
      </c>
      <c r="S91" s="38" t="str">
        <f aca="false">IF($A91="","",IFERROR(VLOOKUP($C91,Dim_Fund!$A:$AD,30,0),""))</f>
        <v/>
      </c>
      <c r="T91" s="38" t="str">
        <f aca="false">IF($A91="","",IFERROR(VLOOKUP($C91,Dim_Fund!$A:$AL,38,0),""))</f>
        <v/>
      </c>
      <c r="U91" s="37" t="str">
        <f aca="false">IF($A91="","",IF(AL91="","",IFERROR(IF(COUNTIFS(Fact_Milestone!$A:$A,$B91,Fact_Milestone!$B:$B,AL91)=0,"",_xlfn.MAXIFS(Fact_Milestone!$C:$C,Fact_Milestone!$A:$A,$B91,Fact_Milestone!$B:$B,AL91)),"")))</f>
        <v/>
      </c>
      <c r="V91" s="37" t="str">
        <f aca="false">IF($A91="","",IFERROR(IF(VLOOKUP($C91,Dim_Fund!$A:$AI,35,0)&gt;0,$B91+VLOOKUP($C91,Dim_Fund!$A:$AI,35,0)/24,""),""))</f>
        <v/>
      </c>
      <c r="W91" s="37" t="str">
        <f aca="false">IF($A91="","",F91)</f>
        <v/>
      </c>
      <c r="X91" s="37" t="str">
        <f aca="false">IF($A91="","",IF(E91="Client",H91,G91))</f>
        <v/>
      </c>
      <c r="Y91" s="37" t="str">
        <f aca="false">IF($A91="","",I91)</f>
        <v/>
      </c>
      <c r="Z91" s="37" t="str">
        <f aca="false">IF($A91="","",IFERROR(W91-R91/1440,""))</f>
        <v/>
      </c>
      <c r="AA91" s="38" t="str">
        <f aca="false">IF($A91="","",IF(OR(U91="",V91=""),"",ROUND((V91-U91)*1440,0)))</f>
        <v/>
      </c>
      <c r="AB91" s="38" t="str">
        <f aca="false">IF($A91="","",IF(U91="","",ROUND((W91-U91)*1440,0)))</f>
        <v/>
      </c>
      <c r="AC91" s="38" t="str">
        <f aca="false">IF($A91="","",IF(AB91="","",MAX(0,AB91)))</f>
        <v/>
      </c>
      <c r="AD91" s="38" t="str">
        <f aca="false">IF($A91="","",IFERROR(ROUND((X91-W91)*1440,0),""))</f>
        <v/>
      </c>
      <c r="AE91" s="38" t="str">
        <f aca="false">IF($A91="","",IF(E91="Client","n/a",IFERROR(ROUND((H91-G91)*1440,0),"")))</f>
        <v/>
      </c>
      <c r="AF91" s="38" t="str">
        <f aca="false">IF($A91="","",IFERROR(ROUND((Y91-H91)*1440,0),""))</f>
        <v/>
      </c>
      <c r="AG91" s="38" t="str">
        <f aca="false">IF($A91="","",IFERROR(ROUND((H91-F91)*1440,0),""))</f>
        <v/>
      </c>
      <c r="AH91" s="38" t="str">
        <f aca="false">IF($A91="","",IFERROR(ROUND((Y91-V91)*1440,0),""))</f>
        <v/>
      </c>
      <c r="AI91" s="4" t="str">
        <f aca="false">IF($A91="","",IF(AH91="","",IF(AH91&gt;0,"Yes","No")))</f>
        <v/>
      </c>
      <c r="AJ91" s="4" t="str">
        <f aca="false">IF($A91="","",IF(AI91&lt;&gt;"Yes","On time",IF(N(AC91)&gt;=MAX(N(AF91),N(K91)),"Wait for analyst",IF(N(AF91)&gt;=N(K91),"External sign-off","Rework"))))</f>
        <v/>
      </c>
      <c r="AK91" s="4" t="str">
        <f aca="false">IF($A91="","",IF(OR(F91="",Y91="",ISNA(MATCH(L91,Dim_Analyst!$A:$A,0))),"CHECK","OK"))</f>
        <v/>
      </c>
      <c r="AL91" s="4" t="str">
        <f aca="false">IF($A91="","",IFERROR(VLOOKUP($C91,Dim_Fund!$A:$U,21,0),""))</f>
        <v/>
      </c>
      <c r="AM91" s="4" t="str">
        <f aca="false">IF($A91="","",IF($U91="","",IF($U91&gt;$B91+IFERROR(VLOOKUP($C91,Dim_Fund!$A:$AH,34,0),0)/24,"Yes","No")))</f>
        <v/>
      </c>
      <c r="AN91" s="22" t="str">
        <f aca="false">IF($A91="","",IFERROR(VLOOKUP($C91,Dim_Fund!$A:$AH,34,0),""))</f>
        <v/>
      </c>
      <c r="AO91" s="22" t="str">
        <f aca="false">IF($A91="","",IF($AL91="","",IFERROR(FLOOR(IF(COUNTIFS(Fact_Milestone!$A:$A,$B91,Fact_Milestone!$B:$B,$AL91,Fact_Milestone!$F:$F,"&gt;0")&gt;0,_xlfn.MINIFS(Fact_Milestone!$F:$F,Fact_Milestone!$A:$A,$B91,Fact_Milestone!$B:$B,$AL91,Fact_Milestone!$F:$F,"&gt;0"),VLOOKUP($AL91,Dim_TOP!$A:$E,5,0)),0.5),"")))</f>
        <v/>
      </c>
      <c r="AP91" s="22" t="str">
        <f aca="false">IF($A91="","",IF($U91="","",ROUND(($U91-INT($U91))*24,4)))</f>
        <v/>
      </c>
      <c r="AQ91" s="22" t="str">
        <f aca="false">IF($A91="","",IF($W91="","",ROUND(($W91-INT($W91))*24,4)))</f>
        <v/>
      </c>
      <c r="AR91" s="22" t="str">
        <f aca="false">IF($A91="","",IF($X91="","",ROUND(($X91-INT($X91))*24,4)))</f>
        <v/>
      </c>
      <c r="AS91" s="38" t="str">
        <f aca="false">IF($A91="","",IF(OR($AN91="",$V91="",$S91="",$T91=""),"",ROUND(($V91-($B91+$AN91/24))*1440-$S91-$T91,0)))</f>
        <v/>
      </c>
      <c r="AT91" s="38" t="str">
        <f aca="false">IF($A91="","",IF(OR($AN91="",$U91=""),"",ROUND(($U91-($B91+$AN91/24))*1440,0)))</f>
        <v/>
      </c>
      <c r="AU91" s="38" t="str">
        <f aca="false">IF($A91="","",IF(OR($AD91="",$S91=""),"",ROUND($AD91-$S91,0)))</f>
        <v/>
      </c>
      <c r="AV91" s="38" t="str">
        <f aca="false">IF($A91="","",N($AE91))</f>
        <v/>
      </c>
      <c r="AW91" s="38" t="str">
        <f aca="false">IF($A91="","",IF(OR($AF91="",$T91=""),"",$AF91-$T91))</f>
        <v/>
      </c>
      <c r="AX91" s="38" t="str">
        <f aca="false">IF($A91="","",IF(COUNT($AT91,$AB91,$AU91,$AW91,$AS91,$AH91)&lt;6,"",ROUND($AT91+$AB91+$AU91+$AV91+$AW91-$AS91-$AH91,0)))</f>
        <v/>
      </c>
      <c r="AY91" s="4" t="str">
        <f aca="false">IF($A91="","",IF($AX91="","No",IF(ABS($AX91)&lt;=2,"Yes","No")))</f>
        <v/>
      </c>
      <c r="AZ91" s="4" t="str">
        <f aca="false">IF($A91="","",IF($AI91&lt;&gt;"Yes","n/a",IF(OR($AA91="",$S91="",$T91=""),"Unknown",IF($AA91&lt;$S91+$T91,"Lost on arrival","Lost after arrival"))))</f>
        <v/>
      </c>
      <c r="BA91" s="10" t="str">
        <f aca="false">IF($A91="","",IFERROR(VLOOKUP($C91,Dim_Fund!$A:$D,4,0),""))</f>
        <v/>
      </c>
      <c r="BB91" s="10" t="str">
        <f aca="false">IF($A91="","",IF($AL91="","",IF(COUNTIFS(Fact_Milestone!$A:$A,$B91,Fact_Milestone!$B:$B,$AL91,Fact_Milestone!$I:$I,"No")&gt;0,"No",IF(COUNTIFS(Fact_Milestone!$A:$A,$B91,Fact_Milestone!$B:$B,$AL91,Fact_Milestone!$I:$I,"Yes")&gt;0,"Yes",""))))</f>
        <v/>
      </c>
      <c r="BC91" s="45" t="str">
        <f aca="false">IF($A91="","",IF(OR($L91="",$W91=""),"",IF(COUNTIFS($L:$L,$L91,$B:$B,$B91,$W:$W,"&lt;"&amp;$W91)=0,"",_xlfn.MAXIFS($W:$W,$L:$L,$L91,$B:$B,$B91,$W:$W,"&lt;"&amp;$W91))))</f>
        <v/>
      </c>
      <c r="BD91" s="39" t="str">
        <f aca="false">IF($A91="","",IF($AC91="","",IF(OR($L91="",$AC91=0),0,MIN($AC91,ROUND(ROUND(1440*SUMPRODUCT(($L$2:INDEX($L:$L,COUNTA($C:$C))=$L91)*($B$2:INDEX($B:$B,COUNTA($C:$C))=$B91)*(ROW($L$2:INDEX($L:$L,COUNTA($C:$C)))&lt;&gt;ROW())*((((($W91+$BT$2:INDEX($BT:$BT,COUNTA($C:$C))-ABS($W91-$BT$2:INDEX($BT:$BT,COUNTA($C:$C))))/2)-(($U91+$BS$2:INDEX($BS:$BS,COUNTA($C:$C))+ABS($U91-$BS$2:INDEX($BS:$BS,COUNTA($C:$C))))/2))+ABS(((($W91+$BT$2:INDEX($BT:$BT,COUNTA($C:$C))-ABS($W91-$BT$2:INDEX($BT:$BT,COUNTA($C:$C))))/2)-(($U91+$BS$2:INDEX($BS:$BS,COUNTA($C:$C))+ABS($U91-$BS$2:INDEX($BS:$BS,COUNTA($C:$C))))/2))))/2)),4),0)))))</f>
        <v/>
      </c>
      <c r="BE91" s="39" t="str">
        <f aca="false">IF($A91="","",IF($AC91="","",ROUND(MIN($AC91-$BD91,N($R91)),0)))</f>
        <v/>
      </c>
      <c r="BF91" s="10" t="str">
        <f aca="false">IF($A91="","",IFERROR(VLOOKUP($C91,Dim_Fund!$A:$BD,56,0),""))</f>
        <v/>
      </c>
      <c r="BG91" s="10" t="str">
        <f aca="false">IF($A91="","",IFERROR(VLOOKUP($C91,Dim_Fund!$A:$BH,60,0),""))</f>
        <v/>
      </c>
      <c r="BH91" s="10" t="str">
        <f aca="false">IF($A91="","",IF($AI91&lt;&gt;"Yes","Not breached",IF($AM91="Yes","Pricing late",IF($BG91="Thin custody slack","Thin custody slack",IF($BF91="Yes","Broker-dependent","None of these")))))</f>
        <v/>
      </c>
      <c r="BI91" s="23" t="str">
        <f aca="false">IF($A91="","",IFERROR(IF(VLOOKUP($C91,Dim_Fund!$A:$AI,35,0)&gt;0,VLOOKUP($C91,Dim_Fund!$A:$AI,35,0),""),""))</f>
        <v/>
      </c>
      <c r="BJ91" s="10" t="str">
        <f aca="false">IF($A91="","",$C91&amp;IF($E91="Client","*",""))</f>
        <v/>
      </c>
      <c r="BK91" s="39" t="str">
        <f aca="false">IF($A91="","",IFERROR(ROUND(($Y91-$X91)*1440,0),""))</f>
        <v/>
      </c>
      <c r="BL91" s="39" t="str">
        <f aca="false">IF($A91="","",IF($AH91="","",-$AH91))</f>
        <v/>
      </c>
      <c r="BM91" s="46" t="str">
        <f aca="false">IF($A91="","",IF($AQ91="","",IF($AP91="",$AQ91,MIN($AP91,$AQ91))))</f>
        <v/>
      </c>
      <c r="BN91" s="46" t="str">
        <f aca="false">IF($A91="","",IF($BM91="","",ROUND(N($AC91)/60,4)))</f>
        <v/>
      </c>
      <c r="BO91" s="46" t="str">
        <f aca="false">IF($A91="","",IF(OR($BM91="",$AD91=""),"",ROUND($AD91/60,4)))</f>
        <v/>
      </c>
      <c r="BP91" s="46" t="str">
        <f aca="false">IF($A91="","",IF($BM91="","",ROUND(N($AE91)/60,4)))</f>
        <v/>
      </c>
      <c r="BQ91" s="46" t="str">
        <f aca="false">IF($A91="","",IF(OR($BM91="",$AF91=""),"",ROUND($AF91/60,4)))</f>
        <v/>
      </c>
      <c r="BR91" s="39" t="str">
        <f aca="false">IF($A91="","",IF($AC91="","",$AC91-$BD91-$BE91))</f>
        <v/>
      </c>
      <c r="BS91" s="45" t="str">
        <f aca="false">IF($A91="","",IF(AND(ISNUMBER($Z91),ISNUMBER($W91)),$Z91,0))</f>
        <v/>
      </c>
      <c r="BT91" s="45" t="str">
        <f aca="false">IF($A91="","",IF(ISNUMBER($W91),$W91,0))</f>
        <v/>
      </c>
      <c r="BU91" s="23" t="str">
        <f aca="false">IF($A91="","",IF(ISNUMBER($W91),ROUND(($W91-$B91)*24,4),""))</f>
        <v/>
      </c>
      <c r="BV91" s="23" t="str">
        <f aca="false">IF($A91="","",IF(ISNUMBER($X91),ROUND(($X91-$B91)*24,4),""))</f>
        <v/>
      </c>
      <c r="BW91" s="10" t="str">
        <f aca="false">IF($A91="","",IF(NOT(ISNUMBER($W91)),"Missing Calculated",IF(NOT(ISNUMBER($X91)),IF($E91="Client","Missing FA signed off","Missing Controlled"),IF($X91&lt;$W91,"End before start","OK"))))</f>
        <v/>
      </c>
      <c r="BX91" s="23" t="str">
        <f aca="false">IF($A91="","",IF(NOT(ISNUMBER($Z91)),"",ROUND((IF(ISNUMBER($U91),MIN($U91,$Z91),$Z91)-$B91)*24,4)))</f>
        <v/>
      </c>
      <c r="BY91" s="23" t="str">
        <f aca="false">IF($A91="","",IF(ISNUMBER($Z91),ROUND(($Z91-$B91)*24,4),""))</f>
        <v/>
      </c>
      <c r="BZ91" s="23" t="str">
        <f aca="false">IF($A91="","",IF(AND(ISNUMBER($W91),ISNUMBER($S91)),ROUND(($W91+$S91/1440-$B91)*24,4),""))</f>
        <v/>
      </c>
    </row>
    <row r="92" customFormat="false" ht="15" hidden="false" customHeight="true" outlineLevel="0" collapsed="false">
      <c r="A92" s="47"/>
      <c r="B92" s="47"/>
      <c r="D92" s="4" t="str">
        <f aca="false">IF($A92="","",$B92-$A92)</f>
        <v/>
      </c>
      <c r="E92" s="4" t="str">
        <f aca="false">IF($A92="","",IFERROR(VLOOKUP($C92,Dim_Fund!$A:$X,24,0),""))</f>
        <v/>
      </c>
      <c r="F92" s="37" t="str">
        <f aca="false">IF($A92="","",IF(COUNTIFS(Status_Log!$A:$A,$A92,Status_Log!$B:$B,$B92,Status_Log!$C:$C,$C92,Status_Log!$D:$D,"Changed to the status of Calculated")=0,"",_xlfn.MINIFS(Status_Log!$E:$E,Status_Log!$A:$A,$A92,Status_Log!$B:$B,$B92,Status_Log!$C:$C,$C92,Status_Log!$D:$D,"Changed to the status of Calculated")))</f>
        <v/>
      </c>
      <c r="G92" s="37" t="str">
        <f aca="false">IF($A92="","",IF(COUNTIFS(Status_Log!$A:$A,$A92,Status_Log!$B:$B,$B92,Status_Log!$C:$C,$C92,Status_Log!$D:$D,"Changed to the status of Controlled")=0,"",_xlfn.MAXIFS(Status_Log!$E:$E,Status_Log!$A:$A,$A92,Status_Log!$B:$B,$B92,Status_Log!$C:$C,$C92,Status_Log!$D:$D,"Changed to the status of Controlled")))</f>
        <v/>
      </c>
      <c r="H92" s="37" t="str">
        <f aca="false">IF($A92="","",IF(COUNTIFS(Status_Log!$A:$A,$A92,Status_Log!$B:$B,$B92,Status_Log!$C:$C,$C92,Status_Log!$D:$D,"Changed to the status of Fund accounting signed off")=0,"",_xlfn.MAXIFS(Status_Log!$E:$E,Status_Log!$A:$A,$A92,Status_Log!$B:$B,$B92,Status_Log!$C:$C,$C92,Status_Log!$D:$D,"Changed to the status of Fund accounting signed off")))</f>
        <v/>
      </c>
      <c r="I92" s="37" t="str">
        <f aca="false">IF($A92="","",IF(COUNTIFS(Status_Log!$A:$A,$A92,Status_Log!$B:$B,$B92,Status_Log!$C:$C,$C92,Status_Log!$D:$D,"Changed to the status of signed off")=0,"",_xlfn.MAXIFS(Status_Log!$E:$E,Status_Log!$A:$A,$A92,Status_Log!$B:$B,$B92,Status_Log!$C:$C,$C92,Status_Log!$D:$D,"Changed to the status of signed off")))</f>
        <v/>
      </c>
      <c r="J92" s="4" t="str">
        <f aca="false">IF($A92="","",COUNTIFS(Status_Log!$A:$A,$A92,Status_Log!$B:$B,$B92,Status_Log!$C:$C,$C92,Status_Log!$D:$D,"Changed to the status of Calculated"))</f>
        <v/>
      </c>
      <c r="K92" s="38" t="str">
        <f aca="false">IF($A92="","",IF(J92&lt;=1,0,ROUND((_xlfn.MAXIFS(Status_Log!$E:$E,Status_Log!$A:$A,$A92,Status_Log!$B:$B,$B92,Status_Log!$C:$C,$C92,Status_Log!$D:$D,"Changed to the status of Calculated")-F92)*1440,0)))</f>
        <v/>
      </c>
      <c r="L92" s="4" t="str">
        <f aca="false">IF($A92="","",IFERROR(INDEX(Status_Log!$F:$F,MATCH($A92&amp;"|"&amp;$B92&amp;"|"&amp;$C92&amp;"|Changed to the status of Calculated|"&amp;TEXT(_xlfn.MAXIFS(Status_Log!$E:$E,Status_Log!$A:$A,$A92,Status_Log!$B:$B,$B92,Status_Log!$C:$C,$C92,Status_Log!$D:$D,"Changed to the status of Calculated"),"0.000000"),Status_Log!$H:$H,0)),""))</f>
        <v/>
      </c>
      <c r="M92" s="4" t="str">
        <f aca="false">IF($A92="","",IF(E92="Client","n/a — no control step",IFERROR(INDEX(Status_Log!$F:$F,MATCH($A92&amp;"|"&amp;$B92&amp;"|"&amp;$C92&amp;"|Changed to the status of Controlled|"&amp;TEXT(_xlfn.MAXIFS(Status_Log!$E:$E,Status_Log!$A:$A,$A92,Status_Log!$B:$B,$B92,Status_Log!$C:$C,$C92,Status_Log!$D:$D,"Changed to the status of Controlled"),"0.000000"),Status_Log!$H:$H,0)),"")))</f>
        <v/>
      </c>
      <c r="N92" s="4" t="str">
        <f aca="false">IF($A92="","",IFERROR(VLOOKUP($C92,Dim_Fund!$A:$G,7,0),""))</f>
        <v/>
      </c>
      <c r="O92" s="4" t="str">
        <f aca="false">IF($A92="","",IF(L92=N92,"No","Yes"))</f>
        <v/>
      </c>
      <c r="P92" s="4" t="str">
        <f aca="false">IF($A92="","",IF(E92="Client","n/a",IF(L92=M92,"YES — four-eyes breach","No")))</f>
        <v/>
      </c>
      <c r="Q92" s="38" t="str">
        <f aca="false">IF($A92="","",IFERROR(VLOOKUP($C92,Dim_Fund!$A:$AB,28,0),""))</f>
        <v/>
      </c>
      <c r="R92" s="38" t="str">
        <f aca="false">IF($A92="","",IFERROR(VLOOKUP($C92,Dim_Fund!$A:$AC,29,0),""))</f>
        <v/>
      </c>
      <c r="S92" s="38" t="str">
        <f aca="false">IF($A92="","",IFERROR(VLOOKUP($C92,Dim_Fund!$A:$AD,30,0),""))</f>
        <v/>
      </c>
      <c r="T92" s="38" t="str">
        <f aca="false">IF($A92="","",IFERROR(VLOOKUP($C92,Dim_Fund!$A:$AL,38,0),""))</f>
        <v/>
      </c>
      <c r="U92" s="37" t="str">
        <f aca="false">IF($A92="","",IF(AL92="","",IFERROR(IF(COUNTIFS(Fact_Milestone!$A:$A,$B92,Fact_Milestone!$B:$B,AL92)=0,"",_xlfn.MAXIFS(Fact_Milestone!$C:$C,Fact_Milestone!$A:$A,$B92,Fact_Milestone!$B:$B,AL92)),"")))</f>
        <v/>
      </c>
      <c r="V92" s="37" t="str">
        <f aca="false">IF($A92="","",IFERROR(IF(VLOOKUP($C92,Dim_Fund!$A:$AI,35,0)&gt;0,$B92+VLOOKUP($C92,Dim_Fund!$A:$AI,35,0)/24,""),""))</f>
        <v/>
      </c>
      <c r="W92" s="37" t="str">
        <f aca="false">IF($A92="","",F92)</f>
        <v/>
      </c>
      <c r="X92" s="37" t="str">
        <f aca="false">IF($A92="","",IF(E92="Client",H92,G92))</f>
        <v/>
      </c>
      <c r="Y92" s="37" t="str">
        <f aca="false">IF($A92="","",I92)</f>
        <v/>
      </c>
      <c r="Z92" s="37" t="str">
        <f aca="false">IF($A92="","",IFERROR(W92-R92/1440,""))</f>
        <v/>
      </c>
      <c r="AA92" s="38" t="str">
        <f aca="false">IF($A92="","",IF(OR(U92="",V92=""),"",ROUND((V92-U92)*1440,0)))</f>
        <v/>
      </c>
      <c r="AB92" s="38" t="str">
        <f aca="false">IF($A92="","",IF(U92="","",ROUND((W92-U92)*1440,0)))</f>
        <v/>
      </c>
      <c r="AC92" s="38" t="str">
        <f aca="false">IF($A92="","",IF(AB92="","",MAX(0,AB92)))</f>
        <v/>
      </c>
      <c r="AD92" s="38" t="str">
        <f aca="false">IF($A92="","",IFERROR(ROUND((X92-W92)*1440,0),""))</f>
        <v/>
      </c>
      <c r="AE92" s="38" t="str">
        <f aca="false">IF($A92="","",IF(E92="Client","n/a",IFERROR(ROUND((H92-G92)*1440,0),"")))</f>
        <v/>
      </c>
      <c r="AF92" s="38" t="str">
        <f aca="false">IF($A92="","",IFERROR(ROUND((Y92-H92)*1440,0),""))</f>
        <v/>
      </c>
      <c r="AG92" s="38" t="str">
        <f aca="false">IF($A92="","",IFERROR(ROUND((H92-F92)*1440,0),""))</f>
        <v/>
      </c>
      <c r="AH92" s="38" t="str">
        <f aca="false">IF($A92="","",IFERROR(ROUND((Y92-V92)*1440,0),""))</f>
        <v/>
      </c>
      <c r="AI92" s="4" t="str">
        <f aca="false">IF($A92="","",IF(AH92="","",IF(AH92&gt;0,"Yes","No")))</f>
        <v/>
      </c>
      <c r="AJ92" s="4" t="str">
        <f aca="false">IF($A92="","",IF(AI92&lt;&gt;"Yes","On time",IF(N(AC92)&gt;=MAX(N(AF92),N(K92)),"Wait for analyst",IF(N(AF92)&gt;=N(K92),"External sign-off","Rework"))))</f>
        <v/>
      </c>
      <c r="AK92" s="4" t="str">
        <f aca="false">IF($A92="","",IF(OR(F92="",Y92="",ISNA(MATCH(L92,Dim_Analyst!$A:$A,0))),"CHECK","OK"))</f>
        <v/>
      </c>
      <c r="AL92" s="4" t="str">
        <f aca="false">IF($A92="","",IFERROR(VLOOKUP($C92,Dim_Fund!$A:$U,21,0),""))</f>
        <v/>
      </c>
      <c r="AM92" s="4" t="str">
        <f aca="false">IF($A92="","",IF($U92="","",IF($U92&gt;$B92+IFERROR(VLOOKUP($C92,Dim_Fund!$A:$AH,34,0),0)/24,"Yes","No")))</f>
        <v/>
      </c>
      <c r="AN92" s="22" t="str">
        <f aca="false">IF($A92="","",IFERROR(VLOOKUP($C92,Dim_Fund!$A:$AH,34,0),""))</f>
        <v/>
      </c>
      <c r="AO92" s="22" t="str">
        <f aca="false">IF($A92="","",IF($AL92="","",IFERROR(FLOOR(IF(COUNTIFS(Fact_Milestone!$A:$A,$B92,Fact_Milestone!$B:$B,$AL92,Fact_Milestone!$F:$F,"&gt;0")&gt;0,_xlfn.MINIFS(Fact_Milestone!$F:$F,Fact_Milestone!$A:$A,$B92,Fact_Milestone!$B:$B,$AL92,Fact_Milestone!$F:$F,"&gt;0"),VLOOKUP($AL92,Dim_TOP!$A:$E,5,0)),0.5),"")))</f>
        <v/>
      </c>
      <c r="AP92" s="22" t="str">
        <f aca="false">IF($A92="","",IF($U92="","",ROUND(($U92-INT($U92))*24,4)))</f>
        <v/>
      </c>
      <c r="AQ92" s="22" t="str">
        <f aca="false">IF($A92="","",IF($W92="","",ROUND(($W92-INT($W92))*24,4)))</f>
        <v/>
      </c>
      <c r="AR92" s="22" t="str">
        <f aca="false">IF($A92="","",IF($X92="","",ROUND(($X92-INT($X92))*24,4)))</f>
        <v/>
      </c>
      <c r="AS92" s="38" t="str">
        <f aca="false">IF($A92="","",IF(OR($AN92="",$V92="",$S92="",$T92=""),"",ROUND(($V92-($B92+$AN92/24))*1440-$S92-$T92,0)))</f>
        <v/>
      </c>
      <c r="AT92" s="38" t="str">
        <f aca="false">IF($A92="","",IF(OR($AN92="",$U92=""),"",ROUND(($U92-($B92+$AN92/24))*1440,0)))</f>
        <v/>
      </c>
      <c r="AU92" s="38" t="str">
        <f aca="false">IF($A92="","",IF(OR($AD92="",$S92=""),"",ROUND($AD92-$S92,0)))</f>
        <v/>
      </c>
      <c r="AV92" s="38" t="str">
        <f aca="false">IF($A92="","",N($AE92))</f>
        <v/>
      </c>
      <c r="AW92" s="38" t="str">
        <f aca="false">IF($A92="","",IF(OR($AF92="",$T92=""),"",$AF92-$T92))</f>
        <v/>
      </c>
      <c r="AX92" s="38" t="str">
        <f aca="false">IF($A92="","",IF(COUNT($AT92,$AB92,$AU92,$AW92,$AS92,$AH92)&lt;6,"",ROUND($AT92+$AB92+$AU92+$AV92+$AW92-$AS92-$AH92,0)))</f>
        <v/>
      </c>
      <c r="AY92" s="4" t="str">
        <f aca="false">IF($A92="","",IF($AX92="","No",IF(ABS($AX92)&lt;=2,"Yes","No")))</f>
        <v/>
      </c>
      <c r="AZ92" s="4" t="str">
        <f aca="false">IF($A92="","",IF($AI92&lt;&gt;"Yes","n/a",IF(OR($AA92="",$S92="",$T92=""),"Unknown",IF($AA92&lt;$S92+$T92,"Lost on arrival","Lost after arrival"))))</f>
        <v/>
      </c>
      <c r="BA92" s="10" t="str">
        <f aca="false">IF($A92="","",IFERROR(VLOOKUP($C92,Dim_Fund!$A:$D,4,0),""))</f>
        <v/>
      </c>
      <c r="BB92" s="10" t="str">
        <f aca="false">IF($A92="","",IF($AL92="","",IF(COUNTIFS(Fact_Milestone!$A:$A,$B92,Fact_Milestone!$B:$B,$AL92,Fact_Milestone!$I:$I,"No")&gt;0,"No",IF(COUNTIFS(Fact_Milestone!$A:$A,$B92,Fact_Milestone!$B:$B,$AL92,Fact_Milestone!$I:$I,"Yes")&gt;0,"Yes",""))))</f>
        <v/>
      </c>
      <c r="BC92" s="45" t="str">
        <f aca="false">IF($A92="","",IF(OR($L92="",$W92=""),"",IF(COUNTIFS($L:$L,$L92,$B:$B,$B92,$W:$W,"&lt;"&amp;$W92)=0,"",_xlfn.MAXIFS($W:$W,$L:$L,$L92,$B:$B,$B92,$W:$W,"&lt;"&amp;$W92))))</f>
        <v/>
      </c>
      <c r="BD92" s="39" t="str">
        <f aca="false">IF($A92="","",IF($AC92="","",IF(OR($L92="",$AC92=0),0,MIN($AC92,ROUND(ROUND(1440*SUMPRODUCT(($L$2:INDEX($L:$L,COUNTA($C:$C))=$L92)*($B$2:INDEX($B:$B,COUNTA($C:$C))=$B92)*(ROW($L$2:INDEX($L:$L,COUNTA($C:$C)))&lt;&gt;ROW())*((((($W92+$BT$2:INDEX($BT:$BT,COUNTA($C:$C))-ABS($W92-$BT$2:INDEX($BT:$BT,COUNTA($C:$C))))/2)-(($U92+$BS$2:INDEX($BS:$BS,COUNTA($C:$C))+ABS($U92-$BS$2:INDEX($BS:$BS,COUNTA($C:$C))))/2))+ABS(((($W92+$BT$2:INDEX($BT:$BT,COUNTA($C:$C))-ABS($W92-$BT$2:INDEX($BT:$BT,COUNTA($C:$C))))/2)-(($U92+$BS$2:INDEX($BS:$BS,COUNTA($C:$C))+ABS($U92-$BS$2:INDEX($BS:$BS,COUNTA($C:$C))))/2))))/2)),4),0)))))</f>
        <v/>
      </c>
      <c r="BE92" s="39" t="str">
        <f aca="false">IF($A92="","",IF($AC92="","",ROUND(MIN($AC92-$BD92,N($R92)),0)))</f>
        <v/>
      </c>
      <c r="BF92" s="10" t="str">
        <f aca="false">IF($A92="","",IFERROR(VLOOKUP($C92,Dim_Fund!$A:$BD,56,0),""))</f>
        <v/>
      </c>
      <c r="BG92" s="10" t="str">
        <f aca="false">IF($A92="","",IFERROR(VLOOKUP($C92,Dim_Fund!$A:$BH,60,0),""))</f>
        <v/>
      </c>
      <c r="BH92" s="10" t="str">
        <f aca="false">IF($A92="","",IF($AI92&lt;&gt;"Yes","Not breached",IF($AM92="Yes","Pricing late",IF($BG92="Thin custody slack","Thin custody slack",IF($BF92="Yes","Broker-dependent","None of these")))))</f>
        <v/>
      </c>
      <c r="BI92" s="23" t="str">
        <f aca="false">IF($A92="","",IFERROR(IF(VLOOKUP($C92,Dim_Fund!$A:$AI,35,0)&gt;0,VLOOKUP($C92,Dim_Fund!$A:$AI,35,0),""),""))</f>
        <v/>
      </c>
      <c r="BJ92" s="10" t="str">
        <f aca="false">IF($A92="","",$C92&amp;IF($E92="Client","*",""))</f>
        <v/>
      </c>
      <c r="BK92" s="39" t="str">
        <f aca="false">IF($A92="","",IFERROR(ROUND(($Y92-$X92)*1440,0),""))</f>
        <v/>
      </c>
      <c r="BL92" s="39" t="str">
        <f aca="false">IF($A92="","",IF($AH92="","",-$AH92))</f>
        <v/>
      </c>
      <c r="BM92" s="46" t="str">
        <f aca="false">IF($A92="","",IF($AQ92="","",IF($AP92="",$AQ92,MIN($AP92,$AQ92))))</f>
        <v/>
      </c>
      <c r="BN92" s="46" t="str">
        <f aca="false">IF($A92="","",IF($BM92="","",ROUND(N($AC92)/60,4)))</f>
        <v/>
      </c>
      <c r="BO92" s="46" t="str">
        <f aca="false">IF($A92="","",IF(OR($BM92="",$AD92=""),"",ROUND($AD92/60,4)))</f>
        <v/>
      </c>
      <c r="BP92" s="46" t="str">
        <f aca="false">IF($A92="","",IF($BM92="","",ROUND(N($AE92)/60,4)))</f>
        <v/>
      </c>
      <c r="BQ92" s="46" t="str">
        <f aca="false">IF($A92="","",IF(OR($BM92="",$AF92=""),"",ROUND($AF92/60,4)))</f>
        <v/>
      </c>
      <c r="BR92" s="39" t="str">
        <f aca="false">IF($A92="","",IF($AC92="","",$AC92-$BD92-$BE92))</f>
        <v/>
      </c>
      <c r="BS92" s="45" t="str">
        <f aca="false">IF($A92="","",IF(AND(ISNUMBER($Z92),ISNUMBER($W92)),$Z92,0))</f>
        <v/>
      </c>
      <c r="BT92" s="45" t="str">
        <f aca="false">IF($A92="","",IF(ISNUMBER($W92),$W92,0))</f>
        <v/>
      </c>
      <c r="BU92" s="23" t="str">
        <f aca="false">IF($A92="","",IF(ISNUMBER($W92),ROUND(($W92-$B92)*24,4),""))</f>
        <v/>
      </c>
      <c r="BV92" s="23" t="str">
        <f aca="false">IF($A92="","",IF(ISNUMBER($X92),ROUND(($X92-$B92)*24,4),""))</f>
        <v/>
      </c>
      <c r="BW92" s="10" t="str">
        <f aca="false">IF($A92="","",IF(NOT(ISNUMBER($W92)),"Missing Calculated",IF(NOT(ISNUMBER($X92)),IF($E92="Client","Missing FA signed off","Missing Controlled"),IF($X92&lt;$W92,"End before start","OK"))))</f>
        <v/>
      </c>
      <c r="BX92" s="23" t="str">
        <f aca="false">IF($A92="","",IF(NOT(ISNUMBER($Z92)),"",ROUND((IF(ISNUMBER($U92),MIN($U92,$Z92),$Z92)-$B92)*24,4)))</f>
        <v/>
      </c>
      <c r="BY92" s="23" t="str">
        <f aca="false">IF($A92="","",IF(ISNUMBER($Z92),ROUND(($Z92-$B92)*24,4),""))</f>
        <v/>
      </c>
      <c r="BZ92" s="23" t="str">
        <f aca="false">IF($A92="","",IF(AND(ISNUMBER($W92),ISNUMBER($S92)),ROUND(($W92+$S92/1440-$B92)*24,4),""))</f>
        <v/>
      </c>
    </row>
    <row r="93" customFormat="false" ht="15" hidden="false" customHeight="true" outlineLevel="0" collapsed="false">
      <c r="A93" s="47"/>
      <c r="B93" s="47"/>
      <c r="D93" s="4" t="str">
        <f aca="false">IF($A93="","",$B93-$A93)</f>
        <v/>
      </c>
      <c r="E93" s="4" t="str">
        <f aca="false">IF($A93="","",IFERROR(VLOOKUP($C93,Dim_Fund!$A:$X,24,0),""))</f>
        <v/>
      </c>
      <c r="F93" s="37" t="str">
        <f aca="false">IF($A93="","",IF(COUNTIFS(Status_Log!$A:$A,$A93,Status_Log!$B:$B,$B93,Status_Log!$C:$C,$C93,Status_Log!$D:$D,"Changed to the status of Calculated")=0,"",_xlfn.MINIFS(Status_Log!$E:$E,Status_Log!$A:$A,$A93,Status_Log!$B:$B,$B93,Status_Log!$C:$C,$C93,Status_Log!$D:$D,"Changed to the status of Calculated")))</f>
        <v/>
      </c>
      <c r="G93" s="37" t="str">
        <f aca="false">IF($A93="","",IF(COUNTIFS(Status_Log!$A:$A,$A93,Status_Log!$B:$B,$B93,Status_Log!$C:$C,$C93,Status_Log!$D:$D,"Changed to the status of Controlled")=0,"",_xlfn.MAXIFS(Status_Log!$E:$E,Status_Log!$A:$A,$A93,Status_Log!$B:$B,$B93,Status_Log!$C:$C,$C93,Status_Log!$D:$D,"Changed to the status of Controlled")))</f>
        <v/>
      </c>
      <c r="H93" s="37" t="str">
        <f aca="false">IF($A93="","",IF(COUNTIFS(Status_Log!$A:$A,$A93,Status_Log!$B:$B,$B93,Status_Log!$C:$C,$C93,Status_Log!$D:$D,"Changed to the status of Fund accounting signed off")=0,"",_xlfn.MAXIFS(Status_Log!$E:$E,Status_Log!$A:$A,$A93,Status_Log!$B:$B,$B93,Status_Log!$C:$C,$C93,Status_Log!$D:$D,"Changed to the status of Fund accounting signed off")))</f>
        <v/>
      </c>
      <c r="I93" s="37" t="str">
        <f aca="false">IF($A93="","",IF(COUNTIFS(Status_Log!$A:$A,$A93,Status_Log!$B:$B,$B93,Status_Log!$C:$C,$C93,Status_Log!$D:$D,"Changed to the status of signed off")=0,"",_xlfn.MAXIFS(Status_Log!$E:$E,Status_Log!$A:$A,$A93,Status_Log!$B:$B,$B93,Status_Log!$C:$C,$C93,Status_Log!$D:$D,"Changed to the status of signed off")))</f>
        <v/>
      </c>
      <c r="J93" s="4" t="str">
        <f aca="false">IF($A93="","",COUNTIFS(Status_Log!$A:$A,$A93,Status_Log!$B:$B,$B93,Status_Log!$C:$C,$C93,Status_Log!$D:$D,"Changed to the status of Calculated"))</f>
        <v/>
      </c>
      <c r="K93" s="38" t="str">
        <f aca="false">IF($A93="","",IF(J93&lt;=1,0,ROUND((_xlfn.MAXIFS(Status_Log!$E:$E,Status_Log!$A:$A,$A93,Status_Log!$B:$B,$B93,Status_Log!$C:$C,$C93,Status_Log!$D:$D,"Changed to the status of Calculated")-F93)*1440,0)))</f>
        <v/>
      </c>
      <c r="L93" s="4" t="str">
        <f aca="false">IF($A93="","",IFERROR(INDEX(Status_Log!$F:$F,MATCH($A93&amp;"|"&amp;$B93&amp;"|"&amp;$C93&amp;"|Changed to the status of Calculated|"&amp;TEXT(_xlfn.MAXIFS(Status_Log!$E:$E,Status_Log!$A:$A,$A93,Status_Log!$B:$B,$B93,Status_Log!$C:$C,$C93,Status_Log!$D:$D,"Changed to the status of Calculated"),"0.000000"),Status_Log!$H:$H,0)),""))</f>
        <v/>
      </c>
      <c r="M93" s="4" t="str">
        <f aca="false">IF($A93="","",IF(E93="Client","n/a — no control step",IFERROR(INDEX(Status_Log!$F:$F,MATCH($A93&amp;"|"&amp;$B93&amp;"|"&amp;$C93&amp;"|Changed to the status of Controlled|"&amp;TEXT(_xlfn.MAXIFS(Status_Log!$E:$E,Status_Log!$A:$A,$A93,Status_Log!$B:$B,$B93,Status_Log!$C:$C,$C93,Status_Log!$D:$D,"Changed to the status of Controlled"),"0.000000"),Status_Log!$H:$H,0)),"")))</f>
        <v/>
      </c>
      <c r="N93" s="4" t="str">
        <f aca="false">IF($A93="","",IFERROR(VLOOKUP($C93,Dim_Fund!$A:$G,7,0),""))</f>
        <v/>
      </c>
      <c r="O93" s="4" t="str">
        <f aca="false">IF($A93="","",IF(L93=N93,"No","Yes"))</f>
        <v/>
      </c>
      <c r="P93" s="4" t="str">
        <f aca="false">IF($A93="","",IF(E93="Client","n/a",IF(L93=M93,"YES — four-eyes breach","No")))</f>
        <v/>
      </c>
      <c r="Q93" s="38" t="str">
        <f aca="false">IF($A93="","",IFERROR(VLOOKUP($C93,Dim_Fund!$A:$AB,28,0),""))</f>
        <v/>
      </c>
      <c r="R93" s="38" t="str">
        <f aca="false">IF($A93="","",IFERROR(VLOOKUP($C93,Dim_Fund!$A:$AC,29,0),""))</f>
        <v/>
      </c>
      <c r="S93" s="38" t="str">
        <f aca="false">IF($A93="","",IFERROR(VLOOKUP($C93,Dim_Fund!$A:$AD,30,0),""))</f>
        <v/>
      </c>
      <c r="T93" s="38" t="str">
        <f aca="false">IF($A93="","",IFERROR(VLOOKUP($C93,Dim_Fund!$A:$AL,38,0),""))</f>
        <v/>
      </c>
      <c r="U93" s="37" t="str">
        <f aca="false">IF($A93="","",IF(AL93="","",IFERROR(IF(COUNTIFS(Fact_Milestone!$A:$A,$B93,Fact_Milestone!$B:$B,AL93)=0,"",_xlfn.MAXIFS(Fact_Milestone!$C:$C,Fact_Milestone!$A:$A,$B93,Fact_Milestone!$B:$B,AL93)),"")))</f>
        <v/>
      </c>
      <c r="V93" s="37" t="str">
        <f aca="false">IF($A93="","",IFERROR(IF(VLOOKUP($C93,Dim_Fund!$A:$AI,35,0)&gt;0,$B93+VLOOKUP($C93,Dim_Fund!$A:$AI,35,0)/24,""),""))</f>
        <v/>
      </c>
      <c r="W93" s="37" t="str">
        <f aca="false">IF($A93="","",F93)</f>
        <v/>
      </c>
      <c r="X93" s="37" t="str">
        <f aca="false">IF($A93="","",IF(E93="Client",H93,G93))</f>
        <v/>
      </c>
      <c r="Y93" s="37" t="str">
        <f aca="false">IF($A93="","",I93)</f>
        <v/>
      </c>
      <c r="Z93" s="37" t="str">
        <f aca="false">IF($A93="","",IFERROR(W93-R93/1440,""))</f>
        <v/>
      </c>
      <c r="AA93" s="38" t="str">
        <f aca="false">IF($A93="","",IF(OR(U93="",V93=""),"",ROUND((V93-U93)*1440,0)))</f>
        <v/>
      </c>
      <c r="AB93" s="38" t="str">
        <f aca="false">IF($A93="","",IF(U93="","",ROUND((W93-U93)*1440,0)))</f>
        <v/>
      </c>
      <c r="AC93" s="38" t="str">
        <f aca="false">IF($A93="","",IF(AB93="","",MAX(0,AB93)))</f>
        <v/>
      </c>
      <c r="AD93" s="38" t="str">
        <f aca="false">IF($A93="","",IFERROR(ROUND((X93-W93)*1440,0),""))</f>
        <v/>
      </c>
      <c r="AE93" s="38" t="str">
        <f aca="false">IF($A93="","",IF(E93="Client","n/a",IFERROR(ROUND((H93-G93)*1440,0),"")))</f>
        <v/>
      </c>
      <c r="AF93" s="38" t="str">
        <f aca="false">IF($A93="","",IFERROR(ROUND((Y93-H93)*1440,0),""))</f>
        <v/>
      </c>
      <c r="AG93" s="38" t="str">
        <f aca="false">IF($A93="","",IFERROR(ROUND((H93-F93)*1440,0),""))</f>
        <v/>
      </c>
      <c r="AH93" s="38" t="str">
        <f aca="false">IF($A93="","",IFERROR(ROUND((Y93-V93)*1440,0),""))</f>
        <v/>
      </c>
      <c r="AI93" s="4" t="str">
        <f aca="false">IF($A93="","",IF(AH93="","",IF(AH93&gt;0,"Yes","No")))</f>
        <v/>
      </c>
      <c r="AJ93" s="4" t="str">
        <f aca="false">IF($A93="","",IF(AI93&lt;&gt;"Yes","On time",IF(N(AC93)&gt;=MAX(N(AF93),N(K93)),"Wait for analyst",IF(N(AF93)&gt;=N(K93),"External sign-off","Rework"))))</f>
        <v/>
      </c>
      <c r="AK93" s="4" t="str">
        <f aca="false">IF($A93="","",IF(OR(F93="",Y93="",ISNA(MATCH(L93,Dim_Analyst!$A:$A,0))),"CHECK","OK"))</f>
        <v/>
      </c>
      <c r="AL93" s="4" t="str">
        <f aca="false">IF($A93="","",IFERROR(VLOOKUP($C93,Dim_Fund!$A:$U,21,0),""))</f>
        <v/>
      </c>
      <c r="AM93" s="4" t="str">
        <f aca="false">IF($A93="","",IF($U93="","",IF($U93&gt;$B93+IFERROR(VLOOKUP($C93,Dim_Fund!$A:$AH,34,0),0)/24,"Yes","No")))</f>
        <v/>
      </c>
      <c r="AN93" s="22" t="str">
        <f aca="false">IF($A93="","",IFERROR(VLOOKUP($C93,Dim_Fund!$A:$AH,34,0),""))</f>
        <v/>
      </c>
      <c r="AO93" s="22" t="str">
        <f aca="false">IF($A93="","",IF($AL93="","",IFERROR(FLOOR(IF(COUNTIFS(Fact_Milestone!$A:$A,$B93,Fact_Milestone!$B:$B,$AL93,Fact_Milestone!$F:$F,"&gt;0")&gt;0,_xlfn.MINIFS(Fact_Milestone!$F:$F,Fact_Milestone!$A:$A,$B93,Fact_Milestone!$B:$B,$AL93,Fact_Milestone!$F:$F,"&gt;0"),VLOOKUP($AL93,Dim_TOP!$A:$E,5,0)),0.5),"")))</f>
        <v/>
      </c>
      <c r="AP93" s="22" t="str">
        <f aca="false">IF($A93="","",IF($U93="","",ROUND(($U93-INT($U93))*24,4)))</f>
        <v/>
      </c>
      <c r="AQ93" s="22" t="str">
        <f aca="false">IF($A93="","",IF($W93="","",ROUND(($W93-INT($W93))*24,4)))</f>
        <v/>
      </c>
      <c r="AR93" s="22" t="str">
        <f aca="false">IF($A93="","",IF($X93="","",ROUND(($X93-INT($X93))*24,4)))</f>
        <v/>
      </c>
      <c r="AS93" s="38" t="str">
        <f aca="false">IF($A93="","",IF(OR($AN93="",$V93="",$S93="",$T93=""),"",ROUND(($V93-($B93+$AN93/24))*1440-$S93-$T93,0)))</f>
        <v/>
      </c>
      <c r="AT93" s="38" t="str">
        <f aca="false">IF($A93="","",IF(OR($AN93="",$U93=""),"",ROUND(($U93-($B93+$AN93/24))*1440,0)))</f>
        <v/>
      </c>
      <c r="AU93" s="38" t="str">
        <f aca="false">IF($A93="","",IF(OR($AD93="",$S93=""),"",ROUND($AD93-$S93,0)))</f>
        <v/>
      </c>
      <c r="AV93" s="38" t="str">
        <f aca="false">IF($A93="","",N($AE93))</f>
        <v/>
      </c>
      <c r="AW93" s="38" t="str">
        <f aca="false">IF($A93="","",IF(OR($AF93="",$T93=""),"",$AF93-$T93))</f>
        <v/>
      </c>
      <c r="AX93" s="38" t="str">
        <f aca="false">IF($A93="","",IF(COUNT($AT93,$AB93,$AU93,$AW93,$AS93,$AH93)&lt;6,"",ROUND($AT93+$AB93+$AU93+$AV93+$AW93-$AS93-$AH93,0)))</f>
        <v/>
      </c>
      <c r="AY93" s="4" t="str">
        <f aca="false">IF($A93="","",IF($AX93="","No",IF(ABS($AX93)&lt;=2,"Yes","No")))</f>
        <v/>
      </c>
      <c r="AZ93" s="4" t="str">
        <f aca="false">IF($A93="","",IF($AI93&lt;&gt;"Yes","n/a",IF(OR($AA93="",$S93="",$T93=""),"Unknown",IF($AA93&lt;$S93+$T93,"Lost on arrival","Lost after arrival"))))</f>
        <v/>
      </c>
      <c r="BA93" s="10" t="str">
        <f aca="false">IF($A93="","",IFERROR(VLOOKUP($C93,Dim_Fund!$A:$D,4,0),""))</f>
        <v/>
      </c>
      <c r="BB93" s="10" t="str">
        <f aca="false">IF($A93="","",IF($AL93="","",IF(COUNTIFS(Fact_Milestone!$A:$A,$B93,Fact_Milestone!$B:$B,$AL93,Fact_Milestone!$I:$I,"No")&gt;0,"No",IF(COUNTIFS(Fact_Milestone!$A:$A,$B93,Fact_Milestone!$B:$B,$AL93,Fact_Milestone!$I:$I,"Yes")&gt;0,"Yes",""))))</f>
        <v/>
      </c>
      <c r="BC93" s="45" t="str">
        <f aca="false">IF($A93="","",IF(OR($L93="",$W93=""),"",IF(COUNTIFS($L:$L,$L93,$B:$B,$B93,$W:$W,"&lt;"&amp;$W93)=0,"",_xlfn.MAXIFS($W:$W,$L:$L,$L93,$B:$B,$B93,$W:$W,"&lt;"&amp;$W93))))</f>
        <v/>
      </c>
      <c r="BD93" s="39" t="str">
        <f aca="false">IF($A93="","",IF($AC93="","",IF(OR($L93="",$AC93=0),0,MIN($AC93,ROUND(ROUND(1440*SUMPRODUCT(($L$2:INDEX($L:$L,COUNTA($C:$C))=$L93)*($B$2:INDEX($B:$B,COUNTA($C:$C))=$B93)*(ROW($L$2:INDEX($L:$L,COUNTA($C:$C)))&lt;&gt;ROW())*((((($W93+$BT$2:INDEX($BT:$BT,COUNTA($C:$C))-ABS($W93-$BT$2:INDEX($BT:$BT,COUNTA($C:$C))))/2)-(($U93+$BS$2:INDEX($BS:$BS,COUNTA($C:$C))+ABS($U93-$BS$2:INDEX($BS:$BS,COUNTA($C:$C))))/2))+ABS(((($W93+$BT$2:INDEX($BT:$BT,COUNTA($C:$C))-ABS($W93-$BT$2:INDEX($BT:$BT,COUNTA($C:$C))))/2)-(($U93+$BS$2:INDEX($BS:$BS,COUNTA($C:$C))+ABS($U93-$BS$2:INDEX($BS:$BS,COUNTA($C:$C))))/2))))/2)),4),0)))))</f>
        <v/>
      </c>
      <c r="BE93" s="39" t="str">
        <f aca="false">IF($A93="","",IF($AC93="","",ROUND(MIN($AC93-$BD93,N($R93)),0)))</f>
        <v/>
      </c>
      <c r="BF93" s="10" t="str">
        <f aca="false">IF($A93="","",IFERROR(VLOOKUP($C93,Dim_Fund!$A:$BD,56,0),""))</f>
        <v/>
      </c>
      <c r="BG93" s="10" t="str">
        <f aca="false">IF($A93="","",IFERROR(VLOOKUP($C93,Dim_Fund!$A:$BH,60,0),""))</f>
        <v/>
      </c>
      <c r="BH93" s="10" t="str">
        <f aca="false">IF($A93="","",IF($AI93&lt;&gt;"Yes","Not breached",IF($AM93="Yes","Pricing late",IF($BG93="Thin custody slack","Thin custody slack",IF($BF93="Yes","Broker-dependent","None of these")))))</f>
        <v/>
      </c>
      <c r="BI93" s="23" t="str">
        <f aca="false">IF($A93="","",IFERROR(IF(VLOOKUP($C93,Dim_Fund!$A:$AI,35,0)&gt;0,VLOOKUP($C93,Dim_Fund!$A:$AI,35,0),""),""))</f>
        <v/>
      </c>
      <c r="BJ93" s="10" t="str">
        <f aca="false">IF($A93="","",$C93&amp;IF($E93="Client","*",""))</f>
        <v/>
      </c>
      <c r="BK93" s="39" t="str">
        <f aca="false">IF($A93="","",IFERROR(ROUND(($Y93-$X93)*1440,0),""))</f>
        <v/>
      </c>
      <c r="BL93" s="39" t="str">
        <f aca="false">IF($A93="","",IF($AH93="","",-$AH93))</f>
        <v/>
      </c>
      <c r="BM93" s="46" t="str">
        <f aca="false">IF($A93="","",IF($AQ93="","",IF($AP93="",$AQ93,MIN($AP93,$AQ93))))</f>
        <v/>
      </c>
      <c r="BN93" s="46" t="str">
        <f aca="false">IF($A93="","",IF($BM93="","",ROUND(N($AC93)/60,4)))</f>
        <v/>
      </c>
      <c r="BO93" s="46" t="str">
        <f aca="false">IF($A93="","",IF(OR($BM93="",$AD93=""),"",ROUND($AD93/60,4)))</f>
        <v/>
      </c>
      <c r="BP93" s="46" t="str">
        <f aca="false">IF($A93="","",IF($BM93="","",ROUND(N($AE93)/60,4)))</f>
        <v/>
      </c>
      <c r="BQ93" s="46" t="str">
        <f aca="false">IF($A93="","",IF(OR($BM93="",$AF93=""),"",ROUND($AF93/60,4)))</f>
        <v/>
      </c>
      <c r="BR93" s="39" t="str">
        <f aca="false">IF($A93="","",IF($AC93="","",$AC93-$BD93-$BE93))</f>
        <v/>
      </c>
      <c r="BS93" s="45" t="str">
        <f aca="false">IF($A93="","",IF(AND(ISNUMBER($Z93),ISNUMBER($W93)),$Z93,0))</f>
        <v/>
      </c>
      <c r="BT93" s="45" t="str">
        <f aca="false">IF($A93="","",IF(ISNUMBER($W93),$W93,0))</f>
        <v/>
      </c>
      <c r="BU93" s="23" t="str">
        <f aca="false">IF($A93="","",IF(ISNUMBER($W93),ROUND(($W93-$B93)*24,4),""))</f>
        <v/>
      </c>
      <c r="BV93" s="23" t="str">
        <f aca="false">IF($A93="","",IF(ISNUMBER($X93),ROUND(($X93-$B93)*24,4),""))</f>
        <v/>
      </c>
      <c r="BW93" s="10" t="str">
        <f aca="false">IF($A93="","",IF(NOT(ISNUMBER($W93)),"Missing Calculated",IF(NOT(ISNUMBER($X93)),IF($E93="Client","Missing FA signed off","Missing Controlled"),IF($X93&lt;$W93,"End before start","OK"))))</f>
        <v/>
      </c>
      <c r="BX93" s="23" t="str">
        <f aca="false">IF($A93="","",IF(NOT(ISNUMBER($Z93)),"",ROUND((IF(ISNUMBER($U93),MIN($U93,$Z93),$Z93)-$B93)*24,4)))</f>
        <v/>
      </c>
      <c r="BY93" s="23" t="str">
        <f aca="false">IF($A93="","",IF(ISNUMBER($Z93),ROUND(($Z93-$B93)*24,4),""))</f>
        <v/>
      </c>
      <c r="BZ93" s="23" t="str">
        <f aca="false">IF($A93="","",IF(AND(ISNUMBER($W93),ISNUMBER($S93)),ROUND(($W93+$S93/1440-$B93)*24,4),""))</f>
        <v/>
      </c>
    </row>
    <row r="94" customFormat="false" ht="15" hidden="false" customHeight="true" outlineLevel="0" collapsed="false">
      <c r="A94" s="47"/>
      <c r="B94" s="47"/>
      <c r="D94" s="4" t="str">
        <f aca="false">IF($A94="","",$B94-$A94)</f>
        <v/>
      </c>
      <c r="E94" s="4" t="str">
        <f aca="false">IF($A94="","",IFERROR(VLOOKUP($C94,Dim_Fund!$A:$X,24,0),""))</f>
        <v/>
      </c>
      <c r="F94" s="37" t="str">
        <f aca="false">IF($A94="","",IF(COUNTIFS(Status_Log!$A:$A,$A94,Status_Log!$B:$B,$B94,Status_Log!$C:$C,$C94,Status_Log!$D:$D,"Changed to the status of Calculated")=0,"",_xlfn.MINIFS(Status_Log!$E:$E,Status_Log!$A:$A,$A94,Status_Log!$B:$B,$B94,Status_Log!$C:$C,$C94,Status_Log!$D:$D,"Changed to the status of Calculated")))</f>
        <v/>
      </c>
      <c r="G94" s="37" t="str">
        <f aca="false">IF($A94="","",IF(COUNTIFS(Status_Log!$A:$A,$A94,Status_Log!$B:$B,$B94,Status_Log!$C:$C,$C94,Status_Log!$D:$D,"Changed to the status of Controlled")=0,"",_xlfn.MAXIFS(Status_Log!$E:$E,Status_Log!$A:$A,$A94,Status_Log!$B:$B,$B94,Status_Log!$C:$C,$C94,Status_Log!$D:$D,"Changed to the status of Controlled")))</f>
        <v/>
      </c>
      <c r="H94" s="37" t="str">
        <f aca="false">IF($A94="","",IF(COUNTIFS(Status_Log!$A:$A,$A94,Status_Log!$B:$B,$B94,Status_Log!$C:$C,$C94,Status_Log!$D:$D,"Changed to the status of Fund accounting signed off")=0,"",_xlfn.MAXIFS(Status_Log!$E:$E,Status_Log!$A:$A,$A94,Status_Log!$B:$B,$B94,Status_Log!$C:$C,$C94,Status_Log!$D:$D,"Changed to the status of Fund accounting signed off")))</f>
        <v/>
      </c>
      <c r="I94" s="37" t="str">
        <f aca="false">IF($A94="","",IF(COUNTIFS(Status_Log!$A:$A,$A94,Status_Log!$B:$B,$B94,Status_Log!$C:$C,$C94,Status_Log!$D:$D,"Changed to the status of signed off")=0,"",_xlfn.MAXIFS(Status_Log!$E:$E,Status_Log!$A:$A,$A94,Status_Log!$B:$B,$B94,Status_Log!$C:$C,$C94,Status_Log!$D:$D,"Changed to the status of signed off")))</f>
        <v/>
      </c>
      <c r="J94" s="4" t="str">
        <f aca="false">IF($A94="","",COUNTIFS(Status_Log!$A:$A,$A94,Status_Log!$B:$B,$B94,Status_Log!$C:$C,$C94,Status_Log!$D:$D,"Changed to the status of Calculated"))</f>
        <v/>
      </c>
      <c r="K94" s="38" t="str">
        <f aca="false">IF($A94="","",IF(J94&lt;=1,0,ROUND((_xlfn.MAXIFS(Status_Log!$E:$E,Status_Log!$A:$A,$A94,Status_Log!$B:$B,$B94,Status_Log!$C:$C,$C94,Status_Log!$D:$D,"Changed to the status of Calculated")-F94)*1440,0)))</f>
        <v/>
      </c>
      <c r="L94" s="4" t="str">
        <f aca="false">IF($A94="","",IFERROR(INDEX(Status_Log!$F:$F,MATCH($A94&amp;"|"&amp;$B94&amp;"|"&amp;$C94&amp;"|Changed to the status of Calculated|"&amp;TEXT(_xlfn.MAXIFS(Status_Log!$E:$E,Status_Log!$A:$A,$A94,Status_Log!$B:$B,$B94,Status_Log!$C:$C,$C94,Status_Log!$D:$D,"Changed to the status of Calculated"),"0.000000"),Status_Log!$H:$H,0)),""))</f>
        <v/>
      </c>
      <c r="M94" s="4" t="str">
        <f aca="false">IF($A94="","",IF(E94="Client","n/a — no control step",IFERROR(INDEX(Status_Log!$F:$F,MATCH($A94&amp;"|"&amp;$B94&amp;"|"&amp;$C94&amp;"|Changed to the status of Controlled|"&amp;TEXT(_xlfn.MAXIFS(Status_Log!$E:$E,Status_Log!$A:$A,$A94,Status_Log!$B:$B,$B94,Status_Log!$C:$C,$C94,Status_Log!$D:$D,"Changed to the status of Controlled"),"0.000000"),Status_Log!$H:$H,0)),"")))</f>
        <v/>
      </c>
      <c r="N94" s="4" t="str">
        <f aca="false">IF($A94="","",IFERROR(VLOOKUP($C94,Dim_Fund!$A:$G,7,0),""))</f>
        <v/>
      </c>
      <c r="O94" s="4" t="str">
        <f aca="false">IF($A94="","",IF(L94=N94,"No","Yes"))</f>
        <v/>
      </c>
      <c r="P94" s="4" t="str">
        <f aca="false">IF($A94="","",IF(E94="Client","n/a",IF(L94=M94,"YES — four-eyes breach","No")))</f>
        <v/>
      </c>
      <c r="Q94" s="38" t="str">
        <f aca="false">IF($A94="","",IFERROR(VLOOKUP($C94,Dim_Fund!$A:$AB,28,0),""))</f>
        <v/>
      </c>
      <c r="R94" s="38" t="str">
        <f aca="false">IF($A94="","",IFERROR(VLOOKUP($C94,Dim_Fund!$A:$AC,29,0),""))</f>
        <v/>
      </c>
      <c r="S94" s="38" t="str">
        <f aca="false">IF($A94="","",IFERROR(VLOOKUP($C94,Dim_Fund!$A:$AD,30,0),""))</f>
        <v/>
      </c>
      <c r="T94" s="38" t="str">
        <f aca="false">IF($A94="","",IFERROR(VLOOKUP($C94,Dim_Fund!$A:$AL,38,0),""))</f>
        <v/>
      </c>
      <c r="U94" s="37" t="str">
        <f aca="false">IF($A94="","",IF(AL94="","",IFERROR(IF(COUNTIFS(Fact_Milestone!$A:$A,$B94,Fact_Milestone!$B:$B,AL94)=0,"",_xlfn.MAXIFS(Fact_Milestone!$C:$C,Fact_Milestone!$A:$A,$B94,Fact_Milestone!$B:$B,AL94)),"")))</f>
        <v/>
      </c>
      <c r="V94" s="37" t="str">
        <f aca="false">IF($A94="","",IFERROR(IF(VLOOKUP($C94,Dim_Fund!$A:$AI,35,0)&gt;0,$B94+VLOOKUP($C94,Dim_Fund!$A:$AI,35,0)/24,""),""))</f>
        <v/>
      </c>
      <c r="W94" s="37" t="str">
        <f aca="false">IF($A94="","",F94)</f>
        <v/>
      </c>
      <c r="X94" s="37" t="str">
        <f aca="false">IF($A94="","",IF(E94="Client",H94,G94))</f>
        <v/>
      </c>
      <c r="Y94" s="37" t="str">
        <f aca="false">IF($A94="","",I94)</f>
        <v/>
      </c>
      <c r="Z94" s="37" t="str">
        <f aca="false">IF($A94="","",IFERROR(W94-R94/1440,""))</f>
        <v/>
      </c>
      <c r="AA94" s="38" t="str">
        <f aca="false">IF($A94="","",IF(OR(U94="",V94=""),"",ROUND((V94-U94)*1440,0)))</f>
        <v/>
      </c>
      <c r="AB94" s="38" t="str">
        <f aca="false">IF($A94="","",IF(U94="","",ROUND((W94-U94)*1440,0)))</f>
        <v/>
      </c>
      <c r="AC94" s="38" t="str">
        <f aca="false">IF($A94="","",IF(AB94="","",MAX(0,AB94)))</f>
        <v/>
      </c>
      <c r="AD94" s="38" t="str">
        <f aca="false">IF($A94="","",IFERROR(ROUND((X94-W94)*1440,0),""))</f>
        <v/>
      </c>
      <c r="AE94" s="38" t="str">
        <f aca="false">IF($A94="","",IF(E94="Client","n/a",IFERROR(ROUND((H94-G94)*1440,0),"")))</f>
        <v/>
      </c>
      <c r="AF94" s="38" t="str">
        <f aca="false">IF($A94="","",IFERROR(ROUND((Y94-H94)*1440,0),""))</f>
        <v/>
      </c>
      <c r="AG94" s="38" t="str">
        <f aca="false">IF($A94="","",IFERROR(ROUND((H94-F94)*1440,0),""))</f>
        <v/>
      </c>
      <c r="AH94" s="38" t="str">
        <f aca="false">IF($A94="","",IFERROR(ROUND((Y94-V94)*1440,0),""))</f>
        <v/>
      </c>
      <c r="AI94" s="4" t="str">
        <f aca="false">IF($A94="","",IF(AH94="","",IF(AH94&gt;0,"Yes","No")))</f>
        <v/>
      </c>
      <c r="AJ94" s="4" t="str">
        <f aca="false">IF($A94="","",IF(AI94&lt;&gt;"Yes","On time",IF(N(AC94)&gt;=MAX(N(AF94),N(K94)),"Wait for analyst",IF(N(AF94)&gt;=N(K94),"External sign-off","Rework"))))</f>
        <v/>
      </c>
      <c r="AK94" s="4" t="str">
        <f aca="false">IF($A94="","",IF(OR(F94="",Y94="",ISNA(MATCH(L94,Dim_Analyst!$A:$A,0))),"CHECK","OK"))</f>
        <v/>
      </c>
      <c r="AL94" s="4" t="str">
        <f aca="false">IF($A94="","",IFERROR(VLOOKUP($C94,Dim_Fund!$A:$U,21,0),""))</f>
        <v/>
      </c>
      <c r="AM94" s="4" t="str">
        <f aca="false">IF($A94="","",IF($U94="","",IF($U94&gt;$B94+IFERROR(VLOOKUP($C94,Dim_Fund!$A:$AH,34,0),0)/24,"Yes","No")))</f>
        <v/>
      </c>
      <c r="AN94" s="22" t="str">
        <f aca="false">IF($A94="","",IFERROR(VLOOKUP($C94,Dim_Fund!$A:$AH,34,0),""))</f>
        <v/>
      </c>
      <c r="AO94" s="22" t="str">
        <f aca="false">IF($A94="","",IF($AL94="","",IFERROR(FLOOR(IF(COUNTIFS(Fact_Milestone!$A:$A,$B94,Fact_Milestone!$B:$B,$AL94,Fact_Milestone!$F:$F,"&gt;0")&gt;0,_xlfn.MINIFS(Fact_Milestone!$F:$F,Fact_Milestone!$A:$A,$B94,Fact_Milestone!$B:$B,$AL94,Fact_Milestone!$F:$F,"&gt;0"),VLOOKUP($AL94,Dim_TOP!$A:$E,5,0)),0.5),"")))</f>
        <v/>
      </c>
      <c r="AP94" s="22" t="str">
        <f aca="false">IF($A94="","",IF($U94="","",ROUND(($U94-INT($U94))*24,4)))</f>
        <v/>
      </c>
      <c r="AQ94" s="22" t="str">
        <f aca="false">IF($A94="","",IF($W94="","",ROUND(($W94-INT($W94))*24,4)))</f>
        <v/>
      </c>
      <c r="AR94" s="22" t="str">
        <f aca="false">IF($A94="","",IF($X94="","",ROUND(($X94-INT($X94))*24,4)))</f>
        <v/>
      </c>
      <c r="AS94" s="38" t="str">
        <f aca="false">IF($A94="","",IF(OR($AN94="",$V94="",$S94="",$T94=""),"",ROUND(($V94-($B94+$AN94/24))*1440-$S94-$T94,0)))</f>
        <v/>
      </c>
      <c r="AT94" s="38" t="str">
        <f aca="false">IF($A94="","",IF(OR($AN94="",$U94=""),"",ROUND(($U94-($B94+$AN94/24))*1440,0)))</f>
        <v/>
      </c>
      <c r="AU94" s="38" t="str">
        <f aca="false">IF($A94="","",IF(OR($AD94="",$S94=""),"",ROUND($AD94-$S94,0)))</f>
        <v/>
      </c>
      <c r="AV94" s="38" t="str">
        <f aca="false">IF($A94="","",N($AE94))</f>
        <v/>
      </c>
      <c r="AW94" s="38" t="str">
        <f aca="false">IF($A94="","",IF(OR($AF94="",$T94=""),"",$AF94-$T94))</f>
        <v/>
      </c>
      <c r="AX94" s="38" t="str">
        <f aca="false">IF($A94="","",IF(COUNT($AT94,$AB94,$AU94,$AW94,$AS94,$AH94)&lt;6,"",ROUND($AT94+$AB94+$AU94+$AV94+$AW94-$AS94-$AH94,0)))</f>
        <v/>
      </c>
      <c r="AY94" s="4" t="str">
        <f aca="false">IF($A94="","",IF($AX94="","No",IF(ABS($AX94)&lt;=2,"Yes","No")))</f>
        <v/>
      </c>
      <c r="AZ94" s="4" t="str">
        <f aca="false">IF($A94="","",IF($AI94&lt;&gt;"Yes","n/a",IF(OR($AA94="",$S94="",$T94=""),"Unknown",IF($AA94&lt;$S94+$T94,"Lost on arrival","Lost after arrival"))))</f>
        <v/>
      </c>
      <c r="BA94" s="10" t="str">
        <f aca="false">IF($A94="","",IFERROR(VLOOKUP($C94,Dim_Fund!$A:$D,4,0),""))</f>
        <v/>
      </c>
      <c r="BB94" s="10" t="str">
        <f aca="false">IF($A94="","",IF($AL94="","",IF(COUNTIFS(Fact_Milestone!$A:$A,$B94,Fact_Milestone!$B:$B,$AL94,Fact_Milestone!$I:$I,"No")&gt;0,"No",IF(COUNTIFS(Fact_Milestone!$A:$A,$B94,Fact_Milestone!$B:$B,$AL94,Fact_Milestone!$I:$I,"Yes")&gt;0,"Yes",""))))</f>
        <v/>
      </c>
      <c r="BC94" s="45" t="str">
        <f aca="false">IF($A94="","",IF(OR($L94="",$W94=""),"",IF(COUNTIFS($L:$L,$L94,$B:$B,$B94,$W:$W,"&lt;"&amp;$W94)=0,"",_xlfn.MAXIFS($W:$W,$L:$L,$L94,$B:$B,$B94,$W:$W,"&lt;"&amp;$W94))))</f>
        <v/>
      </c>
      <c r="BD94" s="39" t="str">
        <f aca="false">IF($A94="","",IF($AC94="","",IF(OR($L94="",$AC94=0),0,MIN($AC94,ROUND(ROUND(1440*SUMPRODUCT(($L$2:INDEX($L:$L,COUNTA($C:$C))=$L94)*($B$2:INDEX($B:$B,COUNTA($C:$C))=$B94)*(ROW($L$2:INDEX($L:$L,COUNTA($C:$C)))&lt;&gt;ROW())*((((($W94+$BT$2:INDEX($BT:$BT,COUNTA($C:$C))-ABS($W94-$BT$2:INDEX($BT:$BT,COUNTA($C:$C))))/2)-(($U94+$BS$2:INDEX($BS:$BS,COUNTA($C:$C))+ABS($U94-$BS$2:INDEX($BS:$BS,COUNTA($C:$C))))/2))+ABS(((($W94+$BT$2:INDEX($BT:$BT,COUNTA($C:$C))-ABS($W94-$BT$2:INDEX($BT:$BT,COUNTA($C:$C))))/2)-(($U94+$BS$2:INDEX($BS:$BS,COUNTA($C:$C))+ABS($U94-$BS$2:INDEX($BS:$BS,COUNTA($C:$C))))/2))))/2)),4),0)))))</f>
        <v/>
      </c>
      <c r="BE94" s="39" t="str">
        <f aca="false">IF($A94="","",IF($AC94="","",ROUND(MIN($AC94-$BD94,N($R94)),0)))</f>
        <v/>
      </c>
      <c r="BF94" s="10" t="str">
        <f aca="false">IF($A94="","",IFERROR(VLOOKUP($C94,Dim_Fund!$A:$BD,56,0),""))</f>
        <v/>
      </c>
      <c r="BG94" s="10" t="str">
        <f aca="false">IF($A94="","",IFERROR(VLOOKUP($C94,Dim_Fund!$A:$BH,60,0),""))</f>
        <v/>
      </c>
      <c r="BH94" s="10" t="str">
        <f aca="false">IF($A94="","",IF($AI94&lt;&gt;"Yes","Not breached",IF($AM94="Yes","Pricing late",IF($BG94="Thin custody slack","Thin custody slack",IF($BF94="Yes","Broker-dependent","None of these")))))</f>
        <v/>
      </c>
      <c r="BI94" s="23" t="str">
        <f aca="false">IF($A94="","",IFERROR(IF(VLOOKUP($C94,Dim_Fund!$A:$AI,35,0)&gt;0,VLOOKUP($C94,Dim_Fund!$A:$AI,35,0),""),""))</f>
        <v/>
      </c>
      <c r="BJ94" s="10" t="str">
        <f aca="false">IF($A94="","",$C94&amp;IF($E94="Client","*",""))</f>
        <v/>
      </c>
      <c r="BK94" s="39" t="str">
        <f aca="false">IF($A94="","",IFERROR(ROUND(($Y94-$X94)*1440,0),""))</f>
        <v/>
      </c>
      <c r="BL94" s="39" t="str">
        <f aca="false">IF($A94="","",IF($AH94="","",-$AH94))</f>
        <v/>
      </c>
      <c r="BM94" s="46" t="str">
        <f aca="false">IF($A94="","",IF($AQ94="","",IF($AP94="",$AQ94,MIN($AP94,$AQ94))))</f>
        <v/>
      </c>
      <c r="BN94" s="46" t="str">
        <f aca="false">IF($A94="","",IF($BM94="","",ROUND(N($AC94)/60,4)))</f>
        <v/>
      </c>
      <c r="BO94" s="46" t="str">
        <f aca="false">IF($A94="","",IF(OR($BM94="",$AD94=""),"",ROUND($AD94/60,4)))</f>
        <v/>
      </c>
      <c r="BP94" s="46" t="str">
        <f aca="false">IF($A94="","",IF($BM94="","",ROUND(N($AE94)/60,4)))</f>
        <v/>
      </c>
      <c r="BQ94" s="46" t="str">
        <f aca="false">IF($A94="","",IF(OR($BM94="",$AF94=""),"",ROUND($AF94/60,4)))</f>
        <v/>
      </c>
      <c r="BR94" s="39" t="str">
        <f aca="false">IF($A94="","",IF($AC94="","",$AC94-$BD94-$BE94))</f>
        <v/>
      </c>
      <c r="BS94" s="45" t="str">
        <f aca="false">IF($A94="","",IF(AND(ISNUMBER($Z94),ISNUMBER($W94)),$Z94,0))</f>
        <v/>
      </c>
      <c r="BT94" s="45" t="str">
        <f aca="false">IF($A94="","",IF(ISNUMBER($W94),$W94,0))</f>
        <v/>
      </c>
      <c r="BU94" s="23" t="str">
        <f aca="false">IF($A94="","",IF(ISNUMBER($W94),ROUND(($W94-$B94)*24,4),""))</f>
        <v/>
      </c>
      <c r="BV94" s="23" t="str">
        <f aca="false">IF($A94="","",IF(ISNUMBER($X94),ROUND(($X94-$B94)*24,4),""))</f>
        <v/>
      </c>
      <c r="BW94" s="10" t="str">
        <f aca="false">IF($A94="","",IF(NOT(ISNUMBER($W94)),"Missing Calculated",IF(NOT(ISNUMBER($X94)),IF($E94="Client","Missing FA signed off","Missing Controlled"),IF($X94&lt;$W94,"End before start","OK"))))</f>
        <v/>
      </c>
      <c r="BX94" s="23" t="str">
        <f aca="false">IF($A94="","",IF(NOT(ISNUMBER($Z94)),"",ROUND((IF(ISNUMBER($U94),MIN($U94,$Z94),$Z94)-$B94)*24,4)))</f>
        <v/>
      </c>
      <c r="BY94" s="23" t="str">
        <f aca="false">IF($A94="","",IF(ISNUMBER($Z94),ROUND(($Z94-$B94)*24,4),""))</f>
        <v/>
      </c>
      <c r="BZ94" s="23" t="str">
        <f aca="false">IF($A94="","",IF(AND(ISNUMBER($W94),ISNUMBER($S94)),ROUND(($W94+$S94/1440-$B94)*24,4),""))</f>
        <v/>
      </c>
    </row>
    <row r="95" customFormat="false" ht="15" hidden="false" customHeight="true" outlineLevel="0" collapsed="false">
      <c r="A95" s="47"/>
      <c r="B95" s="47"/>
      <c r="D95" s="4" t="str">
        <f aca="false">IF($A95="","",$B95-$A95)</f>
        <v/>
      </c>
      <c r="E95" s="4" t="str">
        <f aca="false">IF($A95="","",IFERROR(VLOOKUP($C95,Dim_Fund!$A:$X,24,0),""))</f>
        <v/>
      </c>
      <c r="F95" s="37" t="str">
        <f aca="false">IF($A95="","",IF(COUNTIFS(Status_Log!$A:$A,$A95,Status_Log!$B:$B,$B95,Status_Log!$C:$C,$C95,Status_Log!$D:$D,"Changed to the status of Calculated")=0,"",_xlfn.MINIFS(Status_Log!$E:$E,Status_Log!$A:$A,$A95,Status_Log!$B:$B,$B95,Status_Log!$C:$C,$C95,Status_Log!$D:$D,"Changed to the status of Calculated")))</f>
        <v/>
      </c>
      <c r="G95" s="37" t="str">
        <f aca="false">IF($A95="","",IF(COUNTIFS(Status_Log!$A:$A,$A95,Status_Log!$B:$B,$B95,Status_Log!$C:$C,$C95,Status_Log!$D:$D,"Changed to the status of Controlled")=0,"",_xlfn.MAXIFS(Status_Log!$E:$E,Status_Log!$A:$A,$A95,Status_Log!$B:$B,$B95,Status_Log!$C:$C,$C95,Status_Log!$D:$D,"Changed to the status of Controlled")))</f>
        <v/>
      </c>
      <c r="H95" s="37" t="str">
        <f aca="false">IF($A95="","",IF(COUNTIFS(Status_Log!$A:$A,$A95,Status_Log!$B:$B,$B95,Status_Log!$C:$C,$C95,Status_Log!$D:$D,"Changed to the status of Fund accounting signed off")=0,"",_xlfn.MAXIFS(Status_Log!$E:$E,Status_Log!$A:$A,$A95,Status_Log!$B:$B,$B95,Status_Log!$C:$C,$C95,Status_Log!$D:$D,"Changed to the status of Fund accounting signed off")))</f>
        <v/>
      </c>
      <c r="I95" s="37" t="str">
        <f aca="false">IF($A95="","",IF(COUNTIFS(Status_Log!$A:$A,$A95,Status_Log!$B:$B,$B95,Status_Log!$C:$C,$C95,Status_Log!$D:$D,"Changed to the status of signed off")=0,"",_xlfn.MAXIFS(Status_Log!$E:$E,Status_Log!$A:$A,$A95,Status_Log!$B:$B,$B95,Status_Log!$C:$C,$C95,Status_Log!$D:$D,"Changed to the status of signed off")))</f>
        <v/>
      </c>
      <c r="J95" s="4" t="str">
        <f aca="false">IF($A95="","",COUNTIFS(Status_Log!$A:$A,$A95,Status_Log!$B:$B,$B95,Status_Log!$C:$C,$C95,Status_Log!$D:$D,"Changed to the status of Calculated"))</f>
        <v/>
      </c>
      <c r="K95" s="38" t="str">
        <f aca="false">IF($A95="","",IF(J95&lt;=1,0,ROUND((_xlfn.MAXIFS(Status_Log!$E:$E,Status_Log!$A:$A,$A95,Status_Log!$B:$B,$B95,Status_Log!$C:$C,$C95,Status_Log!$D:$D,"Changed to the status of Calculated")-F95)*1440,0)))</f>
        <v/>
      </c>
      <c r="L95" s="4" t="str">
        <f aca="false">IF($A95="","",IFERROR(INDEX(Status_Log!$F:$F,MATCH($A95&amp;"|"&amp;$B95&amp;"|"&amp;$C95&amp;"|Changed to the status of Calculated|"&amp;TEXT(_xlfn.MAXIFS(Status_Log!$E:$E,Status_Log!$A:$A,$A95,Status_Log!$B:$B,$B95,Status_Log!$C:$C,$C95,Status_Log!$D:$D,"Changed to the status of Calculated"),"0.000000"),Status_Log!$H:$H,0)),""))</f>
        <v/>
      </c>
      <c r="M95" s="4" t="str">
        <f aca="false">IF($A95="","",IF(E95="Client","n/a — no control step",IFERROR(INDEX(Status_Log!$F:$F,MATCH($A95&amp;"|"&amp;$B95&amp;"|"&amp;$C95&amp;"|Changed to the status of Controlled|"&amp;TEXT(_xlfn.MAXIFS(Status_Log!$E:$E,Status_Log!$A:$A,$A95,Status_Log!$B:$B,$B95,Status_Log!$C:$C,$C95,Status_Log!$D:$D,"Changed to the status of Controlled"),"0.000000"),Status_Log!$H:$H,0)),"")))</f>
        <v/>
      </c>
      <c r="N95" s="4" t="str">
        <f aca="false">IF($A95="","",IFERROR(VLOOKUP($C95,Dim_Fund!$A:$G,7,0),""))</f>
        <v/>
      </c>
      <c r="O95" s="4" t="str">
        <f aca="false">IF($A95="","",IF(L95=N95,"No","Yes"))</f>
        <v/>
      </c>
      <c r="P95" s="4" t="str">
        <f aca="false">IF($A95="","",IF(E95="Client","n/a",IF(L95=M95,"YES — four-eyes breach","No")))</f>
        <v/>
      </c>
      <c r="Q95" s="38" t="str">
        <f aca="false">IF($A95="","",IFERROR(VLOOKUP($C95,Dim_Fund!$A:$AB,28,0),""))</f>
        <v/>
      </c>
      <c r="R95" s="38" t="str">
        <f aca="false">IF($A95="","",IFERROR(VLOOKUP($C95,Dim_Fund!$A:$AC,29,0),""))</f>
        <v/>
      </c>
      <c r="S95" s="38" t="str">
        <f aca="false">IF($A95="","",IFERROR(VLOOKUP($C95,Dim_Fund!$A:$AD,30,0),""))</f>
        <v/>
      </c>
      <c r="T95" s="38" t="str">
        <f aca="false">IF($A95="","",IFERROR(VLOOKUP($C95,Dim_Fund!$A:$AL,38,0),""))</f>
        <v/>
      </c>
      <c r="U95" s="37" t="str">
        <f aca="false">IF($A95="","",IF(AL95="","",IFERROR(IF(COUNTIFS(Fact_Milestone!$A:$A,$B95,Fact_Milestone!$B:$B,AL95)=0,"",_xlfn.MAXIFS(Fact_Milestone!$C:$C,Fact_Milestone!$A:$A,$B95,Fact_Milestone!$B:$B,AL95)),"")))</f>
        <v/>
      </c>
      <c r="V95" s="37" t="str">
        <f aca="false">IF($A95="","",IFERROR(IF(VLOOKUP($C95,Dim_Fund!$A:$AI,35,0)&gt;0,$B95+VLOOKUP($C95,Dim_Fund!$A:$AI,35,0)/24,""),""))</f>
        <v/>
      </c>
      <c r="W95" s="37" t="str">
        <f aca="false">IF($A95="","",F95)</f>
        <v/>
      </c>
      <c r="X95" s="37" t="str">
        <f aca="false">IF($A95="","",IF(E95="Client",H95,G95))</f>
        <v/>
      </c>
      <c r="Y95" s="37" t="str">
        <f aca="false">IF($A95="","",I95)</f>
        <v/>
      </c>
      <c r="Z95" s="37" t="str">
        <f aca="false">IF($A95="","",IFERROR(W95-R95/1440,""))</f>
        <v/>
      </c>
      <c r="AA95" s="38" t="str">
        <f aca="false">IF($A95="","",IF(OR(U95="",V95=""),"",ROUND((V95-U95)*1440,0)))</f>
        <v/>
      </c>
      <c r="AB95" s="38" t="str">
        <f aca="false">IF($A95="","",IF(U95="","",ROUND((W95-U95)*1440,0)))</f>
        <v/>
      </c>
      <c r="AC95" s="38" t="str">
        <f aca="false">IF($A95="","",IF(AB95="","",MAX(0,AB95)))</f>
        <v/>
      </c>
      <c r="AD95" s="38" t="str">
        <f aca="false">IF($A95="","",IFERROR(ROUND((X95-W95)*1440,0),""))</f>
        <v/>
      </c>
      <c r="AE95" s="38" t="str">
        <f aca="false">IF($A95="","",IF(E95="Client","n/a",IFERROR(ROUND((H95-G95)*1440,0),"")))</f>
        <v/>
      </c>
      <c r="AF95" s="38" t="str">
        <f aca="false">IF($A95="","",IFERROR(ROUND((Y95-H95)*1440,0),""))</f>
        <v/>
      </c>
      <c r="AG95" s="38" t="str">
        <f aca="false">IF($A95="","",IFERROR(ROUND((H95-F95)*1440,0),""))</f>
        <v/>
      </c>
      <c r="AH95" s="38" t="str">
        <f aca="false">IF($A95="","",IFERROR(ROUND((Y95-V95)*1440,0),""))</f>
        <v/>
      </c>
      <c r="AI95" s="4" t="str">
        <f aca="false">IF($A95="","",IF(AH95="","",IF(AH95&gt;0,"Yes","No")))</f>
        <v/>
      </c>
      <c r="AJ95" s="4" t="str">
        <f aca="false">IF($A95="","",IF(AI95&lt;&gt;"Yes","On time",IF(N(AC95)&gt;=MAX(N(AF95),N(K95)),"Wait for analyst",IF(N(AF95)&gt;=N(K95),"External sign-off","Rework"))))</f>
        <v/>
      </c>
      <c r="AK95" s="4" t="str">
        <f aca="false">IF($A95="","",IF(OR(F95="",Y95="",ISNA(MATCH(L95,Dim_Analyst!$A:$A,0))),"CHECK","OK"))</f>
        <v/>
      </c>
      <c r="AL95" s="4" t="str">
        <f aca="false">IF($A95="","",IFERROR(VLOOKUP($C95,Dim_Fund!$A:$U,21,0),""))</f>
        <v/>
      </c>
      <c r="AM95" s="4" t="str">
        <f aca="false">IF($A95="","",IF($U95="","",IF($U95&gt;$B95+IFERROR(VLOOKUP($C95,Dim_Fund!$A:$AH,34,0),0)/24,"Yes","No")))</f>
        <v/>
      </c>
      <c r="AN95" s="22" t="str">
        <f aca="false">IF($A95="","",IFERROR(VLOOKUP($C95,Dim_Fund!$A:$AH,34,0),""))</f>
        <v/>
      </c>
      <c r="AO95" s="22" t="str">
        <f aca="false">IF($A95="","",IF($AL95="","",IFERROR(FLOOR(IF(COUNTIFS(Fact_Milestone!$A:$A,$B95,Fact_Milestone!$B:$B,$AL95,Fact_Milestone!$F:$F,"&gt;0")&gt;0,_xlfn.MINIFS(Fact_Milestone!$F:$F,Fact_Milestone!$A:$A,$B95,Fact_Milestone!$B:$B,$AL95,Fact_Milestone!$F:$F,"&gt;0"),VLOOKUP($AL95,Dim_TOP!$A:$E,5,0)),0.5),"")))</f>
        <v/>
      </c>
      <c r="AP95" s="22" t="str">
        <f aca="false">IF($A95="","",IF($U95="","",ROUND(($U95-INT($U95))*24,4)))</f>
        <v/>
      </c>
      <c r="AQ95" s="22" t="str">
        <f aca="false">IF($A95="","",IF($W95="","",ROUND(($W95-INT($W95))*24,4)))</f>
        <v/>
      </c>
      <c r="AR95" s="22" t="str">
        <f aca="false">IF($A95="","",IF($X95="","",ROUND(($X95-INT($X95))*24,4)))</f>
        <v/>
      </c>
      <c r="AS95" s="38" t="str">
        <f aca="false">IF($A95="","",IF(OR($AN95="",$V95="",$S95="",$T95=""),"",ROUND(($V95-($B95+$AN95/24))*1440-$S95-$T95,0)))</f>
        <v/>
      </c>
      <c r="AT95" s="38" t="str">
        <f aca="false">IF($A95="","",IF(OR($AN95="",$U95=""),"",ROUND(($U95-($B95+$AN95/24))*1440,0)))</f>
        <v/>
      </c>
      <c r="AU95" s="38" t="str">
        <f aca="false">IF($A95="","",IF(OR($AD95="",$S95=""),"",ROUND($AD95-$S95,0)))</f>
        <v/>
      </c>
      <c r="AV95" s="38" t="str">
        <f aca="false">IF($A95="","",N($AE95))</f>
        <v/>
      </c>
      <c r="AW95" s="38" t="str">
        <f aca="false">IF($A95="","",IF(OR($AF95="",$T95=""),"",$AF95-$T95))</f>
        <v/>
      </c>
      <c r="AX95" s="38" t="str">
        <f aca="false">IF($A95="","",IF(COUNT($AT95,$AB95,$AU95,$AW95,$AS95,$AH95)&lt;6,"",ROUND($AT95+$AB95+$AU95+$AV95+$AW95-$AS95-$AH95,0)))</f>
        <v/>
      </c>
      <c r="AY95" s="4" t="str">
        <f aca="false">IF($A95="","",IF($AX95="","No",IF(ABS($AX95)&lt;=2,"Yes","No")))</f>
        <v/>
      </c>
      <c r="AZ95" s="4" t="str">
        <f aca="false">IF($A95="","",IF($AI95&lt;&gt;"Yes","n/a",IF(OR($AA95="",$S95="",$T95=""),"Unknown",IF($AA95&lt;$S95+$T95,"Lost on arrival","Lost after arrival"))))</f>
        <v/>
      </c>
      <c r="BA95" s="10" t="str">
        <f aca="false">IF($A95="","",IFERROR(VLOOKUP($C95,Dim_Fund!$A:$D,4,0),""))</f>
        <v/>
      </c>
      <c r="BB95" s="10" t="str">
        <f aca="false">IF($A95="","",IF($AL95="","",IF(COUNTIFS(Fact_Milestone!$A:$A,$B95,Fact_Milestone!$B:$B,$AL95,Fact_Milestone!$I:$I,"No")&gt;0,"No",IF(COUNTIFS(Fact_Milestone!$A:$A,$B95,Fact_Milestone!$B:$B,$AL95,Fact_Milestone!$I:$I,"Yes")&gt;0,"Yes",""))))</f>
        <v/>
      </c>
      <c r="BC95" s="45" t="str">
        <f aca="false">IF($A95="","",IF(OR($L95="",$W95=""),"",IF(COUNTIFS($L:$L,$L95,$B:$B,$B95,$W:$W,"&lt;"&amp;$W95)=0,"",_xlfn.MAXIFS($W:$W,$L:$L,$L95,$B:$B,$B95,$W:$W,"&lt;"&amp;$W95))))</f>
        <v/>
      </c>
      <c r="BD95" s="39" t="str">
        <f aca="false">IF($A95="","",IF($AC95="","",IF(OR($L95="",$AC95=0),0,MIN($AC95,ROUND(ROUND(1440*SUMPRODUCT(($L$2:INDEX($L:$L,COUNTA($C:$C))=$L95)*($B$2:INDEX($B:$B,COUNTA($C:$C))=$B95)*(ROW($L$2:INDEX($L:$L,COUNTA($C:$C)))&lt;&gt;ROW())*((((($W95+$BT$2:INDEX($BT:$BT,COUNTA($C:$C))-ABS($W95-$BT$2:INDEX($BT:$BT,COUNTA($C:$C))))/2)-(($U95+$BS$2:INDEX($BS:$BS,COUNTA($C:$C))+ABS($U95-$BS$2:INDEX($BS:$BS,COUNTA($C:$C))))/2))+ABS(((($W95+$BT$2:INDEX($BT:$BT,COUNTA($C:$C))-ABS($W95-$BT$2:INDEX($BT:$BT,COUNTA($C:$C))))/2)-(($U95+$BS$2:INDEX($BS:$BS,COUNTA($C:$C))+ABS($U95-$BS$2:INDEX($BS:$BS,COUNTA($C:$C))))/2))))/2)),4),0)))))</f>
        <v/>
      </c>
      <c r="BE95" s="39" t="str">
        <f aca="false">IF($A95="","",IF($AC95="","",ROUND(MIN($AC95-$BD95,N($R95)),0)))</f>
        <v/>
      </c>
      <c r="BF95" s="10" t="str">
        <f aca="false">IF($A95="","",IFERROR(VLOOKUP($C95,Dim_Fund!$A:$BD,56,0),""))</f>
        <v/>
      </c>
      <c r="BG95" s="10" t="str">
        <f aca="false">IF($A95="","",IFERROR(VLOOKUP($C95,Dim_Fund!$A:$BH,60,0),""))</f>
        <v/>
      </c>
      <c r="BH95" s="10" t="str">
        <f aca="false">IF($A95="","",IF($AI95&lt;&gt;"Yes","Not breached",IF($AM95="Yes","Pricing late",IF($BG95="Thin custody slack","Thin custody slack",IF($BF95="Yes","Broker-dependent","None of these")))))</f>
        <v/>
      </c>
      <c r="BI95" s="23" t="str">
        <f aca="false">IF($A95="","",IFERROR(IF(VLOOKUP($C95,Dim_Fund!$A:$AI,35,0)&gt;0,VLOOKUP($C95,Dim_Fund!$A:$AI,35,0),""),""))</f>
        <v/>
      </c>
      <c r="BJ95" s="10" t="str">
        <f aca="false">IF($A95="","",$C95&amp;IF($E95="Client","*",""))</f>
        <v/>
      </c>
      <c r="BK95" s="39" t="str">
        <f aca="false">IF($A95="","",IFERROR(ROUND(($Y95-$X95)*1440,0),""))</f>
        <v/>
      </c>
      <c r="BL95" s="39" t="str">
        <f aca="false">IF($A95="","",IF($AH95="","",-$AH95))</f>
        <v/>
      </c>
      <c r="BM95" s="46" t="str">
        <f aca="false">IF($A95="","",IF($AQ95="","",IF($AP95="",$AQ95,MIN($AP95,$AQ95))))</f>
        <v/>
      </c>
      <c r="BN95" s="46" t="str">
        <f aca="false">IF($A95="","",IF($BM95="","",ROUND(N($AC95)/60,4)))</f>
        <v/>
      </c>
      <c r="BO95" s="46" t="str">
        <f aca="false">IF($A95="","",IF(OR($BM95="",$AD95=""),"",ROUND($AD95/60,4)))</f>
        <v/>
      </c>
      <c r="BP95" s="46" t="str">
        <f aca="false">IF($A95="","",IF($BM95="","",ROUND(N($AE95)/60,4)))</f>
        <v/>
      </c>
      <c r="BQ95" s="46" t="str">
        <f aca="false">IF($A95="","",IF(OR($BM95="",$AF95=""),"",ROUND($AF95/60,4)))</f>
        <v/>
      </c>
      <c r="BR95" s="39" t="str">
        <f aca="false">IF($A95="","",IF($AC95="","",$AC95-$BD95-$BE95))</f>
        <v/>
      </c>
      <c r="BS95" s="45" t="str">
        <f aca="false">IF($A95="","",IF(AND(ISNUMBER($Z95),ISNUMBER($W95)),$Z95,0))</f>
        <v/>
      </c>
      <c r="BT95" s="45" t="str">
        <f aca="false">IF($A95="","",IF(ISNUMBER($W95),$W95,0))</f>
        <v/>
      </c>
      <c r="BU95" s="23" t="str">
        <f aca="false">IF($A95="","",IF(ISNUMBER($W95),ROUND(($W95-$B95)*24,4),""))</f>
        <v/>
      </c>
      <c r="BV95" s="23" t="str">
        <f aca="false">IF($A95="","",IF(ISNUMBER($X95),ROUND(($X95-$B95)*24,4),""))</f>
        <v/>
      </c>
      <c r="BW95" s="10" t="str">
        <f aca="false">IF($A95="","",IF(NOT(ISNUMBER($W95)),"Missing Calculated",IF(NOT(ISNUMBER($X95)),IF($E95="Client","Missing FA signed off","Missing Controlled"),IF($X95&lt;$W95,"End before start","OK"))))</f>
        <v/>
      </c>
      <c r="BX95" s="23" t="str">
        <f aca="false">IF($A95="","",IF(NOT(ISNUMBER($Z95)),"",ROUND((IF(ISNUMBER($U95),MIN($U95,$Z95),$Z95)-$B95)*24,4)))</f>
        <v/>
      </c>
      <c r="BY95" s="23" t="str">
        <f aca="false">IF($A95="","",IF(ISNUMBER($Z95),ROUND(($Z95-$B95)*24,4),""))</f>
        <v/>
      </c>
      <c r="BZ95" s="23" t="str">
        <f aca="false">IF($A95="","",IF(AND(ISNUMBER($W95),ISNUMBER($S95)),ROUND(($W95+$S95/1440-$B95)*24,4),""))</f>
        <v/>
      </c>
    </row>
    <row r="96" customFormat="false" ht="15" hidden="false" customHeight="true" outlineLevel="0" collapsed="false">
      <c r="A96" s="47"/>
      <c r="B96" s="47"/>
      <c r="D96" s="4" t="str">
        <f aca="false">IF($A96="","",$B96-$A96)</f>
        <v/>
      </c>
      <c r="E96" s="4" t="str">
        <f aca="false">IF($A96="","",IFERROR(VLOOKUP($C96,Dim_Fund!$A:$X,24,0),""))</f>
        <v/>
      </c>
      <c r="F96" s="37" t="str">
        <f aca="false">IF($A96="","",IF(COUNTIFS(Status_Log!$A:$A,$A96,Status_Log!$B:$B,$B96,Status_Log!$C:$C,$C96,Status_Log!$D:$D,"Changed to the status of Calculated")=0,"",_xlfn.MINIFS(Status_Log!$E:$E,Status_Log!$A:$A,$A96,Status_Log!$B:$B,$B96,Status_Log!$C:$C,$C96,Status_Log!$D:$D,"Changed to the status of Calculated")))</f>
        <v/>
      </c>
      <c r="G96" s="37" t="str">
        <f aca="false">IF($A96="","",IF(COUNTIFS(Status_Log!$A:$A,$A96,Status_Log!$B:$B,$B96,Status_Log!$C:$C,$C96,Status_Log!$D:$D,"Changed to the status of Controlled")=0,"",_xlfn.MAXIFS(Status_Log!$E:$E,Status_Log!$A:$A,$A96,Status_Log!$B:$B,$B96,Status_Log!$C:$C,$C96,Status_Log!$D:$D,"Changed to the status of Controlled")))</f>
        <v/>
      </c>
      <c r="H96" s="37" t="str">
        <f aca="false">IF($A96="","",IF(COUNTIFS(Status_Log!$A:$A,$A96,Status_Log!$B:$B,$B96,Status_Log!$C:$C,$C96,Status_Log!$D:$D,"Changed to the status of Fund accounting signed off")=0,"",_xlfn.MAXIFS(Status_Log!$E:$E,Status_Log!$A:$A,$A96,Status_Log!$B:$B,$B96,Status_Log!$C:$C,$C96,Status_Log!$D:$D,"Changed to the status of Fund accounting signed off")))</f>
        <v/>
      </c>
      <c r="I96" s="37" t="str">
        <f aca="false">IF($A96="","",IF(COUNTIFS(Status_Log!$A:$A,$A96,Status_Log!$B:$B,$B96,Status_Log!$C:$C,$C96,Status_Log!$D:$D,"Changed to the status of signed off")=0,"",_xlfn.MAXIFS(Status_Log!$E:$E,Status_Log!$A:$A,$A96,Status_Log!$B:$B,$B96,Status_Log!$C:$C,$C96,Status_Log!$D:$D,"Changed to the status of signed off")))</f>
        <v/>
      </c>
      <c r="J96" s="4" t="str">
        <f aca="false">IF($A96="","",COUNTIFS(Status_Log!$A:$A,$A96,Status_Log!$B:$B,$B96,Status_Log!$C:$C,$C96,Status_Log!$D:$D,"Changed to the status of Calculated"))</f>
        <v/>
      </c>
      <c r="K96" s="38" t="str">
        <f aca="false">IF($A96="","",IF(J96&lt;=1,0,ROUND((_xlfn.MAXIFS(Status_Log!$E:$E,Status_Log!$A:$A,$A96,Status_Log!$B:$B,$B96,Status_Log!$C:$C,$C96,Status_Log!$D:$D,"Changed to the status of Calculated")-F96)*1440,0)))</f>
        <v/>
      </c>
      <c r="L96" s="4" t="str">
        <f aca="false">IF($A96="","",IFERROR(INDEX(Status_Log!$F:$F,MATCH($A96&amp;"|"&amp;$B96&amp;"|"&amp;$C96&amp;"|Changed to the status of Calculated|"&amp;TEXT(_xlfn.MAXIFS(Status_Log!$E:$E,Status_Log!$A:$A,$A96,Status_Log!$B:$B,$B96,Status_Log!$C:$C,$C96,Status_Log!$D:$D,"Changed to the status of Calculated"),"0.000000"),Status_Log!$H:$H,0)),""))</f>
        <v/>
      </c>
      <c r="M96" s="4" t="str">
        <f aca="false">IF($A96="","",IF(E96="Client","n/a — no control step",IFERROR(INDEX(Status_Log!$F:$F,MATCH($A96&amp;"|"&amp;$B96&amp;"|"&amp;$C96&amp;"|Changed to the status of Controlled|"&amp;TEXT(_xlfn.MAXIFS(Status_Log!$E:$E,Status_Log!$A:$A,$A96,Status_Log!$B:$B,$B96,Status_Log!$C:$C,$C96,Status_Log!$D:$D,"Changed to the status of Controlled"),"0.000000"),Status_Log!$H:$H,0)),"")))</f>
        <v/>
      </c>
      <c r="N96" s="4" t="str">
        <f aca="false">IF($A96="","",IFERROR(VLOOKUP($C96,Dim_Fund!$A:$G,7,0),""))</f>
        <v/>
      </c>
      <c r="O96" s="4" t="str">
        <f aca="false">IF($A96="","",IF(L96=N96,"No","Yes"))</f>
        <v/>
      </c>
      <c r="P96" s="4" t="str">
        <f aca="false">IF($A96="","",IF(E96="Client","n/a",IF(L96=M96,"YES — four-eyes breach","No")))</f>
        <v/>
      </c>
      <c r="Q96" s="38" t="str">
        <f aca="false">IF($A96="","",IFERROR(VLOOKUP($C96,Dim_Fund!$A:$AB,28,0),""))</f>
        <v/>
      </c>
      <c r="R96" s="38" t="str">
        <f aca="false">IF($A96="","",IFERROR(VLOOKUP($C96,Dim_Fund!$A:$AC,29,0),""))</f>
        <v/>
      </c>
      <c r="S96" s="38" t="str">
        <f aca="false">IF($A96="","",IFERROR(VLOOKUP($C96,Dim_Fund!$A:$AD,30,0),""))</f>
        <v/>
      </c>
      <c r="T96" s="38" t="str">
        <f aca="false">IF($A96="","",IFERROR(VLOOKUP($C96,Dim_Fund!$A:$AL,38,0),""))</f>
        <v/>
      </c>
      <c r="U96" s="37" t="str">
        <f aca="false">IF($A96="","",IF(AL96="","",IFERROR(IF(COUNTIFS(Fact_Milestone!$A:$A,$B96,Fact_Milestone!$B:$B,AL96)=0,"",_xlfn.MAXIFS(Fact_Milestone!$C:$C,Fact_Milestone!$A:$A,$B96,Fact_Milestone!$B:$B,AL96)),"")))</f>
        <v/>
      </c>
      <c r="V96" s="37" t="str">
        <f aca="false">IF($A96="","",IFERROR(IF(VLOOKUP($C96,Dim_Fund!$A:$AI,35,0)&gt;0,$B96+VLOOKUP($C96,Dim_Fund!$A:$AI,35,0)/24,""),""))</f>
        <v/>
      </c>
      <c r="W96" s="37" t="str">
        <f aca="false">IF($A96="","",F96)</f>
        <v/>
      </c>
      <c r="X96" s="37" t="str">
        <f aca="false">IF($A96="","",IF(E96="Client",H96,G96))</f>
        <v/>
      </c>
      <c r="Y96" s="37" t="str">
        <f aca="false">IF($A96="","",I96)</f>
        <v/>
      </c>
      <c r="Z96" s="37" t="str">
        <f aca="false">IF($A96="","",IFERROR(W96-R96/1440,""))</f>
        <v/>
      </c>
      <c r="AA96" s="38" t="str">
        <f aca="false">IF($A96="","",IF(OR(U96="",V96=""),"",ROUND((V96-U96)*1440,0)))</f>
        <v/>
      </c>
      <c r="AB96" s="38" t="str">
        <f aca="false">IF($A96="","",IF(U96="","",ROUND((W96-U96)*1440,0)))</f>
        <v/>
      </c>
      <c r="AC96" s="38" t="str">
        <f aca="false">IF($A96="","",IF(AB96="","",MAX(0,AB96)))</f>
        <v/>
      </c>
      <c r="AD96" s="38" t="str">
        <f aca="false">IF($A96="","",IFERROR(ROUND((X96-W96)*1440,0),""))</f>
        <v/>
      </c>
      <c r="AE96" s="38" t="str">
        <f aca="false">IF($A96="","",IF(E96="Client","n/a",IFERROR(ROUND((H96-G96)*1440,0),"")))</f>
        <v/>
      </c>
      <c r="AF96" s="38" t="str">
        <f aca="false">IF($A96="","",IFERROR(ROUND((Y96-H96)*1440,0),""))</f>
        <v/>
      </c>
      <c r="AG96" s="38" t="str">
        <f aca="false">IF($A96="","",IFERROR(ROUND((H96-F96)*1440,0),""))</f>
        <v/>
      </c>
      <c r="AH96" s="38" t="str">
        <f aca="false">IF($A96="","",IFERROR(ROUND((Y96-V96)*1440,0),""))</f>
        <v/>
      </c>
      <c r="AI96" s="4" t="str">
        <f aca="false">IF($A96="","",IF(AH96="","",IF(AH96&gt;0,"Yes","No")))</f>
        <v/>
      </c>
      <c r="AJ96" s="4" t="str">
        <f aca="false">IF($A96="","",IF(AI96&lt;&gt;"Yes","On time",IF(N(AC96)&gt;=MAX(N(AF96),N(K96)),"Wait for analyst",IF(N(AF96)&gt;=N(K96),"External sign-off","Rework"))))</f>
        <v/>
      </c>
      <c r="AK96" s="4" t="str">
        <f aca="false">IF($A96="","",IF(OR(F96="",Y96="",ISNA(MATCH(L96,Dim_Analyst!$A:$A,0))),"CHECK","OK"))</f>
        <v/>
      </c>
      <c r="AL96" s="4" t="str">
        <f aca="false">IF($A96="","",IFERROR(VLOOKUP($C96,Dim_Fund!$A:$U,21,0),""))</f>
        <v/>
      </c>
      <c r="AM96" s="4" t="str">
        <f aca="false">IF($A96="","",IF($U96="","",IF($U96&gt;$B96+IFERROR(VLOOKUP($C96,Dim_Fund!$A:$AH,34,0),0)/24,"Yes","No")))</f>
        <v/>
      </c>
      <c r="AN96" s="22" t="str">
        <f aca="false">IF($A96="","",IFERROR(VLOOKUP($C96,Dim_Fund!$A:$AH,34,0),""))</f>
        <v/>
      </c>
      <c r="AO96" s="22" t="str">
        <f aca="false">IF($A96="","",IF($AL96="","",IFERROR(FLOOR(IF(COUNTIFS(Fact_Milestone!$A:$A,$B96,Fact_Milestone!$B:$B,$AL96,Fact_Milestone!$F:$F,"&gt;0")&gt;0,_xlfn.MINIFS(Fact_Milestone!$F:$F,Fact_Milestone!$A:$A,$B96,Fact_Milestone!$B:$B,$AL96,Fact_Milestone!$F:$F,"&gt;0"),VLOOKUP($AL96,Dim_TOP!$A:$E,5,0)),0.5),"")))</f>
        <v/>
      </c>
      <c r="AP96" s="22" t="str">
        <f aca="false">IF($A96="","",IF($U96="","",ROUND(($U96-INT($U96))*24,4)))</f>
        <v/>
      </c>
      <c r="AQ96" s="22" t="str">
        <f aca="false">IF($A96="","",IF($W96="","",ROUND(($W96-INT($W96))*24,4)))</f>
        <v/>
      </c>
      <c r="AR96" s="22" t="str">
        <f aca="false">IF($A96="","",IF($X96="","",ROUND(($X96-INT($X96))*24,4)))</f>
        <v/>
      </c>
      <c r="AS96" s="38" t="str">
        <f aca="false">IF($A96="","",IF(OR($AN96="",$V96="",$S96="",$T96=""),"",ROUND(($V96-($B96+$AN96/24))*1440-$S96-$T96,0)))</f>
        <v/>
      </c>
      <c r="AT96" s="38" t="str">
        <f aca="false">IF($A96="","",IF(OR($AN96="",$U96=""),"",ROUND(($U96-($B96+$AN96/24))*1440,0)))</f>
        <v/>
      </c>
      <c r="AU96" s="38" t="str">
        <f aca="false">IF($A96="","",IF(OR($AD96="",$S96=""),"",ROUND($AD96-$S96,0)))</f>
        <v/>
      </c>
      <c r="AV96" s="38" t="str">
        <f aca="false">IF($A96="","",N($AE96))</f>
        <v/>
      </c>
      <c r="AW96" s="38" t="str">
        <f aca="false">IF($A96="","",IF(OR($AF96="",$T96=""),"",$AF96-$T96))</f>
        <v/>
      </c>
      <c r="AX96" s="38" t="str">
        <f aca="false">IF($A96="","",IF(COUNT($AT96,$AB96,$AU96,$AW96,$AS96,$AH96)&lt;6,"",ROUND($AT96+$AB96+$AU96+$AV96+$AW96-$AS96-$AH96,0)))</f>
        <v/>
      </c>
      <c r="AY96" s="4" t="str">
        <f aca="false">IF($A96="","",IF($AX96="","No",IF(ABS($AX96)&lt;=2,"Yes","No")))</f>
        <v/>
      </c>
      <c r="AZ96" s="4" t="str">
        <f aca="false">IF($A96="","",IF($AI96&lt;&gt;"Yes","n/a",IF(OR($AA96="",$S96="",$T96=""),"Unknown",IF($AA96&lt;$S96+$T96,"Lost on arrival","Lost after arrival"))))</f>
        <v/>
      </c>
      <c r="BA96" s="10" t="str">
        <f aca="false">IF($A96="","",IFERROR(VLOOKUP($C96,Dim_Fund!$A:$D,4,0),""))</f>
        <v/>
      </c>
      <c r="BB96" s="10" t="str">
        <f aca="false">IF($A96="","",IF($AL96="","",IF(COUNTIFS(Fact_Milestone!$A:$A,$B96,Fact_Milestone!$B:$B,$AL96,Fact_Milestone!$I:$I,"No")&gt;0,"No",IF(COUNTIFS(Fact_Milestone!$A:$A,$B96,Fact_Milestone!$B:$B,$AL96,Fact_Milestone!$I:$I,"Yes")&gt;0,"Yes",""))))</f>
        <v/>
      </c>
      <c r="BC96" s="45" t="str">
        <f aca="false">IF($A96="","",IF(OR($L96="",$W96=""),"",IF(COUNTIFS($L:$L,$L96,$B:$B,$B96,$W:$W,"&lt;"&amp;$W96)=0,"",_xlfn.MAXIFS($W:$W,$L:$L,$L96,$B:$B,$B96,$W:$W,"&lt;"&amp;$W96))))</f>
        <v/>
      </c>
      <c r="BD96" s="39" t="str">
        <f aca="false">IF($A96="","",IF($AC96="","",IF(OR($L96="",$AC96=0),0,MIN($AC96,ROUND(ROUND(1440*SUMPRODUCT(($L$2:INDEX($L:$L,COUNTA($C:$C))=$L96)*($B$2:INDEX($B:$B,COUNTA($C:$C))=$B96)*(ROW($L$2:INDEX($L:$L,COUNTA($C:$C)))&lt;&gt;ROW())*((((($W96+$BT$2:INDEX($BT:$BT,COUNTA($C:$C))-ABS($W96-$BT$2:INDEX($BT:$BT,COUNTA($C:$C))))/2)-(($U96+$BS$2:INDEX($BS:$BS,COUNTA($C:$C))+ABS($U96-$BS$2:INDEX($BS:$BS,COUNTA($C:$C))))/2))+ABS(((($W96+$BT$2:INDEX($BT:$BT,COUNTA($C:$C))-ABS($W96-$BT$2:INDEX($BT:$BT,COUNTA($C:$C))))/2)-(($U96+$BS$2:INDEX($BS:$BS,COUNTA($C:$C))+ABS($U96-$BS$2:INDEX($BS:$BS,COUNTA($C:$C))))/2))))/2)),4),0)))))</f>
        <v/>
      </c>
      <c r="BE96" s="39" t="str">
        <f aca="false">IF($A96="","",IF($AC96="","",ROUND(MIN($AC96-$BD96,N($R96)),0)))</f>
        <v/>
      </c>
      <c r="BF96" s="10" t="str">
        <f aca="false">IF($A96="","",IFERROR(VLOOKUP($C96,Dim_Fund!$A:$BD,56,0),""))</f>
        <v/>
      </c>
      <c r="BG96" s="10" t="str">
        <f aca="false">IF($A96="","",IFERROR(VLOOKUP($C96,Dim_Fund!$A:$BH,60,0),""))</f>
        <v/>
      </c>
      <c r="BH96" s="10" t="str">
        <f aca="false">IF($A96="","",IF($AI96&lt;&gt;"Yes","Not breached",IF($AM96="Yes","Pricing late",IF($BG96="Thin custody slack","Thin custody slack",IF($BF96="Yes","Broker-dependent","None of these")))))</f>
        <v/>
      </c>
      <c r="BI96" s="23" t="str">
        <f aca="false">IF($A96="","",IFERROR(IF(VLOOKUP($C96,Dim_Fund!$A:$AI,35,0)&gt;0,VLOOKUP($C96,Dim_Fund!$A:$AI,35,0),""),""))</f>
        <v/>
      </c>
      <c r="BJ96" s="10" t="str">
        <f aca="false">IF($A96="","",$C96&amp;IF($E96="Client","*",""))</f>
        <v/>
      </c>
      <c r="BK96" s="39" t="str">
        <f aca="false">IF($A96="","",IFERROR(ROUND(($Y96-$X96)*1440,0),""))</f>
        <v/>
      </c>
      <c r="BL96" s="39" t="str">
        <f aca="false">IF($A96="","",IF($AH96="","",-$AH96))</f>
        <v/>
      </c>
      <c r="BM96" s="46" t="str">
        <f aca="false">IF($A96="","",IF($AQ96="","",IF($AP96="",$AQ96,MIN($AP96,$AQ96))))</f>
        <v/>
      </c>
      <c r="BN96" s="46" t="str">
        <f aca="false">IF($A96="","",IF($BM96="","",ROUND(N($AC96)/60,4)))</f>
        <v/>
      </c>
      <c r="BO96" s="46" t="str">
        <f aca="false">IF($A96="","",IF(OR($BM96="",$AD96=""),"",ROUND($AD96/60,4)))</f>
        <v/>
      </c>
      <c r="BP96" s="46" t="str">
        <f aca="false">IF($A96="","",IF($BM96="","",ROUND(N($AE96)/60,4)))</f>
        <v/>
      </c>
      <c r="BQ96" s="46" t="str">
        <f aca="false">IF($A96="","",IF(OR($BM96="",$AF96=""),"",ROUND($AF96/60,4)))</f>
        <v/>
      </c>
      <c r="BR96" s="39" t="str">
        <f aca="false">IF($A96="","",IF($AC96="","",$AC96-$BD96-$BE96))</f>
        <v/>
      </c>
      <c r="BS96" s="45" t="str">
        <f aca="false">IF($A96="","",IF(AND(ISNUMBER($Z96),ISNUMBER($W96)),$Z96,0))</f>
        <v/>
      </c>
      <c r="BT96" s="45" t="str">
        <f aca="false">IF($A96="","",IF(ISNUMBER($W96),$W96,0))</f>
        <v/>
      </c>
      <c r="BU96" s="23" t="str">
        <f aca="false">IF($A96="","",IF(ISNUMBER($W96),ROUND(($W96-$B96)*24,4),""))</f>
        <v/>
      </c>
      <c r="BV96" s="23" t="str">
        <f aca="false">IF($A96="","",IF(ISNUMBER($X96),ROUND(($X96-$B96)*24,4),""))</f>
        <v/>
      </c>
      <c r="BW96" s="10" t="str">
        <f aca="false">IF($A96="","",IF(NOT(ISNUMBER($W96)),"Missing Calculated",IF(NOT(ISNUMBER($X96)),IF($E96="Client","Missing FA signed off","Missing Controlled"),IF($X96&lt;$W96,"End before start","OK"))))</f>
        <v/>
      </c>
      <c r="BX96" s="23" t="str">
        <f aca="false">IF($A96="","",IF(NOT(ISNUMBER($Z96)),"",ROUND((IF(ISNUMBER($U96),MIN($U96,$Z96),$Z96)-$B96)*24,4)))</f>
        <v/>
      </c>
      <c r="BY96" s="23" t="str">
        <f aca="false">IF($A96="","",IF(ISNUMBER($Z96),ROUND(($Z96-$B96)*24,4),""))</f>
        <v/>
      </c>
      <c r="BZ96" s="23" t="str">
        <f aca="false">IF($A96="","",IF(AND(ISNUMBER($W96),ISNUMBER($S96)),ROUND(($W96+$S96/1440-$B96)*24,4),""))</f>
        <v/>
      </c>
    </row>
    <row r="97" customFormat="false" ht="15" hidden="false" customHeight="true" outlineLevel="0" collapsed="false">
      <c r="A97" s="47"/>
      <c r="B97" s="47"/>
      <c r="D97" s="4" t="str">
        <f aca="false">IF($A97="","",$B97-$A97)</f>
        <v/>
      </c>
      <c r="E97" s="4" t="str">
        <f aca="false">IF($A97="","",IFERROR(VLOOKUP($C97,Dim_Fund!$A:$X,24,0),""))</f>
        <v/>
      </c>
      <c r="F97" s="37" t="str">
        <f aca="false">IF($A97="","",IF(COUNTIFS(Status_Log!$A:$A,$A97,Status_Log!$B:$B,$B97,Status_Log!$C:$C,$C97,Status_Log!$D:$D,"Changed to the status of Calculated")=0,"",_xlfn.MINIFS(Status_Log!$E:$E,Status_Log!$A:$A,$A97,Status_Log!$B:$B,$B97,Status_Log!$C:$C,$C97,Status_Log!$D:$D,"Changed to the status of Calculated")))</f>
        <v/>
      </c>
      <c r="G97" s="37" t="str">
        <f aca="false">IF($A97="","",IF(COUNTIFS(Status_Log!$A:$A,$A97,Status_Log!$B:$B,$B97,Status_Log!$C:$C,$C97,Status_Log!$D:$D,"Changed to the status of Controlled")=0,"",_xlfn.MAXIFS(Status_Log!$E:$E,Status_Log!$A:$A,$A97,Status_Log!$B:$B,$B97,Status_Log!$C:$C,$C97,Status_Log!$D:$D,"Changed to the status of Controlled")))</f>
        <v/>
      </c>
      <c r="H97" s="37" t="str">
        <f aca="false">IF($A97="","",IF(COUNTIFS(Status_Log!$A:$A,$A97,Status_Log!$B:$B,$B97,Status_Log!$C:$C,$C97,Status_Log!$D:$D,"Changed to the status of Fund accounting signed off")=0,"",_xlfn.MAXIFS(Status_Log!$E:$E,Status_Log!$A:$A,$A97,Status_Log!$B:$B,$B97,Status_Log!$C:$C,$C97,Status_Log!$D:$D,"Changed to the status of Fund accounting signed off")))</f>
        <v/>
      </c>
      <c r="I97" s="37" t="str">
        <f aca="false">IF($A97="","",IF(COUNTIFS(Status_Log!$A:$A,$A97,Status_Log!$B:$B,$B97,Status_Log!$C:$C,$C97,Status_Log!$D:$D,"Changed to the status of signed off")=0,"",_xlfn.MAXIFS(Status_Log!$E:$E,Status_Log!$A:$A,$A97,Status_Log!$B:$B,$B97,Status_Log!$C:$C,$C97,Status_Log!$D:$D,"Changed to the status of signed off")))</f>
        <v/>
      </c>
      <c r="J97" s="4" t="str">
        <f aca="false">IF($A97="","",COUNTIFS(Status_Log!$A:$A,$A97,Status_Log!$B:$B,$B97,Status_Log!$C:$C,$C97,Status_Log!$D:$D,"Changed to the status of Calculated"))</f>
        <v/>
      </c>
      <c r="K97" s="38" t="str">
        <f aca="false">IF($A97="","",IF(J97&lt;=1,0,ROUND((_xlfn.MAXIFS(Status_Log!$E:$E,Status_Log!$A:$A,$A97,Status_Log!$B:$B,$B97,Status_Log!$C:$C,$C97,Status_Log!$D:$D,"Changed to the status of Calculated")-F97)*1440,0)))</f>
        <v/>
      </c>
      <c r="L97" s="4" t="str">
        <f aca="false">IF($A97="","",IFERROR(INDEX(Status_Log!$F:$F,MATCH($A97&amp;"|"&amp;$B97&amp;"|"&amp;$C97&amp;"|Changed to the status of Calculated|"&amp;TEXT(_xlfn.MAXIFS(Status_Log!$E:$E,Status_Log!$A:$A,$A97,Status_Log!$B:$B,$B97,Status_Log!$C:$C,$C97,Status_Log!$D:$D,"Changed to the status of Calculated"),"0.000000"),Status_Log!$H:$H,0)),""))</f>
        <v/>
      </c>
      <c r="M97" s="4" t="str">
        <f aca="false">IF($A97="","",IF(E97="Client","n/a — no control step",IFERROR(INDEX(Status_Log!$F:$F,MATCH($A97&amp;"|"&amp;$B97&amp;"|"&amp;$C97&amp;"|Changed to the status of Controlled|"&amp;TEXT(_xlfn.MAXIFS(Status_Log!$E:$E,Status_Log!$A:$A,$A97,Status_Log!$B:$B,$B97,Status_Log!$C:$C,$C97,Status_Log!$D:$D,"Changed to the status of Controlled"),"0.000000"),Status_Log!$H:$H,0)),"")))</f>
        <v/>
      </c>
      <c r="N97" s="4" t="str">
        <f aca="false">IF($A97="","",IFERROR(VLOOKUP($C97,Dim_Fund!$A:$G,7,0),""))</f>
        <v/>
      </c>
      <c r="O97" s="4" t="str">
        <f aca="false">IF($A97="","",IF(L97=N97,"No","Yes"))</f>
        <v/>
      </c>
      <c r="P97" s="4" t="str">
        <f aca="false">IF($A97="","",IF(E97="Client","n/a",IF(L97=M97,"YES — four-eyes breach","No")))</f>
        <v/>
      </c>
      <c r="Q97" s="38" t="str">
        <f aca="false">IF($A97="","",IFERROR(VLOOKUP($C97,Dim_Fund!$A:$AB,28,0),""))</f>
        <v/>
      </c>
      <c r="R97" s="38" t="str">
        <f aca="false">IF($A97="","",IFERROR(VLOOKUP($C97,Dim_Fund!$A:$AC,29,0),""))</f>
        <v/>
      </c>
      <c r="S97" s="38" t="str">
        <f aca="false">IF($A97="","",IFERROR(VLOOKUP($C97,Dim_Fund!$A:$AD,30,0),""))</f>
        <v/>
      </c>
      <c r="T97" s="38" t="str">
        <f aca="false">IF($A97="","",IFERROR(VLOOKUP($C97,Dim_Fund!$A:$AL,38,0),""))</f>
        <v/>
      </c>
      <c r="U97" s="37" t="str">
        <f aca="false">IF($A97="","",IF(AL97="","",IFERROR(IF(COUNTIFS(Fact_Milestone!$A:$A,$B97,Fact_Milestone!$B:$B,AL97)=0,"",_xlfn.MAXIFS(Fact_Milestone!$C:$C,Fact_Milestone!$A:$A,$B97,Fact_Milestone!$B:$B,AL97)),"")))</f>
        <v/>
      </c>
      <c r="V97" s="37" t="str">
        <f aca="false">IF($A97="","",IFERROR(IF(VLOOKUP($C97,Dim_Fund!$A:$AI,35,0)&gt;0,$B97+VLOOKUP($C97,Dim_Fund!$A:$AI,35,0)/24,""),""))</f>
        <v/>
      </c>
      <c r="W97" s="37" t="str">
        <f aca="false">IF($A97="","",F97)</f>
        <v/>
      </c>
      <c r="X97" s="37" t="str">
        <f aca="false">IF($A97="","",IF(E97="Client",H97,G97))</f>
        <v/>
      </c>
      <c r="Y97" s="37" t="str">
        <f aca="false">IF($A97="","",I97)</f>
        <v/>
      </c>
      <c r="Z97" s="37" t="str">
        <f aca="false">IF($A97="","",IFERROR(W97-R97/1440,""))</f>
        <v/>
      </c>
      <c r="AA97" s="38" t="str">
        <f aca="false">IF($A97="","",IF(OR(U97="",V97=""),"",ROUND((V97-U97)*1440,0)))</f>
        <v/>
      </c>
      <c r="AB97" s="38" t="str">
        <f aca="false">IF($A97="","",IF(U97="","",ROUND((W97-U97)*1440,0)))</f>
        <v/>
      </c>
      <c r="AC97" s="38" t="str">
        <f aca="false">IF($A97="","",IF(AB97="","",MAX(0,AB97)))</f>
        <v/>
      </c>
      <c r="AD97" s="38" t="str">
        <f aca="false">IF($A97="","",IFERROR(ROUND((X97-W97)*1440,0),""))</f>
        <v/>
      </c>
      <c r="AE97" s="38" t="str">
        <f aca="false">IF($A97="","",IF(E97="Client","n/a",IFERROR(ROUND((H97-G97)*1440,0),"")))</f>
        <v/>
      </c>
      <c r="AF97" s="38" t="str">
        <f aca="false">IF($A97="","",IFERROR(ROUND((Y97-H97)*1440,0),""))</f>
        <v/>
      </c>
      <c r="AG97" s="38" t="str">
        <f aca="false">IF($A97="","",IFERROR(ROUND((H97-F97)*1440,0),""))</f>
        <v/>
      </c>
      <c r="AH97" s="38" t="str">
        <f aca="false">IF($A97="","",IFERROR(ROUND((Y97-V97)*1440,0),""))</f>
        <v/>
      </c>
      <c r="AI97" s="4" t="str">
        <f aca="false">IF($A97="","",IF(AH97="","",IF(AH97&gt;0,"Yes","No")))</f>
        <v/>
      </c>
      <c r="AJ97" s="4" t="str">
        <f aca="false">IF($A97="","",IF(AI97&lt;&gt;"Yes","On time",IF(N(AC97)&gt;=MAX(N(AF97),N(K97)),"Wait for analyst",IF(N(AF97)&gt;=N(K97),"External sign-off","Rework"))))</f>
        <v/>
      </c>
      <c r="AK97" s="4" t="str">
        <f aca="false">IF($A97="","",IF(OR(F97="",Y97="",ISNA(MATCH(L97,Dim_Analyst!$A:$A,0))),"CHECK","OK"))</f>
        <v/>
      </c>
      <c r="AL97" s="4" t="str">
        <f aca="false">IF($A97="","",IFERROR(VLOOKUP($C97,Dim_Fund!$A:$U,21,0),""))</f>
        <v/>
      </c>
      <c r="AM97" s="4" t="str">
        <f aca="false">IF($A97="","",IF($U97="","",IF($U97&gt;$B97+IFERROR(VLOOKUP($C97,Dim_Fund!$A:$AH,34,0),0)/24,"Yes","No")))</f>
        <v/>
      </c>
      <c r="AN97" s="22" t="str">
        <f aca="false">IF($A97="","",IFERROR(VLOOKUP($C97,Dim_Fund!$A:$AH,34,0),""))</f>
        <v/>
      </c>
      <c r="AO97" s="22" t="str">
        <f aca="false">IF($A97="","",IF($AL97="","",IFERROR(FLOOR(IF(COUNTIFS(Fact_Milestone!$A:$A,$B97,Fact_Milestone!$B:$B,$AL97,Fact_Milestone!$F:$F,"&gt;0")&gt;0,_xlfn.MINIFS(Fact_Milestone!$F:$F,Fact_Milestone!$A:$A,$B97,Fact_Milestone!$B:$B,$AL97,Fact_Milestone!$F:$F,"&gt;0"),VLOOKUP($AL97,Dim_TOP!$A:$E,5,0)),0.5),"")))</f>
        <v/>
      </c>
      <c r="AP97" s="22" t="str">
        <f aca="false">IF($A97="","",IF($U97="","",ROUND(($U97-INT($U97))*24,4)))</f>
        <v/>
      </c>
      <c r="AQ97" s="22" t="str">
        <f aca="false">IF($A97="","",IF($W97="","",ROUND(($W97-INT($W97))*24,4)))</f>
        <v/>
      </c>
      <c r="AR97" s="22" t="str">
        <f aca="false">IF($A97="","",IF($X97="","",ROUND(($X97-INT($X97))*24,4)))</f>
        <v/>
      </c>
      <c r="AS97" s="38" t="str">
        <f aca="false">IF($A97="","",IF(OR($AN97="",$V97="",$S97="",$T97=""),"",ROUND(($V97-($B97+$AN97/24))*1440-$S97-$T97,0)))</f>
        <v/>
      </c>
      <c r="AT97" s="38" t="str">
        <f aca="false">IF($A97="","",IF(OR($AN97="",$U97=""),"",ROUND(($U97-($B97+$AN97/24))*1440,0)))</f>
        <v/>
      </c>
      <c r="AU97" s="38" t="str">
        <f aca="false">IF($A97="","",IF(OR($AD97="",$S97=""),"",ROUND($AD97-$S97,0)))</f>
        <v/>
      </c>
      <c r="AV97" s="38" t="str">
        <f aca="false">IF($A97="","",N($AE97))</f>
        <v/>
      </c>
      <c r="AW97" s="38" t="str">
        <f aca="false">IF($A97="","",IF(OR($AF97="",$T97=""),"",$AF97-$T97))</f>
        <v/>
      </c>
      <c r="AX97" s="38" t="str">
        <f aca="false">IF($A97="","",IF(COUNT($AT97,$AB97,$AU97,$AW97,$AS97,$AH97)&lt;6,"",ROUND($AT97+$AB97+$AU97+$AV97+$AW97-$AS97-$AH97,0)))</f>
        <v/>
      </c>
      <c r="AY97" s="4" t="str">
        <f aca="false">IF($A97="","",IF($AX97="","No",IF(ABS($AX97)&lt;=2,"Yes","No")))</f>
        <v/>
      </c>
      <c r="AZ97" s="4" t="str">
        <f aca="false">IF($A97="","",IF($AI97&lt;&gt;"Yes","n/a",IF(OR($AA97="",$S97="",$T97=""),"Unknown",IF($AA97&lt;$S97+$T97,"Lost on arrival","Lost after arrival"))))</f>
        <v/>
      </c>
      <c r="BA97" s="10" t="str">
        <f aca="false">IF($A97="","",IFERROR(VLOOKUP($C97,Dim_Fund!$A:$D,4,0),""))</f>
        <v/>
      </c>
      <c r="BB97" s="10" t="str">
        <f aca="false">IF($A97="","",IF($AL97="","",IF(COUNTIFS(Fact_Milestone!$A:$A,$B97,Fact_Milestone!$B:$B,$AL97,Fact_Milestone!$I:$I,"No")&gt;0,"No",IF(COUNTIFS(Fact_Milestone!$A:$A,$B97,Fact_Milestone!$B:$B,$AL97,Fact_Milestone!$I:$I,"Yes")&gt;0,"Yes",""))))</f>
        <v/>
      </c>
      <c r="BC97" s="45" t="str">
        <f aca="false">IF($A97="","",IF(OR($L97="",$W97=""),"",IF(COUNTIFS($L:$L,$L97,$B:$B,$B97,$W:$W,"&lt;"&amp;$W97)=0,"",_xlfn.MAXIFS($W:$W,$L:$L,$L97,$B:$B,$B97,$W:$W,"&lt;"&amp;$W97))))</f>
        <v/>
      </c>
      <c r="BD97" s="39" t="str">
        <f aca="false">IF($A97="","",IF($AC97="","",IF(OR($L97="",$AC97=0),0,MIN($AC97,ROUND(ROUND(1440*SUMPRODUCT(($L$2:INDEX($L:$L,COUNTA($C:$C))=$L97)*($B$2:INDEX($B:$B,COUNTA($C:$C))=$B97)*(ROW($L$2:INDEX($L:$L,COUNTA($C:$C)))&lt;&gt;ROW())*((((($W97+$BT$2:INDEX($BT:$BT,COUNTA($C:$C))-ABS($W97-$BT$2:INDEX($BT:$BT,COUNTA($C:$C))))/2)-(($U97+$BS$2:INDEX($BS:$BS,COUNTA($C:$C))+ABS($U97-$BS$2:INDEX($BS:$BS,COUNTA($C:$C))))/2))+ABS(((($W97+$BT$2:INDEX($BT:$BT,COUNTA($C:$C))-ABS($W97-$BT$2:INDEX($BT:$BT,COUNTA($C:$C))))/2)-(($U97+$BS$2:INDEX($BS:$BS,COUNTA($C:$C))+ABS($U97-$BS$2:INDEX($BS:$BS,COUNTA($C:$C))))/2))))/2)),4),0)))))</f>
        <v/>
      </c>
      <c r="BE97" s="39" t="str">
        <f aca="false">IF($A97="","",IF($AC97="","",ROUND(MIN($AC97-$BD97,N($R97)),0)))</f>
        <v/>
      </c>
      <c r="BF97" s="10" t="str">
        <f aca="false">IF($A97="","",IFERROR(VLOOKUP($C97,Dim_Fund!$A:$BD,56,0),""))</f>
        <v/>
      </c>
      <c r="BG97" s="10" t="str">
        <f aca="false">IF($A97="","",IFERROR(VLOOKUP($C97,Dim_Fund!$A:$BH,60,0),""))</f>
        <v/>
      </c>
      <c r="BH97" s="10" t="str">
        <f aca="false">IF($A97="","",IF($AI97&lt;&gt;"Yes","Not breached",IF($AM97="Yes","Pricing late",IF($BG97="Thin custody slack","Thin custody slack",IF($BF97="Yes","Broker-dependent","None of these")))))</f>
        <v/>
      </c>
      <c r="BI97" s="23" t="str">
        <f aca="false">IF($A97="","",IFERROR(IF(VLOOKUP($C97,Dim_Fund!$A:$AI,35,0)&gt;0,VLOOKUP($C97,Dim_Fund!$A:$AI,35,0),""),""))</f>
        <v/>
      </c>
      <c r="BJ97" s="10" t="str">
        <f aca="false">IF($A97="","",$C97&amp;IF($E97="Client","*",""))</f>
        <v/>
      </c>
      <c r="BK97" s="39" t="str">
        <f aca="false">IF($A97="","",IFERROR(ROUND(($Y97-$X97)*1440,0),""))</f>
        <v/>
      </c>
      <c r="BL97" s="39" t="str">
        <f aca="false">IF($A97="","",IF($AH97="","",-$AH97))</f>
        <v/>
      </c>
      <c r="BM97" s="46" t="str">
        <f aca="false">IF($A97="","",IF($AQ97="","",IF($AP97="",$AQ97,MIN($AP97,$AQ97))))</f>
        <v/>
      </c>
      <c r="BN97" s="46" t="str">
        <f aca="false">IF($A97="","",IF($BM97="","",ROUND(N($AC97)/60,4)))</f>
        <v/>
      </c>
      <c r="BO97" s="46" t="str">
        <f aca="false">IF($A97="","",IF(OR($BM97="",$AD97=""),"",ROUND($AD97/60,4)))</f>
        <v/>
      </c>
      <c r="BP97" s="46" t="str">
        <f aca="false">IF($A97="","",IF($BM97="","",ROUND(N($AE97)/60,4)))</f>
        <v/>
      </c>
      <c r="BQ97" s="46" t="str">
        <f aca="false">IF($A97="","",IF(OR($BM97="",$AF97=""),"",ROUND($AF97/60,4)))</f>
        <v/>
      </c>
      <c r="BR97" s="39" t="str">
        <f aca="false">IF($A97="","",IF($AC97="","",$AC97-$BD97-$BE97))</f>
        <v/>
      </c>
      <c r="BS97" s="45" t="str">
        <f aca="false">IF($A97="","",IF(AND(ISNUMBER($Z97),ISNUMBER($W97)),$Z97,0))</f>
        <v/>
      </c>
      <c r="BT97" s="45" t="str">
        <f aca="false">IF($A97="","",IF(ISNUMBER($W97),$W97,0))</f>
        <v/>
      </c>
      <c r="BU97" s="23" t="str">
        <f aca="false">IF($A97="","",IF(ISNUMBER($W97),ROUND(($W97-$B97)*24,4),""))</f>
        <v/>
      </c>
      <c r="BV97" s="23" t="str">
        <f aca="false">IF($A97="","",IF(ISNUMBER($X97),ROUND(($X97-$B97)*24,4),""))</f>
        <v/>
      </c>
      <c r="BW97" s="10" t="str">
        <f aca="false">IF($A97="","",IF(NOT(ISNUMBER($W97)),"Missing Calculated",IF(NOT(ISNUMBER($X97)),IF($E97="Client","Missing FA signed off","Missing Controlled"),IF($X97&lt;$W97,"End before start","OK"))))</f>
        <v/>
      </c>
      <c r="BX97" s="23" t="str">
        <f aca="false">IF($A97="","",IF(NOT(ISNUMBER($Z97)),"",ROUND((IF(ISNUMBER($U97),MIN($U97,$Z97),$Z97)-$B97)*24,4)))</f>
        <v/>
      </c>
      <c r="BY97" s="23" t="str">
        <f aca="false">IF($A97="","",IF(ISNUMBER($Z97),ROUND(($Z97-$B97)*24,4),""))</f>
        <v/>
      </c>
      <c r="BZ97" s="23" t="str">
        <f aca="false">IF($A97="","",IF(AND(ISNUMBER($W97),ISNUMBER($S97)),ROUND(($W97+$S97/1440-$B97)*24,4),""))</f>
        <v/>
      </c>
    </row>
    <row r="98" customFormat="false" ht="15" hidden="false" customHeight="true" outlineLevel="0" collapsed="false">
      <c r="A98" s="47"/>
      <c r="B98" s="47"/>
      <c r="D98" s="4" t="str">
        <f aca="false">IF($A98="","",$B98-$A98)</f>
        <v/>
      </c>
      <c r="E98" s="4" t="str">
        <f aca="false">IF($A98="","",IFERROR(VLOOKUP($C98,Dim_Fund!$A:$X,24,0),""))</f>
        <v/>
      </c>
      <c r="F98" s="37" t="str">
        <f aca="false">IF($A98="","",IF(COUNTIFS(Status_Log!$A:$A,$A98,Status_Log!$B:$B,$B98,Status_Log!$C:$C,$C98,Status_Log!$D:$D,"Changed to the status of Calculated")=0,"",_xlfn.MINIFS(Status_Log!$E:$E,Status_Log!$A:$A,$A98,Status_Log!$B:$B,$B98,Status_Log!$C:$C,$C98,Status_Log!$D:$D,"Changed to the status of Calculated")))</f>
        <v/>
      </c>
      <c r="G98" s="37" t="str">
        <f aca="false">IF($A98="","",IF(COUNTIFS(Status_Log!$A:$A,$A98,Status_Log!$B:$B,$B98,Status_Log!$C:$C,$C98,Status_Log!$D:$D,"Changed to the status of Controlled")=0,"",_xlfn.MAXIFS(Status_Log!$E:$E,Status_Log!$A:$A,$A98,Status_Log!$B:$B,$B98,Status_Log!$C:$C,$C98,Status_Log!$D:$D,"Changed to the status of Controlled")))</f>
        <v/>
      </c>
      <c r="H98" s="37" t="str">
        <f aca="false">IF($A98="","",IF(COUNTIFS(Status_Log!$A:$A,$A98,Status_Log!$B:$B,$B98,Status_Log!$C:$C,$C98,Status_Log!$D:$D,"Changed to the status of Fund accounting signed off")=0,"",_xlfn.MAXIFS(Status_Log!$E:$E,Status_Log!$A:$A,$A98,Status_Log!$B:$B,$B98,Status_Log!$C:$C,$C98,Status_Log!$D:$D,"Changed to the status of Fund accounting signed off")))</f>
        <v/>
      </c>
      <c r="I98" s="37" t="str">
        <f aca="false">IF($A98="","",IF(COUNTIFS(Status_Log!$A:$A,$A98,Status_Log!$B:$B,$B98,Status_Log!$C:$C,$C98,Status_Log!$D:$D,"Changed to the status of signed off")=0,"",_xlfn.MAXIFS(Status_Log!$E:$E,Status_Log!$A:$A,$A98,Status_Log!$B:$B,$B98,Status_Log!$C:$C,$C98,Status_Log!$D:$D,"Changed to the status of signed off")))</f>
        <v/>
      </c>
      <c r="J98" s="4" t="str">
        <f aca="false">IF($A98="","",COUNTIFS(Status_Log!$A:$A,$A98,Status_Log!$B:$B,$B98,Status_Log!$C:$C,$C98,Status_Log!$D:$D,"Changed to the status of Calculated"))</f>
        <v/>
      </c>
      <c r="K98" s="38" t="str">
        <f aca="false">IF($A98="","",IF(J98&lt;=1,0,ROUND((_xlfn.MAXIFS(Status_Log!$E:$E,Status_Log!$A:$A,$A98,Status_Log!$B:$B,$B98,Status_Log!$C:$C,$C98,Status_Log!$D:$D,"Changed to the status of Calculated")-F98)*1440,0)))</f>
        <v/>
      </c>
      <c r="L98" s="4" t="str">
        <f aca="false">IF($A98="","",IFERROR(INDEX(Status_Log!$F:$F,MATCH($A98&amp;"|"&amp;$B98&amp;"|"&amp;$C98&amp;"|Changed to the status of Calculated|"&amp;TEXT(_xlfn.MAXIFS(Status_Log!$E:$E,Status_Log!$A:$A,$A98,Status_Log!$B:$B,$B98,Status_Log!$C:$C,$C98,Status_Log!$D:$D,"Changed to the status of Calculated"),"0.000000"),Status_Log!$H:$H,0)),""))</f>
        <v/>
      </c>
      <c r="M98" s="4" t="str">
        <f aca="false">IF($A98="","",IF(E98="Client","n/a — no control step",IFERROR(INDEX(Status_Log!$F:$F,MATCH($A98&amp;"|"&amp;$B98&amp;"|"&amp;$C98&amp;"|Changed to the status of Controlled|"&amp;TEXT(_xlfn.MAXIFS(Status_Log!$E:$E,Status_Log!$A:$A,$A98,Status_Log!$B:$B,$B98,Status_Log!$C:$C,$C98,Status_Log!$D:$D,"Changed to the status of Controlled"),"0.000000"),Status_Log!$H:$H,0)),"")))</f>
        <v/>
      </c>
      <c r="N98" s="4" t="str">
        <f aca="false">IF($A98="","",IFERROR(VLOOKUP($C98,Dim_Fund!$A:$G,7,0),""))</f>
        <v/>
      </c>
      <c r="O98" s="4" t="str">
        <f aca="false">IF($A98="","",IF(L98=N98,"No","Yes"))</f>
        <v/>
      </c>
      <c r="P98" s="4" t="str">
        <f aca="false">IF($A98="","",IF(E98="Client","n/a",IF(L98=M98,"YES — four-eyes breach","No")))</f>
        <v/>
      </c>
      <c r="Q98" s="38" t="str">
        <f aca="false">IF($A98="","",IFERROR(VLOOKUP($C98,Dim_Fund!$A:$AB,28,0),""))</f>
        <v/>
      </c>
      <c r="R98" s="38" t="str">
        <f aca="false">IF($A98="","",IFERROR(VLOOKUP($C98,Dim_Fund!$A:$AC,29,0),""))</f>
        <v/>
      </c>
      <c r="S98" s="38" t="str">
        <f aca="false">IF($A98="","",IFERROR(VLOOKUP($C98,Dim_Fund!$A:$AD,30,0),""))</f>
        <v/>
      </c>
      <c r="T98" s="38" t="str">
        <f aca="false">IF($A98="","",IFERROR(VLOOKUP($C98,Dim_Fund!$A:$AL,38,0),""))</f>
        <v/>
      </c>
      <c r="U98" s="37" t="str">
        <f aca="false">IF($A98="","",IF(AL98="","",IFERROR(IF(COUNTIFS(Fact_Milestone!$A:$A,$B98,Fact_Milestone!$B:$B,AL98)=0,"",_xlfn.MAXIFS(Fact_Milestone!$C:$C,Fact_Milestone!$A:$A,$B98,Fact_Milestone!$B:$B,AL98)),"")))</f>
        <v/>
      </c>
      <c r="V98" s="37" t="str">
        <f aca="false">IF($A98="","",IFERROR(IF(VLOOKUP($C98,Dim_Fund!$A:$AI,35,0)&gt;0,$B98+VLOOKUP($C98,Dim_Fund!$A:$AI,35,0)/24,""),""))</f>
        <v/>
      </c>
      <c r="W98" s="37" t="str">
        <f aca="false">IF($A98="","",F98)</f>
        <v/>
      </c>
      <c r="X98" s="37" t="str">
        <f aca="false">IF($A98="","",IF(E98="Client",H98,G98))</f>
        <v/>
      </c>
      <c r="Y98" s="37" t="str">
        <f aca="false">IF($A98="","",I98)</f>
        <v/>
      </c>
      <c r="Z98" s="37" t="str">
        <f aca="false">IF($A98="","",IFERROR(W98-R98/1440,""))</f>
        <v/>
      </c>
      <c r="AA98" s="38" t="str">
        <f aca="false">IF($A98="","",IF(OR(U98="",V98=""),"",ROUND((V98-U98)*1440,0)))</f>
        <v/>
      </c>
      <c r="AB98" s="38" t="str">
        <f aca="false">IF($A98="","",IF(U98="","",ROUND((W98-U98)*1440,0)))</f>
        <v/>
      </c>
      <c r="AC98" s="38" t="str">
        <f aca="false">IF($A98="","",IF(AB98="","",MAX(0,AB98)))</f>
        <v/>
      </c>
      <c r="AD98" s="38" t="str">
        <f aca="false">IF($A98="","",IFERROR(ROUND((X98-W98)*1440,0),""))</f>
        <v/>
      </c>
      <c r="AE98" s="38" t="str">
        <f aca="false">IF($A98="","",IF(E98="Client","n/a",IFERROR(ROUND((H98-G98)*1440,0),"")))</f>
        <v/>
      </c>
      <c r="AF98" s="38" t="str">
        <f aca="false">IF($A98="","",IFERROR(ROUND((Y98-H98)*1440,0),""))</f>
        <v/>
      </c>
      <c r="AG98" s="38" t="str">
        <f aca="false">IF($A98="","",IFERROR(ROUND((H98-F98)*1440,0),""))</f>
        <v/>
      </c>
      <c r="AH98" s="38" t="str">
        <f aca="false">IF($A98="","",IFERROR(ROUND((Y98-V98)*1440,0),""))</f>
        <v/>
      </c>
      <c r="AI98" s="4" t="str">
        <f aca="false">IF($A98="","",IF(AH98="","",IF(AH98&gt;0,"Yes","No")))</f>
        <v/>
      </c>
      <c r="AJ98" s="4" t="str">
        <f aca="false">IF($A98="","",IF(AI98&lt;&gt;"Yes","On time",IF(N(AC98)&gt;=MAX(N(AF98),N(K98)),"Wait for analyst",IF(N(AF98)&gt;=N(K98),"External sign-off","Rework"))))</f>
        <v/>
      </c>
      <c r="AK98" s="4" t="str">
        <f aca="false">IF($A98="","",IF(OR(F98="",Y98="",ISNA(MATCH(L98,Dim_Analyst!$A:$A,0))),"CHECK","OK"))</f>
        <v/>
      </c>
      <c r="AL98" s="4" t="str">
        <f aca="false">IF($A98="","",IFERROR(VLOOKUP($C98,Dim_Fund!$A:$U,21,0),""))</f>
        <v/>
      </c>
      <c r="AM98" s="4" t="str">
        <f aca="false">IF($A98="","",IF($U98="","",IF($U98&gt;$B98+IFERROR(VLOOKUP($C98,Dim_Fund!$A:$AH,34,0),0)/24,"Yes","No")))</f>
        <v/>
      </c>
      <c r="AN98" s="22" t="str">
        <f aca="false">IF($A98="","",IFERROR(VLOOKUP($C98,Dim_Fund!$A:$AH,34,0),""))</f>
        <v/>
      </c>
      <c r="AO98" s="22" t="str">
        <f aca="false">IF($A98="","",IF($AL98="","",IFERROR(FLOOR(IF(COUNTIFS(Fact_Milestone!$A:$A,$B98,Fact_Milestone!$B:$B,$AL98,Fact_Milestone!$F:$F,"&gt;0")&gt;0,_xlfn.MINIFS(Fact_Milestone!$F:$F,Fact_Milestone!$A:$A,$B98,Fact_Milestone!$B:$B,$AL98,Fact_Milestone!$F:$F,"&gt;0"),VLOOKUP($AL98,Dim_TOP!$A:$E,5,0)),0.5),"")))</f>
        <v/>
      </c>
      <c r="AP98" s="22" t="str">
        <f aca="false">IF($A98="","",IF($U98="","",ROUND(($U98-INT($U98))*24,4)))</f>
        <v/>
      </c>
      <c r="AQ98" s="22" t="str">
        <f aca="false">IF($A98="","",IF($W98="","",ROUND(($W98-INT($W98))*24,4)))</f>
        <v/>
      </c>
      <c r="AR98" s="22" t="str">
        <f aca="false">IF($A98="","",IF($X98="","",ROUND(($X98-INT($X98))*24,4)))</f>
        <v/>
      </c>
      <c r="AS98" s="38" t="str">
        <f aca="false">IF($A98="","",IF(OR($AN98="",$V98="",$S98="",$T98=""),"",ROUND(($V98-($B98+$AN98/24))*1440-$S98-$T98,0)))</f>
        <v/>
      </c>
      <c r="AT98" s="38" t="str">
        <f aca="false">IF($A98="","",IF(OR($AN98="",$U98=""),"",ROUND(($U98-($B98+$AN98/24))*1440,0)))</f>
        <v/>
      </c>
      <c r="AU98" s="38" t="str">
        <f aca="false">IF($A98="","",IF(OR($AD98="",$S98=""),"",ROUND($AD98-$S98,0)))</f>
        <v/>
      </c>
      <c r="AV98" s="38" t="str">
        <f aca="false">IF($A98="","",N($AE98))</f>
        <v/>
      </c>
      <c r="AW98" s="38" t="str">
        <f aca="false">IF($A98="","",IF(OR($AF98="",$T98=""),"",$AF98-$T98))</f>
        <v/>
      </c>
      <c r="AX98" s="38" t="str">
        <f aca="false">IF($A98="","",IF(COUNT($AT98,$AB98,$AU98,$AW98,$AS98,$AH98)&lt;6,"",ROUND($AT98+$AB98+$AU98+$AV98+$AW98-$AS98-$AH98,0)))</f>
        <v/>
      </c>
      <c r="AY98" s="4" t="str">
        <f aca="false">IF($A98="","",IF($AX98="","No",IF(ABS($AX98)&lt;=2,"Yes","No")))</f>
        <v/>
      </c>
      <c r="AZ98" s="4" t="str">
        <f aca="false">IF($A98="","",IF($AI98&lt;&gt;"Yes","n/a",IF(OR($AA98="",$S98="",$T98=""),"Unknown",IF($AA98&lt;$S98+$T98,"Lost on arrival","Lost after arrival"))))</f>
        <v/>
      </c>
      <c r="BA98" s="10" t="str">
        <f aca="false">IF($A98="","",IFERROR(VLOOKUP($C98,Dim_Fund!$A:$D,4,0),""))</f>
        <v/>
      </c>
      <c r="BB98" s="10" t="str">
        <f aca="false">IF($A98="","",IF($AL98="","",IF(COUNTIFS(Fact_Milestone!$A:$A,$B98,Fact_Milestone!$B:$B,$AL98,Fact_Milestone!$I:$I,"No")&gt;0,"No",IF(COUNTIFS(Fact_Milestone!$A:$A,$B98,Fact_Milestone!$B:$B,$AL98,Fact_Milestone!$I:$I,"Yes")&gt;0,"Yes",""))))</f>
        <v/>
      </c>
      <c r="BC98" s="45" t="str">
        <f aca="false">IF($A98="","",IF(OR($L98="",$W98=""),"",IF(COUNTIFS($L:$L,$L98,$B:$B,$B98,$W:$W,"&lt;"&amp;$W98)=0,"",_xlfn.MAXIFS($W:$W,$L:$L,$L98,$B:$B,$B98,$W:$W,"&lt;"&amp;$W98))))</f>
        <v/>
      </c>
      <c r="BD98" s="39" t="str">
        <f aca="false">IF($A98="","",IF($AC98="","",IF(OR($L98="",$AC98=0),0,MIN($AC98,ROUND(ROUND(1440*SUMPRODUCT(($L$2:INDEX($L:$L,COUNTA($C:$C))=$L98)*($B$2:INDEX($B:$B,COUNTA($C:$C))=$B98)*(ROW($L$2:INDEX($L:$L,COUNTA($C:$C)))&lt;&gt;ROW())*((((($W98+$BT$2:INDEX($BT:$BT,COUNTA($C:$C))-ABS($W98-$BT$2:INDEX($BT:$BT,COUNTA($C:$C))))/2)-(($U98+$BS$2:INDEX($BS:$BS,COUNTA($C:$C))+ABS($U98-$BS$2:INDEX($BS:$BS,COUNTA($C:$C))))/2))+ABS(((($W98+$BT$2:INDEX($BT:$BT,COUNTA($C:$C))-ABS($W98-$BT$2:INDEX($BT:$BT,COUNTA($C:$C))))/2)-(($U98+$BS$2:INDEX($BS:$BS,COUNTA($C:$C))+ABS($U98-$BS$2:INDEX($BS:$BS,COUNTA($C:$C))))/2))))/2)),4),0)))))</f>
        <v/>
      </c>
      <c r="BE98" s="39" t="str">
        <f aca="false">IF($A98="","",IF($AC98="","",ROUND(MIN($AC98-$BD98,N($R98)),0)))</f>
        <v/>
      </c>
      <c r="BF98" s="10" t="str">
        <f aca="false">IF($A98="","",IFERROR(VLOOKUP($C98,Dim_Fund!$A:$BD,56,0),""))</f>
        <v/>
      </c>
      <c r="BG98" s="10" t="str">
        <f aca="false">IF($A98="","",IFERROR(VLOOKUP($C98,Dim_Fund!$A:$BH,60,0),""))</f>
        <v/>
      </c>
      <c r="BH98" s="10" t="str">
        <f aca="false">IF($A98="","",IF($AI98&lt;&gt;"Yes","Not breached",IF($AM98="Yes","Pricing late",IF($BG98="Thin custody slack","Thin custody slack",IF($BF98="Yes","Broker-dependent","None of these")))))</f>
        <v/>
      </c>
      <c r="BI98" s="23" t="str">
        <f aca="false">IF($A98="","",IFERROR(IF(VLOOKUP($C98,Dim_Fund!$A:$AI,35,0)&gt;0,VLOOKUP($C98,Dim_Fund!$A:$AI,35,0),""),""))</f>
        <v/>
      </c>
      <c r="BJ98" s="10" t="str">
        <f aca="false">IF($A98="","",$C98&amp;IF($E98="Client","*",""))</f>
        <v/>
      </c>
      <c r="BK98" s="39" t="str">
        <f aca="false">IF($A98="","",IFERROR(ROUND(($Y98-$X98)*1440,0),""))</f>
        <v/>
      </c>
      <c r="BL98" s="39" t="str">
        <f aca="false">IF($A98="","",IF($AH98="","",-$AH98))</f>
        <v/>
      </c>
      <c r="BM98" s="46" t="str">
        <f aca="false">IF($A98="","",IF($AQ98="","",IF($AP98="",$AQ98,MIN($AP98,$AQ98))))</f>
        <v/>
      </c>
      <c r="BN98" s="46" t="str">
        <f aca="false">IF($A98="","",IF($BM98="","",ROUND(N($AC98)/60,4)))</f>
        <v/>
      </c>
      <c r="BO98" s="46" t="str">
        <f aca="false">IF($A98="","",IF(OR($BM98="",$AD98=""),"",ROUND($AD98/60,4)))</f>
        <v/>
      </c>
      <c r="BP98" s="46" t="str">
        <f aca="false">IF($A98="","",IF($BM98="","",ROUND(N($AE98)/60,4)))</f>
        <v/>
      </c>
      <c r="BQ98" s="46" t="str">
        <f aca="false">IF($A98="","",IF(OR($BM98="",$AF98=""),"",ROUND($AF98/60,4)))</f>
        <v/>
      </c>
      <c r="BR98" s="39" t="str">
        <f aca="false">IF($A98="","",IF($AC98="","",$AC98-$BD98-$BE98))</f>
        <v/>
      </c>
      <c r="BS98" s="45" t="str">
        <f aca="false">IF($A98="","",IF(AND(ISNUMBER($Z98),ISNUMBER($W98)),$Z98,0))</f>
        <v/>
      </c>
      <c r="BT98" s="45" t="str">
        <f aca="false">IF($A98="","",IF(ISNUMBER($W98),$W98,0))</f>
        <v/>
      </c>
      <c r="BU98" s="23" t="str">
        <f aca="false">IF($A98="","",IF(ISNUMBER($W98),ROUND(($W98-$B98)*24,4),""))</f>
        <v/>
      </c>
      <c r="BV98" s="23" t="str">
        <f aca="false">IF($A98="","",IF(ISNUMBER($X98),ROUND(($X98-$B98)*24,4),""))</f>
        <v/>
      </c>
      <c r="BW98" s="10" t="str">
        <f aca="false">IF($A98="","",IF(NOT(ISNUMBER($W98)),"Missing Calculated",IF(NOT(ISNUMBER($X98)),IF($E98="Client","Missing FA signed off","Missing Controlled"),IF($X98&lt;$W98,"End before start","OK"))))</f>
        <v/>
      </c>
      <c r="BX98" s="23" t="str">
        <f aca="false">IF($A98="","",IF(NOT(ISNUMBER($Z98)),"",ROUND((IF(ISNUMBER($U98),MIN($U98,$Z98),$Z98)-$B98)*24,4)))</f>
        <v/>
      </c>
      <c r="BY98" s="23" t="str">
        <f aca="false">IF($A98="","",IF(ISNUMBER($Z98),ROUND(($Z98-$B98)*24,4),""))</f>
        <v/>
      </c>
      <c r="BZ98" s="23" t="str">
        <f aca="false">IF($A98="","",IF(AND(ISNUMBER($W98),ISNUMBER($S98)),ROUND(($W98+$S98/1440-$B98)*24,4),""))</f>
        <v/>
      </c>
    </row>
    <row r="99" customFormat="false" ht="15" hidden="false" customHeight="true" outlineLevel="0" collapsed="false">
      <c r="A99" s="47"/>
      <c r="B99" s="47"/>
      <c r="D99" s="4" t="str">
        <f aca="false">IF($A99="","",$B99-$A99)</f>
        <v/>
      </c>
      <c r="E99" s="4" t="str">
        <f aca="false">IF($A99="","",IFERROR(VLOOKUP($C99,Dim_Fund!$A:$X,24,0),""))</f>
        <v/>
      </c>
      <c r="F99" s="37" t="str">
        <f aca="false">IF($A99="","",IF(COUNTIFS(Status_Log!$A:$A,$A99,Status_Log!$B:$B,$B99,Status_Log!$C:$C,$C99,Status_Log!$D:$D,"Changed to the status of Calculated")=0,"",_xlfn.MINIFS(Status_Log!$E:$E,Status_Log!$A:$A,$A99,Status_Log!$B:$B,$B99,Status_Log!$C:$C,$C99,Status_Log!$D:$D,"Changed to the status of Calculated")))</f>
        <v/>
      </c>
      <c r="G99" s="37" t="str">
        <f aca="false">IF($A99="","",IF(COUNTIFS(Status_Log!$A:$A,$A99,Status_Log!$B:$B,$B99,Status_Log!$C:$C,$C99,Status_Log!$D:$D,"Changed to the status of Controlled")=0,"",_xlfn.MAXIFS(Status_Log!$E:$E,Status_Log!$A:$A,$A99,Status_Log!$B:$B,$B99,Status_Log!$C:$C,$C99,Status_Log!$D:$D,"Changed to the status of Controlled")))</f>
        <v/>
      </c>
      <c r="H99" s="37" t="str">
        <f aca="false">IF($A99="","",IF(COUNTIFS(Status_Log!$A:$A,$A99,Status_Log!$B:$B,$B99,Status_Log!$C:$C,$C99,Status_Log!$D:$D,"Changed to the status of Fund accounting signed off")=0,"",_xlfn.MAXIFS(Status_Log!$E:$E,Status_Log!$A:$A,$A99,Status_Log!$B:$B,$B99,Status_Log!$C:$C,$C99,Status_Log!$D:$D,"Changed to the status of Fund accounting signed off")))</f>
        <v/>
      </c>
      <c r="I99" s="37" t="str">
        <f aca="false">IF($A99="","",IF(COUNTIFS(Status_Log!$A:$A,$A99,Status_Log!$B:$B,$B99,Status_Log!$C:$C,$C99,Status_Log!$D:$D,"Changed to the status of signed off")=0,"",_xlfn.MAXIFS(Status_Log!$E:$E,Status_Log!$A:$A,$A99,Status_Log!$B:$B,$B99,Status_Log!$C:$C,$C99,Status_Log!$D:$D,"Changed to the status of signed off")))</f>
        <v/>
      </c>
      <c r="J99" s="4" t="str">
        <f aca="false">IF($A99="","",COUNTIFS(Status_Log!$A:$A,$A99,Status_Log!$B:$B,$B99,Status_Log!$C:$C,$C99,Status_Log!$D:$D,"Changed to the status of Calculated"))</f>
        <v/>
      </c>
      <c r="K99" s="38" t="str">
        <f aca="false">IF($A99="","",IF(J99&lt;=1,0,ROUND((_xlfn.MAXIFS(Status_Log!$E:$E,Status_Log!$A:$A,$A99,Status_Log!$B:$B,$B99,Status_Log!$C:$C,$C99,Status_Log!$D:$D,"Changed to the status of Calculated")-F99)*1440,0)))</f>
        <v/>
      </c>
      <c r="L99" s="4" t="str">
        <f aca="false">IF($A99="","",IFERROR(INDEX(Status_Log!$F:$F,MATCH($A99&amp;"|"&amp;$B99&amp;"|"&amp;$C99&amp;"|Changed to the status of Calculated|"&amp;TEXT(_xlfn.MAXIFS(Status_Log!$E:$E,Status_Log!$A:$A,$A99,Status_Log!$B:$B,$B99,Status_Log!$C:$C,$C99,Status_Log!$D:$D,"Changed to the status of Calculated"),"0.000000"),Status_Log!$H:$H,0)),""))</f>
        <v/>
      </c>
      <c r="M99" s="4" t="str">
        <f aca="false">IF($A99="","",IF(E99="Client","n/a — no control step",IFERROR(INDEX(Status_Log!$F:$F,MATCH($A99&amp;"|"&amp;$B99&amp;"|"&amp;$C99&amp;"|Changed to the status of Controlled|"&amp;TEXT(_xlfn.MAXIFS(Status_Log!$E:$E,Status_Log!$A:$A,$A99,Status_Log!$B:$B,$B99,Status_Log!$C:$C,$C99,Status_Log!$D:$D,"Changed to the status of Controlled"),"0.000000"),Status_Log!$H:$H,0)),"")))</f>
        <v/>
      </c>
      <c r="N99" s="4" t="str">
        <f aca="false">IF($A99="","",IFERROR(VLOOKUP($C99,Dim_Fund!$A:$G,7,0),""))</f>
        <v/>
      </c>
      <c r="O99" s="4" t="str">
        <f aca="false">IF($A99="","",IF(L99=N99,"No","Yes"))</f>
        <v/>
      </c>
      <c r="P99" s="4" t="str">
        <f aca="false">IF($A99="","",IF(E99="Client","n/a",IF(L99=M99,"YES — four-eyes breach","No")))</f>
        <v/>
      </c>
      <c r="Q99" s="38" t="str">
        <f aca="false">IF($A99="","",IFERROR(VLOOKUP($C99,Dim_Fund!$A:$AB,28,0),""))</f>
        <v/>
      </c>
      <c r="R99" s="38" t="str">
        <f aca="false">IF($A99="","",IFERROR(VLOOKUP($C99,Dim_Fund!$A:$AC,29,0),""))</f>
        <v/>
      </c>
      <c r="S99" s="38" t="str">
        <f aca="false">IF($A99="","",IFERROR(VLOOKUP($C99,Dim_Fund!$A:$AD,30,0),""))</f>
        <v/>
      </c>
      <c r="T99" s="38" t="str">
        <f aca="false">IF($A99="","",IFERROR(VLOOKUP($C99,Dim_Fund!$A:$AL,38,0),""))</f>
        <v/>
      </c>
      <c r="U99" s="37" t="str">
        <f aca="false">IF($A99="","",IF(AL99="","",IFERROR(IF(COUNTIFS(Fact_Milestone!$A:$A,$B99,Fact_Milestone!$B:$B,AL99)=0,"",_xlfn.MAXIFS(Fact_Milestone!$C:$C,Fact_Milestone!$A:$A,$B99,Fact_Milestone!$B:$B,AL99)),"")))</f>
        <v/>
      </c>
      <c r="V99" s="37" t="str">
        <f aca="false">IF($A99="","",IFERROR(IF(VLOOKUP($C99,Dim_Fund!$A:$AI,35,0)&gt;0,$B99+VLOOKUP($C99,Dim_Fund!$A:$AI,35,0)/24,""),""))</f>
        <v/>
      </c>
      <c r="W99" s="37" t="str">
        <f aca="false">IF($A99="","",F99)</f>
        <v/>
      </c>
      <c r="X99" s="37" t="str">
        <f aca="false">IF($A99="","",IF(E99="Client",H99,G99))</f>
        <v/>
      </c>
      <c r="Y99" s="37" t="str">
        <f aca="false">IF($A99="","",I99)</f>
        <v/>
      </c>
      <c r="Z99" s="37" t="str">
        <f aca="false">IF($A99="","",IFERROR(W99-R99/1440,""))</f>
        <v/>
      </c>
      <c r="AA99" s="38" t="str">
        <f aca="false">IF($A99="","",IF(OR(U99="",V99=""),"",ROUND((V99-U99)*1440,0)))</f>
        <v/>
      </c>
      <c r="AB99" s="38" t="str">
        <f aca="false">IF($A99="","",IF(U99="","",ROUND((W99-U99)*1440,0)))</f>
        <v/>
      </c>
      <c r="AC99" s="38" t="str">
        <f aca="false">IF($A99="","",IF(AB99="","",MAX(0,AB99)))</f>
        <v/>
      </c>
      <c r="AD99" s="38" t="str">
        <f aca="false">IF($A99="","",IFERROR(ROUND((X99-W99)*1440,0),""))</f>
        <v/>
      </c>
      <c r="AE99" s="38" t="str">
        <f aca="false">IF($A99="","",IF(E99="Client","n/a",IFERROR(ROUND((H99-G99)*1440,0),"")))</f>
        <v/>
      </c>
      <c r="AF99" s="38" t="str">
        <f aca="false">IF($A99="","",IFERROR(ROUND((Y99-H99)*1440,0),""))</f>
        <v/>
      </c>
      <c r="AG99" s="38" t="str">
        <f aca="false">IF($A99="","",IFERROR(ROUND((H99-F99)*1440,0),""))</f>
        <v/>
      </c>
      <c r="AH99" s="38" t="str">
        <f aca="false">IF($A99="","",IFERROR(ROUND((Y99-V99)*1440,0),""))</f>
        <v/>
      </c>
      <c r="AI99" s="4" t="str">
        <f aca="false">IF($A99="","",IF(AH99="","",IF(AH99&gt;0,"Yes","No")))</f>
        <v/>
      </c>
      <c r="AJ99" s="4" t="str">
        <f aca="false">IF($A99="","",IF(AI99&lt;&gt;"Yes","On time",IF(N(AC99)&gt;=MAX(N(AF99),N(K99)),"Wait for analyst",IF(N(AF99)&gt;=N(K99),"External sign-off","Rework"))))</f>
        <v/>
      </c>
      <c r="AK99" s="4" t="str">
        <f aca="false">IF($A99="","",IF(OR(F99="",Y99="",ISNA(MATCH(L99,Dim_Analyst!$A:$A,0))),"CHECK","OK"))</f>
        <v/>
      </c>
      <c r="AL99" s="4" t="str">
        <f aca="false">IF($A99="","",IFERROR(VLOOKUP($C99,Dim_Fund!$A:$U,21,0),""))</f>
        <v/>
      </c>
      <c r="AM99" s="4" t="str">
        <f aca="false">IF($A99="","",IF($U99="","",IF($U99&gt;$B99+IFERROR(VLOOKUP($C99,Dim_Fund!$A:$AH,34,0),0)/24,"Yes","No")))</f>
        <v/>
      </c>
      <c r="AN99" s="22" t="str">
        <f aca="false">IF($A99="","",IFERROR(VLOOKUP($C99,Dim_Fund!$A:$AH,34,0),""))</f>
        <v/>
      </c>
      <c r="AO99" s="22" t="str">
        <f aca="false">IF($A99="","",IF($AL99="","",IFERROR(FLOOR(IF(COUNTIFS(Fact_Milestone!$A:$A,$B99,Fact_Milestone!$B:$B,$AL99,Fact_Milestone!$F:$F,"&gt;0")&gt;0,_xlfn.MINIFS(Fact_Milestone!$F:$F,Fact_Milestone!$A:$A,$B99,Fact_Milestone!$B:$B,$AL99,Fact_Milestone!$F:$F,"&gt;0"),VLOOKUP($AL99,Dim_TOP!$A:$E,5,0)),0.5),"")))</f>
        <v/>
      </c>
      <c r="AP99" s="22" t="str">
        <f aca="false">IF($A99="","",IF($U99="","",ROUND(($U99-INT($U99))*24,4)))</f>
        <v/>
      </c>
      <c r="AQ99" s="22" t="str">
        <f aca="false">IF($A99="","",IF($W99="","",ROUND(($W99-INT($W99))*24,4)))</f>
        <v/>
      </c>
      <c r="AR99" s="22" t="str">
        <f aca="false">IF($A99="","",IF($X99="","",ROUND(($X99-INT($X99))*24,4)))</f>
        <v/>
      </c>
      <c r="AS99" s="38" t="str">
        <f aca="false">IF($A99="","",IF(OR($AN99="",$V99="",$S99="",$T99=""),"",ROUND(($V99-($B99+$AN99/24))*1440-$S99-$T99,0)))</f>
        <v/>
      </c>
      <c r="AT99" s="38" t="str">
        <f aca="false">IF($A99="","",IF(OR($AN99="",$U99=""),"",ROUND(($U99-($B99+$AN99/24))*1440,0)))</f>
        <v/>
      </c>
      <c r="AU99" s="38" t="str">
        <f aca="false">IF($A99="","",IF(OR($AD99="",$S99=""),"",ROUND($AD99-$S99,0)))</f>
        <v/>
      </c>
      <c r="AV99" s="38" t="str">
        <f aca="false">IF($A99="","",N($AE99))</f>
        <v/>
      </c>
      <c r="AW99" s="38" t="str">
        <f aca="false">IF($A99="","",IF(OR($AF99="",$T99=""),"",$AF99-$T99))</f>
        <v/>
      </c>
      <c r="AX99" s="38" t="str">
        <f aca="false">IF($A99="","",IF(COUNT($AT99,$AB99,$AU99,$AW99,$AS99,$AH99)&lt;6,"",ROUND($AT99+$AB99+$AU99+$AV99+$AW99-$AS99-$AH99,0)))</f>
        <v/>
      </c>
      <c r="AY99" s="4" t="str">
        <f aca="false">IF($A99="","",IF($AX99="","No",IF(ABS($AX99)&lt;=2,"Yes","No")))</f>
        <v/>
      </c>
      <c r="AZ99" s="4" t="str">
        <f aca="false">IF($A99="","",IF($AI99&lt;&gt;"Yes","n/a",IF(OR($AA99="",$S99="",$T99=""),"Unknown",IF($AA99&lt;$S99+$T99,"Lost on arrival","Lost after arrival"))))</f>
        <v/>
      </c>
      <c r="BA99" s="10" t="str">
        <f aca="false">IF($A99="","",IFERROR(VLOOKUP($C99,Dim_Fund!$A:$D,4,0),""))</f>
        <v/>
      </c>
      <c r="BB99" s="10" t="str">
        <f aca="false">IF($A99="","",IF($AL99="","",IF(COUNTIFS(Fact_Milestone!$A:$A,$B99,Fact_Milestone!$B:$B,$AL99,Fact_Milestone!$I:$I,"No")&gt;0,"No",IF(COUNTIFS(Fact_Milestone!$A:$A,$B99,Fact_Milestone!$B:$B,$AL99,Fact_Milestone!$I:$I,"Yes")&gt;0,"Yes",""))))</f>
        <v/>
      </c>
      <c r="BC99" s="45" t="str">
        <f aca="false">IF($A99="","",IF(OR($L99="",$W99=""),"",IF(COUNTIFS($L:$L,$L99,$B:$B,$B99,$W:$W,"&lt;"&amp;$W99)=0,"",_xlfn.MAXIFS($W:$W,$L:$L,$L99,$B:$B,$B99,$W:$W,"&lt;"&amp;$W99))))</f>
        <v/>
      </c>
      <c r="BD99" s="39" t="str">
        <f aca="false">IF($A99="","",IF($AC99="","",IF(OR($L99="",$AC99=0),0,MIN($AC99,ROUND(ROUND(1440*SUMPRODUCT(($L$2:INDEX($L:$L,COUNTA($C:$C))=$L99)*($B$2:INDEX($B:$B,COUNTA($C:$C))=$B99)*(ROW($L$2:INDEX($L:$L,COUNTA($C:$C)))&lt;&gt;ROW())*((((($W99+$BT$2:INDEX($BT:$BT,COUNTA($C:$C))-ABS($W99-$BT$2:INDEX($BT:$BT,COUNTA($C:$C))))/2)-(($U99+$BS$2:INDEX($BS:$BS,COUNTA($C:$C))+ABS($U99-$BS$2:INDEX($BS:$BS,COUNTA($C:$C))))/2))+ABS(((($W99+$BT$2:INDEX($BT:$BT,COUNTA($C:$C))-ABS($W99-$BT$2:INDEX($BT:$BT,COUNTA($C:$C))))/2)-(($U99+$BS$2:INDEX($BS:$BS,COUNTA($C:$C))+ABS($U99-$BS$2:INDEX($BS:$BS,COUNTA($C:$C))))/2))))/2)),4),0)))))</f>
        <v/>
      </c>
      <c r="BE99" s="39" t="str">
        <f aca="false">IF($A99="","",IF($AC99="","",ROUND(MIN($AC99-$BD99,N($R99)),0)))</f>
        <v/>
      </c>
      <c r="BF99" s="10" t="str">
        <f aca="false">IF($A99="","",IFERROR(VLOOKUP($C99,Dim_Fund!$A:$BD,56,0),""))</f>
        <v/>
      </c>
      <c r="BG99" s="10" t="str">
        <f aca="false">IF($A99="","",IFERROR(VLOOKUP($C99,Dim_Fund!$A:$BH,60,0),""))</f>
        <v/>
      </c>
      <c r="BH99" s="10" t="str">
        <f aca="false">IF($A99="","",IF($AI99&lt;&gt;"Yes","Not breached",IF($AM99="Yes","Pricing late",IF($BG99="Thin custody slack","Thin custody slack",IF($BF99="Yes","Broker-dependent","None of these")))))</f>
        <v/>
      </c>
      <c r="BI99" s="23" t="str">
        <f aca="false">IF($A99="","",IFERROR(IF(VLOOKUP($C99,Dim_Fund!$A:$AI,35,0)&gt;0,VLOOKUP($C99,Dim_Fund!$A:$AI,35,0),""),""))</f>
        <v/>
      </c>
      <c r="BJ99" s="10" t="str">
        <f aca="false">IF($A99="","",$C99&amp;IF($E99="Client","*",""))</f>
        <v/>
      </c>
      <c r="BK99" s="39" t="str">
        <f aca="false">IF($A99="","",IFERROR(ROUND(($Y99-$X99)*1440,0),""))</f>
        <v/>
      </c>
      <c r="BL99" s="39" t="str">
        <f aca="false">IF($A99="","",IF($AH99="","",-$AH99))</f>
        <v/>
      </c>
      <c r="BM99" s="46" t="str">
        <f aca="false">IF($A99="","",IF($AQ99="","",IF($AP99="",$AQ99,MIN($AP99,$AQ99))))</f>
        <v/>
      </c>
      <c r="BN99" s="46" t="str">
        <f aca="false">IF($A99="","",IF($BM99="","",ROUND(N($AC99)/60,4)))</f>
        <v/>
      </c>
      <c r="BO99" s="46" t="str">
        <f aca="false">IF($A99="","",IF(OR($BM99="",$AD99=""),"",ROUND($AD99/60,4)))</f>
        <v/>
      </c>
      <c r="BP99" s="46" t="str">
        <f aca="false">IF($A99="","",IF($BM99="","",ROUND(N($AE99)/60,4)))</f>
        <v/>
      </c>
      <c r="BQ99" s="46" t="str">
        <f aca="false">IF($A99="","",IF(OR($BM99="",$AF99=""),"",ROUND($AF99/60,4)))</f>
        <v/>
      </c>
      <c r="BR99" s="39" t="str">
        <f aca="false">IF($A99="","",IF($AC99="","",$AC99-$BD99-$BE99))</f>
        <v/>
      </c>
      <c r="BS99" s="45" t="str">
        <f aca="false">IF($A99="","",IF(AND(ISNUMBER($Z99),ISNUMBER($W99)),$Z99,0))</f>
        <v/>
      </c>
      <c r="BT99" s="45" t="str">
        <f aca="false">IF($A99="","",IF(ISNUMBER($W99),$W99,0))</f>
        <v/>
      </c>
      <c r="BU99" s="23" t="str">
        <f aca="false">IF($A99="","",IF(ISNUMBER($W99),ROUND(($W99-$B99)*24,4),""))</f>
        <v/>
      </c>
      <c r="BV99" s="23" t="str">
        <f aca="false">IF($A99="","",IF(ISNUMBER($X99),ROUND(($X99-$B99)*24,4),""))</f>
        <v/>
      </c>
      <c r="BW99" s="10" t="str">
        <f aca="false">IF($A99="","",IF(NOT(ISNUMBER($W99)),"Missing Calculated",IF(NOT(ISNUMBER($X99)),IF($E99="Client","Missing FA signed off","Missing Controlled"),IF($X99&lt;$W99,"End before start","OK"))))</f>
        <v/>
      </c>
      <c r="BX99" s="23" t="str">
        <f aca="false">IF($A99="","",IF(NOT(ISNUMBER($Z99)),"",ROUND((IF(ISNUMBER($U99),MIN($U99,$Z99),$Z99)-$B99)*24,4)))</f>
        <v/>
      </c>
      <c r="BY99" s="23" t="str">
        <f aca="false">IF($A99="","",IF(ISNUMBER($Z99),ROUND(($Z99-$B99)*24,4),""))</f>
        <v/>
      </c>
      <c r="BZ99" s="23" t="str">
        <f aca="false">IF($A99="","",IF(AND(ISNUMBER($W99),ISNUMBER($S99)),ROUND(($W99+$S99/1440-$B99)*24,4),""))</f>
        <v/>
      </c>
    </row>
    <row r="100" customFormat="false" ht="15" hidden="false" customHeight="true" outlineLevel="0" collapsed="false">
      <c r="A100" s="47"/>
      <c r="B100" s="47"/>
      <c r="D100" s="4" t="str">
        <f aca="false">IF($A100="","",$B100-$A100)</f>
        <v/>
      </c>
      <c r="E100" s="4" t="str">
        <f aca="false">IF($A100="","",IFERROR(VLOOKUP($C100,Dim_Fund!$A:$X,24,0),""))</f>
        <v/>
      </c>
      <c r="F100" s="37" t="str">
        <f aca="false">IF($A100="","",IF(COUNTIFS(Status_Log!$A:$A,$A100,Status_Log!$B:$B,$B100,Status_Log!$C:$C,$C100,Status_Log!$D:$D,"Changed to the status of Calculated")=0,"",_xlfn.MINIFS(Status_Log!$E:$E,Status_Log!$A:$A,$A100,Status_Log!$B:$B,$B100,Status_Log!$C:$C,$C100,Status_Log!$D:$D,"Changed to the status of Calculated")))</f>
        <v/>
      </c>
      <c r="G100" s="37" t="str">
        <f aca="false">IF($A100="","",IF(COUNTIFS(Status_Log!$A:$A,$A100,Status_Log!$B:$B,$B100,Status_Log!$C:$C,$C100,Status_Log!$D:$D,"Changed to the status of Controlled")=0,"",_xlfn.MAXIFS(Status_Log!$E:$E,Status_Log!$A:$A,$A100,Status_Log!$B:$B,$B100,Status_Log!$C:$C,$C100,Status_Log!$D:$D,"Changed to the status of Controlled")))</f>
        <v/>
      </c>
      <c r="H100" s="37" t="str">
        <f aca="false">IF($A100="","",IF(COUNTIFS(Status_Log!$A:$A,$A100,Status_Log!$B:$B,$B100,Status_Log!$C:$C,$C100,Status_Log!$D:$D,"Changed to the status of Fund accounting signed off")=0,"",_xlfn.MAXIFS(Status_Log!$E:$E,Status_Log!$A:$A,$A100,Status_Log!$B:$B,$B100,Status_Log!$C:$C,$C100,Status_Log!$D:$D,"Changed to the status of Fund accounting signed off")))</f>
        <v/>
      </c>
      <c r="I100" s="37" t="str">
        <f aca="false">IF($A100="","",IF(COUNTIFS(Status_Log!$A:$A,$A100,Status_Log!$B:$B,$B100,Status_Log!$C:$C,$C100,Status_Log!$D:$D,"Changed to the status of signed off")=0,"",_xlfn.MAXIFS(Status_Log!$E:$E,Status_Log!$A:$A,$A100,Status_Log!$B:$B,$B100,Status_Log!$C:$C,$C100,Status_Log!$D:$D,"Changed to the status of signed off")))</f>
        <v/>
      </c>
      <c r="J100" s="4" t="str">
        <f aca="false">IF($A100="","",COUNTIFS(Status_Log!$A:$A,$A100,Status_Log!$B:$B,$B100,Status_Log!$C:$C,$C100,Status_Log!$D:$D,"Changed to the status of Calculated"))</f>
        <v/>
      </c>
      <c r="K100" s="38" t="str">
        <f aca="false">IF($A100="","",IF(J100&lt;=1,0,ROUND((_xlfn.MAXIFS(Status_Log!$E:$E,Status_Log!$A:$A,$A100,Status_Log!$B:$B,$B100,Status_Log!$C:$C,$C100,Status_Log!$D:$D,"Changed to the status of Calculated")-F100)*1440,0)))</f>
        <v/>
      </c>
      <c r="L100" s="4" t="str">
        <f aca="false">IF($A100="","",IFERROR(INDEX(Status_Log!$F:$F,MATCH($A100&amp;"|"&amp;$B100&amp;"|"&amp;$C100&amp;"|Changed to the status of Calculated|"&amp;TEXT(_xlfn.MAXIFS(Status_Log!$E:$E,Status_Log!$A:$A,$A100,Status_Log!$B:$B,$B100,Status_Log!$C:$C,$C100,Status_Log!$D:$D,"Changed to the status of Calculated"),"0.000000"),Status_Log!$H:$H,0)),""))</f>
        <v/>
      </c>
      <c r="M100" s="4" t="str">
        <f aca="false">IF($A100="","",IF(E100="Client","n/a — no control step",IFERROR(INDEX(Status_Log!$F:$F,MATCH($A100&amp;"|"&amp;$B100&amp;"|"&amp;$C100&amp;"|Changed to the status of Controlled|"&amp;TEXT(_xlfn.MAXIFS(Status_Log!$E:$E,Status_Log!$A:$A,$A100,Status_Log!$B:$B,$B100,Status_Log!$C:$C,$C100,Status_Log!$D:$D,"Changed to the status of Controlled"),"0.000000"),Status_Log!$H:$H,0)),"")))</f>
        <v/>
      </c>
      <c r="N100" s="4" t="str">
        <f aca="false">IF($A100="","",IFERROR(VLOOKUP($C100,Dim_Fund!$A:$G,7,0),""))</f>
        <v/>
      </c>
      <c r="O100" s="4" t="str">
        <f aca="false">IF($A100="","",IF(L100=N100,"No","Yes"))</f>
        <v/>
      </c>
      <c r="P100" s="4" t="str">
        <f aca="false">IF($A100="","",IF(E100="Client","n/a",IF(L100=M100,"YES — four-eyes breach","No")))</f>
        <v/>
      </c>
      <c r="Q100" s="38" t="str">
        <f aca="false">IF($A100="","",IFERROR(VLOOKUP($C100,Dim_Fund!$A:$AB,28,0),""))</f>
        <v/>
      </c>
      <c r="R100" s="38" t="str">
        <f aca="false">IF($A100="","",IFERROR(VLOOKUP($C100,Dim_Fund!$A:$AC,29,0),""))</f>
        <v/>
      </c>
      <c r="S100" s="38" t="str">
        <f aca="false">IF($A100="","",IFERROR(VLOOKUP($C100,Dim_Fund!$A:$AD,30,0),""))</f>
        <v/>
      </c>
      <c r="T100" s="38" t="str">
        <f aca="false">IF($A100="","",IFERROR(VLOOKUP($C100,Dim_Fund!$A:$AL,38,0),""))</f>
        <v/>
      </c>
      <c r="U100" s="37" t="str">
        <f aca="false">IF($A100="","",IF(AL100="","",IFERROR(IF(COUNTIFS(Fact_Milestone!$A:$A,$B100,Fact_Milestone!$B:$B,AL100)=0,"",_xlfn.MAXIFS(Fact_Milestone!$C:$C,Fact_Milestone!$A:$A,$B100,Fact_Milestone!$B:$B,AL100)),"")))</f>
        <v/>
      </c>
      <c r="V100" s="37" t="str">
        <f aca="false">IF($A100="","",IFERROR(IF(VLOOKUP($C100,Dim_Fund!$A:$AI,35,0)&gt;0,$B100+VLOOKUP($C100,Dim_Fund!$A:$AI,35,0)/24,""),""))</f>
        <v/>
      </c>
      <c r="W100" s="37" t="str">
        <f aca="false">IF($A100="","",F100)</f>
        <v/>
      </c>
      <c r="X100" s="37" t="str">
        <f aca="false">IF($A100="","",IF(E100="Client",H100,G100))</f>
        <v/>
      </c>
      <c r="Y100" s="37" t="str">
        <f aca="false">IF($A100="","",I100)</f>
        <v/>
      </c>
      <c r="Z100" s="37" t="str">
        <f aca="false">IF($A100="","",IFERROR(W100-R100/1440,""))</f>
        <v/>
      </c>
      <c r="AA100" s="38" t="str">
        <f aca="false">IF($A100="","",IF(OR(U100="",V100=""),"",ROUND((V100-U100)*1440,0)))</f>
        <v/>
      </c>
      <c r="AB100" s="38" t="str">
        <f aca="false">IF($A100="","",IF(U100="","",ROUND((W100-U100)*1440,0)))</f>
        <v/>
      </c>
      <c r="AC100" s="38" t="str">
        <f aca="false">IF($A100="","",IF(AB100="","",MAX(0,AB100)))</f>
        <v/>
      </c>
      <c r="AD100" s="38" t="str">
        <f aca="false">IF($A100="","",IFERROR(ROUND((X100-W100)*1440,0),""))</f>
        <v/>
      </c>
      <c r="AE100" s="38" t="str">
        <f aca="false">IF($A100="","",IF(E100="Client","n/a",IFERROR(ROUND((H100-G100)*1440,0),"")))</f>
        <v/>
      </c>
      <c r="AF100" s="38" t="str">
        <f aca="false">IF($A100="","",IFERROR(ROUND((Y100-H100)*1440,0),""))</f>
        <v/>
      </c>
      <c r="AG100" s="38" t="str">
        <f aca="false">IF($A100="","",IFERROR(ROUND((H100-F100)*1440,0),""))</f>
        <v/>
      </c>
      <c r="AH100" s="38" t="str">
        <f aca="false">IF($A100="","",IFERROR(ROUND((Y100-V100)*1440,0),""))</f>
        <v/>
      </c>
      <c r="AI100" s="4" t="str">
        <f aca="false">IF($A100="","",IF(AH100="","",IF(AH100&gt;0,"Yes","No")))</f>
        <v/>
      </c>
      <c r="AJ100" s="4" t="str">
        <f aca="false">IF($A100="","",IF(AI100&lt;&gt;"Yes","On time",IF(N(AC100)&gt;=MAX(N(AF100),N(K100)),"Wait for analyst",IF(N(AF100)&gt;=N(K100),"External sign-off","Rework"))))</f>
        <v/>
      </c>
      <c r="AK100" s="4" t="str">
        <f aca="false">IF($A100="","",IF(OR(F100="",Y100="",ISNA(MATCH(L100,Dim_Analyst!$A:$A,0))),"CHECK","OK"))</f>
        <v/>
      </c>
      <c r="AL100" s="4" t="str">
        <f aca="false">IF($A100="","",IFERROR(VLOOKUP($C100,Dim_Fund!$A:$U,21,0),""))</f>
        <v/>
      </c>
      <c r="AM100" s="4" t="str">
        <f aca="false">IF($A100="","",IF($U100="","",IF($U100&gt;$B100+IFERROR(VLOOKUP($C100,Dim_Fund!$A:$AH,34,0),0)/24,"Yes","No")))</f>
        <v/>
      </c>
      <c r="AN100" s="22" t="str">
        <f aca="false">IF($A100="","",IFERROR(VLOOKUP($C100,Dim_Fund!$A:$AH,34,0),""))</f>
        <v/>
      </c>
      <c r="AO100" s="22" t="str">
        <f aca="false">IF($A100="","",IF($AL100="","",IFERROR(FLOOR(IF(COUNTIFS(Fact_Milestone!$A:$A,$B100,Fact_Milestone!$B:$B,$AL100,Fact_Milestone!$F:$F,"&gt;0")&gt;0,_xlfn.MINIFS(Fact_Milestone!$F:$F,Fact_Milestone!$A:$A,$B100,Fact_Milestone!$B:$B,$AL100,Fact_Milestone!$F:$F,"&gt;0"),VLOOKUP($AL100,Dim_TOP!$A:$E,5,0)),0.5),"")))</f>
        <v/>
      </c>
      <c r="AP100" s="22" t="str">
        <f aca="false">IF($A100="","",IF($U100="","",ROUND(($U100-INT($U100))*24,4)))</f>
        <v/>
      </c>
      <c r="AQ100" s="22" t="str">
        <f aca="false">IF($A100="","",IF($W100="","",ROUND(($W100-INT($W100))*24,4)))</f>
        <v/>
      </c>
      <c r="AR100" s="22" t="str">
        <f aca="false">IF($A100="","",IF($X100="","",ROUND(($X100-INT($X100))*24,4)))</f>
        <v/>
      </c>
      <c r="AS100" s="38" t="str">
        <f aca="false">IF($A100="","",IF(OR($AN100="",$V100="",$S100="",$T100=""),"",ROUND(($V100-($B100+$AN100/24))*1440-$S100-$T100,0)))</f>
        <v/>
      </c>
      <c r="AT100" s="38" t="str">
        <f aca="false">IF($A100="","",IF(OR($AN100="",$U100=""),"",ROUND(($U100-($B100+$AN100/24))*1440,0)))</f>
        <v/>
      </c>
      <c r="AU100" s="38" t="str">
        <f aca="false">IF($A100="","",IF(OR($AD100="",$S100=""),"",ROUND($AD100-$S100,0)))</f>
        <v/>
      </c>
      <c r="AV100" s="38" t="str">
        <f aca="false">IF($A100="","",N($AE100))</f>
        <v/>
      </c>
      <c r="AW100" s="38" t="str">
        <f aca="false">IF($A100="","",IF(OR($AF100="",$T100=""),"",$AF100-$T100))</f>
        <v/>
      </c>
      <c r="AX100" s="38" t="str">
        <f aca="false">IF($A100="","",IF(COUNT($AT100,$AB100,$AU100,$AW100,$AS100,$AH100)&lt;6,"",ROUND($AT100+$AB100+$AU100+$AV100+$AW100-$AS100-$AH100,0)))</f>
        <v/>
      </c>
      <c r="AY100" s="4" t="str">
        <f aca="false">IF($A100="","",IF($AX100="","No",IF(ABS($AX100)&lt;=2,"Yes","No")))</f>
        <v/>
      </c>
      <c r="AZ100" s="4" t="str">
        <f aca="false">IF($A100="","",IF($AI100&lt;&gt;"Yes","n/a",IF(OR($AA100="",$S100="",$T100=""),"Unknown",IF($AA100&lt;$S100+$T100,"Lost on arrival","Lost after arrival"))))</f>
        <v/>
      </c>
      <c r="BA100" s="10" t="str">
        <f aca="false">IF($A100="","",IFERROR(VLOOKUP($C100,Dim_Fund!$A:$D,4,0),""))</f>
        <v/>
      </c>
      <c r="BB100" s="10" t="str">
        <f aca="false">IF($A100="","",IF($AL100="","",IF(COUNTIFS(Fact_Milestone!$A:$A,$B100,Fact_Milestone!$B:$B,$AL100,Fact_Milestone!$I:$I,"No")&gt;0,"No",IF(COUNTIFS(Fact_Milestone!$A:$A,$B100,Fact_Milestone!$B:$B,$AL100,Fact_Milestone!$I:$I,"Yes")&gt;0,"Yes",""))))</f>
        <v/>
      </c>
      <c r="BC100" s="45" t="str">
        <f aca="false">IF($A100="","",IF(OR($L100="",$W100=""),"",IF(COUNTIFS($L:$L,$L100,$B:$B,$B100,$W:$W,"&lt;"&amp;$W100)=0,"",_xlfn.MAXIFS($W:$W,$L:$L,$L100,$B:$B,$B100,$W:$W,"&lt;"&amp;$W100))))</f>
        <v/>
      </c>
      <c r="BD100" s="39" t="str">
        <f aca="false">IF($A100="","",IF($AC100="","",IF(OR($L100="",$AC100=0),0,MIN($AC100,ROUND(ROUND(1440*SUMPRODUCT(($L$2:INDEX($L:$L,COUNTA($C:$C))=$L100)*($B$2:INDEX($B:$B,COUNTA($C:$C))=$B100)*(ROW($L$2:INDEX($L:$L,COUNTA($C:$C)))&lt;&gt;ROW())*((((($W100+$BT$2:INDEX($BT:$BT,COUNTA($C:$C))-ABS($W100-$BT$2:INDEX($BT:$BT,COUNTA($C:$C))))/2)-(($U100+$BS$2:INDEX($BS:$BS,COUNTA($C:$C))+ABS($U100-$BS$2:INDEX($BS:$BS,COUNTA($C:$C))))/2))+ABS(((($W100+$BT$2:INDEX($BT:$BT,COUNTA($C:$C))-ABS($W100-$BT$2:INDEX($BT:$BT,COUNTA($C:$C))))/2)-(($U100+$BS$2:INDEX($BS:$BS,COUNTA($C:$C))+ABS($U100-$BS$2:INDEX($BS:$BS,COUNTA($C:$C))))/2))))/2)),4),0)))))</f>
        <v/>
      </c>
      <c r="BE100" s="39" t="str">
        <f aca="false">IF($A100="","",IF($AC100="","",ROUND(MIN($AC100-$BD100,N($R100)),0)))</f>
        <v/>
      </c>
      <c r="BF100" s="10" t="str">
        <f aca="false">IF($A100="","",IFERROR(VLOOKUP($C100,Dim_Fund!$A:$BD,56,0),""))</f>
        <v/>
      </c>
      <c r="BG100" s="10" t="str">
        <f aca="false">IF($A100="","",IFERROR(VLOOKUP($C100,Dim_Fund!$A:$BH,60,0),""))</f>
        <v/>
      </c>
      <c r="BH100" s="10" t="str">
        <f aca="false">IF($A100="","",IF($AI100&lt;&gt;"Yes","Not breached",IF($AM100="Yes","Pricing late",IF($BG100="Thin custody slack","Thin custody slack",IF($BF100="Yes","Broker-dependent","None of these")))))</f>
        <v/>
      </c>
      <c r="BI100" s="23" t="str">
        <f aca="false">IF($A100="","",IFERROR(IF(VLOOKUP($C100,Dim_Fund!$A:$AI,35,0)&gt;0,VLOOKUP($C100,Dim_Fund!$A:$AI,35,0),""),""))</f>
        <v/>
      </c>
      <c r="BJ100" s="10" t="str">
        <f aca="false">IF($A100="","",$C100&amp;IF($E100="Client","*",""))</f>
        <v/>
      </c>
      <c r="BK100" s="39" t="str">
        <f aca="false">IF($A100="","",IFERROR(ROUND(($Y100-$X100)*1440,0),""))</f>
        <v/>
      </c>
      <c r="BL100" s="39" t="str">
        <f aca="false">IF($A100="","",IF($AH100="","",-$AH100))</f>
        <v/>
      </c>
      <c r="BM100" s="46" t="str">
        <f aca="false">IF($A100="","",IF($AQ100="","",IF($AP100="",$AQ100,MIN($AP100,$AQ100))))</f>
        <v/>
      </c>
      <c r="BN100" s="46" t="str">
        <f aca="false">IF($A100="","",IF($BM100="","",ROUND(N($AC100)/60,4)))</f>
        <v/>
      </c>
      <c r="BO100" s="46" t="str">
        <f aca="false">IF($A100="","",IF(OR($BM100="",$AD100=""),"",ROUND($AD100/60,4)))</f>
        <v/>
      </c>
      <c r="BP100" s="46" t="str">
        <f aca="false">IF($A100="","",IF($BM100="","",ROUND(N($AE100)/60,4)))</f>
        <v/>
      </c>
      <c r="BQ100" s="46" t="str">
        <f aca="false">IF($A100="","",IF(OR($BM100="",$AF100=""),"",ROUND($AF100/60,4)))</f>
        <v/>
      </c>
      <c r="BR100" s="39" t="str">
        <f aca="false">IF($A100="","",IF($AC100="","",$AC100-$BD100-$BE100))</f>
        <v/>
      </c>
      <c r="BS100" s="45" t="str">
        <f aca="false">IF($A100="","",IF(AND(ISNUMBER($Z100),ISNUMBER($W100)),$Z100,0))</f>
        <v/>
      </c>
      <c r="BT100" s="45" t="str">
        <f aca="false">IF($A100="","",IF(ISNUMBER($W100),$W100,0))</f>
        <v/>
      </c>
      <c r="BU100" s="23" t="str">
        <f aca="false">IF($A100="","",IF(ISNUMBER($W100),ROUND(($W100-$B100)*24,4),""))</f>
        <v/>
      </c>
      <c r="BV100" s="23" t="str">
        <f aca="false">IF($A100="","",IF(ISNUMBER($X100),ROUND(($X100-$B100)*24,4),""))</f>
        <v/>
      </c>
      <c r="BW100" s="10" t="str">
        <f aca="false">IF($A100="","",IF(NOT(ISNUMBER($W100)),"Missing Calculated",IF(NOT(ISNUMBER($X100)),IF($E100="Client","Missing FA signed off","Missing Controlled"),IF($X100&lt;$W100,"End before start","OK"))))</f>
        <v/>
      </c>
      <c r="BX100" s="23" t="str">
        <f aca="false">IF($A100="","",IF(NOT(ISNUMBER($Z100)),"",ROUND((IF(ISNUMBER($U100),MIN($U100,$Z100),$Z100)-$B100)*24,4)))</f>
        <v/>
      </c>
      <c r="BY100" s="23" t="str">
        <f aca="false">IF($A100="","",IF(ISNUMBER($Z100),ROUND(($Z100-$B100)*24,4),""))</f>
        <v/>
      </c>
      <c r="BZ100" s="23" t="str">
        <f aca="false">IF($A100="","",IF(AND(ISNUMBER($W100),ISNUMBER($S100)),ROUND(($W100+$S100/1440-$B100)*24,4),""))</f>
        <v/>
      </c>
    </row>
    <row r="101" customFormat="false" ht="15" hidden="false" customHeight="true" outlineLevel="0" collapsed="false">
      <c r="A101" s="47"/>
      <c r="B101" s="47"/>
      <c r="D101" s="4" t="str">
        <f aca="false">IF($A101="","",$B101-$A101)</f>
        <v/>
      </c>
      <c r="E101" s="4" t="str">
        <f aca="false">IF($A101="","",IFERROR(VLOOKUP($C101,Dim_Fund!$A:$X,24,0),""))</f>
        <v/>
      </c>
      <c r="F101" s="37" t="str">
        <f aca="false">IF($A101="","",IF(COUNTIFS(Status_Log!$A:$A,$A101,Status_Log!$B:$B,$B101,Status_Log!$C:$C,$C101,Status_Log!$D:$D,"Changed to the status of Calculated")=0,"",_xlfn.MINIFS(Status_Log!$E:$E,Status_Log!$A:$A,$A101,Status_Log!$B:$B,$B101,Status_Log!$C:$C,$C101,Status_Log!$D:$D,"Changed to the status of Calculated")))</f>
        <v/>
      </c>
      <c r="G101" s="37" t="str">
        <f aca="false">IF($A101="","",IF(COUNTIFS(Status_Log!$A:$A,$A101,Status_Log!$B:$B,$B101,Status_Log!$C:$C,$C101,Status_Log!$D:$D,"Changed to the status of Controlled")=0,"",_xlfn.MAXIFS(Status_Log!$E:$E,Status_Log!$A:$A,$A101,Status_Log!$B:$B,$B101,Status_Log!$C:$C,$C101,Status_Log!$D:$D,"Changed to the status of Controlled")))</f>
        <v/>
      </c>
      <c r="H101" s="37" t="str">
        <f aca="false">IF($A101="","",IF(COUNTIFS(Status_Log!$A:$A,$A101,Status_Log!$B:$B,$B101,Status_Log!$C:$C,$C101,Status_Log!$D:$D,"Changed to the status of Fund accounting signed off")=0,"",_xlfn.MAXIFS(Status_Log!$E:$E,Status_Log!$A:$A,$A101,Status_Log!$B:$B,$B101,Status_Log!$C:$C,$C101,Status_Log!$D:$D,"Changed to the status of Fund accounting signed off")))</f>
        <v/>
      </c>
      <c r="I101" s="37" t="str">
        <f aca="false">IF($A101="","",IF(COUNTIFS(Status_Log!$A:$A,$A101,Status_Log!$B:$B,$B101,Status_Log!$C:$C,$C101,Status_Log!$D:$D,"Changed to the status of signed off")=0,"",_xlfn.MAXIFS(Status_Log!$E:$E,Status_Log!$A:$A,$A101,Status_Log!$B:$B,$B101,Status_Log!$C:$C,$C101,Status_Log!$D:$D,"Changed to the status of signed off")))</f>
        <v/>
      </c>
      <c r="J101" s="4" t="str">
        <f aca="false">IF($A101="","",COUNTIFS(Status_Log!$A:$A,$A101,Status_Log!$B:$B,$B101,Status_Log!$C:$C,$C101,Status_Log!$D:$D,"Changed to the status of Calculated"))</f>
        <v/>
      </c>
      <c r="K101" s="38" t="str">
        <f aca="false">IF($A101="","",IF(J101&lt;=1,0,ROUND((_xlfn.MAXIFS(Status_Log!$E:$E,Status_Log!$A:$A,$A101,Status_Log!$B:$B,$B101,Status_Log!$C:$C,$C101,Status_Log!$D:$D,"Changed to the status of Calculated")-F101)*1440,0)))</f>
        <v/>
      </c>
      <c r="L101" s="4" t="str">
        <f aca="false">IF($A101="","",IFERROR(INDEX(Status_Log!$F:$F,MATCH($A101&amp;"|"&amp;$B101&amp;"|"&amp;$C101&amp;"|Changed to the status of Calculated|"&amp;TEXT(_xlfn.MAXIFS(Status_Log!$E:$E,Status_Log!$A:$A,$A101,Status_Log!$B:$B,$B101,Status_Log!$C:$C,$C101,Status_Log!$D:$D,"Changed to the status of Calculated"),"0.000000"),Status_Log!$H:$H,0)),""))</f>
        <v/>
      </c>
      <c r="M101" s="4" t="str">
        <f aca="false">IF($A101="","",IF(E101="Client","n/a — no control step",IFERROR(INDEX(Status_Log!$F:$F,MATCH($A101&amp;"|"&amp;$B101&amp;"|"&amp;$C101&amp;"|Changed to the status of Controlled|"&amp;TEXT(_xlfn.MAXIFS(Status_Log!$E:$E,Status_Log!$A:$A,$A101,Status_Log!$B:$B,$B101,Status_Log!$C:$C,$C101,Status_Log!$D:$D,"Changed to the status of Controlled"),"0.000000"),Status_Log!$H:$H,0)),"")))</f>
        <v/>
      </c>
      <c r="N101" s="4" t="str">
        <f aca="false">IF($A101="","",IFERROR(VLOOKUP($C101,Dim_Fund!$A:$G,7,0),""))</f>
        <v/>
      </c>
      <c r="O101" s="4" t="str">
        <f aca="false">IF($A101="","",IF(L101=N101,"No","Yes"))</f>
        <v/>
      </c>
      <c r="P101" s="4" t="str">
        <f aca="false">IF($A101="","",IF(E101="Client","n/a",IF(L101=M101,"YES — four-eyes breach","No")))</f>
        <v/>
      </c>
      <c r="Q101" s="38" t="str">
        <f aca="false">IF($A101="","",IFERROR(VLOOKUP($C101,Dim_Fund!$A:$AB,28,0),""))</f>
        <v/>
      </c>
      <c r="R101" s="38" t="str">
        <f aca="false">IF($A101="","",IFERROR(VLOOKUP($C101,Dim_Fund!$A:$AC,29,0),""))</f>
        <v/>
      </c>
      <c r="S101" s="38" t="str">
        <f aca="false">IF($A101="","",IFERROR(VLOOKUP($C101,Dim_Fund!$A:$AD,30,0),""))</f>
        <v/>
      </c>
      <c r="T101" s="38" t="str">
        <f aca="false">IF($A101="","",IFERROR(VLOOKUP($C101,Dim_Fund!$A:$AL,38,0),""))</f>
        <v/>
      </c>
      <c r="U101" s="37" t="str">
        <f aca="false">IF($A101="","",IF(AL101="","",IFERROR(IF(COUNTIFS(Fact_Milestone!$A:$A,$B101,Fact_Milestone!$B:$B,AL101)=0,"",_xlfn.MAXIFS(Fact_Milestone!$C:$C,Fact_Milestone!$A:$A,$B101,Fact_Milestone!$B:$B,AL101)),"")))</f>
        <v/>
      </c>
      <c r="V101" s="37" t="str">
        <f aca="false">IF($A101="","",IFERROR(IF(VLOOKUP($C101,Dim_Fund!$A:$AI,35,0)&gt;0,$B101+VLOOKUP($C101,Dim_Fund!$A:$AI,35,0)/24,""),""))</f>
        <v/>
      </c>
      <c r="W101" s="37" t="str">
        <f aca="false">IF($A101="","",F101)</f>
        <v/>
      </c>
      <c r="X101" s="37" t="str">
        <f aca="false">IF($A101="","",IF(E101="Client",H101,G101))</f>
        <v/>
      </c>
      <c r="Y101" s="37" t="str">
        <f aca="false">IF($A101="","",I101)</f>
        <v/>
      </c>
      <c r="Z101" s="37" t="str">
        <f aca="false">IF($A101="","",IFERROR(W101-R101/1440,""))</f>
        <v/>
      </c>
      <c r="AA101" s="38" t="str">
        <f aca="false">IF($A101="","",IF(OR(U101="",V101=""),"",ROUND((V101-U101)*1440,0)))</f>
        <v/>
      </c>
      <c r="AB101" s="38" t="str">
        <f aca="false">IF($A101="","",IF(U101="","",ROUND((W101-U101)*1440,0)))</f>
        <v/>
      </c>
      <c r="AC101" s="38" t="str">
        <f aca="false">IF($A101="","",IF(AB101="","",MAX(0,AB101)))</f>
        <v/>
      </c>
      <c r="AD101" s="38" t="str">
        <f aca="false">IF($A101="","",IFERROR(ROUND((X101-W101)*1440,0),""))</f>
        <v/>
      </c>
      <c r="AE101" s="38" t="str">
        <f aca="false">IF($A101="","",IF(E101="Client","n/a",IFERROR(ROUND((H101-G101)*1440,0),"")))</f>
        <v/>
      </c>
      <c r="AF101" s="38" t="str">
        <f aca="false">IF($A101="","",IFERROR(ROUND((Y101-H101)*1440,0),""))</f>
        <v/>
      </c>
      <c r="AG101" s="38" t="str">
        <f aca="false">IF($A101="","",IFERROR(ROUND((H101-F101)*1440,0),""))</f>
        <v/>
      </c>
      <c r="AH101" s="38" t="str">
        <f aca="false">IF($A101="","",IFERROR(ROUND((Y101-V101)*1440,0),""))</f>
        <v/>
      </c>
      <c r="AI101" s="4" t="str">
        <f aca="false">IF($A101="","",IF(AH101="","",IF(AH101&gt;0,"Yes","No")))</f>
        <v/>
      </c>
      <c r="AJ101" s="4" t="str">
        <f aca="false">IF($A101="","",IF(AI101&lt;&gt;"Yes","On time",IF(N(AC101)&gt;=MAX(N(AF101),N(K101)),"Wait for analyst",IF(N(AF101)&gt;=N(K101),"External sign-off","Rework"))))</f>
        <v/>
      </c>
      <c r="AK101" s="4" t="str">
        <f aca="false">IF($A101="","",IF(OR(F101="",Y101="",ISNA(MATCH(L101,Dim_Analyst!$A:$A,0))),"CHECK","OK"))</f>
        <v/>
      </c>
      <c r="AL101" s="4" t="str">
        <f aca="false">IF($A101="","",IFERROR(VLOOKUP($C101,Dim_Fund!$A:$U,21,0),""))</f>
        <v/>
      </c>
      <c r="AM101" s="4" t="str">
        <f aca="false">IF($A101="","",IF($U101="","",IF($U101&gt;$B101+IFERROR(VLOOKUP($C101,Dim_Fund!$A:$AH,34,0),0)/24,"Yes","No")))</f>
        <v/>
      </c>
      <c r="AN101" s="22" t="str">
        <f aca="false">IF($A101="","",IFERROR(VLOOKUP($C101,Dim_Fund!$A:$AH,34,0),""))</f>
        <v/>
      </c>
      <c r="AO101" s="22" t="str">
        <f aca="false">IF($A101="","",IF($AL101="","",IFERROR(FLOOR(IF(COUNTIFS(Fact_Milestone!$A:$A,$B101,Fact_Milestone!$B:$B,$AL101,Fact_Milestone!$F:$F,"&gt;0")&gt;0,_xlfn.MINIFS(Fact_Milestone!$F:$F,Fact_Milestone!$A:$A,$B101,Fact_Milestone!$B:$B,$AL101,Fact_Milestone!$F:$F,"&gt;0"),VLOOKUP($AL101,Dim_TOP!$A:$E,5,0)),0.5),"")))</f>
        <v/>
      </c>
      <c r="AP101" s="22" t="str">
        <f aca="false">IF($A101="","",IF($U101="","",ROUND(($U101-INT($U101))*24,4)))</f>
        <v/>
      </c>
      <c r="AQ101" s="22" t="str">
        <f aca="false">IF($A101="","",IF($W101="","",ROUND(($W101-INT($W101))*24,4)))</f>
        <v/>
      </c>
      <c r="AR101" s="22" t="str">
        <f aca="false">IF($A101="","",IF($X101="","",ROUND(($X101-INT($X101))*24,4)))</f>
        <v/>
      </c>
      <c r="AS101" s="38" t="str">
        <f aca="false">IF($A101="","",IF(OR($AN101="",$V101="",$S101="",$T101=""),"",ROUND(($V101-($B101+$AN101/24))*1440-$S101-$T101,0)))</f>
        <v/>
      </c>
      <c r="AT101" s="38" t="str">
        <f aca="false">IF($A101="","",IF(OR($AN101="",$U101=""),"",ROUND(($U101-($B101+$AN101/24))*1440,0)))</f>
        <v/>
      </c>
      <c r="AU101" s="38" t="str">
        <f aca="false">IF($A101="","",IF(OR($AD101="",$S101=""),"",ROUND($AD101-$S101,0)))</f>
        <v/>
      </c>
      <c r="AV101" s="38" t="str">
        <f aca="false">IF($A101="","",N($AE101))</f>
        <v/>
      </c>
      <c r="AW101" s="38" t="str">
        <f aca="false">IF($A101="","",IF(OR($AF101="",$T101=""),"",$AF101-$T101))</f>
        <v/>
      </c>
      <c r="AX101" s="38" t="str">
        <f aca="false">IF($A101="","",IF(COUNT($AT101,$AB101,$AU101,$AW101,$AS101,$AH101)&lt;6,"",ROUND($AT101+$AB101+$AU101+$AV101+$AW101-$AS101-$AH101,0)))</f>
        <v/>
      </c>
      <c r="AY101" s="4" t="str">
        <f aca="false">IF($A101="","",IF($AX101="","No",IF(ABS($AX101)&lt;=2,"Yes","No")))</f>
        <v/>
      </c>
      <c r="AZ101" s="4" t="str">
        <f aca="false">IF($A101="","",IF($AI101&lt;&gt;"Yes","n/a",IF(OR($AA101="",$S101="",$T101=""),"Unknown",IF($AA101&lt;$S101+$T101,"Lost on arrival","Lost after arrival"))))</f>
        <v/>
      </c>
      <c r="BA101" s="10" t="str">
        <f aca="false">IF($A101="","",IFERROR(VLOOKUP($C101,Dim_Fund!$A:$D,4,0),""))</f>
        <v/>
      </c>
      <c r="BB101" s="10" t="str">
        <f aca="false">IF($A101="","",IF($AL101="","",IF(COUNTIFS(Fact_Milestone!$A:$A,$B101,Fact_Milestone!$B:$B,$AL101,Fact_Milestone!$I:$I,"No")&gt;0,"No",IF(COUNTIFS(Fact_Milestone!$A:$A,$B101,Fact_Milestone!$B:$B,$AL101,Fact_Milestone!$I:$I,"Yes")&gt;0,"Yes",""))))</f>
        <v/>
      </c>
      <c r="BC101" s="45" t="str">
        <f aca="false">IF($A101="","",IF(OR($L101="",$W101=""),"",IF(COUNTIFS($L:$L,$L101,$B:$B,$B101,$W:$W,"&lt;"&amp;$W101)=0,"",_xlfn.MAXIFS($W:$W,$L:$L,$L101,$B:$B,$B101,$W:$W,"&lt;"&amp;$W101))))</f>
        <v/>
      </c>
      <c r="BD101" s="39" t="str">
        <f aca="false">IF($A101="","",IF($AC101="","",IF(OR($L101="",$AC101=0),0,MIN($AC101,ROUND(ROUND(1440*SUMPRODUCT(($L$2:INDEX($L:$L,COUNTA($C:$C))=$L101)*($B$2:INDEX($B:$B,COUNTA($C:$C))=$B101)*(ROW($L$2:INDEX($L:$L,COUNTA($C:$C)))&lt;&gt;ROW())*((((($W101+$BT$2:INDEX($BT:$BT,COUNTA($C:$C))-ABS($W101-$BT$2:INDEX($BT:$BT,COUNTA($C:$C))))/2)-(($U101+$BS$2:INDEX($BS:$BS,COUNTA($C:$C))+ABS($U101-$BS$2:INDEX($BS:$BS,COUNTA($C:$C))))/2))+ABS(((($W101+$BT$2:INDEX($BT:$BT,COUNTA($C:$C))-ABS($W101-$BT$2:INDEX($BT:$BT,COUNTA($C:$C))))/2)-(($U101+$BS$2:INDEX($BS:$BS,COUNTA($C:$C))+ABS($U101-$BS$2:INDEX($BS:$BS,COUNTA($C:$C))))/2))))/2)),4),0)))))</f>
        <v/>
      </c>
      <c r="BE101" s="39" t="str">
        <f aca="false">IF($A101="","",IF($AC101="","",ROUND(MIN($AC101-$BD101,N($R101)),0)))</f>
        <v/>
      </c>
      <c r="BF101" s="10" t="str">
        <f aca="false">IF($A101="","",IFERROR(VLOOKUP($C101,Dim_Fund!$A:$BD,56,0),""))</f>
        <v/>
      </c>
      <c r="BG101" s="10" t="str">
        <f aca="false">IF($A101="","",IFERROR(VLOOKUP($C101,Dim_Fund!$A:$BH,60,0),""))</f>
        <v/>
      </c>
      <c r="BH101" s="10" t="str">
        <f aca="false">IF($A101="","",IF($AI101&lt;&gt;"Yes","Not breached",IF($AM101="Yes","Pricing late",IF($BG101="Thin custody slack","Thin custody slack",IF($BF101="Yes","Broker-dependent","None of these")))))</f>
        <v/>
      </c>
      <c r="BI101" s="23" t="str">
        <f aca="false">IF($A101="","",IFERROR(IF(VLOOKUP($C101,Dim_Fund!$A:$AI,35,0)&gt;0,VLOOKUP($C101,Dim_Fund!$A:$AI,35,0),""),""))</f>
        <v/>
      </c>
      <c r="BJ101" s="10" t="str">
        <f aca="false">IF($A101="","",$C101&amp;IF($E101="Client","*",""))</f>
        <v/>
      </c>
      <c r="BK101" s="39" t="str">
        <f aca="false">IF($A101="","",IFERROR(ROUND(($Y101-$X101)*1440,0),""))</f>
        <v/>
      </c>
      <c r="BL101" s="39" t="str">
        <f aca="false">IF($A101="","",IF($AH101="","",-$AH101))</f>
        <v/>
      </c>
      <c r="BM101" s="46" t="str">
        <f aca="false">IF($A101="","",IF($AQ101="","",IF($AP101="",$AQ101,MIN($AP101,$AQ101))))</f>
        <v/>
      </c>
      <c r="BN101" s="46" t="str">
        <f aca="false">IF($A101="","",IF($BM101="","",ROUND(N($AC101)/60,4)))</f>
        <v/>
      </c>
      <c r="BO101" s="46" t="str">
        <f aca="false">IF($A101="","",IF(OR($BM101="",$AD101=""),"",ROUND($AD101/60,4)))</f>
        <v/>
      </c>
      <c r="BP101" s="46" t="str">
        <f aca="false">IF($A101="","",IF($BM101="","",ROUND(N($AE101)/60,4)))</f>
        <v/>
      </c>
      <c r="BQ101" s="46" t="str">
        <f aca="false">IF($A101="","",IF(OR($BM101="",$AF101=""),"",ROUND($AF101/60,4)))</f>
        <v/>
      </c>
      <c r="BR101" s="39" t="str">
        <f aca="false">IF($A101="","",IF($AC101="","",$AC101-$BD101-$BE101))</f>
        <v/>
      </c>
      <c r="BS101" s="45" t="str">
        <f aca="false">IF($A101="","",IF(AND(ISNUMBER($Z101),ISNUMBER($W101)),$Z101,0))</f>
        <v/>
      </c>
      <c r="BT101" s="45" t="str">
        <f aca="false">IF($A101="","",IF(ISNUMBER($W101),$W101,0))</f>
        <v/>
      </c>
      <c r="BU101" s="23" t="str">
        <f aca="false">IF($A101="","",IF(ISNUMBER($W101),ROUND(($W101-$B101)*24,4),""))</f>
        <v/>
      </c>
      <c r="BV101" s="23" t="str">
        <f aca="false">IF($A101="","",IF(ISNUMBER($X101),ROUND(($X101-$B101)*24,4),""))</f>
        <v/>
      </c>
      <c r="BW101" s="10" t="str">
        <f aca="false">IF($A101="","",IF(NOT(ISNUMBER($W101)),"Missing Calculated",IF(NOT(ISNUMBER($X101)),IF($E101="Client","Missing FA signed off","Missing Controlled"),IF($X101&lt;$W101,"End before start","OK"))))</f>
        <v/>
      </c>
      <c r="BX101" s="23" t="str">
        <f aca="false">IF($A101="","",IF(NOT(ISNUMBER($Z101)),"",ROUND((IF(ISNUMBER($U101),MIN($U101,$Z101),$Z101)-$B101)*24,4)))</f>
        <v/>
      </c>
      <c r="BY101" s="23" t="str">
        <f aca="false">IF($A101="","",IF(ISNUMBER($Z101),ROUND(($Z101-$B101)*24,4),""))</f>
        <v/>
      </c>
      <c r="BZ101" s="23" t="str">
        <f aca="false">IF($A101="","",IF(AND(ISNUMBER($W101),ISNUMBER($S101)),ROUND(($W101+$S101/1440-$B101)*24,4),""))</f>
        <v/>
      </c>
    </row>
    <row r="102" customFormat="false" ht="15" hidden="false" customHeight="true" outlineLevel="0" collapsed="false">
      <c r="A102" s="47"/>
      <c r="B102" s="47"/>
      <c r="D102" s="4" t="str">
        <f aca="false">IF($A102="","",$B102-$A102)</f>
        <v/>
      </c>
      <c r="E102" s="4" t="str">
        <f aca="false">IF($A102="","",IFERROR(VLOOKUP($C102,Dim_Fund!$A:$X,24,0),""))</f>
        <v/>
      </c>
      <c r="F102" s="37" t="str">
        <f aca="false">IF($A102="","",IF(COUNTIFS(Status_Log!$A:$A,$A102,Status_Log!$B:$B,$B102,Status_Log!$C:$C,$C102,Status_Log!$D:$D,"Changed to the status of Calculated")=0,"",_xlfn.MINIFS(Status_Log!$E:$E,Status_Log!$A:$A,$A102,Status_Log!$B:$B,$B102,Status_Log!$C:$C,$C102,Status_Log!$D:$D,"Changed to the status of Calculated")))</f>
        <v/>
      </c>
      <c r="G102" s="37" t="str">
        <f aca="false">IF($A102="","",IF(COUNTIFS(Status_Log!$A:$A,$A102,Status_Log!$B:$B,$B102,Status_Log!$C:$C,$C102,Status_Log!$D:$D,"Changed to the status of Controlled")=0,"",_xlfn.MAXIFS(Status_Log!$E:$E,Status_Log!$A:$A,$A102,Status_Log!$B:$B,$B102,Status_Log!$C:$C,$C102,Status_Log!$D:$D,"Changed to the status of Controlled")))</f>
        <v/>
      </c>
      <c r="H102" s="37" t="str">
        <f aca="false">IF($A102="","",IF(COUNTIFS(Status_Log!$A:$A,$A102,Status_Log!$B:$B,$B102,Status_Log!$C:$C,$C102,Status_Log!$D:$D,"Changed to the status of Fund accounting signed off")=0,"",_xlfn.MAXIFS(Status_Log!$E:$E,Status_Log!$A:$A,$A102,Status_Log!$B:$B,$B102,Status_Log!$C:$C,$C102,Status_Log!$D:$D,"Changed to the status of Fund accounting signed off")))</f>
        <v/>
      </c>
      <c r="I102" s="37" t="str">
        <f aca="false">IF($A102="","",IF(COUNTIFS(Status_Log!$A:$A,$A102,Status_Log!$B:$B,$B102,Status_Log!$C:$C,$C102,Status_Log!$D:$D,"Changed to the status of signed off")=0,"",_xlfn.MAXIFS(Status_Log!$E:$E,Status_Log!$A:$A,$A102,Status_Log!$B:$B,$B102,Status_Log!$C:$C,$C102,Status_Log!$D:$D,"Changed to the status of signed off")))</f>
        <v/>
      </c>
      <c r="J102" s="4" t="str">
        <f aca="false">IF($A102="","",COUNTIFS(Status_Log!$A:$A,$A102,Status_Log!$B:$B,$B102,Status_Log!$C:$C,$C102,Status_Log!$D:$D,"Changed to the status of Calculated"))</f>
        <v/>
      </c>
      <c r="K102" s="38" t="str">
        <f aca="false">IF($A102="","",IF(J102&lt;=1,0,ROUND((_xlfn.MAXIFS(Status_Log!$E:$E,Status_Log!$A:$A,$A102,Status_Log!$B:$B,$B102,Status_Log!$C:$C,$C102,Status_Log!$D:$D,"Changed to the status of Calculated")-F102)*1440,0)))</f>
        <v/>
      </c>
      <c r="L102" s="4" t="str">
        <f aca="false">IF($A102="","",IFERROR(INDEX(Status_Log!$F:$F,MATCH($A102&amp;"|"&amp;$B102&amp;"|"&amp;$C102&amp;"|Changed to the status of Calculated|"&amp;TEXT(_xlfn.MAXIFS(Status_Log!$E:$E,Status_Log!$A:$A,$A102,Status_Log!$B:$B,$B102,Status_Log!$C:$C,$C102,Status_Log!$D:$D,"Changed to the status of Calculated"),"0.000000"),Status_Log!$H:$H,0)),""))</f>
        <v/>
      </c>
      <c r="M102" s="4" t="str">
        <f aca="false">IF($A102="","",IF(E102="Client","n/a — no control step",IFERROR(INDEX(Status_Log!$F:$F,MATCH($A102&amp;"|"&amp;$B102&amp;"|"&amp;$C102&amp;"|Changed to the status of Controlled|"&amp;TEXT(_xlfn.MAXIFS(Status_Log!$E:$E,Status_Log!$A:$A,$A102,Status_Log!$B:$B,$B102,Status_Log!$C:$C,$C102,Status_Log!$D:$D,"Changed to the status of Controlled"),"0.000000"),Status_Log!$H:$H,0)),"")))</f>
        <v/>
      </c>
      <c r="N102" s="4" t="str">
        <f aca="false">IF($A102="","",IFERROR(VLOOKUP($C102,Dim_Fund!$A:$G,7,0),""))</f>
        <v/>
      </c>
      <c r="O102" s="4" t="str">
        <f aca="false">IF($A102="","",IF(L102=N102,"No","Yes"))</f>
        <v/>
      </c>
      <c r="P102" s="4" t="str">
        <f aca="false">IF($A102="","",IF(E102="Client","n/a",IF(L102=M102,"YES — four-eyes breach","No")))</f>
        <v/>
      </c>
      <c r="Q102" s="38" t="str">
        <f aca="false">IF($A102="","",IFERROR(VLOOKUP($C102,Dim_Fund!$A:$AB,28,0),""))</f>
        <v/>
      </c>
      <c r="R102" s="38" t="str">
        <f aca="false">IF($A102="","",IFERROR(VLOOKUP($C102,Dim_Fund!$A:$AC,29,0),""))</f>
        <v/>
      </c>
      <c r="S102" s="38" t="str">
        <f aca="false">IF($A102="","",IFERROR(VLOOKUP($C102,Dim_Fund!$A:$AD,30,0),""))</f>
        <v/>
      </c>
      <c r="T102" s="38" t="str">
        <f aca="false">IF($A102="","",IFERROR(VLOOKUP($C102,Dim_Fund!$A:$AL,38,0),""))</f>
        <v/>
      </c>
      <c r="U102" s="37" t="str">
        <f aca="false">IF($A102="","",IF(AL102="","",IFERROR(IF(COUNTIFS(Fact_Milestone!$A:$A,$B102,Fact_Milestone!$B:$B,AL102)=0,"",_xlfn.MAXIFS(Fact_Milestone!$C:$C,Fact_Milestone!$A:$A,$B102,Fact_Milestone!$B:$B,AL102)),"")))</f>
        <v/>
      </c>
      <c r="V102" s="37" t="str">
        <f aca="false">IF($A102="","",IFERROR(IF(VLOOKUP($C102,Dim_Fund!$A:$AI,35,0)&gt;0,$B102+VLOOKUP($C102,Dim_Fund!$A:$AI,35,0)/24,""),""))</f>
        <v/>
      </c>
      <c r="W102" s="37" t="str">
        <f aca="false">IF($A102="","",F102)</f>
        <v/>
      </c>
      <c r="X102" s="37" t="str">
        <f aca="false">IF($A102="","",IF(E102="Client",H102,G102))</f>
        <v/>
      </c>
      <c r="Y102" s="37" t="str">
        <f aca="false">IF($A102="","",I102)</f>
        <v/>
      </c>
      <c r="Z102" s="37" t="str">
        <f aca="false">IF($A102="","",IFERROR(W102-R102/1440,""))</f>
        <v/>
      </c>
      <c r="AA102" s="38" t="str">
        <f aca="false">IF($A102="","",IF(OR(U102="",V102=""),"",ROUND((V102-U102)*1440,0)))</f>
        <v/>
      </c>
      <c r="AB102" s="38" t="str">
        <f aca="false">IF($A102="","",IF(U102="","",ROUND((W102-U102)*1440,0)))</f>
        <v/>
      </c>
      <c r="AC102" s="38" t="str">
        <f aca="false">IF($A102="","",IF(AB102="","",MAX(0,AB102)))</f>
        <v/>
      </c>
      <c r="AD102" s="38" t="str">
        <f aca="false">IF($A102="","",IFERROR(ROUND((X102-W102)*1440,0),""))</f>
        <v/>
      </c>
      <c r="AE102" s="38" t="str">
        <f aca="false">IF($A102="","",IF(E102="Client","n/a",IFERROR(ROUND((H102-G102)*1440,0),"")))</f>
        <v/>
      </c>
      <c r="AF102" s="38" t="str">
        <f aca="false">IF($A102="","",IFERROR(ROUND((Y102-H102)*1440,0),""))</f>
        <v/>
      </c>
      <c r="AG102" s="38" t="str">
        <f aca="false">IF($A102="","",IFERROR(ROUND((H102-F102)*1440,0),""))</f>
        <v/>
      </c>
      <c r="AH102" s="38" t="str">
        <f aca="false">IF($A102="","",IFERROR(ROUND((Y102-V102)*1440,0),""))</f>
        <v/>
      </c>
      <c r="AI102" s="4" t="str">
        <f aca="false">IF($A102="","",IF(AH102="","",IF(AH102&gt;0,"Yes","No")))</f>
        <v/>
      </c>
      <c r="AJ102" s="4" t="str">
        <f aca="false">IF($A102="","",IF(AI102&lt;&gt;"Yes","On time",IF(N(AC102)&gt;=MAX(N(AF102),N(K102)),"Wait for analyst",IF(N(AF102)&gt;=N(K102),"External sign-off","Rework"))))</f>
        <v/>
      </c>
      <c r="AK102" s="4" t="str">
        <f aca="false">IF($A102="","",IF(OR(F102="",Y102="",ISNA(MATCH(L102,Dim_Analyst!$A:$A,0))),"CHECK","OK"))</f>
        <v/>
      </c>
      <c r="AL102" s="4" t="str">
        <f aca="false">IF($A102="","",IFERROR(VLOOKUP($C102,Dim_Fund!$A:$U,21,0),""))</f>
        <v/>
      </c>
      <c r="AM102" s="4" t="str">
        <f aca="false">IF($A102="","",IF($U102="","",IF($U102&gt;$B102+IFERROR(VLOOKUP($C102,Dim_Fund!$A:$AH,34,0),0)/24,"Yes","No")))</f>
        <v/>
      </c>
      <c r="AN102" s="22" t="str">
        <f aca="false">IF($A102="","",IFERROR(VLOOKUP($C102,Dim_Fund!$A:$AH,34,0),""))</f>
        <v/>
      </c>
      <c r="AO102" s="22" t="str">
        <f aca="false">IF($A102="","",IF($AL102="","",IFERROR(FLOOR(IF(COUNTIFS(Fact_Milestone!$A:$A,$B102,Fact_Milestone!$B:$B,$AL102,Fact_Milestone!$F:$F,"&gt;0")&gt;0,_xlfn.MINIFS(Fact_Milestone!$F:$F,Fact_Milestone!$A:$A,$B102,Fact_Milestone!$B:$B,$AL102,Fact_Milestone!$F:$F,"&gt;0"),VLOOKUP($AL102,Dim_TOP!$A:$E,5,0)),0.5),"")))</f>
        <v/>
      </c>
      <c r="AP102" s="22" t="str">
        <f aca="false">IF($A102="","",IF($U102="","",ROUND(($U102-INT($U102))*24,4)))</f>
        <v/>
      </c>
      <c r="AQ102" s="22" t="str">
        <f aca="false">IF($A102="","",IF($W102="","",ROUND(($W102-INT($W102))*24,4)))</f>
        <v/>
      </c>
      <c r="AR102" s="22" t="str">
        <f aca="false">IF($A102="","",IF($X102="","",ROUND(($X102-INT($X102))*24,4)))</f>
        <v/>
      </c>
      <c r="AS102" s="38" t="str">
        <f aca="false">IF($A102="","",IF(OR($AN102="",$V102="",$S102="",$T102=""),"",ROUND(($V102-($B102+$AN102/24))*1440-$S102-$T102,0)))</f>
        <v/>
      </c>
      <c r="AT102" s="38" t="str">
        <f aca="false">IF($A102="","",IF(OR($AN102="",$U102=""),"",ROUND(($U102-($B102+$AN102/24))*1440,0)))</f>
        <v/>
      </c>
      <c r="AU102" s="38" t="str">
        <f aca="false">IF($A102="","",IF(OR($AD102="",$S102=""),"",ROUND($AD102-$S102,0)))</f>
        <v/>
      </c>
      <c r="AV102" s="38" t="str">
        <f aca="false">IF($A102="","",N($AE102))</f>
        <v/>
      </c>
      <c r="AW102" s="38" t="str">
        <f aca="false">IF($A102="","",IF(OR($AF102="",$T102=""),"",$AF102-$T102))</f>
        <v/>
      </c>
      <c r="AX102" s="38" t="str">
        <f aca="false">IF($A102="","",IF(COUNT($AT102,$AB102,$AU102,$AW102,$AS102,$AH102)&lt;6,"",ROUND($AT102+$AB102+$AU102+$AV102+$AW102-$AS102-$AH102,0)))</f>
        <v/>
      </c>
      <c r="AY102" s="4" t="str">
        <f aca="false">IF($A102="","",IF($AX102="","No",IF(ABS($AX102)&lt;=2,"Yes","No")))</f>
        <v/>
      </c>
      <c r="AZ102" s="4" t="str">
        <f aca="false">IF($A102="","",IF($AI102&lt;&gt;"Yes","n/a",IF(OR($AA102="",$S102="",$T102=""),"Unknown",IF($AA102&lt;$S102+$T102,"Lost on arrival","Lost after arrival"))))</f>
        <v/>
      </c>
      <c r="BA102" s="10" t="str">
        <f aca="false">IF($A102="","",IFERROR(VLOOKUP($C102,Dim_Fund!$A:$D,4,0),""))</f>
        <v/>
      </c>
      <c r="BB102" s="10" t="str">
        <f aca="false">IF($A102="","",IF($AL102="","",IF(COUNTIFS(Fact_Milestone!$A:$A,$B102,Fact_Milestone!$B:$B,$AL102,Fact_Milestone!$I:$I,"No")&gt;0,"No",IF(COUNTIFS(Fact_Milestone!$A:$A,$B102,Fact_Milestone!$B:$B,$AL102,Fact_Milestone!$I:$I,"Yes")&gt;0,"Yes",""))))</f>
        <v/>
      </c>
      <c r="BC102" s="45" t="str">
        <f aca="false">IF($A102="","",IF(OR($L102="",$W102=""),"",IF(COUNTIFS($L:$L,$L102,$B:$B,$B102,$W:$W,"&lt;"&amp;$W102)=0,"",_xlfn.MAXIFS($W:$W,$L:$L,$L102,$B:$B,$B102,$W:$W,"&lt;"&amp;$W102))))</f>
        <v/>
      </c>
      <c r="BD102" s="39" t="str">
        <f aca="false">IF($A102="","",IF($AC102="","",IF(OR($L102="",$AC102=0),0,MIN($AC102,ROUND(ROUND(1440*SUMPRODUCT(($L$2:INDEX($L:$L,COUNTA($C:$C))=$L102)*($B$2:INDEX($B:$B,COUNTA($C:$C))=$B102)*(ROW($L$2:INDEX($L:$L,COUNTA($C:$C)))&lt;&gt;ROW())*((((($W102+$BT$2:INDEX($BT:$BT,COUNTA($C:$C))-ABS($W102-$BT$2:INDEX($BT:$BT,COUNTA($C:$C))))/2)-(($U102+$BS$2:INDEX($BS:$BS,COUNTA($C:$C))+ABS($U102-$BS$2:INDEX($BS:$BS,COUNTA($C:$C))))/2))+ABS(((($W102+$BT$2:INDEX($BT:$BT,COUNTA($C:$C))-ABS($W102-$BT$2:INDEX($BT:$BT,COUNTA($C:$C))))/2)-(($U102+$BS$2:INDEX($BS:$BS,COUNTA($C:$C))+ABS($U102-$BS$2:INDEX($BS:$BS,COUNTA($C:$C))))/2))))/2)),4),0)))))</f>
        <v/>
      </c>
      <c r="BE102" s="39" t="str">
        <f aca="false">IF($A102="","",IF($AC102="","",ROUND(MIN($AC102-$BD102,N($R102)),0)))</f>
        <v/>
      </c>
      <c r="BF102" s="10" t="str">
        <f aca="false">IF($A102="","",IFERROR(VLOOKUP($C102,Dim_Fund!$A:$BD,56,0),""))</f>
        <v/>
      </c>
      <c r="BG102" s="10" t="str">
        <f aca="false">IF($A102="","",IFERROR(VLOOKUP($C102,Dim_Fund!$A:$BH,60,0),""))</f>
        <v/>
      </c>
      <c r="BH102" s="10" t="str">
        <f aca="false">IF($A102="","",IF($AI102&lt;&gt;"Yes","Not breached",IF($AM102="Yes","Pricing late",IF($BG102="Thin custody slack","Thin custody slack",IF($BF102="Yes","Broker-dependent","None of these")))))</f>
        <v/>
      </c>
      <c r="BI102" s="23" t="str">
        <f aca="false">IF($A102="","",IFERROR(IF(VLOOKUP($C102,Dim_Fund!$A:$AI,35,0)&gt;0,VLOOKUP($C102,Dim_Fund!$A:$AI,35,0),""),""))</f>
        <v/>
      </c>
      <c r="BJ102" s="10" t="str">
        <f aca="false">IF($A102="","",$C102&amp;IF($E102="Client","*",""))</f>
        <v/>
      </c>
      <c r="BK102" s="39" t="str">
        <f aca="false">IF($A102="","",IFERROR(ROUND(($Y102-$X102)*1440,0),""))</f>
        <v/>
      </c>
      <c r="BL102" s="39" t="str">
        <f aca="false">IF($A102="","",IF($AH102="","",-$AH102))</f>
        <v/>
      </c>
      <c r="BM102" s="46" t="str">
        <f aca="false">IF($A102="","",IF($AQ102="","",IF($AP102="",$AQ102,MIN($AP102,$AQ102))))</f>
        <v/>
      </c>
      <c r="BN102" s="46" t="str">
        <f aca="false">IF($A102="","",IF($BM102="","",ROUND(N($AC102)/60,4)))</f>
        <v/>
      </c>
      <c r="BO102" s="46" t="str">
        <f aca="false">IF($A102="","",IF(OR($BM102="",$AD102=""),"",ROUND($AD102/60,4)))</f>
        <v/>
      </c>
      <c r="BP102" s="46" t="str">
        <f aca="false">IF($A102="","",IF($BM102="","",ROUND(N($AE102)/60,4)))</f>
        <v/>
      </c>
      <c r="BQ102" s="46" t="str">
        <f aca="false">IF($A102="","",IF(OR($BM102="",$AF102=""),"",ROUND($AF102/60,4)))</f>
        <v/>
      </c>
      <c r="BR102" s="39" t="str">
        <f aca="false">IF($A102="","",IF($AC102="","",$AC102-$BD102-$BE102))</f>
        <v/>
      </c>
      <c r="BS102" s="45" t="str">
        <f aca="false">IF($A102="","",IF(AND(ISNUMBER($Z102),ISNUMBER($W102)),$Z102,0))</f>
        <v/>
      </c>
      <c r="BT102" s="45" t="str">
        <f aca="false">IF($A102="","",IF(ISNUMBER($W102),$W102,0))</f>
        <v/>
      </c>
      <c r="BU102" s="23" t="str">
        <f aca="false">IF($A102="","",IF(ISNUMBER($W102),ROUND(($W102-$B102)*24,4),""))</f>
        <v/>
      </c>
      <c r="BV102" s="23" t="str">
        <f aca="false">IF($A102="","",IF(ISNUMBER($X102),ROUND(($X102-$B102)*24,4),""))</f>
        <v/>
      </c>
      <c r="BW102" s="10" t="str">
        <f aca="false">IF($A102="","",IF(NOT(ISNUMBER($W102)),"Missing Calculated",IF(NOT(ISNUMBER($X102)),IF($E102="Client","Missing FA signed off","Missing Controlled"),IF($X102&lt;$W102,"End before start","OK"))))</f>
        <v/>
      </c>
      <c r="BX102" s="23" t="str">
        <f aca="false">IF($A102="","",IF(NOT(ISNUMBER($Z102)),"",ROUND((IF(ISNUMBER($U102),MIN($U102,$Z102),$Z102)-$B102)*24,4)))</f>
        <v/>
      </c>
      <c r="BY102" s="23" t="str">
        <f aca="false">IF($A102="","",IF(ISNUMBER($Z102),ROUND(($Z102-$B102)*24,4),""))</f>
        <v/>
      </c>
      <c r="BZ102" s="23" t="str">
        <f aca="false">IF($A102="","",IF(AND(ISNUMBER($W102),ISNUMBER($S102)),ROUND(($W102+$S102/1440-$B102)*24,4),""))</f>
        <v/>
      </c>
    </row>
    <row r="103" customFormat="false" ht="15" hidden="false" customHeight="true" outlineLevel="0" collapsed="false">
      <c r="A103" s="47"/>
      <c r="B103" s="47"/>
      <c r="D103" s="4" t="str">
        <f aca="false">IF($A103="","",$B103-$A103)</f>
        <v/>
      </c>
      <c r="E103" s="4" t="str">
        <f aca="false">IF($A103="","",IFERROR(VLOOKUP($C103,Dim_Fund!$A:$X,24,0),""))</f>
        <v/>
      </c>
      <c r="F103" s="37" t="str">
        <f aca="false">IF($A103="","",IF(COUNTIFS(Status_Log!$A:$A,$A103,Status_Log!$B:$B,$B103,Status_Log!$C:$C,$C103,Status_Log!$D:$D,"Changed to the status of Calculated")=0,"",_xlfn.MINIFS(Status_Log!$E:$E,Status_Log!$A:$A,$A103,Status_Log!$B:$B,$B103,Status_Log!$C:$C,$C103,Status_Log!$D:$D,"Changed to the status of Calculated")))</f>
        <v/>
      </c>
      <c r="G103" s="37" t="str">
        <f aca="false">IF($A103="","",IF(COUNTIFS(Status_Log!$A:$A,$A103,Status_Log!$B:$B,$B103,Status_Log!$C:$C,$C103,Status_Log!$D:$D,"Changed to the status of Controlled")=0,"",_xlfn.MAXIFS(Status_Log!$E:$E,Status_Log!$A:$A,$A103,Status_Log!$B:$B,$B103,Status_Log!$C:$C,$C103,Status_Log!$D:$D,"Changed to the status of Controlled")))</f>
        <v/>
      </c>
      <c r="H103" s="37" t="str">
        <f aca="false">IF($A103="","",IF(COUNTIFS(Status_Log!$A:$A,$A103,Status_Log!$B:$B,$B103,Status_Log!$C:$C,$C103,Status_Log!$D:$D,"Changed to the status of Fund accounting signed off")=0,"",_xlfn.MAXIFS(Status_Log!$E:$E,Status_Log!$A:$A,$A103,Status_Log!$B:$B,$B103,Status_Log!$C:$C,$C103,Status_Log!$D:$D,"Changed to the status of Fund accounting signed off")))</f>
        <v/>
      </c>
      <c r="I103" s="37" t="str">
        <f aca="false">IF($A103="","",IF(COUNTIFS(Status_Log!$A:$A,$A103,Status_Log!$B:$B,$B103,Status_Log!$C:$C,$C103,Status_Log!$D:$D,"Changed to the status of signed off")=0,"",_xlfn.MAXIFS(Status_Log!$E:$E,Status_Log!$A:$A,$A103,Status_Log!$B:$B,$B103,Status_Log!$C:$C,$C103,Status_Log!$D:$D,"Changed to the status of signed off")))</f>
        <v/>
      </c>
      <c r="J103" s="4" t="str">
        <f aca="false">IF($A103="","",COUNTIFS(Status_Log!$A:$A,$A103,Status_Log!$B:$B,$B103,Status_Log!$C:$C,$C103,Status_Log!$D:$D,"Changed to the status of Calculated"))</f>
        <v/>
      </c>
      <c r="K103" s="38" t="str">
        <f aca="false">IF($A103="","",IF(J103&lt;=1,0,ROUND((_xlfn.MAXIFS(Status_Log!$E:$E,Status_Log!$A:$A,$A103,Status_Log!$B:$B,$B103,Status_Log!$C:$C,$C103,Status_Log!$D:$D,"Changed to the status of Calculated")-F103)*1440,0)))</f>
        <v/>
      </c>
      <c r="L103" s="4" t="str">
        <f aca="false">IF($A103="","",IFERROR(INDEX(Status_Log!$F:$F,MATCH($A103&amp;"|"&amp;$B103&amp;"|"&amp;$C103&amp;"|Changed to the status of Calculated|"&amp;TEXT(_xlfn.MAXIFS(Status_Log!$E:$E,Status_Log!$A:$A,$A103,Status_Log!$B:$B,$B103,Status_Log!$C:$C,$C103,Status_Log!$D:$D,"Changed to the status of Calculated"),"0.000000"),Status_Log!$H:$H,0)),""))</f>
        <v/>
      </c>
      <c r="M103" s="4" t="str">
        <f aca="false">IF($A103="","",IF(E103="Client","n/a — no control step",IFERROR(INDEX(Status_Log!$F:$F,MATCH($A103&amp;"|"&amp;$B103&amp;"|"&amp;$C103&amp;"|Changed to the status of Controlled|"&amp;TEXT(_xlfn.MAXIFS(Status_Log!$E:$E,Status_Log!$A:$A,$A103,Status_Log!$B:$B,$B103,Status_Log!$C:$C,$C103,Status_Log!$D:$D,"Changed to the status of Controlled"),"0.000000"),Status_Log!$H:$H,0)),"")))</f>
        <v/>
      </c>
      <c r="N103" s="4" t="str">
        <f aca="false">IF($A103="","",IFERROR(VLOOKUP($C103,Dim_Fund!$A:$G,7,0),""))</f>
        <v/>
      </c>
      <c r="O103" s="4" t="str">
        <f aca="false">IF($A103="","",IF(L103=N103,"No","Yes"))</f>
        <v/>
      </c>
      <c r="P103" s="4" t="str">
        <f aca="false">IF($A103="","",IF(E103="Client","n/a",IF(L103=M103,"YES — four-eyes breach","No")))</f>
        <v/>
      </c>
      <c r="Q103" s="38" t="str">
        <f aca="false">IF($A103="","",IFERROR(VLOOKUP($C103,Dim_Fund!$A:$AB,28,0),""))</f>
        <v/>
      </c>
      <c r="R103" s="38" t="str">
        <f aca="false">IF($A103="","",IFERROR(VLOOKUP($C103,Dim_Fund!$A:$AC,29,0),""))</f>
        <v/>
      </c>
      <c r="S103" s="38" t="str">
        <f aca="false">IF($A103="","",IFERROR(VLOOKUP($C103,Dim_Fund!$A:$AD,30,0),""))</f>
        <v/>
      </c>
      <c r="T103" s="38" t="str">
        <f aca="false">IF($A103="","",IFERROR(VLOOKUP($C103,Dim_Fund!$A:$AL,38,0),""))</f>
        <v/>
      </c>
      <c r="U103" s="37" t="str">
        <f aca="false">IF($A103="","",IF(AL103="","",IFERROR(IF(COUNTIFS(Fact_Milestone!$A:$A,$B103,Fact_Milestone!$B:$B,AL103)=0,"",_xlfn.MAXIFS(Fact_Milestone!$C:$C,Fact_Milestone!$A:$A,$B103,Fact_Milestone!$B:$B,AL103)),"")))</f>
        <v/>
      </c>
      <c r="V103" s="37" t="str">
        <f aca="false">IF($A103="","",IFERROR(IF(VLOOKUP($C103,Dim_Fund!$A:$AI,35,0)&gt;0,$B103+VLOOKUP($C103,Dim_Fund!$A:$AI,35,0)/24,""),""))</f>
        <v/>
      </c>
      <c r="W103" s="37" t="str">
        <f aca="false">IF($A103="","",F103)</f>
        <v/>
      </c>
      <c r="X103" s="37" t="str">
        <f aca="false">IF($A103="","",IF(E103="Client",H103,G103))</f>
        <v/>
      </c>
      <c r="Y103" s="37" t="str">
        <f aca="false">IF($A103="","",I103)</f>
        <v/>
      </c>
      <c r="Z103" s="37" t="str">
        <f aca="false">IF($A103="","",IFERROR(W103-R103/1440,""))</f>
        <v/>
      </c>
      <c r="AA103" s="38" t="str">
        <f aca="false">IF($A103="","",IF(OR(U103="",V103=""),"",ROUND((V103-U103)*1440,0)))</f>
        <v/>
      </c>
      <c r="AB103" s="38" t="str">
        <f aca="false">IF($A103="","",IF(U103="","",ROUND((W103-U103)*1440,0)))</f>
        <v/>
      </c>
      <c r="AC103" s="38" t="str">
        <f aca="false">IF($A103="","",IF(AB103="","",MAX(0,AB103)))</f>
        <v/>
      </c>
      <c r="AD103" s="38" t="str">
        <f aca="false">IF($A103="","",IFERROR(ROUND((X103-W103)*1440,0),""))</f>
        <v/>
      </c>
      <c r="AE103" s="38" t="str">
        <f aca="false">IF($A103="","",IF(E103="Client","n/a",IFERROR(ROUND((H103-G103)*1440,0),"")))</f>
        <v/>
      </c>
      <c r="AF103" s="38" t="str">
        <f aca="false">IF($A103="","",IFERROR(ROUND((Y103-H103)*1440,0),""))</f>
        <v/>
      </c>
      <c r="AG103" s="38" t="str">
        <f aca="false">IF($A103="","",IFERROR(ROUND((H103-F103)*1440,0),""))</f>
        <v/>
      </c>
      <c r="AH103" s="38" t="str">
        <f aca="false">IF($A103="","",IFERROR(ROUND((Y103-V103)*1440,0),""))</f>
        <v/>
      </c>
      <c r="AI103" s="4" t="str">
        <f aca="false">IF($A103="","",IF(AH103="","",IF(AH103&gt;0,"Yes","No")))</f>
        <v/>
      </c>
      <c r="AJ103" s="4" t="str">
        <f aca="false">IF($A103="","",IF(AI103&lt;&gt;"Yes","On time",IF(N(AC103)&gt;=MAX(N(AF103),N(K103)),"Wait for analyst",IF(N(AF103)&gt;=N(K103),"External sign-off","Rework"))))</f>
        <v/>
      </c>
      <c r="AK103" s="4" t="str">
        <f aca="false">IF($A103="","",IF(OR(F103="",Y103="",ISNA(MATCH(L103,Dim_Analyst!$A:$A,0))),"CHECK","OK"))</f>
        <v/>
      </c>
      <c r="AL103" s="4" t="str">
        <f aca="false">IF($A103="","",IFERROR(VLOOKUP($C103,Dim_Fund!$A:$U,21,0),""))</f>
        <v/>
      </c>
      <c r="AM103" s="4" t="str">
        <f aca="false">IF($A103="","",IF($U103="","",IF($U103&gt;$B103+IFERROR(VLOOKUP($C103,Dim_Fund!$A:$AH,34,0),0)/24,"Yes","No")))</f>
        <v/>
      </c>
      <c r="AN103" s="22" t="str">
        <f aca="false">IF($A103="","",IFERROR(VLOOKUP($C103,Dim_Fund!$A:$AH,34,0),""))</f>
        <v/>
      </c>
      <c r="AO103" s="22" t="str">
        <f aca="false">IF($A103="","",IF($AL103="","",IFERROR(FLOOR(IF(COUNTIFS(Fact_Milestone!$A:$A,$B103,Fact_Milestone!$B:$B,$AL103,Fact_Milestone!$F:$F,"&gt;0")&gt;0,_xlfn.MINIFS(Fact_Milestone!$F:$F,Fact_Milestone!$A:$A,$B103,Fact_Milestone!$B:$B,$AL103,Fact_Milestone!$F:$F,"&gt;0"),VLOOKUP($AL103,Dim_TOP!$A:$E,5,0)),0.5),"")))</f>
        <v/>
      </c>
      <c r="AP103" s="22" t="str">
        <f aca="false">IF($A103="","",IF($U103="","",ROUND(($U103-INT($U103))*24,4)))</f>
        <v/>
      </c>
      <c r="AQ103" s="22" t="str">
        <f aca="false">IF($A103="","",IF($W103="","",ROUND(($W103-INT($W103))*24,4)))</f>
        <v/>
      </c>
      <c r="AR103" s="22" t="str">
        <f aca="false">IF($A103="","",IF($X103="","",ROUND(($X103-INT($X103))*24,4)))</f>
        <v/>
      </c>
      <c r="AS103" s="38" t="str">
        <f aca="false">IF($A103="","",IF(OR($AN103="",$V103="",$S103="",$T103=""),"",ROUND(($V103-($B103+$AN103/24))*1440-$S103-$T103,0)))</f>
        <v/>
      </c>
      <c r="AT103" s="38" t="str">
        <f aca="false">IF($A103="","",IF(OR($AN103="",$U103=""),"",ROUND(($U103-($B103+$AN103/24))*1440,0)))</f>
        <v/>
      </c>
      <c r="AU103" s="38" t="str">
        <f aca="false">IF($A103="","",IF(OR($AD103="",$S103=""),"",ROUND($AD103-$S103,0)))</f>
        <v/>
      </c>
      <c r="AV103" s="38" t="str">
        <f aca="false">IF($A103="","",N($AE103))</f>
        <v/>
      </c>
      <c r="AW103" s="38" t="str">
        <f aca="false">IF($A103="","",IF(OR($AF103="",$T103=""),"",$AF103-$T103))</f>
        <v/>
      </c>
      <c r="AX103" s="38" t="str">
        <f aca="false">IF($A103="","",IF(COUNT($AT103,$AB103,$AU103,$AW103,$AS103,$AH103)&lt;6,"",ROUND($AT103+$AB103+$AU103+$AV103+$AW103-$AS103-$AH103,0)))</f>
        <v/>
      </c>
      <c r="AY103" s="4" t="str">
        <f aca="false">IF($A103="","",IF($AX103="","No",IF(ABS($AX103)&lt;=2,"Yes","No")))</f>
        <v/>
      </c>
      <c r="AZ103" s="4" t="str">
        <f aca="false">IF($A103="","",IF($AI103&lt;&gt;"Yes","n/a",IF(OR($AA103="",$S103="",$T103=""),"Unknown",IF($AA103&lt;$S103+$T103,"Lost on arrival","Lost after arrival"))))</f>
        <v/>
      </c>
      <c r="BA103" s="10" t="str">
        <f aca="false">IF($A103="","",IFERROR(VLOOKUP($C103,Dim_Fund!$A:$D,4,0),""))</f>
        <v/>
      </c>
      <c r="BB103" s="10" t="str">
        <f aca="false">IF($A103="","",IF($AL103="","",IF(COUNTIFS(Fact_Milestone!$A:$A,$B103,Fact_Milestone!$B:$B,$AL103,Fact_Milestone!$I:$I,"No")&gt;0,"No",IF(COUNTIFS(Fact_Milestone!$A:$A,$B103,Fact_Milestone!$B:$B,$AL103,Fact_Milestone!$I:$I,"Yes")&gt;0,"Yes",""))))</f>
        <v/>
      </c>
      <c r="BC103" s="45" t="str">
        <f aca="false">IF($A103="","",IF(OR($L103="",$W103=""),"",IF(COUNTIFS($L:$L,$L103,$B:$B,$B103,$W:$W,"&lt;"&amp;$W103)=0,"",_xlfn.MAXIFS($W:$W,$L:$L,$L103,$B:$B,$B103,$W:$W,"&lt;"&amp;$W103))))</f>
        <v/>
      </c>
      <c r="BD103" s="39" t="str">
        <f aca="false">IF($A103="","",IF($AC103="","",IF(OR($L103="",$AC103=0),0,MIN($AC103,ROUND(ROUND(1440*SUMPRODUCT(($L$2:INDEX($L:$L,COUNTA($C:$C))=$L103)*($B$2:INDEX($B:$B,COUNTA($C:$C))=$B103)*(ROW($L$2:INDEX($L:$L,COUNTA($C:$C)))&lt;&gt;ROW())*((((($W103+$BT$2:INDEX($BT:$BT,COUNTA($C:$C))-ABS($W103-$BT$2:INDEX($BT:$BT,COUNTA($C:$C))))/2)-(($U103+$BS$2:INDEX($BS:$BS,COUNTA($C:$C))+ABS($U103-$BS$2:INDEX($BS:$BS,COUNTA($C:$C))))/2))+ABS(((($W103+$BT$2:INDEX($BT:$BT,COUNTA($C:$C))-ABS($W103-$BT$2:INDEX($BT:$BT,COUNTA($C:$C))))/2)-(($U103+$BS$2:INDEX($BS:$BS,COUNTA($C:$C))+ABS($U103-$BS$2:INDEX($BS:$BS,COUNTA($C:$C))))/2))))/2)),4),0)))))</f>
        <v/>
      </c>
      <c r="BE103" s="39" t="str">
        <f aca="false">IF($A103="","",IF($AC103="","",ROUND(MIN($AC103-$BD103,N($R103)),0)))</f>
        <v/>
      </c>
      <c r="BF103" s="10" t="str">
        <f aca="false">IF($A103="","",IFERROR(VLOOKUP($C103,Dim_Fund!$A:$BD,56,0),""))</f>
        <v/>
      </c>
      <c r="BG103" s="10" t="str">
        <f aca="false">IF($A103="","",IFERROR(VLOOKUP($C103,Dim_Fund!$A:$BH,60,0),""))</f>
        <v/>
      </c>
      <c r="BH103" s="10" t="str">
        <f aca="false">IF($A103="","",IF($AI103&lt;&gt;"Yes","Not breached",IF($AM103="Yes","Pricing late",IF($BG103="Thin custody slack","Thin custody slack",IF($BF103="Yes","Broker-dependent","None of these")))))</f>
        <v/>
      </c>
      <c r="BI103" s="23" t="str">
        <f aca="false">IF($A103="","",IFERROR(IF(VLOOKUP($C103,Dim_Fund!$A:$AI,35,0)&gt;0,VLOOKUP($C103,Dim_Fund!$A:$AI,35,0),""),""))</f>
        <v/>
      </c>
      <c r="BJ103" s="10" t="str">
        <f aca="false">IF($A103="","",$C103&amp;IF($E103="Client","*",""))</f>
        <v/>
      </c>
      <c r="BK103" s="39" t="str">
        <f aca="false">IF($A103="","",IFERROR(ROUND(($Y103-$X103)*1440,0),""))</f>
        <v/>
      </c>
      <c r="BL103" s="39" t="str">
        <f aca="false">IF($A103="","",IF($AH103="","",-$AH103))</f>
        <v/>
      </c>
      <c r="BM103" s="46" t="str">
        <f aca="false">IF($A103="","",IF($AQ103="","",IF($AP103="",$AQ103,MIN($AP103,$AQ103))))</f>
        <v/>
      </c>
      <c r="BN103" s="46" t="str">
        <f aca="false">IF($A103="","",IF($BM103="","",ROUND(N($AC103)/60,4)))</f>
        <v/>
      </c>
      <c r="BO103" s="46" t="str">
        <f aca="false">IF($A103="","",IF(OR($BM103="",$AD103=""),"",ROUND($AD103/60,4)))</f>
        <v/>
      </c>
      <c r="BP103" s="46" t="str">
        <f aca="false">IF($A103="","",IF($BM103="","",ROUND(N($AE103)/60,4)))</f>
        <v/>
      </c>
      <c r="BQ103" s="46" t="str">
        <f aca="false">IF($A103="","",IF(OR($BM103="",$AF103=""),"",ROUND($AF103/60,4)))</f>
        <v/>
      </c>
      <c r="BR103" s="39" t="str">
        <f aca="false">IF($A103="","",IF($AC103="","",$AC103-$BD103-$BE103))</f>
        <v/>
      </c>
      <c r="BS103" s="45" t="str">
        <f aca="false">IF($A103="","",IF(AND(ISNUMBER($Z103),ISNUMBER($W103)),$Z103,0))</f>
        <v/>
      </c>
      <c r="BT103" s="45" t="str">
        <f aca="false">IF($A103="","",IF(ISNUMBER($W103),$W103,0))</f>
        <v/>
      </c>
      <c r="BU103" s="23" t="str">
        <f aca="false">IF($A103="","",IF(ISNUMBER($W103),ROUND(($W103-$B103)*24,4),""))</f>
        <v/>
      </c>
      <c r="BV103" s="23" t="str">
        <f aca="false">IF($A103="","",IF(ISNUMBER($X103),ROUND(($X103-$B103)*24,4),""))</f>
        <v/>
      </c>
      <c r="BW103" s="10" t="str">
        <f aca="false">IF($A103="","",IF(NOT(ISNUMBER($W103)),"Missing Calculated",IF(NOT(ISNUMBER($X103)),IF($E103="Client","Missing FA signed off","Missing Controlled"),IF($X103&lt;$W103,"End before start","OK"))))</f>
        <v/>
      </c>
      <c r="BX103" s="23" t="str">
        <f aca="false">IF($A103="","",IF(NOT(ISNUMBER($Z103)),"",ROUND((IF(ISNUMBER($U103),MIN($U103,$Z103),$Z103)-$B103)*24,4)))</f>
        <v/>
      </c>
      <c r="BY103" s="23" t="str">
        <f aca="false">IF($A103="","",IF(ISNUMBER($Z103),ROUND(($Z103-$B103)*24,4),""))</f>
        <v/>
      </c>
      <c r="BZ103" s="23" t="str">
        <f aca="false">IF($A103="","",IF(AND(ISNUMBER($W103),ISNUMBER($S103)),ROUND(($W103+$S103/1440-$B103)*24,4),""))</f>
        <v/>
      </c>
    </row>
    <row r="104" customFormat="false" ht="15" hidden="false" customHeight="true" outlineLevel="0" collapsed="false">
      <c r="A104" s="47"/>
      <c r="B104" s="47"/>
      <c r="D104" s="4" t="str">
        <f aca="false">IF($A104="","",$B104-$A104)</f>
        <v/>
      </c>
      <c r="E104" s="4" t="str">
        <f aca="false">IF($A104="","",IFERROR(VLOOKUP($C104,Dim_Fund!$A:$X,24,0),""))</f>
        <v/>
      </c>
      <c r="F104" s="37" t="str">
        <f aca="false">IF($A104="","",IF(COUNTIFS(Status_Log!$A:$A,$A104,Status_Log!$B:$B,$B104,Status_Log!$C:$C,$C104,Status_Log!$D:$D,"Changed to the status of Calculated")=0,"",_xlfn.MINIFS(Status_Log!$E:$E,Status_Log!$A:$A,$A104,Status_Log!$B:$B,$B104,Status_Log!$C:$C,$C104,Status_Log!$D:$D,"Changed to the status of Calculated")))</f>
        <v/>
      </c>
      <c r="G104" s="37" t="str">
        <f aca="false">IF($A104="","",IF(COUNTIFS(Status_Log!$A:$A,$A104,Status_Log!$B:$B,$B104,Status_Log!$C:$C,$C104,Status_Log!$D:$D,"Changed to the status of Controlled")=0,"",_xlfn.MAXIFS(Status_Log!$E:$E,Status_Log!$A:$A,$A104,Status_Log!$B:$B,$B104,Status_Log!$C:$C,$C104,Status_Log!$D:$D,"Changed to the status of Controlled")))</f>
        <v/>
      </c>
      <c r="H104" s="37" t="str">
        <f aca="false">IF($A104="","",IF(COUNTIFS(Status_Log!$A:$A,$A104,Status_Log!$B:$B,$B104,Status_Log!$C:$C,$C104,Status_Log!$D:$D,"Changed to the status of Fund accounting signed off")=0,"",_xlfn.MAXIFS(Status_Log!$E:$E,Status_Log!$A:$A,$A104,Status_Log!$B:$B,$B104,Status_Log!$C:$C,$C104,Status_Log!$D:$D,"Changed to the status of Fund accounting signed off")))</f>
        <v/>
      </c>
      <c r="I104" s="37" t="str">
        <f aca="false">IF($A104="","",IF(COUNTIFS(Status_Log!$A:$A,$A104,Status_Log!$B:$B,$B104,Status_Log!$C:$C,$C104,Status_Log!$D:$D,"Changed to the status of signed off")=0,"",_xlfn.MAXIFS(Status_Log!$E:$E,Status_Log!$A:$A,$A104,Status_Log!$B:$B,$B104,Status_Log!$C:$C,$C104,Status_Log!$D:$D,"Changed to the status of signed off")))</f>
        <v/>
      </c>
      <c r="J104" s="4" t="str">
        <f aca="false">IF($A104="","",COUNTIFS(Status_Log!$A:$A,$A104,Status_Log!$B:$B,$B104,Status_Log!$C:$C,$C104,Status_Log!$D:$D,"Changed to the status of Calculated"))</f>
        <v/>
      </c>
      <c r="K104" s="38" t="str">
        <f aca="false">IF($A104="","",IF(J104&lt;=1,0,ROUND((_xlfn.MAXIFS(Status_Log!$E:$E,Status_Log!$A:$A,$A104,Status_Log!$B:$B,$B104,Status_Log!$C:$C,$C104,Status_Log!$D:$D,"Changed to the status of Calculated")-F104)*1440,0)))</f>
        <v/>
      </c>
      <c r="L104" s="4" t="str">
        <f aca="false">IF($A104="","",IFERROR(INDEX(Status_Log!$F:$F,MATCH($A104&amp;"|"&amp;$B104&amp;"|"&amp;$C104&amp;"|Changed to the status of Calculated|"&amp;TEXT(_xlfn.MAXIFS(Status_Log!$E:$E,Status_Log!$A:$A,$A104,Status_Log!$B:$B,$B104,Status_Log!$C:$C,$C104,Status_Log!$D:$D,"Changed to the status of Calculated"),"0.000000"),Status_Log!$H:$H,0)),""))</f>
        <v/>
      </c>
      <c r="M104" s="4" t="str">
        <f aca="false">IF($A104="","",IF(E104="Client","n/a — no control step",IFERROR(INDEX(Status_Log!$F:$F,MATCH($A104&amp;"|"&amp;$B104&amp;"|"&amp;$C104&amp;"|Changed to the status of Controlled|"&amp;TEXT(_xlfn.MAXIFS(Status_Log!$E:$E,Status_Log!$A:$A,$A104,Status_Log!$B:$B,$B104,Status_Log!$C:$C,$C104,Status_Log!$D:$D,"Changed to the status of Controlled"),"0.000000"),Status_Log!$H:$H,0)),"")))</f>
        <v/>
      </c>
      <c r="N104" s="4" t="str">
        <f aca="false">IF($A104="","",IFERROR(VLOOKUP($C104,Dim_Fund!$A:$G,7,0),""))</f>
        <v/>
      </c>
      <c r="O104" s="4" t="str">
        <f aca="false">IF($A104="","",IF(L104=N104,"No","Yes"))</f>
        <v/>
      </c>
      <c r="P104" s="4" t="str">
        <f aca="false">IF($A104="","",IF(E104="Client","n/a",IF(L104=M104,"YES — four-eyes breach","No")))</f>
        <v/>
      </c>
      <c r="Q104" s="38" t="str">
        <f aca="false">IF($A104="","",IFERROR(VLOOKUP($C104,Dim_Fund!$A:$AB,28,0),""))</f>
        <v/>
      </c>
      <c r="R104" s="38" t="str">
        <f aca="false">IF($A104="","",IFERROR(VLOOKUP($C104,Dim_Fund!$A:$AC,29,0),""))</f>
        <v/>
      </c>
      <c r="S104" s="38" t="str">
        <f aca="false">IF($A104="","",IFERROR(VLOOKUP($C104,Dim_Fund!$A:$AD,30,0),""))</f>
        <v/>
      </c>
      <c r="T104" s="38" t="str">
        <f aca="false">IF($A104="","",IFERROR(VLOOKUP($C104,Dim_Fund!$A:$AL,38,0),""))</f>
        <v/>
      </c>
      <c r="U104" s="37" t="str">
        <f aca="false">IF($A104="","",IF(AL104="","",IFERROR(IF(COUNTIFS(Fact_Milestone!$A:$A,$B104,Fact_Milestone!$B:$B,AL104)=0,"",_xlfn.MAXIFS(Fact_Milestone!$C:$C,Fact_Milestone!$A:$A,$B104,Fact_Milestone!$B:$B,AL104)),"")))</f>
        <v/>
      </c>
      <c r="V104" s="37" t="str">
        <f aca="false">IF($A104="","",IFERROR(IF(VLOOKUP($C104,Dim_Fund!$A:$AI,35,0)&gt;0,$B104+VLOOKUP($C104,Dim_Fund!$A:$AI,35,0)/24,""),""))</f>
        <v/>
      </c>
      <c r="W104" s="37" t="str">
        <f aca="false">IF($A104="","",F104)</f>
        <v/>
      </c>
      <c r="X104" s="37" t="str">
        <f aca="false">IF($A104="","",IF(E104="Client",H104,G104))</f>
        <v/>
      </c>
      <c r="Y104" s="37" t="str">
        <f aca="false">IF($A104="","",I104)</f>
        <v/>
      </c>
      <c r="Z104" s="37" t="str">
        <f aca="false">IF($A104="","",IFERROR(W104-R104/1440,""))</f>
        <v/>
      </c>
      <c r="AA104" s="38" t="str">
        <f aca="false">IF($A104="","",IF(OR(U104="",V104=""),"",ROUND((V104-U104)*1440,0)))</f>
        <v/>
      </c>
      <c r="AB104" s="38" t="str">
        <f aca="false">IF($A104="","",IF(U104="","",ROUND((W104-U104)*1440,0)))</f>
        <v/>
      </c>
      <c r="AC104" s="38" t="str">
        <f aca="false">IF($A104="","",IF(AB104="","",MAX(0,AB104)))</f>
        <v/>
      </c>
      <c r="AD104" s="38" t="str">
        <f aca="false">IF($A104="","",IFERROR(ROUND((X104-W104)*1440,0),""))</f>
        <v/>
      </c>
      <c r="AE104" s="38" t="str">
        <f aca="false">IF($A104="","",IF(E104="Client","n/a",IFERROR(ROUND((H104-G104)*1440,0),"")))</f>
        <v/>
      </c>
      <c r="AF104" s="38" t="str">
        <f aca="false">IF($A104="","",IFERROR(ROUND((Y104-H104)*1440,0),""))</f>
        <v/>
      </c>
      <c r="AG104" s="38" t="str">
        <f aca="false">IF($A104="","",IFERROR(ROUND((H104-F104)*1440,0),""))</f>
        <v/>
      </c>
      <c r="AH104" s="38" t="str">
        <f aca="false">IF($A104="","",IFERROR(ROUND((Y104-V104)*1440,0),""))</f>
        <v/>
      </c>
      <c r="AI104" s="4" t="str">
        <f aca="false">IF($A104="","",IF(AH104="","",IF(AH104&gt;0,"Yes","No")))</f>
        <v/>
      </c>
      <c r="AJ104" s="4" t="str">
        <f aca="false">IF($A104="","",IF(AI104&lt;&gt;"Yes","On time",IF(N(AC104)&gt;=MAX(N(AF104),N(K104)),"Wait for analyst",IF(N(AF104)&gt;=N(K104),"External sign-off","Rework"))))</f>
        <v/>
      </c>
      <c r="AK104" s="4" t="str">
        <f aca="false">IF($A104="","",IF(OR(F104="",Y104="",ISNA(MATCH(L104,Dim_Analyst!$A:$A,0))),"CHECK","OK"))</f>
        <v/>
      </c>
      <c r="AL104" s="4" t="str">
        <f aca="false">IF($A104="","",IFERROR(VLOOKUP($C104,Dim_Fund!$A:$U,21,0),""))</f>
        <v/>
      </c>
      <c r="AM104" s="4" t="str">
        <f aca="false">IF($A104="","",IF($U104="","",IF($U104&gt;$B104+IFERROR(VLOOKUP($C104,Dim_Fund!$A:$AH,34,0),0)/24,"Yes","No")))</f>
        <v/>
      </c>
      <c r="AN104" s="22" t="str">
        <f aca="false">IF($A104="","",IFERROR(VLOOKUP($C104,Dim_Fund!$A:$AH,34,0),""))</f>
        <v/>
      </c>
      <c r="AO104" s="22" t="str">
        <f aca="false">IF($A104="","",IF($AL104="","",IFERROR(FLOOR(IF(COUNTIFS(Fact_Milestone!$A:$A,$B104,Fact_Milestone!$B:$B,$AL104,Fact_Milestone!$F:$F,"&gt;0")&gt;0,_xlfn.MINIFS(Fact_Milestone!$F:$F,Fact_Milestone!$A:$A,$B104,Fact_Milestone!$B:$B,$AL104,Fact_Milestone!$F:$F,"&gt;0"),VLOOKUP($AL104,Dim_TOP!$A:$E,5,0)),0.5),"")))</f>
        <v/>
      </c>
      <c r="AP104" s="22" t="str">
        <f aca="false">IF($A104="","",IF($U104="","",ROUND(($U104-INT($U104))*24,4)))</f>
        <v/>
      </c>
      <c r="AQ104" s="22" t="str">
        <f aca="false">IF($A104="","",IF($W104="","",ROUND(($W104-INT($W104))*24,4)))</f>
        <v/>
      </c>
      <c r="AR104" s="22" t="str">
        <f aca="false">IF($A104="","",IF($X104="","",ROUND(($X104-INT($X104))*24,4)))</f>
        <v/>
      </c>
      <c r="AS104" s="38" t="str">
        <f aca="false">IF($A104="","",IF(OR($AN104="",$V104="",$S104="",$T104=""),"",ROUND(($V104-($B104+$AN104/24))*1440-$S104-$T104,0)))</f>
        <v/>
      </c>
      <c r="AT104" s="38" t="str">
        <f aca="false">IF($A104="","",IF(OR($AN104="",$U104=""),"",ROUND(($U104-($B104+$AN104/24))*1440,0)))</f>
        <v/>
      </c>
      <c r="AU104" s="38" t="str">
        <f aca="false">IF($A104="","",IF(OR($AD104="",$S104=""),"",ROUND($AD104-$S104,0)))</f>
        <v/>
      </c>
      <c r="AV104" s="38" t="str">
        <f aca="false">IF($A104="","",N($AE104))</f>
        <v/>
      </c>
      <c r="AW104" s="38" t="str">
        <f aca="false">IF($A104="","",IF(OR($AF104="",$T104=""),"",$AF104-$T104))</f>
        <v/>
      </c>
      <c r="AX104" s="38" t="str">
        <f aca="false">IF($A104="","",IF(COUNT($AT104,$AB104,$AU104,$AW104,$AS104,$AH104)&lt;6,"",ROUND($AT104+$AB104+$AU104+$AV104+$AW104-$AS104-$AH104,0)))</f>
        <v/>
      </c>
      <c r="AY104" s="4" t="str">
        <f aca="false">IF($A104="","",IF($AX104="","No",IF(ABS($AX104)&lt;=2,"Yes","No")))</f>
        <v/>
      </c>
      <c r="AZ104" s="4" t="str">
        <f aca="false">IF($A104="","",IF($AI104&lt;&gt;"Yes","n/a",IF(OR($AA104="",$S104="",$T104=""),"Unknown",IF($AA104&lt;$S104+$T104,"Lost on arrival","Lost after arrival"))))</f>
        <v/>
      </c>
      <c r="BA104" s="10" t="str">
        <f aca="false">IF($A104="","",IFERROR(VLOOKUP($C104,Dim_Fund!$A:$D,4,0),""))</f>
        <v/>
      </c>
      <c r="BB104" s="10" t="str">
        <f aca="false">IF($A104="","",IF($AL104="","",IF(COUNTIFS(Fact_Milestone!$A:$A,$B104,Fact_Milestone!$B:$B,$AL104,Fact_Milestone!$I:$I,"No")&gt;0,"No",IF(COUNTIFS(Fact_Milestone!$A:$A,$B104,Fact_Milestone!$B:$B,$AL104,Fact_Milestone!$I:$I,"Yes")&gt;0,"Yes",""))))</f>
        <v/>
      </c>
      <c r="BC104" s="45" t="str">
        <f aca="false">IF($A104="","",IF(OR($L104="",$W104=""),"",IF(COUNTIFS($L:$L,$L104,$B:$B,$B104,$W:$W,"&lt;"&amp;$W104)=0,"",_xlfn.MAXIFS($W:$W,$L:$L,$L104,$B:$B,$B104,$W:$W,"&lt;"&amp;$W104))))</f>
        <v/>
      </c>
      <c r="BD104" s="39" t="str">
        <f aca="false">IF($A104="","",IF($AC104="","",IF(OR($L104="",$AC104=0),0,MIN($AC104,ROUND(ROUND(1440*SUMPRODUCT(($L$2:INDEX($L:$L,COUNTA($C:$C))=$L104)*($B$2:INDEX($B:$B,COUNTA($C:$C))=$B104)*(ROW($L$2:INDEX($L:$L,COUNTA($C:$C)))&lt;&gt;ROW())*((((($W104+$BT$2:INDEX($BT:$BT,COUNTA($C:$C))-ABS($W104-$BT$2:INDEX($BT:$BT,COUNTA($C:$C))))/2)-(($U104+$BS$2:INDEX($BS:$BS,COUNTA($C:$C))+ABS($U104-$BS$2:INDEX($BS:$BS,COUNTA($C:$C))))/2))+ABS(((($W104+$BT$2:INDEX($BT:$BT,COUNTA($C:$C))-ABS($W104-$BT$2:INDEX($BT:$BT,COUNTA($C:$C))))/2)-(($U104+$BS$2:INDEX($BS:$BS,COUNTA($C:$C))+ABS($U104-$BS$2:INDEX($BS:$BS,COUNTA($C:$C))))/2))))/2)),4),0)))))</f>
        <v/>
      </c>
      <c r="BE104" s="39" t="str">
        <f aca="false">IF($A104="","",IF($AC104="","",ROUND(MIN($AC104-$BD104,N($R104)),0)))</f>
        <v/>
      </c>
      <c r="BF104" s="10" t="str">
        <f aca="false">IF($A104="","",IFERROR(VLOOKUP($C104,Dim_Fund!$A:$BD,56,0),""))</f>
        <v/>
      </c>
      <c r="BG104" s="10" t="str">
        <f aca="false">IF($A104="","",IFERROR(VLOOKUP($C104,Dim_Fund!$A:$BH,60,0),""))</f>
        <v/>
      </c>
      <c r="BH104" s="10" t="str">
        <f aca="false">IF($A104="","",IF($AI104&lt;&gt;"Yes","Not breached",IF($AM104="Yes","Pricing late",IF($BG104="Thin custody slack","Thin custody slack",IF($BF104="Yes","Broker-dependent","None of these")))))</f>
        <v/>
      </c>
      <c r="BI104" s="23" t="str">
        <f aca="false">IF($A104="","",IFERROR(IF(VLOOKUP($C104,Dim_Fund!$A:$AI,35,0)&gt;0,VLOOKUP($C104,Dim_Fund!$A:$AI,35,0),""),""))</f>
        <v/>
      </c>
      <c r="BJ104" s="10" t="str">
        <f aca="false">IF($A104="","",$C104&amp;IF($E104="Client","*",""))</f>
        <v/>
      </c>
      <c r="BK104" s="39" t="str">
        <f aca="false">IF($A104="","",IFERROR(ROUND(($Y104-$X104)*1440,0),""))</f>
        <v/>
      </c>
      <c r="BL104" s="39" t="str">
        <f aca="false">IF($A104="","",IF($AH104="","",-$AH104))</f>
        <v/>
      </c>
      <c r="BM104" s="46" t="str">
        <f aca="false">IF($A104="","",IF($AQ104="","",IF($AP104="",$AQ104,MIN($AP104,$AQ104))))</f>
        <v/>
      </c>
      <c r="BN104" s="46" t="str">
        <f aca="false">IF($A104="","",IF($BM104="","",ROUND(N($AC104)/60,4)))</f>
        <v/>
      </c>
      <c r="BO104" s="46" t="str">
        <f aca="false">IF($A104="","",IF(OR($BM104="",$AD104=""),"",ROUND($AD104/60,4)))</f>
        <v/>
      </c>
      <c r="BP104" s="46" t="str">
        <f aca="false">IF($A104="","",IF($BM104="","",ROUND(N($AE104)/60,4)))</f>
        <v/>
      </c>
      <c r="BQ104" s="46" t="str">
        <f aca="false">IF($A104="","",IF(OR($BM104="",$AF104=""),"",ROUND($AF104/60,4)))</f>
        <v/>
      </c>
      <c r="BR104" s="39" t="str">
        <f aca="false">IF($A104="","",IF($AC104="","",$AC104-$BD104-$BE104))</f>
        <v/>
      </c>
      <c r="BS104" s="45" t="str">
        <f aca="false">IF($A104="","",IF(AND(ISNUMBER($Z104),ISNUMBER($W104)),$Z104,0))</f>
        <v/>
      </c>
      <c r="BT104" s="45" t="str">
        <f aca="false">IF($A104="","",IF(ISNUMBER($W104),$W104,0))</f>
        <v/>
      </c>
      <c r="BU104" s="23" t="str">
        <f aca="false">IF($A104="","",IF(ISNUMBER($W104),ROUND(($W104-$B104)*24,4),""))</f>
        <v/>
      </c>
      <c r="BV104" s="23" t="str">
        <f aca="false">IF($A104="","",IF(ISNUMBER($X104),ROUND(($X104-$B104)*24,4),""))</f>
        <v/>
      </c>
      <c r="BW104" s="10" t="str">
        <f aca="false">IF($A104="","",IF(NOT(ISNUMBER($W104)),"Missing Calculated",IF(NOT(ISNUMBER($X104)),IF($E104="Client","Missing FA signed off","Missing Controlled"),IF($X104&lt;$W104,"End before start","OK"))))</f>
        <v/>
      </c>
      <c r="BX104" s="23" t="str">
        <f aca="false">IF($A104="","",IF(NOT(ISNUMBER($Z104)),"",ROUND((IF(ISNUMBER($U104),MIN($U104,$Z104),$Z104)-$B104)*24,4)))</f>
        <v/>
      </c>
      <c r="BY104" s="23" t="str">
        <f aca="false">IF($A104="","",IF(ISNUMBER($Z104),ROUND(($Z104-$B104)*24,4),""))</f>
        <v/>
      </c>
      <c r="BZ104" s="23" t="str">
        <f aca="false">IF($A104="","",IF(AND(ISNUMBER($W104),ISNUMBER($S104)),ROUND(($W104+$S104/1440-$B104)*24,4),""))</f>
        <v/>
      </c>
    </row>
    <row r="105" customFormat="false" ht="15" hidden="false" customHeight="true" outlineLevel="0" collapsed="false">
      <c r="A105" s="47"/>
      <c r="B105" s="47"/>
      <c r="D105" s="4" t="str">
        <f aca="false">IF($A105="","",$B105-$A105)</f>
        <v/>
      </c>
      <c r="E105" s="4" t="str">
        <f aca="false">IF($A105="","",IFERROR(VLOOKUP($C105,Dim_Fund!$A:$X,24,0),""))</f>
        <v/>
      </c>
      <c r="F105" s="37" t="str">
        <f aca="false">IF($A105="","",IF(COUNTIFS(Status_Log!$A:$A,$A105,Status_Log!$B:$B,$B105,Status_Log!$C:$C,$C105,Status_Log!$D:$D,"Changed to the status of Calculated")=0,"",_xlfn.MINIFS(Status_Log!$E:$E,Status_Log!$A:$A,$A105,Status_Log!$B:$B,$B105,Status_Log!$C:$C,$C105,Status_Log!$D:$D,"Changed to the status of Calculated")))</f>
        <v/>
      </c>
      <c r="G105" s="37" t="str">
        <f aca="false">IF($A105="","",IF(COUNTIFS(Status_Log!$A:$A,$A105,Status_Log!$B:$B,$B105,Status_Log!$C:$C,$C105,Status_Log!$D:$D,"Changed to the status of Controlled")=0,"",_xlfn.MAXIFS(Status_Log!$E:$E,Status_Log!$A:$A,$A105,Status_Log!$B:$B,$B105,Status_Log!$C:$C,$C105,Status_Log!$D:$D,"Changed to the status of Controlled")))</f>
        <v/>
      </c>
      <c r="H105" s="37" t="str">
        <f aca="false">IF($A105="","",IF(COUNTIFS(Status_Log!$A:$A,$A105,Status_Log!$B:$B,$B105,Status_Log!$C:$C,$C105,Status_Log!$D:$D,"Changed to the status of Fund accounting signed off")=0,"",_xlfn.MAXIFS(Status_Log!$E:$E,Status_Log!$A:$A,$A105,Status_Log!$B:$B,$B105,Status_Log!$C:$C,$C105,Status_Log!$D:$D,"Changed to the status of Fund accounting signed off")))</f>
        <v/>
      </c>
      <c r="I105" s="37" t="str">
        <f aca="false">IF($A105="","",IF(COUNTIFS(Status_Log!$A:$A,$A105,Status_Log!$B:$B,$B105,Status_Log!$C:$C,$C105,Status_Log!$D:$D,"Changed to the status of signed off")=0,"",_xlfn.MAXIFS(Status_Log!$E:$E,Status_Log!$A:$A,$A105,Status_Log!$B:$B,$B105,Status_Log!$C:$C,$C105,Status_Log!$D:$D,"Changed to the status of signed off")))</f>
        <v/>
      </c>
      <c r="J105" s="4" t="str">
        <f aca="false">IF($A105="","",COUNTIFS(Status_Log!$A:$A,$A105,Status_Log!$B:$B,$B105,Status_Log!$C:$C,$C105,Status_Log!$D:$D,"Changed to the status of Calculated"))</f>
        <v/>
      </c>
      <c r="K105" s="38" t="str">
        <f aca="false">IF($A105="","",IF(J105&lt;=1,0,ROUND((_xlfn.MAXIFS(Status_Log!$E:$E,Status_Log!$A:$A,$A105,Status_Log!$B:$B,$B105,Status_Log!$C:$C,$C105,Status_Log!$D:$D,"Changed to the status of Calculated")-F105)*1440,0)))</f>
        <v/>
      </c>
      <c r="L105" s="4" t="str">
        <f aca="false">IF($A105="","",IFERROR(INDEX(Status_Log!$F:$F,MATCH($A105&amp;"|"&amp;$B105&amp;"|"&amp;$C105&amp;"|Changed to the status of Calculated|"&amp;TEXT(_xlfn.MAXIFS(Status_Log!$E:$E,Status_Log!$A:$A,$A105,Status_Log!$B:$B,$B105,Status_Log!$C:$C,$C105,Status_Log!$D:$D,"Changed to the status of Calculated"),"0.000000"),Status_Log!$H:$H,0)),""))</f>
        <v/>
      </c>
      <c r="M105" s="4" t="str">
        <f aca="false">IF($A105="","",IF(E105="Client","n/a — no control step",IFERROR(INDEX(Status_Log!$F:$F,MATCH($A105&amp;"|"&amp;$B105&amp;"|"&amp;$C105&amp;"|Changed to the status of Controlled|"&amp;TEXT(_xlfn.MAXIFS(Status_Log!$E:$E,Status_Log!$A:$A,$A105,Status_Log!$B:$B,$B105,Status_Log!$C:$C,$C105,Status_Log!$D:$D,"Changed to the status of Controlled"),"0.000000"),Status_Log!$H:$H,0)),"")))</f>
        <v/>
      </c>
      <c r="N105" s="4" t="str">
        <f aca="false">IF($A105="","",IFERROR(VLOOKUP($C105,Dim_Fund!$A:$G,7,0),""))</f>
        <v/>
      </c>
      <c r="O105" s="4" t="str">
        <f aca="false">IF($A105="","",IF(L105=N105,"No","Yes"))</f>
        <v/>
      </c>
      <c r="P105" s="4" t="str">
        <f aca="false">IF($A105="","",IF(E105="Client","n/a",IF(L105=M105,"YES — four-eyes breach","No")))</f>
        <v/>
      </c>
      <c r="Q105" s="38" t="str">
        <f aca="false">IF($A105="","",IFERROR(VLOOKUP($C105,Dim_Fund!$A:$AB,28,0),""))</f>
        <v/>
      </c>
      <c r="R105" s="38" t="str">
        <f aca="false">IF($A105="","",IFERROR(VLOOKUP($C105,Dim_Fund!$A:$AC,29,0),""))</f>
        <v/>
      </c>
      <c r="S105" s="38" t="str">
        <f aca="false">IF($A105="","",IFERROR(VLOOKUP($C105,Dim_Fund!$A:$AD,30,0),""))</f>
        <v/>
      </c>
      <c r="T105" s="38" t="str">
        <f aca="false">IF($A105="","",IFERROR(VLOOKUP($C105,Dim_Fund!$A:$AL,38,0),""))</f>
        <v/>
      </c>
      <c r="U105" s="37" t="str">
        <f aca="false">IF($A105="","",IF(AL105="","",IFERROR(IF(COUNTIFS(Fact_Milestone!$A:$A,$B105,Fact_Milestone!$B:$B,AL105)=0,"",_xlfn.MAXIFS(Fact_Milestone!$C:$C,Fact_Milestone!$A:$A,$B105,Fact_Milestone!$B:$B,AL105)),"")))</f>
        <v/>
      </c>
      <c r="V105" s="37" t="str">
        <f aca="false">IF($A105="","",IFERROR(IF(VLOOKUP($C105,Dim_Fund!$A:$AI,35,0)&gt;0,$B105+VLOOKUP($C105,Dim_Fund!$A:$AI,35,0)/24,""),""))</f>
        <v/>
      </c>
      <c r="W105" s="37" t="str">
        <f aca="false">IF($A105="","",F105)</f>
        <v/>
      </c>
      <c r="X105" s="37" t="str">
        <f aca="false">IF($A105="","",IF(E105="Client",H105,G105))</f>
        <v/>
      </c>
      <c r="Y105" s="37" t="str">
        <f aca="false">IF($A105="","",I105)</f>
        <v/>
      </c>
      <c r="Z105" s="37" t="str">
        <f aca="false">IF($A105="","",IFERROR(W105-R105/1440,""))</f>
        <v/>
      </c>
      <c r="AA105" s="38" t="str">
        <f aca="false">IF($A105="","",IF(OR(U105="",V105=""),"",ROUND((V105-U105)*1440,0)))</f>
        <v/>
      </c>
      <c r="AB105" s="38" t="str">
        <f aca="false">IF($A105="","",IF(U105="","",ROUND((W105-U105)*1440,0)))</f>
        <v/>
      </c>
      <c r="AC105" s="38" t="str">
        <f aca="false">IF($A105="","",IF(AB105="","",MAX(0,AB105)))</f>
        <v/>
      </c>
      <c r="AD105" s="38" t="str">
        <f aca="false">IF($A105="","",IFERROR(ROUND((X105-W105)*1440,0),""))</f>
        <v/>
      </c>
      <c r="AE105" s="38" t="str">
        <f aca="false">IF($A105="","",IF(E105="Client","n/a",IFERROR(ROUND((H105-G105)*1440,0),"")))</f>
        <v/>
      </c>
      <c r="AF105" s="38" t="str">
        <f aca="false">IF($A105="","",IFERROR(ROUND((Y105-H105)*1440,0),""))</f>
        <v/>
      </c>
      <c r="AG105" s="38" t="str">
        <f aca="false">IF($A105="","",IFERROR(ROUND((H105-F105)*1440,0),""))</f>
        <v/>
      </c>
      <c r="AH105" s="38" t="str">
        <f aca="false">IF($A105="","",IFERROR(ROUND((Y105-V105)*1440,0),""))</f>
        <v/>
      </c>
      <c r="AI105" s="4" t="str">
        <f aca="false">IF($A105="","",IF(AH105="","",IF(AH105&gt;0,"Yes","No")))</f>
        <v/>
      </c>
      <c r="AJ105" s="4" t="str">
        <f aca="false">IF($A105="","",IF(AI105&lt;&gt;"Yes","On time",IF(N(AC105)&gt;=MAX(N(AF105),N(K105)),"Wait for analyst",IF(N(AF105)&gt;=N(K105),"External sign-off","Rework"))))</f>
        <v/>
      </c>
      <c r="AK105" s="4" t="str">
        <f aca="false">IF($A105="","",IF(OR(F105="",Y105="",ISNA(MATCH(L105,Dim_Analyst!$A:$A,0))),"CHECK","OK"))</f>
        <v/>
      </c>
      <c r="AL105" s="4" t="str">
        <f aca="false">IF($A105="","",IFERROR(VLOOKUP($C105,Dim_Fund!$A:$U,21,0),""))</f>
        <v/>
      </c>
      <c r="AM105" s="4" t="str">
        <f aca="false">IF($A105="","",IF($U105="","",IF($U105&gt;$B105+IFERROR(VLOOKUP($C105,Dim_Fund!$A:$AH,34,0),0)/24,"Yes","No")))</f>
        <v/>
      </c>
      <c r="AN105" s="22" t="str">
        <f aca="false">IF($A105="","",IFERROR(VLOOKUP($C105,Dim_Fund!$A:$AH,34,0),""))</f>
        <v/>
      </c>
      <c r="AO105" s="22" t="str">
        <f aca="false">IF($A105="","",IF($AL105="","",IFERROR(FLOOR(IF(COUNTIFS(Fact_Milestone!$A:$A,$B105,Fact_Milestone!$B:$B,$AL105,Fact_Milestone!$F:$F,"&gt;0")&gt;0,_xlfn.MINIFS(Fact_Milestone!$F:$F,Fact_Milestone!$A:$A,$B105,Fact_Milestone!$B:$B,$AL105,Fact_Milestone!$F:$F,"&gt;0"),VLOOKUP($AL105,Dim_TOP!$A:$E,5,0)),0.5),"")))</f>
        <v/>
      </c>
      <c r="AP105" s="22" t="str">
        <f aca="false">IF($A105="","",IF($U105="","",ROUND(($U105-INT($U105))*24,4)))</f>
        <v/>
      </c>
      <c r="AQ105" s="22" t="str">
        <f aca="false">IF($A105="","",IF($W105="","",ROUND(($W105-INT($W105))*24,4)))</f>
        <v/>
      </c>
      <c r="AR105" s="22" t="str">
        <f aca="false">IF($A105="","",IF($X105="","",ROUND(($X105-INT($X105))*24,4)))</f>
        <v/>
      </c>
      <c r="AS105" s="38" t="str">
        <f aca="false">IF($A105="","",IF(OR($AN105="",$V105="",$S105="",$T105=""),"",ROUND(($V105-($B105+$AN105/24))*1440-$S105-$T105,0)))</f>
        <v/>
      </c>
      <c r="AT105" s="38" t="str">
        <f aca="false">IF($A105="","",IF(OR($AN105="",$U105=""),"",ROUND(($U105-($B105+$AN105/24))*1440,0)))</f>
        <v/>
      </c>
      <c r="AU105" s="38" t="str">
        <f aca="false">IF($A105="","",IF(OR($AD105="",$S105=""),"",ROUND($AD105-$S105,0)))</f>
        <v/>
      </c>
      <c r="AV105" s="38" t="str">
        <f aca="false">IF($A105="","",N($AE105))</f>
        <v/>
      </c>
      <c r="AW105" s="38" t="str">
        <f aca="false">IF($A105="","",IF(OR($AF105="",$T105=""),"",$AF105-$T105))</f>
        <v/>
      </c>
      <c r="AX105" s="38" t="str">
        <f aca="false">IF($A105="","",IF(COUNT($AT105,$AB105,$AU105,$AW105,$AS105,$AH105)&lt;6,"",ROUND($AT105+$AB105+$AU105+$AV105+$AW105-$AS105-$AH105,0)))</f>
        <v/>
      </c>
      <c r="AY105" s="4" t="str">
        <f aca="false">IF($A105="","",IF($AX105="","No",IF(ABS($AX105)&lt;=2,"Yes","No")))</f>
        <v/>
      </c>
      <c r="AZ105" s="4" t="str">
        <f aca="false">IF($A105="","",IF($AI105&lt;&gt;"Yes","n/a",IF(OR($AA105="",$S105="",$T105=""),"Unknown",IF($AA105&lt;$S105+$T105,"Lost on arrival","Lost after arrival"))))</f>
        <v/>
      </c>
      <c r="BA105" s="10" t="str">
        <f aca="false">IF($A105="","",IFERROR(VLOOKUP($C105,Dim_Fund!$A:$D,4,0),""))</f>
        <v/>
      </c>
      <c r="BB105" s="10" t="str">
        <f aca="false">IF($A105="","",IF($AL105="","",IF(COUNTIFS(Fact_Milestone!$A:$A,$B105,Fact_Milestone!$B:$B,$AL105,Fact_Milestone!$I:$I,"No")&gt;0,"No",IF(COUNTIFS(Fact_Milestone!$A:$A,$B105,Fact_Milestone!$B:$B,$AL105,Fact_Milestone!$I:$I,"Yes")&gt;0,"Yes",""))))</f>
        <v/>
      </c>
      <c r="BC105" s="45" t="str">
        <f aca="false">IF($A105="","",IF(OR($L105="",$W105=""),"",IF(COUNTIFS($L:$L,$L105,$B:$B,$B105,$W:$W,"&lt;"&amp;$W105)=0,"",_xlfn.MAXIFS($W:$W,$L:$L,$L105,$B:$B,$B105,$W:$W,"&lt;"&amp;$W105))))</f>
        <v/>
      </c>
      <c r="BD105" s="39" t="str">
        <f aca="false">IF($A105="","",IF($AC105="","",IF(OR($L105="",$AC105=0),0,MIN($AC105,ROUND(ROUND(1440*SUMPRODUCT(($L$2:INDEX($L:$L,COUNTA($C:$C))=$L105)*($B$2:INDEX($B:$B,COUNTA($C:$C))=$B105)*(ROW($L$2:INDEX($L:$L,COUNTA($C:$C)))&lt;&gt;ROW())*((((($W105+$BT$2:INDEX($BT:$BT,COUNTA($C:$C))-ABS($W105-$BT$2:INDEX($BT:$BT,COUNTA($C:$C))))/2)-(($U105+$BS$2:INDEX($BS:$BS,COUNTA($C:$C))+ABS($U105-$BS$2:INDEX($BS:$BS,COUNTA($C:$C))))/2))+ABS(((($W105+$BT$2:INDEX($BT:$BT,COUNTA($C:$C))-ABS($W105-$BT$2:INDEX($BT:$BT,COUNTA($C:$C))))/2)-(($U105+$BS$2:INDEX($BS:$BS,COUNTA($C:$C))+ABS($U105-$BS$2:INDEX($BS:$BS,COUNTA($C:$C))))/2))))/2)),4),0)))))</f>
        <v/>
      </c>
      <c r="BE105" s="39" t="str">
        <f aca="false">IF($A105="","",IF($AC105="","",ROUND(MIN($AC105-$BD105,N($R105)),0)))</f>
        <v/>
      </c>
      <c r="BF105" s="10" t="str">
        <f aca="false">IF($A105="","",IFERROR(VLOOKUP($C105,Dim_Fund!$A:$BD,56,0),""))</f>
        <v/>
      </c>
      <c r="BG105" s="10" t="str">
        <f aca="false">IF($A105="","",IFERROR(VLOOKUP($C105,Dim_Fund!$A:$BH,60,0),""))</f>
        <v/>
      </c>
      <c r="BH105" s="10" t="str">
        <f aca="false">IF($A105="","",IF($AI105&lt;&gt;"Yes","Not breached",IF($AM105="Yes","Pricing late",IF($BG105="Thin custody slack","Thin custody slack",IF($BF105="Yes","Broker-dependent","None of these")))))</f>
        <v/>
      </c>
      <c r="BI105" s="23" t="str">
        <f aca="false">IF($A105="","",IFERROR(IF(VLOOKUP($C105,Dim_Fund!$A:$AI,35,0)&gt;0,VLOOKUP($C105,Dim_Fund!$A:$AI,35,0),""),""))</f>
        <v/>
      </c>
      <c r="BJ105" s="10" t="str">
        <f aca="false">IF($A105="","",$C105&amp;IF($E105="Client","*",""))</f>
        <v/>
      </c>
      <c r="BK105" s="39" t="str">
        <f aca="false">IF($A105="","",IFERROR(ROUND(($Y105-$X105)*1440,0),""))</f>
        <v/>
      </c>
      <c r="BL105" s="39" t="str">
        <f aca="false">IF($A105="","",IF($AH105="","",-$AH105))</f>
        <v/>
      </c>
      <c r="BM105" s="46" t="str">
        <f aca="false">IF($A105="","",IF($AQ105="","",IF($AP105="",$AQ105,MIN($AP105,$AQ105))))</f>
        <v/>
      </c>
      <c r="BN105" s="46" t="str">
        <f aca="false">IF($A105="","",IF($BM105="","",ROUND(N($AC105)/60,4)))</f>
        <v/>
      </c>
      <c r="BO105" s="46" t="str">
        <f aca="false">IF($A105="","",IF(OR($BM105="",$AD105=""),"",ROUND($AD105/60,4)))</f>
        <v/>
      </c>
      <c r="BP105" s="46" t="str">
        <f aca="false">IF($A105="","",IF($BM105="","",ROUND(N($AE105)/60,4)))</f>
        <v/>
      </c>
      <c r="BQ105" s="46" t="str">
        <f aca="false">IF($A105="","",IF(OR($BM105="",$AF105=""),"",ROUND($AF105/60,4)))</f>
        <v/>
      </c>
      <c r="BR105" s="39" t="str">
        <f aca="false">IF($A105="","",IF($AC105="","",$AC105-$BD105-$BE105))</f>
        <v/>
      </c>
      <c r="BS105" s="45" t="str">
        <f aca="false">IF($A105="","",IF(AND(ISNUMBER($Z105),ISNUMBER($W105)),$Z105,0))</f>
        <v/>
      </c>
      <c r="BT105" s="45" t="str">
        <f aca="false">IF($A105="","",IF(ISNUMBER($W105),$W105,0))</f>
        <v/>
      </c>
      <c r="BU105" s="23" t="str">
        <f aca="false">IF($A105="","",IF(ISNUMBER($W105),ROUND(($W105-$B105)*24,4),""))</f>
        <v/>
      </c>
      <c r="BV105" s="23" t="str">
        <f aca="false">IF($A105="","",IF(ISNUMBER($X105),ROUND(($X105-$B105)*24,4),""))</f>
        <v/>
      </c>
      <c r="BW105" s="10" t="str">
        <f aca="false">IF($A105="","",IF(NOT(ISNUMBER($W105)),"Missing Calculated",IF(NOT(ISNUMBER($X105)),IF($E105="Client","Missing FA signed off","Missing Controlled"),IF($X105&lt;$W105,"End before start","OK"))))</f>
        <v/>
      </c>
      <c r="BX105" s="23" t="str">
        <f aca="false">IF($A105="","",IF(NOT(ISNUMBER($Z105)),"",ROUND((IF(ISNUMBER($U105),MIN($U105,$Z105),$Z105)-$B105)*24,4)))</f>
        <v/>
      </c>
      <c r="BY105" s="23" t="str">
        <f aca="false">IF($A105="","",IF(ISNUMBER($Z105),ROUND(($Z105-$B105)*24,4),""))</f>
        <v/>
      </c>
      <c r="BZ105" s="23" t="str">
        <f aca="false">IF($A105="","",IF(AND(ISNUMBER($W105),ISNUMBER($S105)),ROUND(($W105+$S105/1440-$B105)*24,4),""))</f>
        <v/>
      </c>
    </row>
    <row r="106" customFormat="false" ht="15" hidden="false" customHeight="true" outlineLevel="0" collapsed="false">
      <c r="A106" s="47"/>
      <c r="B106" s="47"/>
      <c r="D106" s="4" t="str">
        <f aca="false">IF($A106="","",$B106-$A106)</f>
        <v/>
      </c>
      <c r="E106" s="4" t="str">
        <f aca="false">IF($A106="","",IFERROR(VLOOKUP($C106,Dim_Fund!$A:$X,24,0),""))</f>
        <v/>
      </c>
      <c r="F106" s="37" t="str">
        <f aca="false">IF($A106="","",IF(COUNTIFS(Status_Log!$A:$A,$A106,Status_Log!$B:$B,$B106,Status_Log!$C:$C,$C106,Status_Log!$D:$D,"Changed to the status of Calculated")=0,"",_xlfn.MINIFS(Status_Log!$E:$E,Status_Log!$A:$A,$A106,Status_Log!$B:$B,$B106,Status_Log!$C:$C,$C106,Status_Log!$D:$D,"Changed to the status of Calculated")))</f>
        <v/>
      </c>
      <c r="G106" s="37" t="str">
        <f aca="false">IF($A106="","",IF(COUNTIFS(Status_Log!$A:$A,$A106,Status_Log!$B:$B,$B106,Status_Log!$C:$C,$C106,Status_Log!$D:$D,"Changed to the status of Controlled")=0,"",_xlfn.MAXIFS(Status_Log!$E:$E,Status_Log!$A:$A,$A106,Status_Log!$B:$B,$B106,Status_Log!$C:$C,$C106,Status_Log!$D:$D,"Changed to the status of Controlled")))</f>
        <v/>
      </c>
      <c r="H106" s="37" t="str">
        <f aca="false">IF($A106="","",IF(COUNTIFS(Status_Log!$A:$A,$A106,Status_Log!$B:$B,$B106,Status_Log!$C:$C,$C106,Status_Log!$D:$D,"Changed to the status of Fund accounting signed off")=0,"",_xlfn.MAXIFS(Status_Log!$E:$E,Status_Log!$A:$A,$A106,Status_Log!$B:$B,$B106,Status_Log!$C:$C,$C106,Status_Log!$D:$D,"Changed to the status of Fund accounting signed off")))</f>
        <v/>
      </c>
      <c r="I106" s="37" t="str">
        <f aca="false">IF($A106="","",IF(COUNTIFS(Status_Log!$A:$A,$A106,Status_Log!$B:$B,$B106,Status_Log!$C:$C,$C106,Status_Log!$D:$D,"Changed to the status of signed off")=0,"",_xlfn.MAXIFS(Status_Log!$E:$E,Status_Log!$A:$A,$A106,Status_Log!$B:$B,$B106,Status_Log!$C:$C,$C106,Status_Log!$D:$D,"Changed to the status of signed off")))</f>
        <v/>
      </c>
      <c r="J106" s="4" t="str">
        <f aca="false">IF($A106="","",COUNTIFS(Status_Log!$A:$A,$A106,Status_Log!$B:$B,$B106,Status_Log!$C:$C,$C106,Status_Log!$D:$D,"Changed to the status of Calculated"))</f>
        <v/>
      </c>
      <c r="K106" s="38" t="str">
        <f aca="false">IF($A106="","",IF(J106&lt;=1,0,ROUND((_xlfn.MAXIFS(Status_Log!$E:$E,Status_Log!$A:$A,$A106,Status_Log!$B:$B,$B106,Status_Log!$C:$C,$C106,Status_Log!$D:$D,"Changed to the status of Calculated")-F106)*1440,0)))</f>
        <v/>
      </c>
      <c r="L106" s="4" t="str">
        <f aca="false">IF($A106="","",IFERROR(INDEX(Status_Log!$F:$F,MATCH($A106&amp;"|"&amp;$B106&amp;"|"&amp;$C106&amp;"|Changed to the status of Calculated|"&amp;TEXT(_xlfn.MAXIFS(Status_Log!$E:$E,Status_Log!$A:$A,$A106,Status_Log!$B:$B,$B106,Status_Log!$C:$C,$C106,Status_Log!$D:$D,"Changed to the status of Calculated"),"0.000000"),Status_Log!$H:$H,0)),""))</f>
        <v/>
      </c>
      <c r="M106" s="4" t="str">
        <f aca="false">IF($A106="","",IF(E106="Client","n/a — no control step",IFERROR(INDEX(Status_Log!$F:$F,MATCH($A106&amp;"|"&amp;$B106&amp;"|"&amp;$C106&amp;"|Changed to the status of Controlled|"&amp;TEXT(_xlfn.MAXIFS(Status_Log!$E:$E,Status_Log!$A:$A,$A106,Status_Log!$B:$B,$B106,Status_Log!$C:$C,$C106,Status_Log!$D:$D,"Changed to the status of Controlled"),"0.000000"),Status_Log!$H:$H,0)),"")))</f>
        <v/>
      </c>
      <c r="N106" s="4" t="str">
        <f aca="false">IF($A106="","",IFERROR(VLOOKUP($C106,Dim_Fund!$A:$G,7,0),""))</f>
        <v/>
      </c>
      <c r="O106" s="4" t="str">
        <f aca="false">IF($A106="","",IF(L106=N106,"No","Yes"))</f>
        <v/>
      </c>
      <c r="P106" s="4" t="str">
        <f aca="false">IF($A106="","",IF(E106="Client","n/a",IF(L106=M106,"YES — four-eyes breach","No")))</f>
        <v/>
      </c>
      <c r="Q106" s="38" t="str">
        <f aca="false">IF($A106="","",IFERROR(VLOOKUP($C106,Dim_Fund!$A:$AB,28,0),""))</f>
        <v/>
      </c>
      <c r="R106" s="38" t="str">
        <f aca="false">IF($A106="","",IFERROR(VLOOKUP($C106,Dim_Fund!$A:$AC,29,0),""))</f>
        <v/>
      </c>
      <c r="S106" s="38" t="str">
        <f aca="false">IF($A106="","",IFERROR(VLOOKUP($C106,Dim_Fund!$A:$AD,30,0),""))</f>
        <v/>
      </c>
      <c r="T106" s="38" t="str">
        <f aca="false">IF($A106="","",IFERROR(VLOOKUP($C106,Dim_Fund!$A:$AL,38,0),""))</f>
        <v/>
      </c>
      <c r="U106" s="37" t="str">
        <f aca="false">IF($A106="","",IF(AL106="","",IFERROR(IF(COUNTIFS(Fact_Milestone!$A:$A,$B106,Fact_Milestone!$B:$B,AL106)=0,"",_xlfn.MAXIFS(Fact_Milestone!$C:$C,Fact_Milestone!$A:$A,$B106,Fact_Milestone!$B:$B,AL106)),"")))</f>
        <v/>
      </c>
      <c r="V106" s="37" t="str">
        <f aca="false">IF($A106="","",IFERROR(IF(VLOOKUP($C106,Dim_Fund!$A:$AI,35,0)&gt;0,$B106+VLOOKUP($C106,Dim_Fund!$A:$AI,35,0)/24,""),""))</f>
        <v/>
      </c>
      <c r="W106" s="37" t="str">
        <f aca="false">IF($A106="","",F106)</f>
        <v/>
      </c>
      <c r="X106" s="37" t="str">
        <f aca="false">IF($A106="","",IF(E106="Client",H106,G106))</f>
        <v/>
      </c>
      <c r="Y106" s="37" t="str">
        <f aca="false">IF($A106="","",I106)</f>
        <v/>
      </c>
      <c r="Z106" s="37" t="str">
        <f aca="false">IF($A106="","",IFERROR(W106-R106/1440,""))</f>
        <v/>
      </c>
      <c r="AA106" s="38" t="str">
        <f aca="false">IF($A106="","",IF(OR(U106="",V106=""),"",ROUND((V106-U106)*1440,0)))</f>
        <v/>
      </c>
      <c r="AB106" s="38" t="str">
        <f aca="false">IF($A106="","",IF(U106="","",ROUND((W106-U106)*1440,0)))</f>
        <v/>
      </c>
      <c r="AC106" s="38" t="str">
        <f aca="false">IF($A106="","",IF(AB106="","",MAX(0,AB106)))</f>
        <v/>
      </c>
      <c r="AD106" s="38" t="str">
        <f aca="false">IF($A106="","",IFERROR(ROUND((X106-W106)*1440,0),""))</f>
        <v/>
      </c>
      <c r="AE106" s="38" t="str">
        <f aca="false">IF($A106="","",IF(E106="Client","n/a",IFERROR(ROUND((H106-G106)*1440,0),"")))</f>
        <v/>
      </c>
      <c r="AF106" s="38" t="str">
        <f aca="false">IF($A106="","",IFERROR(ROUND((Y106-H106)*1440,0),""))</f>
        <v/>
      </c>
      <c r="AG106" s="38" t="str">
        <f aca="false">IF($A106="","",IFERROR(ROUND((H106-F106)*1440,0),""))</f>
        <v/>
      </c>
      <c r="AH106" s="38" t="str">
        <f aca="false">IF($A106="","",IFERROR(ROUND((Y106-V106)*1440,0),""))</f>
        <v/>
      </c>
      <c r="AI106" s="4" t="str">
        <f aca="false">IF($A106="","",IF(AH106="","",IF(AH106&gt;0,"Yes","No")))</f>
        <v/>
      </c>
      <c r="AJ106" s="4" t="str">
        <f aca="false">IF($A106="","",IF(AI106&lt;&gt;"Yes","On time",IF(N(AC106)&gt;=MAX(N(AF106),N(K106)),"Wait for analyst",IF(N(AF106)&gt;=N(K106),"External sign-off","Rework"))))</f>
        <v/>
      </c>
      <c r="AK106" s="4" t="str">
        <f aca="false">IF($A106="","",IF(OR(F106="",Y106="",ISNA(MATCH(L106,Dim_Analyst!$A:$A,0))),"CHECK","OK"))</f>
        <v/>
      </c>
      <c r="AL106" s="4" t="str">
        <f aca="false">IF($A106="","",IFERROR(VLOOKUP($C106,Dim_Fund!$A:$U,21,0),""))</f>
        <v/>
      </c>
      <c r="AM106" s="4" t="str">
        <f aca="false">IF($A106="","",IF($U106="","",IF($U106&gt;$B106+IFERROR(VLOOKUP($C106,Dim_Fund!$A:$AH,34,0),0)/24,"Yes","No")))</f>
        <v/>
      </c>
      <c r="AN106" s="22" t="str">
        <f aca="false">IF($A106="","",IFERROR(VLOOKUP($C106,Dim_Fund!$A:$AH,34,0),""))</f>
        <v/>
      </c>
      <c r="AO106" s="22" t="str">
        <f aca="false">IF($A106="","",IF($AL106="","",IFERROR(FLOOR(IF(COUNTIFS(Fact_Milestone!$A:$A,$B106,Fact_Milestone!$B:$B,$AL106,Fact_Milestone!$F:$F,"&gt;0")&gt;0,_xlfn.MINIFS(Fact_Milestone!$F:$F,Fact_Milestone!$A:$A,$B106,Fact_Milestone!$B:$B,$AL106,Fact_Milestone!$F:$F,"&gt;0"),VLOOKUP($AL106,Dim_TOP!$A:$E,5,0)),0.5),"")))</f>
        <v/>
      </c>
      <c r="AP106" s="22" t="str">
        <f aca="false">IF($A106="","",IF($U106="","",ROUND(($U106-INT($U106))*24,4)))</f>
        <v/>
      </c>
      <c r="AQ106" s="22" t="str">
        <f aca="false">IF($A106="","",IF($W106="","",ROUND(($W106-INT($W106))*24,4)))</f>
        <v/>
      </c>
      <c r="AR106" s="22" t="str">
        <f aca="false">IF($A106="","",IF($X106="","",ROUND(($X106-INT($X106))*24,4)))</f>
        <v/>
      </c>
      <c r="AS106" s="38" t="str">
        <f aca="false">IF($A106="","",IF(OR($AN106="",$V106="",$S106="",$T106=""),"",ROUND(($V106-($B106+$AN106/24))*1440-$S106-$T106,0)))</f>
        <v/>
      </c>
      <c r="AT106" s="38" t="str">
        <f aca="false">IF($A106="","",IF(OR($AN106="",$U106=""),"",ROUND(($U106-($B106+$AN106/24))*1440,0)))</f>
        <v/>
      </c>
      <c r="AU106" s="38" t="str">
        <f aca="false">IF($A106="","",IF(OR($AD106="",$S106=""),"",ROUND($AD106-$S106,0)))</f>
        <v/>
      </c>
      <c r="AV106" s="38" t="str">
        <f aca="false">IF($A106="","",N($AE106))</f>
        <v/>
      </c>
      <c r="AW106" s="38" t="str">
        <f aca="false">IF($A106="","",IF(OR($AF106="",$T106=""),"",$AF106-$T106))</f>
        <v/>
      </c>
      <c r="AX106" s="38" t="str">
        <f aca="false">IF($A106="","",IF(COUNT($AT106,$AB106,$AU106,$AW106,$AS106,$AH106)&lt;6,"",ROUND($AT106+$AB106+$AU106+$AV106+$AW106-$AS106-$AH106,0)))</f>
        <v/>
      </c>
      <c r="AY106" s="4" t="str">
        <f aca="false">IF($A106="","",IF($AX106="","No",IF(ABS($AX106)&lt;=2,"Yes","No")))</f>
        <v/>
      </c>
      <c r="AZ106" s="4" t="str">
        <f aca="false">IF($A106="","",IF($AI106&lt;&gt;"Yes","n/a",IF(OR($AA106="",$S106="",$T106=""),"Unknown",IF($AA106&lt;$S106+$T106,"Lost on arrival","Lost after arrival"))))</f>
        <v/>
      </c>
      <c r="BA106" s="10" t="str">
        <f aca="false">IF($A106="","",IFERROR(VLOOKUP($C106,Dim_Fund!$A:$D,4,0),""))</f>
        <v/>
      </c>
      <c r="BB106" s="10" t="str">
        <f aca="false">IF($A106="","",IF($AL106="","",IF(COUNTIFS(Fact_Milestone!$A:$A,$B106,Fact_Milestone!$B:$B,$AL106,Fact_Milestone!$I:$I,"No")&gt;0,"No",IF(COUNTIFS(Fact_Milestone!$A:$A,$B106,Fact_Milestone!$B:$B,$AL106,Fact_Milestone!$I:$I,"Yes")&gt;0,"Yes",""))))</f>
        <v/>
      </c>
      <c r="BC106" s="45" t="str">
        <f aca="false">IF($A106="","",IF(OR($L106="",$W106=""),"",IF(COUNTIFS($L:$L,$L106,$B:$B,$B106,$W:$W,"&lt;"&amp;$W106)=0,"",_xlfn.MAXIFS($W:$W,$L:$L,$L106,$B:$B,$B106,$W:$W,"&lt;"&amp;$W106))))</f>
        <v/>
      </c>
      <c r="BD106" s="39" t="str">
        <f aca="false">IF($A106="","",IF($AC106="","",IF(OR($L106="",$AC106=0),0,MIN($AC106,ROUND(ROUND(1440*SUMPRODUCT(($L$2:INDEX($L:$L,COUNTA($C:$C))=$L106)*($B$2:INDEX($B:$B,COUNTA($C:$C))=$B106)*(ROW($L$2:INDEX($L:$L,COUNTA($C:$C)))&lt;&gt;ROW())*((((($W106+$BT$2:INDEX($BT:$BT,COUNTA($C:$C))-ABS($W106-$BT$2:INDEX($BT:$BT,COUNTA($C:$C))))/2)-(($U106+$BS$2:INDEX($BS:$BS,COUNTA($C:$C))+ABS($U106-$BS$2:INDEX($BS:$BS,COUNTA($C:$C))))/2))+ABS(((($W106+$BT$2:INDEX($BT:$BT,COUNTA($C:$C))-ABS($W106-$BT$2:INDEX($BT:$BT,COUNTA($C:$C))))/2)-(($U106+$BS$2:INDEX($BS:$BS,COUNTA($C:$C))+ABS($U106-$BS$2:INDEX($BS:$BS,COUNTA($C:$C))))/2))))/2)),4),0)))))</f>
        <v/>
      </c>
      <c r="BE106" s="39" t="str">
        <f aca="false">IF($A106="","",IF($AC106="","",ROUND(MIN($AC106-$BD106,N($R106)),0)))</f>
        <v/>
      </c>
      <c r="BF106" s="10" t="str">
        <f aca="false">IF($A106="","",IFERROR(VLOOKUP($C106,Dim_Fund!$A:$BD,56,0),""))</f>
        <v/>
      </c>
      <c r="BG106" s="10" t="str">
        <f aca="false">IF($A106="","",IFERROR(VLOOKUP($C106,Dim_Fund!$A:$BH,60,0),""))</f>
        <v/>
      </c>
      <c r="BH106" s="10" t="str">
        <f aca="false">IF($A106="","",IF($AI106&lt;&gt;"Yes","Not breached",IF($AM106="Yes","Pricing late",IF($BG106="Thin custody slack","Thin custody slack",IF($BF106="Yes","Broker-dependent","None of these")))))</f>
        <v/>
      </c>
      <c r="BI106" s="23" t="str">
        <f aca="false">IF($A106="","",IFERROR(IF(VLOOKUP($C106,Dim_Fund!$A:$AI,35,0)&gt;0,VLOOKUP($C106,Dim_Fund!$A:$AI,35,0),""),""))</f>
        <v/>
      </c>
      <c r="BJ106" s="10" t="str">
        <f aca="false">IF($A106="","",$C106&amp;IF($E106="Client","*",""))</f>
        <v/>
      </c>
      <c r="BK106" s="39" t="str">
        <f aca="false">IF($A106="","",IFERROR(ROUND(($Y106-$X106)*1440,0),""))</f>
        <v/>
      </c>
      <c r="BL106" s="39" t="str">
        <f aca="false">IF($A106="","",IF($AH106="","",-$AH106))</f>
        <v/>
      </c>
      <c r="BM106" s="46" t="str">
        <f aca="false">IF($A106="","",IF($AQ106="","",IF($AP106="",$AQ106,MIN($AP106,$AQ106))))</f>
        <v/>
      </c>
      <c r="BN106" s="46" t="str">
        <f aca="false">IF($A106="","",IF($BM106="","",ROUND(N($AC106)/60,4)))</f>
        <v/>
      </c>
      <c r="BO106" s="46" t="str">
        <f aca="false">IF($A106="","",IF(OR($BM106="",$AD106=""),"",ROUND($AD106/60,4)))</f>
        <v/>
      </c>
      <c r="BP106" s="46" t="str">
        <f aca="false">IF($A106="","",IF($BM106="","",ROUND(N($AE106)/60,4)))</f>
        <v/>
      </c>
      <c r="BQ106" s="46" t="str">
        <f aca="false">IF($A106="","",IF(OR($BM106="",$AF106=""),"",ROUND($AF106/60,4)))</f>
        <v/>
      </c>
      <c r="BR106" s="39" t="str">
        <f aca="false">IF($A106="","",IF($AC106="","",$AC106-$BD106-$BE106))</f>
        <v/>
      </c>
      <c r="BS106" s="45" t="str">
        <f aca="false">IF($A106="","",IF(AND(ISNUMBER($Z106),ISNUMBER($W106)),$Z106,0))</f>
        <v/>
      </c>
      <c r="BT106" s="45" t="str">
        <f aca="false">IF($A106="","",IF(ISNUMBER($W106),$W106,0))</f>
        <v/>
      </c>
      <c r="BU106" s="23" t="str">
        <f aca="false">IF($A106="","",IF(ISNUMBER($W106),ROUND(($W106-$B106)*24,4),""))</f>
        <v/>
      </c>
      <c r="BV106" s="23" t="str">
        <f aca="false">IF($A106="","",IF(ISNUMBER($X106),ROUND(($X106-$B106)*24,4),""))</f>
        <v/>
      </c>
      <c r="BW106" s="10" t="str">
        <f aca="false">IF($A106="","",IF(NOT(ISNUMBER($W106)),"Missing Calculated",IF(NOT(ISNUMBER($X106)),IF($E106="Client","Missing FA signed off","Missing Controlled"),IF($X106&lt;$W106,"End before start","OK"))))</f>
        <v/>
      </c>
      <c r="BX106" s="23" t="str">
        <f aca="false">IF($A106="","",IF(NOT(ISNUMBER($Z106)),"",ROUND((IF(ISNUMBER($U106),MIN($U106,$Z106),$Z106)-$B106)*24,4)))</f>
        <v/>
      </c>
      <c r="BY106" s="23" t="str">
        <f aca="false">IF($A106="","",IF(ISNUMBER($Z106),ROUND(($Z106-$B106)*24,4),""))</f>
        <v/>
      </c>
      <c r="BZ106" s="23" t="str">
        <f aca="false">IF($A106="","",IF(AND(ISNUMBER($W106),ISNUMBER($S106)),ROUND(($W106+$S106/1440-$B106)*24,4),""))</f>
        <v/>
      </c>
    </row>
    <row r="107" customFormat="false" ht="15" hidden="false" customHeight="true" outlineLevel="0" collapsed="false">
      <c r="A107" s="47"/>
      <c r="B107" s="47"/>
      <c r="D107" s="4" t="str">
        <f aca="false">IF($A107="","",$B107-$A107)</f>
        <v/>
      </c>
      <c r="E107" s="4" t="str">
        <f aca="false">IF($A107="","",IFERROR(VLOOKUP($C107,Dim_Fund!$A:$X,24,0),""))</f>
        <v/>
      </c>
      <c r="F107" s="37" t="str">
        <f aca="false">IF($A107="","",IF(COUNTIFS(Status_Log!$A:$A,$A107,Status_Log!$B:$B,$B107,Status_Log!$C:$C,$C107,Status_Log!$D:$D,"Changed to the status of Calculated")=0,"",_xlfn.MINIFS(Status_Log!$E:$E,Status_Log!$A:$A,$A107,Status_Log!$B:$B,$B107,Status_Log!$C:$C,$C107,Status_Log!$D:$D,"Changed to the status of Calculated")))</f>
        <v/>
      </c>
      <c r="G107" s="37" t="str">
        <f aca="false">IF($A107="","",IF(COUNTIFS(Status_Log!$A:$A,$A107,Status_Log!$B:$B,$B107,Status_Log!$C:$C,$C107,Status_Log!$D:$D,"Changed to the status of Controlled")=0,"",_xlfn.MAXIFS(Status_Log!$E:$E,Status_Log!$A:$A,$A107,Status_Log!$B:$B,$B107,Status_Log!$C:$C,$C107,Status_Log!$D:$D,"Changed to the status of Controlled")))</f>
        <v/>
      </c>
      <c r="H107" s="37" t="str">
        <f aca="false">IF($A107="","",IF(COUNTIFS(Status_Log!$A:$A,$A107,Status_Log!$B:$B,$B107,Status_Log!$C:$C,$C107,Status_Log!$D:$D,"Changed to the status of Fund accounting signed off")=0,"",_xlfn.MAXIFS(Status_Log!$E:$E,Status_Log!$A:$A,$A107,Status_Log!$B:$B,$B107,Status_Log!$C:$C,$C107,Status_Log!$D:$D,"Changed to the status of Fund accounting signed off")))</f>
        <v/>
      </c>
      <c r="I107" s="37" t="str">
        <f aca="false">IF($A107="","",IF(COUNTIFS(Status_Log!$A:$A,$A107,Status_Log!$B:$B,$B107,Status_Log!$C:$C,$C107,Status_Log!$D:$D,"Changed to the status of signed off")=0,"",_xlfn.MAXIFS(Status_Log!$E:$E,Status_Log!$A:$A,$A107,Status_Log!$B:$B,$B107,Status_Log!$C:$C,$C107,Status_Log!$D:$D,"Changed to the status of signed off")))</f>
        <v/>
      </c>
      <c r="J107" s="4" t="str">
        <f aca="false">IF($A107="","",COUNTIFS(Status_Log!$A:$A,$A107,Status_Log!$B:$B,$B107,Status_Log!$C:$C,$C107,Status_Log!$D:$D,"Changed to the status of Calculated"))</f>
        <v/>
      </c>
      <c r="K107" s="38" t="str">
        <f aca="false">IF($A107="","",IF(J107&lt;=1,0,ROUND((_xlfn.MAXIFS(Status_Log!$E:$E,Status_Log!$A:$A,$A107,Status_Log!$B:$B,$B107,Status_Log!$C:$C,$C107,Status_Log!$D:$D,"Changed to the status of Calculated")-F107)*1440,0)))</f>
        <v/>
      </c>
      <c r="L107" s="4" t="str">
        <f aca="false">IF($A107="","",IFERROR(INDEX(Status_Log!$F:$F,MATCH($A107&amp;"|"&amp;$B107&amp;"|"&amp;$C107&amp;"|Changed to the status of Calculated|"&amp;TEXT(_xlfn.MAXIFS(Status_Log!$E:$E,Status_Log!$A:$A,$A107,Status_Log!$B:$B,$B107,Status_Log!$C:$C,$C107,Status_Log!$D:$D,"Changed to the status of Calculated"),"0.000000"),Status_Log!$H:$H,0)),""))</f>
        <v/>
      </c>
      <c r="M107" s="4" t="str">
        <f aca="false">IF($A107="","",IF(E107="Client","n/a — no control step",IFERROR(INDEX(Status_Log!$F:$F,MATCH($A107&amp;"|"&amp;$B107&amp;"|"&amp;$C107&amp;"|Changed to the status of Controlled|"&amp;TEXT(_xlfn.MAXIFS(Status_Log!$E:$E,Status_Log!$A:$A,$A107,Status_Log!$B:$B,$B107,Status_Log!$C:$C,$C107,Status_Log!$D:$D,"Changed to the status of Controlled"),"0.000000"),Status_Log!$H:$H,0)),"")))</f>
        <v/>
      </c>
      <c r="N107" s="4" t="str">
        <f aca="false">IF($A107="","",IFERROR(VLOOKUP($C107,Dim_Fund!$A:$G,7,0),""))</f>
        <v/>
      </c>
      <c r="O107" s="4" t="str">
        <f aca="false">IF($A107="","",IF(L107=N107,"No","Yes"))</f>
        <v/>
      </c>
      <c r="P107" s="4" t="str">
        <f aca="false">IF($A107="","",IF(E107="Client","n/a",IF(L107=M107,"YES — four-eyes breach","No")))</f>
        <v/>
      </c>
      <c r="Q107" s="38" t="str">
        <f aca="false">IF($A107="","",IFERROR(VLOOKUP($C107,Dim_Fund!$A:$AB,28,0),""))</f>
        <v/>
      </c>
      <c r="R107" s="38" t="str">
        <f aca="false">IF($A107="","",IFERROR(VLOOKUP($C107,Dim_Fund!$A:$AC,29,0),""))</f>
        <v/>
      </c>
      <c r="S107" s="38" t="str">
        <f aca="false">IF($A107="","",IFERROR(VLOOKUP($C107,Dim_Fund!$A:$AD,30,0),""))</f>
        <v/>
      </c>
      <c r="T107" s="38" t="str">
        <f aca="false">IF($A107="","",IFERROR(VLOOKUP($C107,Dim_Fund!$A:$AL,38,0),""))</f>
        <v/>
      </c>
      <c r="U107" s="37" t="str">
        <f aca="false">IF($A107="","",IF(AL107="","",IFERROR(IF(COUNTIFS(Fact_Milestone!$A:$A,$B107,Fact_Milestone!$B:$B,AL107)=0,"",_xlfn.MAXIFS(Fact_Milestone!$C:$C,Fact_Milestone!$A:$A,$B107,Fact_Milestone!$B:$B,AL107)),"")))</f>
        <v/>
      </c>
      <c r="V107" s="37" t="str">
        <f aca="false">IF($A107="","",IFERROR(IF(VLOOKUP($C107,Dim_Fund!$A:$AI,35,0)&gt;0,$B107+VLOOKUP($C107,Dim_Fund!$A:$AI,35,0)/24,""),""))</f>
        <v/>
      </c>
      <c r="W107" s="37" t="str">
        <f aca="false">IF($A107="","",F107)</f>
        <v/>
      </c>
      <c r="X107" s="37" t="str">
        <f aca="false">IF($A107="","",IF(E107="Client",H107,G107))</f>
        <v/>
      </c>
      <c r="Y107" s="37" t="str">
        <f aca="false">IF($A107="","",I107)</f>
        <v/>
      </c>
      <c r="Z107" s="37" t="str">
        <f aca="false">IF($A107="","",IFERROR(W107-R107/1440,""))</f>
        <v/>
      </c>
      <c r="AA107" s="38" t="str">
        <f aca="false">IF($A107="","",IF(OR(U107="",V107=""),"",ROUND((V107-U107)*1440,0)))</f>
        <v/>
      </c>
      <c r="AB107" s="38" t="str">
        <f aca="false">IF($A107="","",IF(U107="","",ROUND((W107-U107)*1440,0)))</f>
        <v/>
      </c>
      <c r="AC107" s="38" t="str">
        <f aca="false">IF($A107="","",IF(AB107="","",MAX(0,AB107)))</f>
        <v/>
      </c>
      <c r="AD107" s="38" t="str">
        <f aca="false">IF($A107="","",IFERROR(ROUND((X107-W107)*1440,0),""))</f>
        <v/>
      </c>
      <c r="AE107" s="38" t="str">
        <f aca="false">IF($A107="","",IF(E107="Client","n/a",IFERROR(ROUND((H107-G107)*1440,0),"")))</f>
        <v/>
      </c>
      <c r="AF107" s="38" t="str">
        <f aca="false">IF($A107="","",IFERROR(ROUND((Y107-H107)*1440,0),""))</f>
        <v/>
      </c>
      <c r="AG107" s="38" t="str">
        <f aca="false">IF($A107="","",IFERROR(ROUND((H107-F107)*1440,0),""))</f>
        <v/>
      </c>
      <c r="AH107" s="38" t="str">
        <f aca="false">IF($A107="","",IFERROR(ROUND((Y107-V107)*1440,0),""))</f>
        <v/>
      </c>
      <c r="AI107" s="4" t="str">
        <f aca="false">IF($A107="","",IF(AH107="","",IF(AH107&gt;0,"Yes","No")))</f>
        <v/>
      </c>
      <c r="AJ107" s="4" t="str">
        <f aca="false">IF($A107="","",IF(AI107&lt;&gt;"Yes","On time",IF(N(AC107)&gt;=MAX(N(AF107),N(K107)),"Wait for analyst",IF(N(AF107)&gt;=N(K107),"External sign-off","Rework"))))</f>
        <v/>
      </c>
      <c r="AK107" s="4" t="str">
        <f aca="false">IF($A107="","",IF(OR(F107="",Y107="",ISNA(MATCH(L107,Dim_Analyst!$A:$A,0))),"CHECK","OK"))</f>
        <v/>
      </c>
      <c r="AL107" s="4" t="str">
        <f aca="false">IF($A107="","",IFERROR(VLOOKUP($C107,Dim_Fund!$A:$U,21,0),""))</f>
        <v/>
      </c>
      <c r="AM107" s="4" t="str">
        <f aca="false">IF($A107="","",IF($U107="","",IF($U107&gt;$B107+IFERROR(VLOOKUP($C107,Dim_Fund!$A:$AH,34,0),0)/24,"Yes","No")))</f>
        <v/>
      </c>
      <c r="AN107" s="22" t="str">
        <f aca="false">IF($A107="","",IFERROR(VLOOKUP($C107,Dim_Fund!$A:$AH,34,0),""))</f>
        <v/>
      </c>
      <c r="AO107" s="22" t="str">
        <f aca="false">IF($A107="","",IF($AL107="","",IFERROR(FLOOR(IF(COUNTIFS(Fact_Milestone!$A:$A,$B107,Fact_Milestone!$B:$B,$AL107,Fact_Milestone!$F:$F,"&gt;0")&gt;0,_xlfn.MINIFS(Fact_Milestone!$F:$F,Fact_Milestone!$A:$A,$B107,Fact_Milestone!$B:$B,$AL107,Fact_Milestone!$F:$F,"&gt;0"),VLOOKUP($AL107,Dim_TOP!$A:$E,5,0)),0.5),"")))</f>
        <v/>
      </c>
      <c r="AP107" s="22" t="str">
        <f aca="false">IF($A107="","",IF($U107="","",ROUND(($U107-INT($U107))*24,4)))</f>
        <v/>
      </c>
      <c r="AQ107" s="22" t="str">
        <f aca="false">IF($A107="","",IF($W107="","",ROUND(($W107-INT($W107))*24,4)))</f>
        <v/>
      </c>
      <c r="AR107" s="22" t="str">
        <f aca="false">IF($A107="","",IF($X107="","",ROUND(($X107-INT($X107))*24,4)))</f>
        <v/>
      </c>
      <c r="AS107" s="38" t="str">
        <f aca="false">IF($A107="","",IF(OR($AN107="",$V107="",$S107="",$T107=""),"",ROUND(($V107-($B107+$AN107/24))*1440-$S107-$T107,0)))</f>
        <v/>
      </c>
      <c r="AT107" s="38" t="str">
        <f aca="false">IF($A107="","",IF(OR($AN107="",$U107=""),"",ROUND(($U107-($B107+$AN107/24))*1440,0)))</f>
        <v/>
      </c>
      <c r="AU107" s="38" t="str">
        <f aca="false">IF($A107="","",IF(OR($AD107="",$S107=""),"",ROUND($AD107-$S107,0)))</f>
        <v/>
      </c>
      <c r="AV107" s="38" t="str">
        <f aca="false">IF($A107="","",N($AE107))</f>
        <v/>
      </c>
      <c r="AW107" s="38" t="str">
        <f aca="false">IF($A107="","",IF(OR($AF107="",$T107=""),"",$AF107-$T107))</f>
        <v/>
      </c>
      <c r="AX107" s="38" t="str">
        <f aca="false">IF($A107="","",IF(COUNT($AT107,$AB107,$AU107,$AW107,$AS107,$AH107)&lt;6,"",ROUND($AT107+$AB107+$AU107+$AV107+$AW107-$AS107-$AH107,0)))</f>
        <v/>
      </c>
      <c r="AY107" s="4" t="str">
        <f aca="false">IF($A107="","",IF($AX107="","No",IF(ABS($AX107)&lt;=2,"Yes","No")))</f>
        <v/>
      </c>
      <c r="AZ107" s="4" t="str">
        <f aca="false">IF($A107="","",IF($AI107&lt;&gt;"Yes","n/a",IF(OR($AA107="",$S107="",$T107=""),"Unknown",IF($AA107&lt;$S107+$T107,"Lost on arrival","Lost after arrival"))))</f>
        <v/>
      </c>
      <c r="BA107" s="10" t="str">
        <f aca="false">IF($A107="","",IFERROR(VLOOKUP($C107,Dim_Fund!$A:$D,4,0),""))</f>
        <v/>
      </c>
      <c r="BB107" s="10" t="str">
        <f aca="false">IF($A107="","",IF($AL107="","",IF(COUNTIFS(Fact_Milestone!$A:$A,$B107,Fact_Milestone!$B:$B,$AL107,Fact_Milestone!$I:$I,"No")&gt;0,"No",IF(COUNTIFS(Fact_Milestone!$A:$A,$B107,Fact_Milestone!$B:$B,$AL107,Fact_Milestone!$I:$I,"Yes")&gt;0,"Yes",""))))</f>
        <v/>
      </c>
      <c r="BC107" s="45" t="str">
        <f aca="false">IF($A107="","",IF(OR($L107="",$W107=""),"",IF(COUNTIFS($L:$L,$L107,$B:$B,$B107,$W:$W,"&lt;"&amp;$W107)=0,"",_xlfn.MAXIFS($W:$W,$L:$L,$L107,$B:$B,$B107,$W:$W,"&lt;"&amp;$W107))))</f>
        <v/>
      </c>
      <c r="BD107" s="39" t="str">
        <f aca="false">IF($A107="","",IF($AC107="","",IF(OR($L107="",$AC107=0),0,MIN($AC107,ROUND(ROUND(1440*SUMPRODUCT(($L$2:INDEX($L:$L,COUNTA($C:$C))=$L107)*($B$2:INDEX($B:$B,COUNTA($C:$C))=$B107)*(ROW($L$2:INDEX($L:$L,COUNTA($C:$C)))&lt;&gt;ROW())*((((($W107+$BT$2:INDEX($BT:$BT,COUNTA($C:$C))-ABS($W107-$BT$2:INDEX($BT:$BT,COUNTA($C:$C))))/2)-(($U107+$BS$2:INDEX($BS:$BS,COUNTA($C:$C))+ABS($U107-$BS$2:INDEX($BS:$BS,COUNTA($C:$C))))/2))+ABS(((($W107+$BT$2:INDEX($BT:$BT,COUNTA($C:$C))-ABS($W107-$BT$2:INDEX($BT:$BT,COUNTA($C:$C))))/2)-(($U107+$BS$2:INDEX($BS:$BS,COUNTA($C:$C))+ABS($U107-$BS$2:INDEX($BS:$BS,COUNTA($C:$C))))/2))))/2)),4),0)))))</f>
        <v/>
      </c>
      <c r="BE107" s="39" t="str">
        <f aca="false">IF($A107="","",IF($AC107="","",ROUND(MIN($AC107-$BD107,N($R107)),0)))</f>
        <v/>
      </c>
      <c r="BF107" s="10" t="str">
        <f aca="false">IF($A107="","",IFERROR(VLOOKUP($C107,Dim_Fund!$A:$BD,56,0),""))</f>
        <v/>
      </c>
      <c r="BG107" s="10" t="str">
        <f aca="false">IF($A107="","",IFERROR(VLOOKUP($C107,Dim_Fund!$A:$BH,60,0),""))</f>
        <v/>
      </c>
      <c r="BH107" s="10" t="str">
        <f aca="false">IF($A107="","",IF($AI107&lt;&gt;"Yes","Not breached",IF($AM107="Yes","Pricing late",IF($BG107="Thin custody slack","Thin custody slack",IF($BF107="Yes","Broker-dependent","None of these")))))</f>
        <v/>
      </c>
      <c r="BI107" s="23" t="str">
        <f aca="false">IF($A107="","",IFERROR(IF(VLOOKUP($C107,Dim_Fund!$A:$AI,35,0)&gt;0,VLOOKUP($C107,Dim_Fund!$A:$AI,35,0),""),""))</f>
        <v/>
      </c>
      <c r="BJ107" s="10" t="str">
        <f aca="false">IF($A107="","",$C107&amp;IF($E107="Client","*",""))</f>
        <v/>
      </c>
      <c r="BK107" s="39" t="str">
        <f aca="false">IF($A107="","",IFERROR(ROUND(($Y107-$X107)*1440,0),""))</f>
        <v/>
      </c>
      <c r="BL107" s="39" t="str">
        <f aca="false">IF($A107="","",IF($AH107="","",-$AH107))</f>
        <v/>
      </c>
      <c r="BM107" s="46" t="str">
        <f aca="false">IF($A107="","",IF($AQ107="","",IF($AP107="",$AQ107,MIN($AP107,$AQ107))))</f>
        <v/>
      </c>
      <c r="BN107" s="46" t="str">
        <f aca="false">IF($A107="","",IF($BM107="","",ROUND(N($AC107)/60,4)))</f>
        <v/>
      </c>
      <c r="BO107" s="46" t="str">
        <f aca="false">IF($A107="","",IF(OR($BM107="",$AD107=""),"",ROUND($AD107/60,4)))</f>
        <v/>
      </c>
      <c r="BP107" s="46" t="str">
        <f aca="false">IF($A107="","",IF($BM107="","",ROUND(N($AE107)/60,4)))</f>
        <v/>
      </c>
      <c r="BQ107" s="46" t="str">
        <f aca="false">IF($A107="","",IF(OR($BM107="",$AF107=""),"",ROUND($AF107/60,4)))</f>
        <v/>
      </c>
      <c r="BR107" s="39" t="str">
        <f aca="false">IF($A107="","",IF($AC107="","",$AC107-$BD107-$BE107))</f>
        <v/>
      </c>
      <c r="BS107" s="45" t="str">
        <f aca="false">IF($A107="","",IF(AND(ISNUMBER($Z107),ISNUMBER($W107)),$Z107,0))</f>
        <v/>
      </c>
      <c r="BT107" s="45" t="str">
        <f aca="false">IF($A107="","",IF(ISNUMBER($W107),$W107,0))</f>
        <v/>
      </c>
      <c r="BU107" s="23" t="str">
        <f aca="false">IF($A107="","",IF(ISNUMBER($W107),ROUND(($W107-$B107)*24,4),""))</f>
        <v/>
      </c>
      <c r="BV107" s="23" t="str">
        <f aca="false">IF($A107="","",IF(ISNUMBER($X107),ROUND(($X107-$B107)*24,4),""))</f>
        <v/>
      </c>
      <c r="BW107" s="10" t="str">
        <f aca="false">IF($A107="","",IF(NOT(ISNUMBER($W107)),"Missing Calculated",IF(NOT(ISNUMBER($X107)),IF($E107="Client","Missing FA signed off","Missing Controlled"),IF($X107&lt;$W107,"End before start","OK"))))</f>
        <v/>
      </c>
      <c r="BX107" s="23" t="str">
        <f aca="false">IF($A107="","",IF(NOT(ISNUMBER($Z107)),"",ROUND((IF(ISNUMBER($U107),MIN($U107,$Z107),$Z107)-$B107)*24,4)))</f>
        <v/>
      </c>
      <c r="BY107" s="23" t="str">
        <f aca="false">IF($A107="","",IF(ISNUMBER($Z107),ROUND(($Z107-$B107)*24,4),""))</f>
        <v/>
      </c>
      <c r="BZ107" s="23" t="str">
        <f aca="false">IF($A107="","",IF(AND(ISNUMBER($W107),ISNUMBER($S107)),ROUND(($W107+$S107/1440-$B107)*24,4),""))</f>
        <v/>
      </c>
    </row>
    <row r="108" customFormat="false" ht="15" hidden="false" customHeight="true" outlineLevel="0" collapsed="false">
      <c r="A108" s="47"/>
      <c r="B108" s="47"/>
      <c r="D108" s="4" t="str">
        <f aca="false">IF($A108="","",$B108-$A108)</f>
        <v/>
      </c>
      <c r="E108" s="4" t="str">
        <f aca="false">IF($A108="","",IFERROR(VLOOKUP($C108,Dim_Fund!$A:$X,24,0),""))</f>
        <v/>
      </c>
      <c r="F108" s="37" t="str">
        <f aca="false">IF($A108="","",IF(COUNTIFS(Status_Log!$A:$A,$A108,Status_Log!$B:$B,$B108,Status_Log!$C:$C,$C108,Status_Log!$D:$D,"Changed to the status of Calculated")=0,"",_xlfn.MINIFS(Status_Log!$E:$E,Status_Log!$A:$A,$A108,Status_Log!$B:$B,$B108,Status_Log!$C:$C,$C108,Status_Log!$D:$D,"Changed to the status of Calculated")))</f>
        <v/>
      </c>
      <c r="G108" s="37" t="str">
        <f aca="false">IF($A108="","",IF(COUNTIFS(Status_Log!$A:$A,$A108,Status_Log!$B:$B,$B108,Status_Log!$C:$C,$C108,Status_Log!$D:$D,"Changed to the status of Controlled")=0,"",_xlfn.MAXIFS(Status_Log!$E:$E,Status_Log!$A:$A,$A108,Status_Log!$B:$B,$B108,Status_Log!$C:$C,$C108,Status_Log!$D:$D,"Changed to the status of Controlled")))</f>
        <v/>
      </c>
      <c r="H108" s="37" t="str">
        <f aca="false">IF($A108="","",IF(COUNTIFS(Status_Log!$A:$A,$A108,Status_Log!$B:$B,$B108,Status_Log!$C:$C,$C108,Status_Log!$D:$D,"Changed to the status of Fund accounting signed off")=0,"",_xlfn.MAXIFS(Status_Log!$E:$E,Status_Log!$A:$A,$A108,Status_Log!$B:$B,$B108,Status_Log!$C:$C,$C108,Status_Log!$D:$D,"Changed to the status of Fund accounting signed off")))</f>
        <v/>
      </c>
      <c r="I108" s="37" t="str">
        <f aca="false">IF($A108="","",IF(COUNTIFS(Status_Log!$A:$A,$A108,Status_Log!$B:$B,$B108,Status_Log!$C:$C,$C108,Status_Log!$D:$D,"Changed to the status of signed off")=0,"",_xlfn.MAXIFS(Status_Log!$E:$E,Status_Log!$A:$A,$A108,Status_Log!$B:$B,$B108,Status_Log!$C:$C,$C108,Status_Log!$D:$D,"Changed to the status of signed off")))</f>
        <v/>
      </c>
      <c r="J108" s="4" t="str">
        <f aca="false">IF($A108="","",COUNTIFS(Status_Log!$A:$A,$A108,Status_Log!$B:$B,$B108,Status_Log!$C:$C,$C108,Status_Log!$D:$D,"Changed to the status of Calculated"))</f>
        <v/>
      </c>
      <c r="K108" s="38" t="str">
        <f aca="false">IF($A108="","",IF(J108&lt;=1,0,ROUND((_xlfn.MAXIFS(Status_Log!$E:$E,Status_Log!$A:$A,$A108,Status_Log!$B:$B,$B108,Status_Log!$C:$C,$C108,Status_Log!$D:$D,"Changed to the status of Calculated")-F108)*1440,0)))</f>
        <v/>
      </c>
      <c r="L108" s="4" t="str">
        <f aca="false">IF($A108="","",IFERROR(INDEX(Status_Log!$F:$F,MATCH($A108&amp;"|"&amp;$B108&amp;"|"&amp;$C108&amp;"|Changed to the status of Calculated|"&amp;TEXT(_xlfn.MAXIFS(Status_Log!$E:$E,Status_Log!$A:$A,$A108,Status_Log!$B:$B,$B108,Status_Log!$C:$C,$C108,Status_Log!$D:$D,"Changed to the status of Calculated"),"0.000000"),Status_Log!$H:$H,0)),""))</f>
        <v/>
      </c>
      <c r="M108" s="4" t="str">
        <f aca="false">IF($A108="","",IF(E108="Client","n/a — no control step",IFERROR(INDEX(Status_Log!$F:$F,MATCH($A108&amp;"|"&amp;$B108&amp;"|"&amp;$C108&amp;"|Changed to the status of Controlled|"&amp;TEXT(_xlfn.MAXIFS(Status_Log!$E:$E,Status_Log!$A:$A,$A108,Status_Log!$B:$B,$B108,Status_Log!$C:$C,$C108,Status_Log!$D:$D,"Changed to the status of Controlled"),"0.000000"),Status_Log!$H:$H,0)),"")))</f>
        <v/>
      </c>
      <c r="N108" s="4" t="str">
        <f aca="false">IF($A108="","",IFERROR(VLOOKUP($C108,Dim_Fund!$A:$G,7,0),""))</f>
        <v/>
      </c>
      <c r="O108" s="4" t="str">
        <f aca="false">IF($A108="","",IF(L108=N108,"No","Yes"))</f>
        <v/>
      </c>
      <c r="P108" s="4" t="str">
        <f aca="false">IF($A108="","",IF(E108="Client","n/a",IF(L108=M108,"YES — four-eyes breach","No")))</f>
        <v/>
      </c>
      <c r="Q108" s="38" t="str">
        <f aca="false">IF($A108="","",IFERROR(VLOOKUP($C108,Dim_Fund!$A:$AB,28,0),""))</f>
        <v/>
      </c>
      <c r="R108" s="38" t="str">
        <f aca="false">IF($A108="","",IFERROR(VLOOKUP($C108,Dim_Fund!$A:$AC,29,0),""))</f>
        <v/>
      </c>
      <c r="S108" s="38" t="str">
        <f aca="false">IF($A108="","",IFERROR(VLOOKUP($C108,Dim_Fund!$A:$AD,30,0),""))</f>
        <v/>
      </c>
      <c r="T108" s="38" t="str">
        <f aca="false">IF($A108="","",IFERROR(VLOOKUP($C108,Dim_Fund!$A:$AL,38,0),""))</f>
        <v/>
      </c>
      <c r="U108" s="37" t="str">
        <f aca="false">IF($A108="","",IF(AL108="","",IFERROR(IF(COUNTIFS(Fact_Milestone!$A:$A,$B108,Fact_Milestone!$B:$B,AL108)=0,"",_xlfn.MAXIFS(Fact_Milestone!$C:$C,Fact_Milestone!$A:$A,$B108,Fact_Milestone!$B:$B,AL108)),"")))</f>
        <v/>
      </c>
      <c r="V108" s="37" t="str">
        <f aca="false">IF($A108="","",IFERROR(IF(VLOOKUP($C108,Dim_Fund!$A:$AI,35,0)&gt;0,$B108+VLOOKUP($C108,Dim_Fund!$A:$AI,35,0)/24,""),""))</f>
        <v/>
      </c>
      <c r="W108" s="37" t="str">
        <f aca="false">IF($A108="","",F108)</f>
        <v/>
      </c>
      <c r="X108" s="37" t="str">
        <f aca="false">IF($A108="","",IF(E108="Client",H108,G108))</f>
        <v/>
      </c>
      <c r="Y108" s="37" t="str">
        <f aca="false">IF($A108="","",I108)</f>
        <v/>
      </c>
      <c r="Z108" s="37" t="str">
        <f aca="false">IF($A108="","",IFERROR(W108-R108/1440,""))</f>
        <v/>
      </c>
      <c r="AA108" s="38" t="str">
        <f aca="false">IF($A108="","",IF(OR(U108="",V108=""),"",ROUND((V108-U108)*1440,0)))</f>
        <v/>
      </c>
      <c r="AB108" s="38" t="str">
        <f aca="false">IF($A108="","",IF(U108="","",ROUND((W108-U108)*1440,0)))</f>
        <v/>
      </c>
      <c r="AC108" s="38" t="str">
        <f aca="false">IF($A108="","",IF(AB108="","",MAX(0,AB108)))</f>
        <v/>
      </c>
      <c r="AD108" s="38" t="str">
        <f aca="false">IF($A108="","",IFERROR(ROUND((X108-W108)*1440,0),""))</f>
        <v/>
      </c>
      <c r="AE108" s="38" t="str">
        <f aca="false">IF($A108="","",IF(E108="Client","n/a",IFERROR(ROUND((H108-G108)*1440,0),"")))</f>
        <v/>
      </c>
      <c r="AF108" s="38" t="str">
        <f aca="false">IF($A108="","",IFERROR(ROUND((Y108-H108)*1440,0),""))</f>
        <v/>
      </c>
      <c r="AG108" s="38" t="str">
        <f aca="false">IF($A108="","",IFERROR(ROUND((H108-F108)*1440,0),""))</f>
        <v/>
      </c>
      <c r="AH108" s="38" t="str">
        <f aca="false">IF($A108="","",IFERROR(ROUND((Y108-V108)*1440,0),""))</f>
        <v/>
      </c>
      <c r="AI108" s="4" t="str">
        <f aca="false">IF($A108="","",IF(AH108="","",IF(AH108&gt;0,"Yes","No")))</f>
        <v/>
      </c>
      <c r="AJ108" s="4" t="str">
        <f aca="false">IF($A108="","",IF(AI108&lt;&gt;"Yes","On time",IF(N(AC108)&gt;=MAX(N(AF108),N(K108)),"Wait for analyst",IF(N(AF108)&gt;=N(K108),"External sign-off","Rework"))))</f>
        <v/>
      </c>
      <c r="AK108" s="4" t="str">
        <f aca="false">IF($A108="","",IF(OR(F108="",Y108="",ISNA(MATCH(L108,Dim_Analyst!$A:$A,0))),"CHECK","OK"))</f>
        <v/>
      </c>
      <c r="AL108" s="4" t="str">
        <f aca="false">IF($A108="","",IFERROR(VLOOKUP($C108,Dim_Fund!$A:$U,21,0),""))</f>
        <v/>
      </c>
      <c r="AM108" s="4" t="str">
        <f aca="false">IF($A108="","",IF($U108="","",IF($U108&gt;$B108+IFERROR(VLOOKUP($C108,Dim_Fund!$A:$AH,34,0),0)/24,"Yes","No")))</f>
        <v/>
      </c>
      <c r="AN108" s="22" t="str">
        <f aca="false">IF($A108="","",IFERROR(VLOOKUP($C108,Dim_Fund!$A:$AH,34,0),""))</f>
        <v/>
      </c>
      <c r="AO108" s="22" t="str">
        <f aca="false">IF($A108="","",IF($AL108="","",IFERROR(FLOOR(IF(COUNTIFS(Fact_Milestone!$A:$A,$B108,Fact_Milestone!$B:$B,$AL108,Fact_Milestone!$F:$F,"&gt;0")&gt;0,_xlfn.MINIFS(Fact_Milestone!$F:$F,Fact_Milestone!$A:$A,$B108,Fact_Milestone!$B:$B,$AL108,Fact_Milestone!$F:$F,"&gt;0"),VLOOKUP($AL108,Dim_TOP!$A:$E,5,0)),0.5),"")))</f>
        <v/>
      </c>
      <c r="AP108" s="22" t="str">
        <f aca="false">IF($A108="","",IF($U108="","",ROUND(($U108-INT($U108))*24,4)))</f>
        <v/>
      </c>
      <c r="AQ108" s="22" t="str">
        <f aca="false">IF($A108="","",IF($W108="","",ROUND(($W108-INT($W108))*24,4)))</f>
        <v/>
      </c>
      <c r="AR108" s="22" t="str">
        <f aca="false">IF($A108="","",IF($X108="","",ROUND(($X108-INT($X108))*24,4)))</f>
        <v/>
      </c>
      <c r="AS108" s="38" t="str">
        <f aca="false">IF($A108="","",IF(OR($AN108="",$V108="",$S108="",$T108=""),"",ROUND(($V108-($B108+$AN108/24))*1440-$S108-$T108,0)))</f>
        <v/>
      </c>
      <c r="AT108" s="38" t="str">
        <f aca="false">IF($A108="","",IF(OR($AN108="",$U108=""),"",ROUND(($U108-($B108+$AN108/24))*1440,0)))</f>
        <v/>
      </c>
      <c r="AU108" s="38" t="str">
        <f aca="false">IF($A108="","",IF(OR($AD108="",$S108=""),"",ROUND($AD108-$S108,0)))</f>
        <v/>
      </c>
      <c r="AV108" s="38" t="str">
        <f aca="false">IF($A108="","",N($AE108))</f>
        <v/>
      </c>
      <c r="AW108" s="38" t="str">
        <f aca="false">IF($A108="","",IF(OR($AF108="",$T108=""),"",$AF108-$T108))</f>
        <v/>
      </c>
      <c r="AX108" s="38" t="str">
        <f aca="false">IF($A108="","",IF(COUNT($AT108,$AB108,$AU108,$AW108,$AS108,$AH108)&lt;6,"",ROUND($AT108+$AB108+$AU108+$AV108+$AW108-$AS108-$AH108,0)))</f>
        <v/>
      </c>
      <c r="AY108" s="4" t="str">
        <f aca="false">IF($A108="","",IF($AX108="","No",IF(ABS($AX108)&lt;=2,"Yes","No")))</f>
        <v/>
      </c>
      <c r="AZ108" s="4" t="str">
        <f aca="false">IF($A108="","",IF($AI108&lt;&gt;"Yes","n/a",IF(OR($AA108="",$S108="",$T108=""),"Unknown",IF($AA108&lt;$S108+$T108,"Lost on arrival","Lost after arrival"))))</f>
        <v/>
      </c>
      <c r="BA108" s="10" t="str">
        <f aca="false">IF($A108="","",IFERROR(VLOOKUP($C108,Dim_Fund!$A:$D,4,0),""))</f>
        <v/>
      </c>
      <c r="BB108" s="10" t="str">
        <f aca="false">IF($A108="","",IF($AL108="","",IF(COUNTIFS(Fact_Milestone!$A:$A,$B108,Fact_Milestone!$B:$B,$AL108,Fact_Milestone!$I:$I,"No")&gt;0,"No",IF(COUNTIFS(Fact_Milestone!$A:$A,$B108,Fact_Milestone!$B:$B,$AL108,Fact_Milestone!$I:$I,"Yes")&gt;0,"Yes",""))))</f>
        <v/>
      </c>
      <c r="BC108" s="45" t="str">
        <f aca="false">IF($A108="","",IF(OR($L108="",$W108=""),"",IF(COUNTIFS($L:$L,$L108,$B:$B,$B108,$W:$W,"&lt;"&amp;$W108)=0,"",_xlfn.MAXIFS($W:$W,$L:$L,$L108,$B:$B,$B108,$W:$W,"&lt;"&amp;$W108))))</f>
        <v/>
      </c>
      <c r="BD108" s="39" t="str">
        <f aca="false">IF($A108="","",IF($AC108="","",IF(OR($L108="",$AC108=0),0,MIN($AC108,ROUND(ROUND(1440*SUMPRODUCT(($L$2:INDEX($L:$L,COUNTA($C:$C))=$L108)*($B$2:INDEX($B:$B,COUNTA($C:$C))=$B108)*(ROW($L$2:INDEX($L:$L,COUNTA($C:$C)))&lt;&gt;ROW())*((((($W108+$BT$2:INDEX($BT:$BT,COUNTA($C:$C))-ABS($W108-$BT$2:INDEX($BT:$BT,COUNTA($C:$C))))/2)-(($U108+$BS$2:INDEX($BS:$BS,COUNTA($C:$C))+ABS($U108-$BS$2:INDEX($BS:$BS,COUNTA($C:$C))))/2))+ABS(((($W108+$BT$2:INDEX($BT:$BT,COUNTA($C:$C))-ABS($W108-$BT$2:INDEX($BT:$BT,COUNTA($C:$C))))/2)-(($U108+$BS$2:INDEX($BS:$BS,COUNTA($C:$C))+ABS($U108-$BS$2:INDEX($BS:$BS,COUNTA($C:$C))))/2))))/2)),4),0)))))</f>
        <v/>
      </c>
      <c r="BE108" s="39" t="str">
        <f aca="false">IF($A108="","",IF($AC108="","",ROUND(MIN($AC108-$BD108,N($R108)),0)))</f>
        <v/>
      </c>
      <c r="BF108" s="10" t="str">
        <f aca="false">IF($A108="","",IFERROR(VLOOKUP($C108,Dim_Fund!$A:$BD,56,0),""))</f>
        <v/>
      </c>
      <c r="BG108" s="10" t="str">
        <f aca="false">IF($A108="","",IFERROR(VLOOKUP($C108,Dim_Fund!$A:$BH,60,0),""))</f>
        <v/>
      </c>
      <c r="BH108" s="10" t="str">
        <f aca="false">IF($A108="","",IF($AI108&lt;&gt;"Yes","Not breached",IF($AM108="Yes","Pricing late",IF($BG108="Thin custody slack","Thin custody slack",IF($BF108="Yes","Broker-dependent","None of these")))))</f>
        <v/>
      </c>
      <c r="BI108" s="23" t="str">
        <f aca="false">IF($A108="","",IFERROR(IF(VLOOKUP($C108,Dim_Fund!$A:$AI,35,0)&gt;0,VLOOKUP($C108,Dim_Fund!$A:$AI,35,0),""),""))</f>
        <v/>
      </c>
      <c r="BJ108" s="10" t="str">
        <f aca="false">IF($A108="","",$C108&amp;IF($E108="Client","*",""))</f>
        <v/>
      </c>
      <c r="BK108" s="39" t="str">
        <f aca="false">IF($A108="","",IFERROR(ROUND(($Y108-$X108)*1440,0),""))</f>
        <v/>
      </c>
      <c r="BL108" s="39" t="str">
        <f aca="false">IF($A108="","",IF($AH108="","",-$AH108))</f>
        <v/>
      </c>
      <c r="BM108" s="46" t="str">
        <f aca="false">IF($A108="","",IF($AQ108="","",IF($AP108="",$AQ108,MIN($AP108,$AQ108))))</f>
        <v/>
      </c>
      <c r="BN108" s="46" t="str">
        <f aca="false">IF($A108="","",IF($BM108="","",ROUND(N($AC108)/60,4)))</f>
        <v/>
      </c>
      <c r="BO108" s="46" t="str">
        <f aca="false">IF($A108="","",IF(OR($BM108="",$AD108=""),"",ROUND($AD108/60,4)))</f>
        <v/>
      </c>
      <c r="BP108" s="46" t="str">
        <f aca="false">IF($A108="","",IF($BM108="","",ROUND(N($AE108)/60,4)))</f>
        <v/>
      </c>
      <c r="BQ108" s="46" t="str">
        <f aca="false">IF($A108="","",IF(OR($BM108="",$AF108=""),"",ROUND($AF108/60,4)))</f>
        <v/>
      </c>
      <c r="BR108" s="39" t="str">
        <f aca="false">IF($A108="","",IF($AC108="","",$AC108-$BD108-$BE108))</f>
        <v/>
      </c>
      <c r="BS108" s="45" t="str">
        <f aca="false">IF($A108="","",IF(AND(ISNUMBER($Z108),ISNUMBER($W108)),$Z108,0))</f>
        <v/>
      </c>
      <c r="BT108" s="45" t="str">
        <f aca="false">IF($A108="","",IF(ISNUMBER($W108),$W108,0))</f>
        <v/>
      </c>
      <c r="BU108" s="23" t="str">
        <f aca="false">IF($A108="","",IF(ISNUMBER($W108),ROUND(($W108-$B108)*24,4),""))</f>
        <v/>
      </c>
      <c r="BV108" s="23" t="str">
        <f aca="false">IF($A108="","",IF(ISNUMBER($X108),ROUND(($X108-$B108)*24,4),""))</f>
        <v/>
      </c>
      <c r="BW108" s="10" t="str">
        <f aca="false">IF($A108="","",IF(NOT(ISNUMBER($W108)),"Missing Calculated",IF(NOT(ISNUMBER($X108)),IF($E108="Client","Missing FA signed off","Missing Controlled"),IF($X108&lt;$W108,"End before start","OK"))))</f>
        <v/>
      </c>
      <c r="BX108" s="23" t="str">
        <f aca="false">IF($A108="","",IF(NOT(ISNUMBER($Z108)),"",ROUND((IF(ISNUMBER($U108),MIN($U108,$Z108),$Z108)-$B108)*24,4)))</f>
        <v/>
      </c>
      <c r="BY108" s="23" t="str">
        <f aca="false">IF($A108="","",IF(ISNUMBER($Z108),ROUND(($Z108-$B108)*24,4),""))</f>
        <v/>
      </c>
      <c r="BZ108" s="23" t="str">
        <f aca="false">IF($A108="","",IF(AND(ISNUMBER($W108),ISNUMBER($S108)),ROUND(($W108+$S108/1440-$B108)*24,4),""))</f>
        <v/>
      </c>
    </row>
    <row r="109" customFormat="false" ht="15" hidden="false" customHeight="true" outlineLevel="0" collapsed="false">
      <c r="A109" s="47"/>
      <c r="B109" s="47"/>
      <c r="D109" s="4" t="str">
        <f aca="false">IF($A109="","",$B109-$A109)</f>
        <v/>
      </c>
      <c r="E109" s="4" t="str">
        <f aca="false">IF($A109="","",IFERROR(VLOOKUP($C109,Dim_Fund!$A:$X,24,0),""))</f>
        <v/>
      </c>
      <c r="F109" s="37" t="str">
        <f aca="false">IF($A109="","",IF(COUNTIFS(Status_Log!$A:$A,$A109,Status_Log!$B:$B,$B109,Status_Log!$C:$C,$C109,Status_Log!$D:$D,"Changed to the status of Calculated")=0,"",_xlfn.MINIFS(Status_Log!$E:$E,Status_Log!$A:$A,$A109,Status_Log!$B:$B,$B109,Status_Log!$C:$C,$C109,Status_Log!$D:$D,"Changed to the status of Calculated")))</f>
        <v/>
      </c>
      <c r="G109" s="37" t="str">
        <f aca="false">IF($A109="","",IF(COUNTIFS(Status_Log!$A:$A,$A109,Status_Log!$B:$B,$B109,Status_Log!$C:$C,$C109,Status_Log!$D:$D,"Changed to the status of Controlled")=0,"",_xlfn.MAXIFS(Status_Log!$E:$E,Status_Log!$A:$A,$A109,Status_Log!$B:$B,$B109,Status_Log!$C:$C,$C109,Status_Log!$D:$D,"Changed to the status of Controlled")))</f>
        <v/>
      </c>
      <c r="H109" s="37" t="str">
        <f aca="false">IF($A109="","",IF(COUNTIFS(Status_Log!$A:$A,$A109,Status_Log!$B:$B,$B109,Status_Log!$C:$C,$C109,Status_Log!$D:$D,"Changed to the status of Fund accounting signed off")=0,"",_xlfn.MAXIFS(Status_Log!$E:$E,Status_Log!$A:$A,$A109,Status_Log!$B:$B,$B109,Status_Log!$C:$C,$C109,Status_Log!$D:$D,"Changed to the status of Fund accounting signed off")))</f>
        <v/>
      </c>
      <c r="I109" s="37" t="str">
        <f aca="false">IF($A109="","",IF(COUNTIFS(Status_Log!$A:$A,$A109,Status_Log!$B:$B,$B109,Status_Log!$C:$C,$C109,Status_Log!$D:$D,"Changed to the status of signed off")=0,"",_xlfn.MAXIFS(Status_Log!$E:$E,Status_Log!$A:$A,$A109,Status_Log!$B:$B,$B109,Status_Log!$C:$C,$C109,Status_Log!$D:$D,"Changed to the status of signed off")))</f>
        <v/>
      </c>
      <c r="J109" s="4" t="str">
        <f aca="false">IF($A109="","",COUNTIFS(Status_Log!$A:$A,$A109,Status_Log!$B:$B,$B109,Status_Log!$C:$C,$C109,Status_Log!$D:$D,"Changed to the status of Calculated"))</f>
        <v/>
      </c>
      <c r="K109" s="38" t="str">
        <f aca="false">IF($A109="","",IF(J109&lt;=1,0,ROUND((_xlfn.MAXIFS(Status_Log!$E:$E,Status_Log!$A:$A,$A109,Status_Log!$B:$B,$B109,Status_Log!$C:$C,$C109,Status_Log!$D:$D,"Changed to the status of Calculated")-F109)*1440,0)))</f>
        <v/>
      </c>
      <c r="L109" s="4" t="str">
        <f aca="false">IF($A109="","",IFERROR(INDEX(Status_Log!$F:$F,MATCH($A109&amp;"|"&amp;$B109&amp;"|"&amp;$C109&amp;"|Changed to the status of Calculated|"&amp;TEXT(_xlfn.MAXIFS(Status_Log!$E:$E,Status_Log!$A:$A,$A109,Status_Log!$B:$B,$B109,Status_Log!$C:$C,$C109,Status_Log!$D:$D,"Changed to the status of Calculated"),"0.000000"),Status_Log!$H:$H,0)),""))</f>
        <v/>
      </c>
      <c r="M109" s="4" t="str">
        <f aca="false">IF($A109="","",IF(E109="Client","n/a — no control step",IFERROR(INDEX(Status_Log!$F:$F,MATCH($A109&amp;"|"&amp;$B109&amp;"|"&amp;$C109&amp;"|Changed to the status of Controlled|"&amp;TEXT(_xlfn.MAXIFS(Status_Log!$E:$E,Status_Log!$A:$A,$A109,Status_Log!$B:$B,$B109,Status_Log!$C:$C,$C109,Status_Log!$D:$D,"Changed to the status of Controlled"),"0.000000"),Status_Log!$H:$H,0)),"")))</f>
        <v/>
      </c>
      <c r="N109" s="4" t="str">
        <f aca="false">IF($A109="","",IFERROR(VLOOKUP($C109,Dim_Fund!$A:$G,7,0),""))</f>
        <v/>
      </c>
      <c r="O109" s="4" t="str">
        <f aca="false">IF($A109="","",IF(L109=N109,"No","Yes"))</f>
        <v/>
      </c>
      <c r="P109" s="4" t="str">
        <f aca="false">IF($A109="","",IF(E109="Client","n/a",IF(L109=M109,"YES — four-eyes breach","No")))</f>
        <v/>
      </c>
      <c r="Q109" s="38" t="str">
        <f aca="false">IF($A109="","",IFERROR(VLOOKUP($C109,Dim_Fund!$A:$AB,28,0),""))</f>
        <v/>
      </c>
      <c r="R109" s="38" t="str">
        <f aca="false">IF($A109="","",IFERROR(VLOOKUP($C109,Dim_Fund!$A:$AC,29,0),""))</f>
        <v/>
      </c>
      <c r="S109" s="38" t="str">
        <f aca="false">IF($A109="","",IFERROR(VLOOKUP($C109,Dim_Fund!$A:$AD,30,0),""))</f>
        <v/>
      </c>
      <c r="T109" s="38" t="str">
        <f aca="false">IF($A109="","",IFERROR(VLOOKUP($C109,Dim_Fund!$A:$AL,38,0),""))</f>
        <v/>
      </c>
      <c r="U109" s="37" t="str">
        <f aca="false">IF($A109="","",IF(AL109="","",IFERROR(IF(COUNTIFS(Fact_Milestone!$A:$A,$B109,Fact_Milestone!$B:$B,AL109)=0,"",_xlfn.MAXIFS(Fact_Milestone!$C:$C,Fact_Milestone!$A:$A,$B109,Fact_Milestone!$B:$B,AL109)),"")))</f>
        <v/>
      </c>
      <c r="V109" s="37" t="str">
        <f aca="false">IF($A109="","",IFERROR(IF(VLOOKUP($C109,Dim_Fund!$A:$AI,35,0)&gt;0,$B109+VLOOKUP($C109,Dim_Fund!$A:$AI,35,0)/24,""),""))</f>
        <v/>
      </c>
      <c r="W109" s="37" t="str">
        <f aca="false">IF($A109="","",F109)</f>
        <v/>
      </c>
      <c r="X109" s="37" t="str">
        <f aca="false">IF($A109="","",IF(E109="Client",H109,G109))</f>
        <v/>
      </c>
      <c r="Y109" s="37" t="str">
        <f aca="false">IF($A109="","",I109)</f>
        <v/>
      </c>
      <c r="Z109" s="37" t="str">
        <f aca="false">IF($A109="","",IFERROR(W109-R109/1440,""))</f>
        <v/>
      </c>
      <c r="AA109" s="38" t="str">
        <f aca="false">IF($A109="","",IF(OR(U109="",V109=""),"",ROUND((V109-U109)*1440,0)))</f>
        <v/>
      </c>
      <c r="AB109" s="38" t="str">
        <f aca="false">IF($A109="","",IF(U109="","",ROUND((W109-U109)*1440,0)))</f>
        <v/>
      </c>
      <c r="AC109" s="38" t="str">
        <f aca="false">IF($A109="","",IF(AB109="","",MAX(0,AB109)))</f>
        <v/>
      </c>
      <c r="AD109" s="38" t="str">
        <f aca="false">IF($A109="","",IFERROR(ROUND((X109-W109)*1440,0),""))</f>
        <v/>
      </c>
      <c r="AE109" s="38" t="str">
        <f aca="false">IF($A109="","",IF(E109="Client","n/a",IFERROR(ROUND((H109-G109)*1440,0),"")))</f>
        <v/>
      </c>
      <c r="AF109" s="38" t="str">
        <f aca="false">IF($A109="","",IFERROR(ROUND((Y109-H109)*1440,0),""))</f>
        <v/>
      </c>
      <c r="AG109" s="38" t="str">
        <f aca="false">IF($A109="","",IFERROR(ROUND((H109-F109)*1440,0),""))</f>
        <v/>
      </c>
      <c r="AH109" s="38" t="str">
        <f aca="false">IF($A109="","",IFERROR(ROUND((Y109-V109)*1440,0),""))</f>
        <v/>
      </c>
      <c r="AI109" s="4" t="str">
        <f aca="false">IF($A109="","",IF(AH109="","",IF(AH109&gt;0,"Yes","No")))</f>
        <v/>
      </c>
      <c r="AJ109" s="4" t="str">
        <f aca="false">IF($A109="","",IF(AI109&lt;&gt;"Yes","On time",IF(N(AC109)&gt;=MAX(N(AF109),N(K109)),"Wait for analyst",IF(N(AF109)&gt;=N(K109),"External sign-off","Rework"))))</f>
        <v/>
      </c>
      <c r="AK109" s="4" t="str">
        <f aca="false">IF($A109="","",IF(OR(F109="",Y109="",ISNA(MATCH(L109,Dim_Analyst!$A:$A,0))),"CHECK","OK"))</f>
        <v/>
      </c>
      <c r="AL109" s="4" t="str">
        <f aca="false">IF($A109="","",IFERROR(VLOOKUP($C109,Dim_Fund!$A:$U,21,0),""))</f>
        <v/>
      </c>
      <c r="AM109" s="4" t="str">
        <f aca="false">IF($A109="","",IF($U109="","",IF($U109&gt;$B109+IFERROR(VLOOKUP($C109,Dim_Fund!$A:$AH,34,0),0)/24,"Yes","No")))</f>
        <v/>
      </c>
      <c r="AN109" s="22" t="str">
        <f aca="false">IF($A109="","",IFERROR(VLOOKUP($C109,Dim_Fund!$A:$AH,34,0),""))</f>
        <v/>
      </c>
      <c r="AO109" s="22" t="str">
        <f aca="false">IF($A109="","",IF($AL109="","",IFERROR(FLOOR(IF(COUNTIFS(Fact_Milestone!$A:$A,$B109,Fact_Milestone!$B:$B,$AL109,Fact_Milestone!$F:$F,"&gt;0")&gt;0,_xlfn.MINIFS(Fact_Milestone!$F:$F,Fact_Milestone!$A:$A,$B109,Fact_Milestone!$B:$B,$AL109,Fact_Milestone!$F:$F,"&gt;0"),VLOOKUP($AL109,Dim_TOP!$A:$E,5,0)),0.5),"")))</f>
        <v/>
      </c>
      <c r="AP109" s="22" t="str">
        <f aca="false">IF($A109="","",IF($U109="","",ROUND(($U109-INT($U109))*24,4)))</f>
        <v/>
      </c>
      <c r="AQ109" s="22" t="str">
        <f aca="false">IF($A109="","",IF($W109="","",ROUND(($W109-INT($W109))*24,4)))</f>
        <v/>
      </c>
      <c r="AR109" s="22" t="str">
        <f aca="false">IF($A109="","",IF($X109="","",ROUND(($X109-INT($X109))*24,4)))</f>
        <v/>
      </c>
      <c r="AS109" s="38" t="str">
        <f aca="false">IF($A109="","",IF(OR($AN109="",$V109="",$S109="",$T109=""),"",ROUND(($V109-($B109+$AN109/24))*1440-$S109-$T109,0)))</f>
        <v/>
      </c>
      <c r="AT109" s="38" t="str">
        <f aca="false">IF($A109="","",IF(OR($AN109="",$U109=""),"",ROUND(($U109-($B109+$AN109/24))*1440,0)))</f>
        <v/>
      </c>
      <c r="AU109" s="38" t="str">
        <f aca="false">IF($A109="","",IF(OR($AD109="",$S109=""),"",ROUND($AD109-$S109,0)))</f>
        <v/>
      </c>
      <c r="AV109" s="38" t="str">
        <f aca="false">IF($A109="","",N($AE109))</f>
        <v/>
      </c>
      <c r="AW109" s="38" t="str">
        <f aca="false">IF($A109="","",IF(OR($AF109="",$T109=""),"",$AF109-$T109))</f>
        <v/>
      </c>
      <c r="AX109" s="38" t="str">
        <f aca="false">IF($A109="","",IF(COUNT($AT109,$AB109,$AU109,$AW109,$AS109,$AH109)&lt;6,"",ROUND($AT109+$AB109+$AU109+$AV109+$AW109-$AS109-$AH109,0)))</f>
        <v/>
      </c>
      <c r="AY109" s="4" t="str">
        <f aca="false">IF($A109="","",IF($AX109="","No",IF(ABS($AX109)&lt;=2,"Yes","No")))</f>
        <v/>
      </c>
      <c r="AZ109" s="4" t="str">
        <f aca="false">IF($A109="","",IF($AI109&lt;&gt;"Yes","n/a",IF(OR($AA109="",$S109="",$T109=""),"Unknown",IF($AA109&lt;$S109+$T109,"Lost on arrival","Lost after arrival"))))</f>
        <v/>
      </c>
      <c r="BA109" s="10" t="str">
        <f aca="false">IF($A109="","",IFERROR(VLOOKUP($C109,Dim_Fund!$A:$D,4,0),""))</f>
        <v/>
      </c>
      <c r="BB109" s="10" t="str">
        <f aca="false">IF($A109="","",IF($AL109="","",IF(COUNTIFS(Fact_Milestone!$A:$A,$B109,Fact_Milestone!$B:$B,$AL109,Fact_Milestone!$I:$I,"No")&gt;0,"No",IF(COUNTIFS(Fact_Milestone!$A:$A,$B109,Fact_Milestone!$B:$B,$AL109,Fact_Milestone!$I:$I,"Yes")&gt;0,"Yes",""))))</f>
        <v/>
      </c>
      <c r="BC109" s="45" t="str">
        <f aca="false">IF($A109="","",IF(OR($L109="",$W109=""),"",IF(COUNTIFS($L:$L,$L109,$B:$B,$B109,$W:$W,"&lt;"&amp;$W109)=0,"",_xlfn.MAXIFS($W:$W,$L:$L,$L109,$B:$B,$B109,$W:$W,"&lt;"&amp;$W109))))</f>
        <v/>
      </c>
      <c r="BD109" s="39" t="str">
        <f aca="false">IF($A109="","",IF($AC109="","",IF(OR($L109="",$AC109=0),0,MIN($AC109,ROUND(ROUND(1440*SUMPRODUCT(($L$2:INDEX($L:$L,COUNTA($C:$C))=$L109)*($B$2:INDEX($B:$B,COUNTA($C:$C))=$B109)*(ROW($L$2:INDEX($L:$L,COUNTA($C:$C)))&lt;&gt;ROW())*((((($W109+$BT$2:INDEX($BT:$BT,COUNTA($C:$C))-ABS($W109-$BT$2:INDEX($BT:$BT,COUNTA($C:$C))))/2)-(($U109+$BS$2:INDEX($BS:$BS,COUNTA($C:$C))+ABS($U109-$BS$2:INDEX($BS:$BS,COUNTA($C:$C))))/2))+ABS(((($W109+$BT$2:INDEX($BT:$BT,COUNTA($C:$C))-ABS($W109-$BT$2:INDEX($BT:$BT,COUNTA($C:$C))))/2)-(($U109+$BS$2:INDEX($BS:$BS,COUNTA($C:$C))+ABS($U109-$BS$2:INDEX($BS:$BS,COUNTA($C:$C))))/2))))/2)),4),0)))))</f>
        <v/>
      </c>
      <c r="BE109" s="39" t="str">
        <f aca="false">IF($A109="","",IF($AC109="","",ROUND(MIN($AC109-$BD109,N($R109)),0)))</f>
        <v/>
      </c>
      <c r="BF109" s="10" t="str">
        <f aca="false">IF($A109="","",IFERROR(VLOOKUP($C109,Dim_Fund!$A:$BD,56,0),""))</f>
        <v/>
      </c>
      <c r="BG109" s="10" t="str">
        <f aca="false">IF($A109="","",IFERROR(VLOOKUP($C109,Dim_Fund!$A:$BH,60,0),""))</f>
        <v/>
      </c>
      <c r="BH109" s="10" t="str">
        <f aca="false">IF($A109="","",IF($AI109&lt;&gt;"Yes","Not breached",IF($AM109="Yes","Pricing late",IF($BG109="Thin custody slack","Thin custody slack",IF($BF109="Yes","Broker-dependent","None of these")))))</f>
        <v/>
      </c>
      <c r="BI109" s="23" t="str">
        <f aca="false">IF($A109="","",IFERROR(IF(VLOOKUP($C109,Dim_Fund!$A:$AI,35,0)&gt;0,VLOOKUP($C109,Dim_Fund!$A:$AI,35,0),""),""))</f>
        <v/>
      </c>
      <c r="BJ109" s="10" t="str">
        <f aca="false">IF($A109="","",$C109&amp;IF($E109="Client","*",""))</f>
        <v/>
      </c>
      <c r="BK109" s="39" t="str">
        <f aca="false">IF($A109="","",IFERROR(ROUND(($Y109-$X109)*1440,0),""))</f>
        <v/>
      </c>
      <c r="BL109" s="39" t="str">
        <f aca="false">IF($A109="","",IF($AH109="","",-$AH109))</f>
        <v/>
      </c>
      <c r="BM109" s="46" t="str">
        <f aca="false">IF($A109="","",IF($AQ109="","",IF($AP109="",$AQ109,MIN($AP109,$AQ109))))</f>
        <v/>
      </c>
      <c r="BN109" s="46" t="str">
        <f aca="false">IF($A109="","",IF($BM109="","",ROUND(N($AC109)/60,4)))</f>
        <v/>
      </c>
      <c r="BO109" s="46" t="str">
        <f aca="false">IF($A109="","",IF(OR($BM109="",$AD109=""),"",ROUND($AD109/60,4)))</f>
        <v/>
      </c>
      <c r="BP109" s="46" t="str">
        <f aca="false">IF($A109="","",IF($BM109="","",ROUND(N($AE109)/60,4)))</f>
        <v/>
      </c>
      <c r="BQ109" s="46" t="str">
        <f aca="false">IF($A109="","",IF(OR($BM109="",$AF109=""),"",ROUND($AF109/60,4)))</f>
        <v/>
      </c>
      <c r="BR109" s="39" t="str">
        <f aca="false">IF($A109="","",IF($AC109="","",$AC109-$BD109-$BE109))</f>
        <v/>
      </c>
      <c r="BS109" s="45" t="str">
        <f aca="false">IF($A109="","",IF(AND(ISNUMBER($Z109),ISNUMBER($W109)),$Z109,0))</f>
        <v/>
      </c>
      <c r="BT109" s="45" t="str">
        <f aca="false">IF($A109="","",IF(ISNUMBER($W109),$W109,0))</f>
        <v/>
      </c>
      <c r="BU109" s="23" t="str">
        <f aca="false">IF($A109="","",IF(ISNUMBER($W109),ROUND(($W109-$B109)*24,4),""))</f>
        <v/>
      </c>
      <c r="BV109" s="23" t="str">
        <f aca="false">IF($A109="","",IF(ISNUMBER($X109),ROUND(($X109-$B109)*24,4),""))</f>
        <v/>
      </c>
      <c r="BW109" s="10" t="str">
        <f aca="false">IF($A109="","",IF(NOT(ISNUMBER($W109)),"Missing Calculated",IF(NOT(ISNUMBER($X109)),IF($E109="Client","Missing FA signed off","Missing Controlled"),IF($X109&lt;$W109,"End before start","OK"))))</f>
        <v/>
      </c>
      <c r="BX109" s="23" t="str">
        <f aca="false">IF($A109="","",IF(NOT(ISNUMBER($Z109)),"",ROUND((IF(ISNUMBER($U109),MIN($U109,$Z109),$Z109)-$B109)*24,4)))</f>
        <v/>
      </c>
      <c r="BY109" s="23" t="str">
        <f aca="false">IF($A109="","",IF(ISNUMBER($Z109),ROUND(($Z109-$B109)*24,4),""))</f>
        <v/>
      </c>
      <c r="BZ109" s="23" t="str">
        <f aca="false">IF($A109="","",IF(AND(ISNUMBER($W109),ISNUMBER($S109)),ROUND(($W109+$S109/1440-$B109)*24,4),""))</f>
        <v/>
      </c>
    </row>
    <row r="110" customFormat="false" ht="15" hidden="false" customHeight="true" outlineLevel="0" collapsed="false">
      <c r="A110" s="47"/>
      <c r="B110" s="47"/>
      <c r="D110" s="4" t="str">
        <f aca="false">IF($A110="","",$B110-$A110)</f>
        <v/>
      </c>
      <c r="E110" s="4" t="str">
        <f aca="false">IF($A110="","",IFERROR(VLOOKUP($C110,Dim_Fund!$A:$X,24,0),""))</f>
        <v/>
      </c>
      <c r="F110" s="37" t="str">
        <f aca="false">IF($A110="","",IF(COUNTIFS(Status_Log!$A:$A,$A110,Status_Log!$B:$B,$B110,Status_Log!$C:$C,$C110,Status_Log!$D:$D,"Changed to the status of Calculated")=0,"",_xlfn.MINIFS(Status_Log!$E:$E,Status_Log!$A:$A,$A110,Status_Log!$B:$B,$B110,Status_Log!$C:$C,$C110,Status_Log!$D:$D,"Changed to the status of Calculated")))</f>
        <v/>
      </c>
      <c r="G110" s="37" t="str">
        <f aca="false">IF($A110="","",IF(COUNTIFS(Status_Log!$A:$A,$A110,Status_Log!$B:$B,$B110,Status_Log!$C:$C,$C110,Status_Log!$D:$D,"Changed to the status of Controlled")=0,"",_xlfn.MAXIFS(Status_Log!$E:$E,Status_Log!$A:$A,$A110,Status_Log!$B:$B,$B110,Status_Log!$C:$C,$C110,Status_Log!$D:$D,"Changed to the status of Controlled")))</f>
        <v/>
      </c>
      <c r="H110" s="37" t="str">
        <f aca="false">IF($A110="","",IF(COUNTIFS(Status_Log!$A:$A,$A110,Status_Log!$B:$B,$B110,Status_Log!$C:$C,$C110,Status_Log!$D:$D,"Changed to the status of Fund accounting signed off")=0,"",_xlfn.MAXIFS(Status_Log!$E:$E,Status_Log!$A:$A,$A110,Status_Log!$B:$B,$B110,Status_Log!$C:$C,$C110,Status_Log!$D:$D,"Changed to the status of Fund accounting signed off")))</f>
        <v/>
      </c>
      <c r="I110" s="37" t="str">
        <f aca="false">IF($A110="","",IF(COUNTIFS(Status_Log!$A:$A,$A110,Status_Log!$B:$B,$B110,Status_Log!$C:$C,$C110,Status_Log!$D:$D,"Changed to the status of signed off")=0,"",_xlfn.MAXIFS(Status_Log!$E:$E,Status_Log!$A:$A,$A110,Status_Log!$B:$B,$B110,Status_Log!$C:$C,$C110,Status_Log!$D:$D,"Changed to the status of signed off")))</f>
        <v/>
      </c>
      <c r="J110" s="4" t="str">
        <f aca="false">IF($A110="","",COUNTIFS(Status_Log!$A:$A,$A110,Status_Log!$B:$B,$B110,Status_Log!$C:$C,$C110,Status_Log!$D:$D,"Changed to the status of Calculated"))</f>
        <v/>
      </c>
      <c r="K110" s="38" t="str">
        <f aca="false">IF($A110="","",IF(J110&lt;=1,0,ROUND((_xlfn.MAXIFS(Status_Log!$E:$E,Status_Log!$A:$A,$A110,Status_Log!$B:$B,$B110,Status_Log!$C:$C,$C110,Status_Log!$D:$D,"Changed to the status of Calculated")-F110)*1440,0)))</f>
        <v/>
      </c>
      <c r="L110" s="4" t="str">
        <f aca="false">IF($A110="","",IFERROR(INDEX(Status_Log!$F:$F,MATCH($A110&amp;"|"&amp;$B110&amp;"|"&amp;$C110&amp;"|Changed to the status of Calculated|"&amp;TEXT(_xlfn.MAXIFS(Status_Log!$E:$E,Status_Log!$A:$A,$A110,Status_Log!$B:$B,$B110,Status_Log!$C:$C,$C110,Status_Log!$D:$D,"Changed to the status of Calculated"),"0.000000"),Status_Log!$H:$H,0)),""))</f>
        <v/>
      </c>
      <c r="M110" s="4" t="str">
        <f aca="false">IF($A110="","",IF(E110="Client","n/a — no control step",IFERROR(INDEX(Status_Log!$F:$F,MATCH($A110&amp;"|"&amp;$B110&amp;"|"&amp;$C110&amp;"|Changed to the status of Controlled|"&amp;TEXT(_xlfn.MAXIFS(Status_Log!$E:$E,Status_Log!$A:$A,$A110,Status_Log!$B:$B,$B110,Status_Log!$C:$C,$C110,Status_Log!$D:$D,"Changed to the status of Controlled"),"0.000000"),Status_Log!$H:$H,0)),"")))</f>
        <v/>
      </c>
      <c r="N110" s="4" t="str">
        <f aca="false">IF($A110="","",IFERROR(VLOOKUP($C110,Dim_Fund!$A:$G,7,0),""))</f>
        <v/>
      </c>
      <c r="O110" s="4" t="str">
        <f aca="false">IF($A110="","",IF(L110=N110,"No","Yes"))</f>
        <v/>
      </c>
      <c r="P110" s="4" t="str">
        <f aca="false">IF($A110="","",IF(E110="Client","n/a",IF(L110=M110,"YES — four-eyes breach","No")))</f>
        <v/>
      </c>
      <c r="Q110" s="38" t="str">
        <f aca="false">IF($A110="","",IFERROR(VLOOKUP($C110,Dim_Fund!$A:$AB,28,0),""))</f>
        <v/>
      </c>
      <c r="R110" s="38" t="str">
        <f aca="false">IF($A110="","",IFERROR(VLOOKUP($C110,Dim_Fund!$A:$AC,29,0),""))</f>
        <v/>
      </c>
      <c r="S110" s="38" t="str">
        <f aca="false">IF($A110="","",IFERROR(VLOOKUP($C110,Dim_Fund!$A:$AD,30,0),""))</f>
        <v/>
      </c>
      <c r="T110" s="38" t="str">
        <f aca="false">IF($A110="","",IFERROR(VLOOKUP($C110,Dim_Fund!$A:$AL,38,0),""))</f>
        <v/>
      </c>
      <c r="U110" s="37" t="str">
        <f aca="false">IF($A110="","",IF(AL110="","",IFERROR(IF(COUNTIFS(Fact_Milestone!$A:$A,$B110,Fact_Milestone!$B:$B,AL110)=0,"",_xlfn.MAXIFS(Fact_Milestone!$C:$C,Fact_Milestone!$A:$A,$B110,Fact_Milestone!$B:$B,AL110)),"")))</f>
        <v/>
      </c>
      <c r="V110" s="37" t="str">
        <f aca="false">IF($A110="","",IFERROR(IF(VLOOKUP($C110,Dim_Fund!$A:$AI,35,0)&gt;0,$B110+VLOOKUP($C110,Dim_Fund!$A:$AI,35,0)/24,""),""))</f>
        <v/>
      </c>
      <c r="W110" s="37" t="str">
        <f aca="false">IF($A110="","",F110)</f>
        <v/>
      </c>
      <c r="X110" s="37" t="str">
        <f aca="false">IF($A110="","",IF(E110="Client",H110,G110))</f>
        <v/>
      </c>
      <c r="Y110" s="37" t="str">
        <f aca="false">IF($A110="","",I110)</f>
        <v/>
      </c>
      <c r="Z110" s="37" t="str">
        <f aca="false">IF($A110="","",IFERROR(W110-R110/1440,""))</f>
        <v/>
      </c>
      <c r="AA110" s="38" t="str">
        <f aca="false">IF($A110="","",IF(OR(U110="",V110=""),"",ROUND((V110-U110)*1440,0)))</f>
        <v/>
      </c>
      <c r="AB110" s="38" t="str">
        <f aca="false">IF($A110="","",IF(U110="","",ROUND((W110-U110)*1440,0)))</f>
        <v/>
      </c>
      <c r="AC110" s="38" t="str">
        <f aca="false">IF($A110="","",IF(AB110="","",MAX(0,AB110)))</f>
        <v/>
      </c>
      <c r="AD110" s="38" t="str">
        <f aca="false">IF($A110="","",IFERROR(ROUND((X110-W110)*1440,0),""))</f>
        <v/>
      </c>
      <c r="AE110" s="38" t="str">
        <f aca="false">IF($A110="","",IF(E110="Client","n/a",IFERROR(ROUND((H110-G110)*1440,0),"")))</f>
        <v/>
      </c>
      <c r="AF110" s="38" t="str">
        <f aca="false">IF($A110="","",IFERROR(ROUND((Y110-H110)*1440,0),""))</f>
        <v/>
      </c>
      <c r="AG110" s="38" t="str">
        <f aca="false">IF($A110="","",IFERROR(ROUND((H110-F110)*1440,0),""))</f>
        <v/>
      </c>
      <c r="AH110" s="38" t="str">
        <f aca="false">IF($A110="","",IFERROR(ROUND((Y110-V110)*1440,0),""))</f>
        <v/>
      </c>
      <c r="AI110" s="4" t="str">
        <f aca="false">IF($A110="","",IF(AH110="","",IF(AH110&gt;0,"Yes","No")))</f>
        <v/>
      </c>
      <c r="AJ110" s="4" t="str">
        <f aca="false">IF($A110="","",IF(AI110&lt;&gt;"Yes","On time",IF(N(AC110)&gt;=MAX(N(AF110),N(K110)),"Wait for analyst",IF(N(AF110)&gt;=N(K110),"External sign-off","Rework"))))</f>
        <v/>
      </c>
      <c r="AK110" s="4" t="str">
        <f aca="false">IF($A110="","",IF(OR(F110="",Y110="",ISNA(MATCH(L110,Dim_Analyst!$A:$A,0))),"CHECK","OK"))</f>
        <v/>
      </c>
      <c r="AL110" s="4" t="str">
        <f aca="false">IF($A110="","",IFERROR(VLOOKUP($C110,Dim_Fund!$A:$U,21,0),""))</f>
        <v/>
      </c>
      <c r="AM110" s="4" t="str">
        <f aca="false">IF($A110="","",IF($U110="","",IF($U110&gt;$B110+IFERROR(VLOOKUP($C110,Dim_Fund!$A:$AH,34,0),0)/24,"Yes","No")))</f>
        <v/>
      </c>
      <c r="AN110" s="22" t="str">
        <f aca="false">IF($A110="","",IFERROR(VLOOKUP($C110,Dim_Fund!$A:$AH,34,0),""))</f>
        <v/>
      </c>
      <c r="AO110" s="22" t="str">
        <f aca="false">IF($A110="","",IF($AL110="","",IFERROR(FLOOR(IF(COUNTIFS(Fact_Milestone!$A:$A,$B110,Fact_Milestone!$B:$B,$AL110,Fact_Milestone!$F:$F,"&gt;0")&gt;0,_xlfn.MINIFS(Fact_Milestone!$F:$F,Fact_Milestone!$A:$A,$B110,Fact_Milestone!$B:$B,$AL110,Fact_Milestone!$F:$F,"&gt;0"),VLOOKUP($AL110,Dim_TOP!$A:$E,5,0)),0.5),"")))</f>
        <v/>
      </c>
      <c r="AP110" s="22" t="str">
        <f aca="false">IF($A110="","",IF($U110="","",ROUND(($U110-INT($U110))*24,4)))</f>
        <v/>
      </c>
      <c r="AQ110" s="22" t="str">
        <f aca="false">IF($A110="","",IF($W110="","",ROUND(($W110-INT($W110))*24,4)))</f>
        <v/>
      </c>
      <c r="AR110" s="22" t="str">
        <f aca="false">IF($A110="","",IF($X110="","",ROUND(($X110-INT($X110))*24,4)))</f>
        <v/>
      </c>
      <c r="AS110" s="38" t="str">
        <f aca="false">IF($A110="","",IF(OR($AN110="",$V110="",$S110="",$T110=""),"",ROUND(($V110-($B110+$AN110/24))*1440-$S110-$T110,0)))</f>
        <v/>
      </c>
      <c r="AT110" s="38" t="str">
        <f aca="false">IF($A110="","",IF(OR($AN110="",$U110=""),"",ROUND(($U110-($B110+$AN110/24))*1440,0)))</f>
        <v/>
      </c>
      <c r="AU110" s="38" t="str">
        <f aca="false">IF($A110="","",IF(OR($AD110="",$S110=""),"",ROUND($AD110-$S110,0)))</f>
        <v/>
      </c>
      <c r="AV110" s="38" t="str">
        <f aca="false">IF($A110="","",N($AE110))</f>
        <v/>
      </c>
      <c r="AW110" s="38" t="str">
        <f aca="false">IF($A110="","",IF(OR($AF110="",$T110=""),"",$AF110-$T110))</f>
        <v/>
      </c>
      <c r="AX110" s="38" t="str">
        <f aca="false">IF($A110="","",IF(COUNT($AT110,$AB110,$AU110,$AW110,$AS110,$AH110)&lt;6,"",ROUND($AT110+$AB110+$AU110+$AV110+$AW110-$AS110-$AH110,0)))</f>
        <v/>
      </c>
      <c r="AY110" s="4" t="str">
        <f aca="false">IF($A110="","",IF($AX110="","No",IF(ABS($AX110)&lt;=2,"Yes","No")))</f>
        <v/>
      </c>
      <c r="AZ110" s="4" t="str">
        <f aca="false">IF($A110="","",IF($AI110&lt;&gt;"Yes","n/a",IF(OR($AA110="",$S110="",$T110=""),"Unknown",IF($AA110&lt;$S110+$T110,"Lost on arrival","Lost after arrival"))))</f>
        <v/>
      </c>
      <c r="BA110" s="10" t="str">
        <f aca="false">IF($A110="","",IFERROR(VLOOKUP($C110,Dim_Fund!$A:$D,4,0),""))</f>
        <v/>
      </c>
      <c r="BB110" s="10" t="str">
        <f aca="false">IF($A110="","",IF($AL110="","",IF(COUNTIFS(Fact_Milestone!$A:$A,$B110,Fact_Milestone!$B:$B,$AL110,Fact_Milestone!$I:$I,"No")&gt;0,"No",IF(COUNTIFS(Fact_Milestone!$A:$A,$B110,Fact_Milestone!$B:$B,$AL110,Fact_Milestone!$I:$I,"Yes")&gt;0,"Yes",""))))</f>
        <v/>
      </c>
      <c r="BC110" s="45" t="str">
        <f aca="false">IF($A110="","",IF(OR($L110="",$W110=""),"",IF(COUNTIFS($L:$L,$L110,$B:$B,$B110,$W:$W,"&lt;"&amp;$W110)=0,"",_xlfn.MAXIFS($W:$W,$L:$L,$L110,$B:$B,$B110,$W:$W,"&lt;"&amp;$W110))))</f>
        <v/>
      </c>
      <c r="BD110" s="39" t="str">
        <f aca="false">IF($A110="","",IF($AC110="","",IF(OR($L110="",$AC110=0),0,MIN($AC110,ROUND(ROUND(1440*SUMPRODUCT(($L$2:INDEX($L:$L,COUNTA($C:$C))=$L110)*($B$2:INDEX($B:$B,COUNTA($C:$C))=$B110)*(ROW($L$2:INDEX($L:$L,COUNTA($C:$C)))&lt;&gt;ROW())*((((($W110+$BT$2:INDEX($BT:$BT,COUNTA($C:$C))-ABS($W110-$BT$2:INDEX($BT:$BT,COUNTA($C:$C))))/2)-(($U110+$BS$2:INDEX($BS:$BS,COUNTA($C:$C))+ABS($U110-$BS$2:INDEX($BS:$BS,COUNTA($C:$C))))/2))+ABS(((($W110+$BT$2:INDEX($BT:$BT,COUNTA($C:$C))-ABS($W110-$BT$2:INDEX($BT:$BT,COUNTA($C:$C))))/2)-(($U110+$BS$2:INDEX($BS:$BS,COUNTA($C:$C))+ABS($U110-$BS$2:INDEX($BS:$BS,COUNTA($C:$C))))/2))))/2)),4),0)))))</f>
        <v/>
      </c>
      <c r="BE110" s="39" t="str">
        <f aca="false">IF($A110="","",IF($AC110="","",ROUND(MIN($AC110-$BD110,N($R110)),0)))</f>
        <v/>
      </c>
      <c r="BF110" s="10" t="str">
        <f aca="false">IF($A110="","",IFERROR(VLOOKUP($C110,Dim_Fund!$A:$BD,56,0),""))</f>
        <v/>
      </c>
      <c r="BG110" s="10" t="str">
        <f aca="false">IF($A110="","",IFERROR(VLOOKUP($C110,Dim_Fund!$A:$BH,60,0),""))</f>
        <v/>
      </c>
      <c r="BH110" s="10" t="str">
        <f aca="false">IF($A110="","",IF($AI110&lt;&gt;"Yes","Not breached",IF($AM110="Yes","Pricing late",IF($BG110="Thin custody slack","Thin custody slack",IF($BF110="Yes","Broker-dependent","None of these")))))</f>
        <v/>
      </c>
      <c r="BI110" s="23" t="str">
        <f aca="false">IF($A110="","",IFERROR(IF(VLOOKUP($C110,Dim_Fund!$A:$AI,35,0)&gt;0,VLOOKUP($C110,Dim_Fund!$A:$AI,35,0),""),""))</f>
        <v/>
      </c>
      <c r="BJ110" s="10" t="str">
        <f aca="false">IF($A110="","",$C110&amp;IF($E110="Client","*",""))</f>
        <v/>
      </c>
      <c r="BK110" s="39" t="str">
        <f aca="false">IF($A110="","",IFERROR(ROUND(($Y110-$X110)*1440,0),""))</f>
        <v/>
      </c>
      <c r="BL110" s="39" t="str">
        <f aca="false">IF($A110="","",IF($AH110="","",-$AH110))</f>
        <v/>
      </c>
      <c r="BM110" s="46" t="str">
        <f aca="false">IF($A110="","",IF($AQ110="","",IF($AP110="",$AQ110,MIN($AP110,$AQ110))))</f>
        <v/>
      </c>
      <c r="BN110" s="46" t="str">
        <f aca="false">IF($A110="","",IF($BM110="","",ROUND(N($AC110)/60,4)))</f>
        <v/>
      </c>
      <c r="BO110" s="46" t="str">
        <f aca="false">IF($A110="","",IF(OR($BM110="",$AD110=""),"",ROUND($AD110/60,4)))</f>
        <v/>
      </c>
      <c r="BP110" s="46" t="str">
        <f aca="false">IF($A110="","",IF($BM110="","",ROUND(N($AE110)/60,4)))</f>
        <v/>
      </c>
      <c r="BQ110" s="46" t="str">
        <f aca="false">IF($A110="","",IF(OR($BM110="",$AF110=""),"",ROUND($AF110/60,4)))</f>
        <v/>
      </c>
      <c r="BR110" s="39" t="str">
        <f aca="false">IF($A110="","",IF($AC110="","",$AC110-$BD110-$BE110))</f>
        <v/>
      </c>
      <c r="BS110" s="45" t="str">
        <f aca="false">IF($A110="","",IF(AND(ISNUMBER($Z110),ISNUMBER($W110)),$Z110,0))</f>
        <v/>
      </c>
      <c r="BT110" s="45" t="str">
        <f aca="false">IF($A110="","",IF(ISNUMBER($W110),$W110,0))</f>
        <v/>
      </c>
      <c r="BU110" s="23" t="str">
        <f aca="false">IF($A110="","",IF(ISNUMBER($W110),ROUND(($W110-$B110)*24,4),""))</f>
        <v/>
      </c>
      <c r="BV110" s="23" t="str">
        <f aca="false">IF($A110="","",IF(ISNUMBER($X110),ROUND(($X110-$B110)*24,4),""))</f>
        <v/>
      </c>
      <c r="BW110" s="10" t="str">
        <f aca="false">IF($A110="","",IF(NOT(ISNUMBER($W110)),"Missing Calculated",IF(NOT(ISNUMBER($X110)),IF($E110="Client","Missing FA signed off","Missing Controlled"),IF($X110&lt;$W110,"End before start","OK"))))</f>
        <v/>
      </c>
      <c r="BX110" s="23" t="str">
        <f aca="false">IF($A110="","",IF(NOT(ISNUMBER($Z110)),"",ROUND((IF(ISNUMBER($U110),MIN($U110,$Z110),$Z110)-$B110)*24,4)))</f>
        <v/>
      </c>
      <c r="BY110" s="23" t="str">
        <f aca="false">IF($A110="","",IF(ISNUMBER($Z110),ROUND(($Z110-$B110)*24,4),""))</f>
        <v/>
      </c>
      <c r="BZ110" s="23" t="str">
        <f aca="false">IF($A110="","",IF(AND(ISNUMBER($W110),ISNUMBER($S110)),ROUND(($W110+$S110/1440-$B110)*24,4),""))</f>
        <v/>
      </c>
    </row>
    <row r="111" customFormat="false" ht="15" hidden="false" customHeight="true" outlineLevel="0" collapsed="false">
      <c r="A111" s="47"/>
      <c r="B111" s="47"/>
      <c r="D111" s="4" t="str">
        <f aca="false">IF($A111="","",$B111-$A111)</f>
        <v/>
      </c>
      <c r="E111" s="4" t="str">
        <f aca="false">IF($A111="","",IFERROR(VLOOKUP($C111,Dim_Fund!$A:$X,24,0),""))</f>
        <v/>
      </c>
      <c r="F111" s="37" t="str">
        <f aca="false">IF($A111="","",IF(COUNTIFS(Status_Log!$A:$A,$A111,Status_Log!$B:$B,$B111,Status_Log!$C:$C,$C111,Status_Log!$D:$D,"Changed to the status of Calculated")=0,"",_xlfn.MINIFS(Status_Log!$E:$E,Status_Log!$A:$A,$A111,Status_Log!$B:$B,$B111,Status_Log!$C:$C,$C111,Status_Log!$D:$D,"Changed to the status of Calculated")))</f>
        <v/>
      </c>
      <c r="G111" s="37" t="str">
        <f aca="false">IF($A111="","",IF(COUNTIFS(Status_Log!$A:$A,$A111,Status_Log!$B:$B,$B111,Status_Log!$C:$C,$C111,Status_Log!$D:$D,"Changed to the status of Controlled")=0,"",_xlfn.MAXIFS(Status_Log!$E:$E,Status_Log!$A:$A,$A111,Status_Log!$B:$B,$B111,Status_Log!$C:$C,$C111,Status_Log!$D:$D,"Changed to the status of Controlled")))</f>
        <v/>
      </c>
      <c r="H111" s="37" t="str">
        <f aca="false">IF($A111="","",IF(COUNTIFS(Status_Log!$A:$A,$A111,Status_Log!$B:$B,$B111,Status_Log!$C:$C,$C111,Status_Log!$D:$D,"Changed to the status of Fund accounting signed off")=0,"",_xlfn.MAXIFS(Status_Log!$E:$E,Status_Log!$A:$A,$A111,Status_Log!$B:$B,$B111,Status_Log!$C:$C,$C111,Status_Log!$D:$D,"Changed to the status of Fund accounting signed off")))</f>
        <v/>
      </c>
      <c r="I111" s="37" t="str">
        <f aca="false">IF($A111="","",IF(COUNTIFS(Status_Log!$A:$A,$A111,Status_Log!$B:$B,$B111,Status_Log!$C:$C,$C111,Status_Log!$D:$D,"Changed to the status of signed off")=0,"",_xlfn.MAXIFS(Status_Log!$E:$E,Status_Log!$A:$A,$A111,Status_Log!$B:$B,$B111,Status_Log!$C:$C,$C111,Status_Log!$D:$D,"Changed to the status of signed off")))</f>
        <v/>
      </c>
      <c r="J111" s="4" t="str">
        <f aca="false">IF($A111="","",COUNTIFS(Status_Log!$A:$A,$A111,Status_Log!$B:$B,$B111,Status_Log!$C:$C,$C111,Status_Log!$D:$D,"Changed to the status of Calculated"))</f>
        <v/>
      </c>
      <c r="K111" s="38" t="str">
        <f aca="false">IF($A111="","",IF(J111&lt;=1,0,ROUND((_xlfn.MAXIFS(Status_Log!$E:$E,Status_Log!$A:$A,$A111,Status_Log!$B:$B,$B111,Status_Log!$C:$C,$C111,Status_Log!$D:$D,"Changed to the status of Calculated")-F111)*1440,0)))</f>
        <v/>
      </c>
      <c r="L111" s="4" t="str">
        <f aca="false">IF($A111="","",IFERROR(INDEX(Status_Log!$F:$F,MATCH($A111&amp;"|"&amp;$B111&amp;"|"&amp;$C111&amp;"|Changed to the status of Calculated|"&amp;TEXT(_xlfn.MAXIFS(Status_Log!$E:$E,Status_Log!$A:$A,$A111,Status_Log!$B:$B,$B111,Status_Log!$C:$C,$C111,Status_Log!$D:$D,"Changed to the status of Calculated"),"0.000000"),Status_Log!$H:$H,0)),""))</f>
        <v/>
      </c>
      <c r="M111" s="4" t="str">
        <f aca="false">IF($A111="","",IF(E111="Client","n/a — no control step",IFERROR(INDEX(Status_Log!$F:$F,MATCH($A111&amp;"|"&amp;$B111&amp;"|"&amp;$C111&amp;"|Changed to the status of Controlled|"&amp;TEXT(_xlfn.MAXIFS(Status_Log!$E:$E,Status_Log!$A:$A,$A111,Status_Log!$B:$B,$B111,Status_Log!$C:$C,$C111,Status_Log!$D:$D,"Changed to the status of Controlled"),"0.000000"),Status_Log!$H:$H,0)),"")))</f>
        <v/>
      </c>
      <c r="N111" s="4" t="str">
        <f aca="false">IF($A111="","",IFERROR(VLOOKUP($C111,Dim_Fund!$A:$G,7,0),""))</f>
        <v/>
      </c>
      <c r="O111" s="4" t="str">
        <f aca="false">IF($A111="","",IF(L111=N111,"No","Yes"))</f>
        <v/>
      </c>
      <c r="P111" s="4" t="str">
        <f aca="false">IF($A111="","",IF(E111="Client","n/a",IF(L111=M111,"YES — four-eyes breach","No")))</f>
        <v/>
      </c>
      <c r="Q111" s="38" t="str">
        <f aca="false">IF($A111="","",IFERROR(VLOOKUP($C111,Dim_Fund!$A:$AB,28,0),""))</f>
        <v/>
      </c>
      <c r="R111" s="38" t="str">
        <f aca="false">IF($A111="","",IFERROR(VLOOKUP($C111,Dim_Fund!$A:$AC,29,0),""))</f>
        <v/>
      </c>
      <c r="S111" s="38" t="str">
        <f aca="false">IF($A111="","",IFERROR(VLOOKUP($C111,Dim_Fund!$A:$AD,30,0),""))</f>
        <v/>
      </c>
      <c r="T111" s="38" t="str">
        <f aca="false">IF($A111="","",IFERROR(VLOOKUP($C111,Dim_Fund!$A:$AL,38,0),""))</f>
        <v/>
      </c>
      <c r="U111" s="37" t="str">
        <f aca="false">IF($A111="","",IF(AL111="","",IFERROR(IF(COUNTIFS(Fact_Milestone!$A:$A,$B111,Fact_Milestone!$B:$B,AL111)=0,"",_xlfn.MAXIFS(Fact_Milestone!$C:$C,Fact_Milestone!$A:$A,$B111,Fact_Milestone!$B:$B,AL111)),"")))</f>
        <v/>
      </c>
      <c r="V111" s="37" t="str">
        <f aca="false">IF($A111="","",IFERROR(IF(VLOOKUP($C111,Dim_Fund!$A:$AI,35,0)&gt;0,$B111+VLOOKUP($C111,Dim_Fund!$A:$AI,35,0)/24,""),""))</f>
        <v/>
      </c>
      <c r="W111" s="37" t="str">
        <f aca="false">IF($A111="","",F111)</f>
        <v/>
      </c>
      <c r="X111" s="37" t="str">
        <f aca="false">IF($A111="","",IF(E111="Client",H111,G111))</f>
        <v/>
      </c>
      <c r="Y111" s="37" t="str">
        <f aca="false">IF($A111="","",I111)</f>
        <v/>
      </c>
      <c r="Z111" s="37" t="str">
        <f aca="false">IF($A111="","",IFERROR(W111-R111/1440,""))</f>
        <v/>
      </c>
      <c r="AA111" s="38" t="str">
        <f aca="false">IF($A111="","",IF(OR(U111="",V111=""),"",ROUND((V111-U111)*1440,0)))</f>
        <v/>
      </c>
      <c r="AB111" s="38" t="str">
        <f aca="false">IF($A111="","",IF(U111="","",ROUND((W111-U111)*1440,0)))</f>
        <v/>
      </c>
      <c r="AC111" s="38" t="str">
        <f aca="false">IF($A111="","",IF(AB111="","",MAX(0,AB111)))</f>
        <v/>
      </c>
      <c r="AD111" s="38" t="str">
        <f aca="false">IF($A111="","",IFERROR(ROUND((X111-W111)*1440,0),""))</f>
        <v/>
      </c>
      <c r="AE111" s="38" t="str">
        <f aca="false">IF($A111="","",IF(E111="Client","n/a",IFERROR(ROUND((H111-G111)*1440,0),"")))</f>
        <v/>
      </c>
      <c r="AF111" s="38" t="str">
        <f aca="false">IF($A111="","",IFERROR(ROUND((Y111-H111)*1440,0),""))</f>
        <v/>
      </c>
      <c r="AG111" s="38" t="str">
        <f aca="false">IF($A111="","",IFERROR(ROUND((H111-F111)*1440,0),""))</f>
        <v/>
      </c>
      <c r="AH111" s="38" t="str">
        <f aca="false">IF($A111="","",IFERROR(ROUND((Y111-V111)*1440,0),""))</f>
        <v/>
      </c>
      <c r="AI111" s="4" t="str">
        <f aca="false">IF($A111="","",IF(AH111="","",IF(AH111&gt;0,"Yes","No")))</f>
        <v/>
      </c>
      <c r="AJ111" s="4" t="str">
        <f aca="false">IF($A111="","",IF(AI111&lt;&gt;"Yes","On time",IF(N(AC111)&gt;=MAX(N(AF111),N(K111)),"Wait for analyst",IF(N(AF111)&gt;=N(K111),"External sign-off","Rework"))))</f>
        <v/>
      </c>
      <c r="AK111" s="4" t="str">
        <f aca="false">IF($A111="","",IF(OR(F111="",Y111="",ISNA(MATCH(L111,Dim_Analyst!$A:$A,0))),"CHECK","OK"))</f>
        <v/>
      </c>
      <c r="AL111" s="4" t="str">
        <f aca="false">IF($A111="","",IFERROR(VLOOKUP($C111,Dim_Fund!$A:$U,21,0),""))</f>
        <v/>
      </c>
      <c r="AM111" s="4" t="str">
        <f aca="false">IF($A111="","",IF($U111="","",IF($U111&gt;$B111+IFERROR(VLOOKUP($C111,Dim_Fund!$A:$AH,34,0),0)/24,"Yes","No")))</f>
        <v/>
      </c>
      <c r="AN111" s="22" t="str">
        <f aca="false">IF($A111="","",IFERROR(VLOOKUP($C111,Dim_Fund!$A:$AH,34,0),""))</f>
        <v/>
      </c>
      <c r="AO111" s="22" t="str">
        <f aca="false">IF($A111="","",IF($AL111="","",IFERROR(FLOOR(IF(COUNTIFS(Fact_Milestone!$A:$A,$B111,Fact_Milestone!$B:$B,$AL111,Fact_Milestone!$F:$F,"&gt;0")&gt;0,_xlfn.MINIFS(Fact_Milestone!$F:$F,Fact_Milestone!$A:$A,$B111,Fact_Milestone!$B:$B,$AL111,Fact_Milestone!$F:$F,"&gt;0"),VLOOKUP($AL111,Dim_TOP!$A:$E,5,0)),0.5),"")))</f>
        <v/>
      </c>
      <c r="AP111" s="22" t="str">
        <f aca="false">IF($A111="","",IF($U111="","",ROUND(($U111-INT($U111))*24,4)))</f>
        <v/>
      </c>
      <c r="AQ111" s="22" t="str">
        <f aca="false">IF($A111="","",IF($W111="","",ROUND(($W111-INT($W111))*24,4)))</f>
        <v/>
      </c>
      <c r="AR111" s="22" t="str">
        <f aca="false">IF($A111="","",IF($X111="","",ROUND(($X111-INT($X111))*24,4)))</f>
        <v/>
      </c>
      <c r="AS111" s="38" t="str">
        <f aca="false">IF($A111="","",IF(OR($AN111="",$V111="",$S111="",$T111=""),"",ROUND(($V111-($B111+$AN111/24))*1440-$S111-$T111,0)))</f>
        <v/>
      </c>
      <c r="AT111" s="38" t="str">
        <f aca="false">IF($A111="","",IF(OR($AN111="",$U111=""),"",ROUND(($U111-($B111+$AN111/24))*1440,0)))</f>
        <v/>
      </c>
      <c r="AU111" s="38" t="str">
        <f aca="false">IF($A111="","",IF(OR($AD111="",$S111=""),"",ROUND($AD111-$S111,0)))</f>
        <v/>
      </c>
      <c r="AV111" s="38" t="str">
        <f aca="false">IF($A111="","",N($AE111))</f>
        <v/>
      </c>
      <c r="AW111" s="38" t="str">
        <f aca="false">IF($A111="","",IF(OR($AF111="",$T111=""),"",$AF111-$T111))</f>
        <v/>
      </c>
      <c r="AX111" s="38" t="str">
        <f aca="false">IF($A111="","",IF(COUNT($AT111,$AB111,$AU111,$AW111,$AS111,$AH111)&lt;6,"",ROUND($AT111+$AB111+$AU111+$AV111+$AW111-$AS111-$AH111,0)))</f>
        <v/>
      </c>
      <c r="AY111" s="4" t="str">
        <f aca="false">IF($A111="","",IF($AX111="","No",IF(ABS($AX111)&lt;=2,"Yes","No")))</f>
        <v/>
      </c>
      <c r="AZ111" s="4" t="str">
        <f aca="false">IF($A111="","",IF($AI111&lt;&gt;"Yes","n/a",IF(OR($AA111="",$S111="",$T111=""),"Unknown",IF($AA111&lt;$S111+$T111,"Lost on arrival","Lost after arrival"))))</f>
        <v/>
      </c>
      <c r="BA111" s="10" t="str">
        <f aca="false">IF($A111="","",IFERROR(VLOOKUP($C111,Dim_Fund!$A:$D,4,0),""))</f>
        <v/>
      </c>
      <c r="BB111" s="10" t="str">
        <f aca="false">IF($A111="","",IF($AL111="","",IF(COUNTIFS(Fact_Milestone!$A:$A,$B111,Fact_Milestone!$B:$B,$AL111,Fact_Milestone!$I:$I,"No")&gt;0,"No",IF(COUNTIFS(Fact_Milestone!$A:$A,$B111,Fact_Milestone!$B:$B,$AL111,Fact_Milestone!$I:$I,"Yes")&gt;0,"Yes",""))))</f>
        <v/>
      </c>
      <c r="BC111" s="45" t="str">
        <f aca="false">IF($A111="","",IF(OR($L111="",$W111=""),"",IF(COUNTIFS($L:$L,$L111,$B:$B,$B111,$W:$W,"&lt;"&amp;$W111)=0,"",_xlfn.MAXIFS($W:$W,$L:$L,$L111,$B:$B,$B111,$W:$W,"&lt;"&amp;$W111))))</f>
        <v/>
      </c>
      <c r="BD111" s="39" t="str">
        <f aca="false">IF($A111="","",IF($AC111="","",IF(OR($L111="",$AC111=0),0,MIN($AC111,ROUND(ROUND(1440*SUMPRODUCT(($L$2:INDEX($L:$L,COUNTA($C:$C))=$L111)*($B$2:INDEX($B:$B,COUNTA($C:$C))=$B111)*(ROW($L$2:INDEX($L:$L,COUNTA($C:$C)))&lt;&gt;ROW())*((((($W111+$BT$2:INDEX($BT:$BT,COUNTA($C:$C))-ABS($W111-$BT$2:INDEX($BT:$BT,COUNTA($C:$C))))/2)-(($U111+$BS$2:INDEX($BS:$BS,COUNTA($C:$C))+ABS($U111-$BS$2:INDEX($BS:$BS,COUNTA($C:$C))))/2))+ABS(((($W111+$BT$2:INDEX($BT:$BT,COUNTA($C:$C))-ABS($W111-$BT$2:INDEX($BT:$BT,COUNTA($C:$C))))/2)-(($U111+$BS$2:INDEX($BS:$BS,COUNTA($C:$C))+ABS($U111-$BS$2:INDEX($BS:$BS,COUNTA($C:$C))))/2))))/2)),4),0)))))</f>
        <v/>
      </c>
      <c r="BE111" s="39" t="str">
        <f aca="false">IF($A111="","",IF($AC111="","",ROUND(MIN($AC111-$BD111,N($R111)),0)))</f>
        <v/>
      </c>
      <c r="BF111" s="10" t="str">
        <f aca="false">IF($A111="","",IFERROR(VLOOKUP($C111,Dim_Fund!$A:$BD,56,0),""))</f>
        <v/>
      </c>
      <c r="BG111" s="10" t="str">
        <f aca="false">IF($A111="","",IFERROR(VLOOKUP($C111,Dim_Fund!$A:$BH,60,0),""))</f>
        <v/>
      </c>
      <c r="BH111" s="10" t="str">
        <f aca="false">IF($A111="","",IF($AI111&lt;&gt;"Yes","Not breached",IF($AM111="Yes","Pricing late",IF($BG111="Thin custody slack","Thin custody slack",IF($BF111="Yes","Broker-dependent","None of these")))))</f>
        <v/>
      </c>
      <c r="BI111" s="23" t="str">
        <f aca="false">IF($A111="","",IFERROR(IF(VLOOKUP($C111,Dim_Fund!$A:$AI,35,0)&gt;0,VLOOKUP($C111,Dim_Fund!$A:$AI,35,0),""),""))</f>
        <v/>
      </c>
      <c r="BJ111" s="10" t="str">
        <f aca="false">IF($A111="","",$C111&amp;IF($E111="Client","*",""))</f>
        <v/>
      </c>
      <c r="BK111" s="39" t="str">
        <f aca="false">IF($A111="","",IFERROR(ROUND(($Y111-$X111)*1440,0),""))</f>
        <v/>
      </c>
      <c r="BL111" s="39" t="str">
        <f aca="false">IF($A111="","",IF($AH111="","",-$AH111))</f>
        <v/>
      </c>
      <c r="BM111" s="46" t="str">
        <f aca="false">IF($A111="","",IF($AQ111="","",IF($AP111="",$AQ111,MIN($AP111,$AQ111))))</f>
        <v/>
      </c>
      <c r="BN111" s="46" t="str">
        <f aca="false">IF($A111="","",IF($BM111="","",ROUND(N($AC111)/60,4)))</f>
        <v/>
      </c>
      <c r="BO111" s="46" t="str">
        <f aca="false">IF($A111="","",IF(OR($BM111="",$AD111=""),"",ROUND($AD111/60,4)))</f>
        <v/>
      </c>
      <c r="BP111" s="46" t="str">
        <f aca="false">IF($A111="","",IF($BM111="","",ROUND(N($AE111)/60,4)))</f>
        <v/>
      </c>
      <c r="BQ111" s="46" t="str">
        <f aca="false">IF($A111="","",IF(OR($BM111="",$AF111=""),"",ROUND($AF111/60,4)))</f>
        <v/>
      </c>
      <c r="BR111" s="39" t="str">
        <f aca="false">IF($A111="","",IF($AC111="","",$AC111-$BD111-$BE111))</f>
        <v/>
      </c>
      <c r="BS111" s="45" t="str">
        <f aca="false">IF($A111="","",IF(AND(ISNUMBER($Z111),ISNUMBER($W111)),$Z111,0))</f>
        <v/>
      </c>
      <c r="BT111" s="45" t="str">
        <f aca="false">IF($A111="","",IF(ISNUMBER($W111),$W111,0))</f>
        <v/>
      </c>
      <c r="BU111" s="23" t="str">
        <f aca="false">IF($A111="","",IF(ISNUMBER($W111),ROUND(($W111-$B111)*24,4),""))</f>
        <v/>
      </c>
      <c r="BV111" s="23" t="str">
        <f aca="false">IF($A111="","",IF(ISNUMBER($X111),ROUND(($X111-$B111)*24,4),""))</f>
        <v/>
      </c>
      <c r="BW111" s="10" t="str">
        <f aca="false">IF($A111="","",IF(NOT(ISNUMBER($W111)),"Missing Calculated",IF(NOT(ISNUMBER($X111)),IF($E111="Client","Missing FA signed off","Missing Controlled"),IF($X111&lt;$W111,"End before start","OK"))))</f>
        <v/>
      </c>
      <c r="BX111" s="23" t="str">
        <f aca="false">IF($A111="","",IF(NOT(ISNUMBER($Z111)),"",ROUND((IF(ISNUMBER($U111),MIN($U111,$Z111),$Z111)-$B111)*24,4)))</f>
        <v/>
      </c>
      <c r="BY111" s="23" t="str">
        <f aca="false">IF($A111="","",IF(ISNUMBER($Z111),ROUND(($Z111-$B111)*24,4),""))</f>
        <v/>
      </c>
      <c r="BZ111" s="23" t="str">
        <f aca="false">IF($A111="","",IF(AND(ISNUMBER($W111),ISNUMBER($S111)),ROUND(($W111+$S111/1440-$B111)*24,4),""))</f>
        <v/>
      </c>
    </row>
    <row r="112" customFormat="false" ht="15" hidden="false" customHeight="true" outlineLevel="0" collapsed="false">
      <c r="A112" s="47"/>
      <c r="B112" s="47"/>
      <c r="D112" s="4" t="str">
        <f aca="false">IF($A112="","",$B112-$A112)</f>
        <v/>
      </c>
      <c r="E112" s="4" t="str">
        <f aca="false">IF($A112="","",IFERROR(VLOOKUP($C112,Dim_Fund!$A:$X,24,0),""))</f>
        <v/>
      </c>
      <c r="F112" s="37" t="str">
        <f aca="false">IF($A112="","",IF(COUNTIFS(Status_Log!$A:$A,$A112,Status_Log!$B:$B,$B112,Status_Log!$C:$C,$C112,Status_Log!$D:$D,"Changed to the status of Calculated")=0,"",_xlfn.MINIFS(Status_Log!$E:$E,Status_Log!$A:$A,$A112,Status_Log!$B:$B,$B112,Status_Log!$C:$C,$C112,Status_Log!$D:$D,"Changed to the status of Calculated")))</f>
        <v/>
      </c>
      <c r="G112" s="37" t="str">
        <f aca="false">IF($A112="","",IF(COUNTIFS(Status_Log!$A:$A,$A112,Status_Log!$B:$B,$B112,Status_Log!$C:$C,$C112,Status_Log!$D:$D,"Changed to the status of Controlled")=0,"",_xlfn.MAXIFS(Status_Log!$E:$E,Status_Log!$A:$A,$A112,Status_Log!$B:$B,$B112,Status_Log!$C:$C,$C112,Status_Log!$D:$D,"Changed to the status of Controlled")))</f>
        <v/>
      </c>
      <c r="H112" s="37" t="str">
        <f aca="false">IF($A112="","",IF(COUNTIFS(Status_Log!$A:$A,$A112,Status_Log!$B:$B,$B112,Status_Log!$C:$C,$C112,Status_Log!$D:$D,"Changed to the status of Fund accounting signed off")=0,"",_xlfn.MAXIFS(Status_Log!$E:$E,Status_Log!$A:$A,$A112,Status_Log!$B:$B,$B112,Status_Log!$C:$C,$C112,Status_Log!$D:$D,"Changed to the status of Fund accounting signed off")))</f>
        <v/>
      </c>
      <c r="I112" s="37" t="str">
        <f aca="false">IF($A112="","",IF(COUNTIFS(Status_Log!$A:$A,$A112,Status_Log!$B:$B,$B112,Status_Log!$C:$C,$C112,Status_Log!$D:$D,"Changed to the status of signed off")=0,"",_xlfn.MAXIFS(Status_Log!$E:$E,Status_Log!$A:$A,$A112,Status_Log!$B:$B,$B112,Status_Log!$C:$C,$C112,Status_Log!$D:$D,"Changed to the status of signed off")))</f>
        <v/>
      </c>
      <c r="J112" s="4" t="str">
        <f aca="false">IF($A112="","",COUNTIFS(Status_Log!$A:$A,$A112,Status_Log!$B:$B,$B112,Status_Log!$C:$C,$C112,Status_Log!$D:$D,"Changed to the status of Calculated"))</f>
        <v/>
      </c>
      <c r="K112" s="38" t="str">
        <f aca="false">IF($A112="","",IF(J112&lt;=1,0,ROUND((_xlfn.MAXIFS(Status_Log!$E:$E,Status_Log!$A:$A,$A112,Status_Log!$B:$B,$B112,Status_Log!$C:$C,$C112,Status_Log!$D:$D,"Changed to the status of Calculated")-F112)*1440,0)))</f>
        <v/>
      </c>
      <c r="L112" s="4" t="str">
        <f aca="false">IF($A112="","",IFERROR(INDEX(Status_Log!$F:$F,MATCH($A112&amp;"|"&amp;$B112&amp;"|"&amp;$C112&amp;"|Changed to the status of Calculated|"&amp;TEXT(_xlfn.MAXIFS(Status_Log!$E:$E,Status_Log!$A:$A,$A112,Status_Log!$B:$B,$B112,Status_Log!$C:$C,$C112,Status_Log!$D:$D,"Changed to the status of Calculated"),"0.000000"),Status_Log!$H:$H,0)),""))</f>
        <v/>
      </c>
      <c r="M112" s="4" t="str">
        <f aca="false">IF($A112="","",IF(E112="Client","n/a — no control step",IFERROR(INDEX(Status_Log!$F:$F,MATCH($A112&amp;"|"&amp;$B112&amp;"|"&amp;$C112&amp;"|Changed to the status of Controlled|"&amp;TEXT(_xlfn.MAXIFS(Status_Log!$E:$E,Status_Log!$A:$A,$A112,Status_Log!$B:$B,$B112,Status_Log!$C:$C,$C112,Status_Log!$D:$D,"Changed to the status of Controlled"),"0.000000"),Status_Log!$H:$H,0)),"")))</f>
        <v/>
      </c>
      <c r="N112" s="4" t="str">
        <f aca="false">IF($A112="","",IFERROR(VLOOKUP($C112,Dim_Fund!$A:$G,7,0),""))</f>
        <v/>
      </c>
      <c r="O112" s="4" t="str">
        <f aca="false">IF($A112="","",IF(L112=N112,"No","Yes"))</f>
        <v/>
      </c>
      <c r="P112" s="4" t="str">
        <f aca="false">IF($A112="","",IF(E112="Client","n/a",IF(L112=M112,"YES — four-eyes breach","No")))</f>
        <v/>
      </c>
      <c r="Q112" s="38" t="str">
        <f aca="false">IF($A112="","",IFERROR(VLOOKUP($C112,Dim_Fund!$A:$AB,28,0),""))</f>
        <v/>
      </c>
      <c r="R112" s="38" t="str">
        <f aca="false">IF($A112="","",IFERROR(VLOOKUP($C112,Dim_Fund!$A:$AC,29,0),""))</f>
        <v/>
      </c>
      <c r="S112" s="38" t="str">
        <f aca="false">IF($A112="","",IFERROR(VLOOKUP($C112,Dim_Fund!$A:$AD,30,0),""))</f>
        <v/>
      </c>
      <c r="T112" s="38" t="str">
        <f aca="false">IF($A112="","",IFERROR(VLOOKUP($C112,Dim_Fund!$A:$AL,38,0),""))</f>
        <v/>
      </c>
      <c r="U112" s="37" t="str">
        <f aca="false">IF($A112="","",IF(AL112="","",IFERROR(IF(COUNTIFS(Fact_Milestone!$A:$A,$B112,Fact_Milestone!$B:$B,AL112)=0,"",_xlfn.MAXIFS(Fact_Milestone!$C:$C,Fact_Milestone!$A:$A,$B112,Fact_Milestone!$B:$B,AL112)),"")))</f>
        <v/>
      </c>
      <c r="V112" s="37" t="str">
        <f aca="false">IF($A112="","",IFERROR(IF(VLOOKUP($C112,Dim_Fund!$A:$AI,35,0)&gt;0,$B112+VLOOKUP($C112,Dim_Fund!$A:$AI,35,0)/24,""),""))</f>
        <v/>
      </c>
      <c r="W112" s="37" t="str">
        <f aca="false">IF($A112="","",F112)</f>
        <v/>
      </c>
      <c r="X112" s="37" t="str">
        <f aca="false">IF($A112="","",IF(E112="Client",H112,G112))</f>
        <v/>
      </c>
      <c r="Y112" s="37" t="str">
        <f aca="false">IF($A112="","",I112)</f>
        <v/>
      </c>
      <c r="Z112" s="37" t="str">
        <f aca="false">IF($A112="","",IFERROR(W112-R112/1440,""))</f>
        <v/>
      </c>
      <c r="AA112" s="38" t="str">
        <f aca="false">IF($A112="","",IF(OR(U112="",V112=""),"",ROUND((V112-U112)*1440,0)))</f>
        <v/>
      </c>
      <c r="AB112" s="38" t="str">
        <f aca="false">IF($A112="","",IF(U112="","",ROUND((W112-U112)*1440,0)))</f>
        <v/>
      </c>
      <c r="AC112" s="38" t="str">
        <f aca="false">IF($A112="","",IF(AB112="","",MAX(0,AB112)))</f>
        <v/>
      </c>
      <c r="AD112" s="38" t="str">
        <f aca="false">IF($A112="","",IFERROR(ROUND((X112-W112)*1440,0),""))</f>
        <v/>
      </c>
      <c r="AE112" s="38" t="str">
        <f aca="false">IF($A112="","",IF(E112="Client","n/a",IFERROR(ROUND((H112-G112)*1440,0),"")))</f>
        <v/>
      </c>
      <c r="AF112" s="38" t="str">
        <f aca="false">IF($A112="","",IFERROR(ROUND((Y112-H112)*1440,0),""))</f>
        <v/>
      </c>
      <c r="AG112" s="38" t="str">
        <f aca="false">IF($A112="","",IFERROR(ROUND((H112-F112)*1440,0),""))</f>
        <v/>
      </c>
      <c r="AH112" s="38" t="str">
        <f aca="false">IF($A112="","",IFERROR(ROUND((Y112-V112)*1440,0),""))</f>
        <v/>
      </c>
      <c r="AI112" s="4" t="str">
        <f aca="false">IF($A112="","",IF(AH112="","",IF(AH112&gt;0,"Yes","No")))</f>
        <v/>
      </c>
      <c r="AJ112" s="4" t="str">
        <f aca="false">IF($A112="","",IF(AI112&lt;&gt;"Yes","On time",IF(N(AC112)&gt;=MAX(N(AF112),N(K112)),"Wait for analyst",IF(N(AF112)&gt;=N(K112),"External sign-off","Rework"))))</f>
        <v/>
      </c>
      <c r="AK112" s="4" t="str">
        <f aca="false">IF($A112="","",IF(OR(F112="",Y112="",ISNA(MATCH(L112,Dim_Analyst!$A:$A,0))),"CHECK","OK"))</f>
        <v/>
      </c>
      <c r="AL112" s="4" t="str">
        <f aca="false">IF($A112="","",IFERROR(VLOOKUP($C112,Dim_Fund!$A:$U,21,0),""))</f>
        <v/>
      </c>
      <c r="AM112" s="4" t="str">
        <f aca="false">IF($A112="","",IF($U112="","",IF($U112&gt;$B112+IFERROR(VLOOKUP($C112,Dim_Fund!$A:$AH,34,0),0)/24,"Yes","No")))</f>
        <v/>
      </c>
      <c r="AN112" s="22" t="str">
        <f aca="false">IF($A112="","",IFERROR(VLOOKUP($C112,Dim_Fund!$A:$AH,34,0),""))</f>
        <v/>
      </c>
      <c r="AO112" s="22" t="str">
        <f aca="false">IF($A112="","",IF($AL112="","",IFERROR(FLOOR(IF(COUNTIFS(Fact_Milestone!$A:$A,$B112,Fact_Milestone!$B:$B,$AL112,Fact_Milestone!$F:$F,"&gt;0")&gt;0,_xlfn.MINIFS(Fact_Milestone!$F:$F,Fact_Milestone!$A:$A,$B112,Fact_Milestone!$B:$B,$AL112,Fact_Milestone!$F:$F,"&gt;0"),VLOOKUP($AL112,Dim_TOP!$A:$E,5,0)),0.5),"")))</f>
        <v/>
      </c>
      <c r="AP112" s="22" t="str">
        <f aca="false">IF($A112="","",IF($U112="","",ROUND(($U112-INT($U112))*24,4)))</f>
        <v/>
      </c>
      <c r="AQ112" s="22" t="str">
        <f aca="false">IF($A112="","",IF($W112="","",ROUND(($W112-INT($W112))*24,4)))</f>
        <v/>
      </c>
      <c r="AR112" s="22" t="str">
        <f aca="false">IF($A112="","",IF($X112="","",ROUND(($X112-INT($X112))*24,4)))</f>
        <v/>
      </c>
      <c r="AS112" s="38" t="str">
        <f aca="false">IF($A112="","",IF(OR($AN112="",$V112="",$S112="",$T112=""),"",ROUND(($V112-($B112+$AN112/24))*1440-$S112-$T112,0)))</f>
        <v/>
      </c>
      <c r="AT112" s="38" t="str">
        <f aca="false">IF($A112="","",IF(OR($AN112="",$U112=""),"",ROUND(($U112-($B112+$AN112/24))*1440,0)))</f>
        <v/>
      </c>
      <c r="AU112" s="38" t="str">
        <f aca="false">IF($A112="","",IF(OR($AD112="",$S112=""),"",ROUND($AD112-$S112,0)))</f>
        <v/>
      </c>
      <c r="AV112" s="38" t="str">
        <f aca="false">IF($A112="","",N($AE112))</f>
        <v/>
      </c>
      <c r="AW112" s="38" t="str">
        <f aca="false">IF($A112="","",IF(OR($AF112="",$T112=""),"",$AF112-$T112))</f>
        <v/>
      </c>
      <c r="AX112" s="38" t="str">
        <f aca="false">IF($A112="","",IF(COUNT($AT112,$AB112,$AU112,$AW112,$AS112,$AH112)&lt;6,"",ROUND($AT112+$AB112+$AU112+$AV112+$AW112-$AS112-$AH112,0)))</f>
        <v/>
      </c>
      <c r="AY112" s="4" t="str">
        <f aca="false">IF($A112="","",IF($AX112="","No",IF(ABS($AX112)&lt;=2,"Yes","No")))</f>
        <v/>
      </c>
      <c r="AZ112" s="4" t="str">
        <f aca="false">IF($A112="","",IF($AI112&lt;&gt;"Yes","n/a",IF(OR($AA112="",$S112="",$T112=""),"Unknown",IF($AA112&lt;$S112+$T112,"Lost on arrival","Lost after arrival"))))</f>
        <v/>
      </c>
      <c r="BA112" s="10" t="str">
        <f aca="false">IF($A112="","",IFERROR(VLOOKUP($C112,Dim_Fund!$A:$D,4,0),""))</f>
        <v/>
      </c>
      <c r="BB112" s="10" t="str">
        <f aca="false">IF($A112="","",IF($AL112="","",IF(COUNTIFS(Fact_Milestone!$A:$A,$B112,Fact_Milestone!$B:$B,$AL112,Fact_Milestone!$I:$I,"No")&gt;0,"No",IF(COUNTIFS(Fact_Milestone!$A:$A,$B112,Fact_Milestone!$B:$B,$AL112,Fact_Milestone!$I:$I,"Yes")&gt;0,"Yes",""))))</f>
        <v/>
      </c>
      <c r="BC112" s="45" t="str">
        <f aca="false">IF($A112="","",IF(OR($L112="",$W112=""),"",IF(COUNTIFS($L:$L,$L112,$B:$B,$B112,$W:$W,"&lt;"&amp;$W112)=0,"",_xlfn.MAXIFS($W:$W,$L:$L,$L112,$B:$B,$B112,$W:$W,"&lt;"&amp;$W112))))</f>
        <v/>
      </c>
      <c r="BD112" s="39" t="str">
        <f aca="false">IF($A112="","",IF($AC112="","",IF(OR($L112="",$AC112=0),0,MIN($AC112,ROUND(ROUND(1440*SUMPRODUCT(($L$2:INDEX($L:$L,COUNTA($C:$C))=$L112)*($B$2:INDEX($B:$B,COUNTA($C:$C))=$B112)*(ROW($L$2:INDEX($L:$L,COUNTA($C:$C)))&lt;&gt;ROW())*((((($W112+$BT$2:INDEX($BT:$BT,COUNTA($C:$C))-ABS($W112-$BT$2:INDEX($BT:$BT,COUNTA($C:$C))))/2)-(($U112+$BS$2:INDEX($BS:$BS,COUNTA($C:$C))+ABS($U112-$BS$2:INDEX($BS:$BS,COUNTA($C:$C))))/2))+ABS(((($W112+$BT$2:INDEX($BT:$BT,COUNTA($C:$C))-ABS($W112-$BT$2:INDEX($BT:$BT,COUNTA($C:$C))))/2)-(($U112+$BS$2:INDEX($BS:$BS,COUNTA($C:$C))+ABS($U112-$BS$2:INDEX($BS:$BS,COUNTA($C:$C))))/2))))/2)),4),0)))))</f>
        <v/>
      </c>
      <c r="BE112" s="39" t="str">
        <f aca="false">IF($A112="","",IF($AC112="","",ROUND(MIN($AC112-$BD112,N($R112)),0)))</f>
        <v/>
      </c>
      <c r="BF112" s="10" t="str">
        <f aca="false">IF($A112="","",IFERROR(VLOOKUP($C112,Dim_Fund!$A:$BD,56,0),""))</f>
        <v/>
      </c>
      <c r="BG112" s="10" t="str">
        <f aca="false">IF($A112="","",IFERROR(VLOOKUP($C112,Dim_Fund!$A:$BH,60,0),""))</f>
        <v/>
      </c>
      <c r="BH112" s="10" t="str">
        <f aca="false">IF($A112="","",IF($AI112&lt;&gt;"Yes","Not breached",IF($AM112="Yes","Pricing late",IF($BG112="Thin custody slack","Thin custody slack",IF($BF112="Yes","Broker-dependent","None of these")))))</f>
        <v/>
      </c>
      <c r="BI112" s="23" t="str">
        <f aca="false">IF($A112="","",IFERROR(IF(VLOOKUP($C112,Dim_Fund!$A:$AI,35,0)&gt;0,VLOOKUP($C112,Dim_Fund!$A:$AI,35,0),""),""))</f>
        <v/>
      </c>
      <c r="BJ112" s="10" t="str">
        <f aca="false">IF($A112="","",$C112&amp;IF($E112="Client","*",""))</f>
        <v/>
      </c>
      <c r="BK112" s="39" t="str">
        <f aca="false">IF($A112="","",IFERROR(ROUND(($Y112-$X112)*1440,0),""))</f>
        <v/>
      </c>
      <c r="BL112" s="39" t="str">
        <f aca="false">IF($A112="","",IF($AH112="","",-$AH112))</f>
        <v/>
      </c>
      <c r="BM112" s="46" t="str">
        <f aca="false">IF($A112="","",IF($AQ112="","",IF($AP112="",$AQ112,MIN($AP112,$AQ112))))</f>
        <v/>
      </c>
      <c r="BN112" s="46" t="str">
        <f aca="false">IF($A112="","",IF($BM112="","",ROUND(N($AC112)/60,4)))</f>
        <v/>
      </c>
      <c r="BO112" s="46" t="str">
        <f aca="false">IF($A112="","",IF(OR($BM112="",$AD112=""),"",ROUND($AD112/60,4)))</f>
        <v/>
      </c>
      <c r="BP112" s="46" t="str">
        <f aca="false">IF($A112="","",IF($BM112="","",ROUND(N($AE112)/60,4)))</f>
        <v/>
      </c>
      <c r="BQ112" s="46" t="str">
        <f aca="false">IF($A112="","",IF(OR($BM112="",$AF112=""),"",ROUND($AF112/60,4)))</f>
        <v/>
      </c>
      <c r="BR112" s="39" t="str">
        <f aca="false">IF($A112="","",IF($AC112="","",$AC112-$BD112-$BE112))</f>
        <v/>
      </c>
      <c r="BS112" s="45" t="str">
        <f aca="false">IF($A112="","",IF(AND(ISNUMBER($Z112),ISNUMBER($W112)),$Z112,0))</f>
        <v/>
      </c>
      <c r="BT112" s="45" t="str">
        <f aca="false">IF($A112="","",IF(ISNUMBER($W112),$W112,0))</f>
        <v/>
      </c>
      <c r="BU112" s="23" t="str">
        <f aca="false">IF($A112="","",IF(ISNUMBER($W112),ROUND(($W112-$B112)*24,4),""))</f>
        <v/>
      </c>
      <c r="BV112" s="23" t="str">
        <f aca="false">IF($A112="","",IF(ISNUMBER($X112),ROUND(($X112-$B112)*24,4),""))</f>
        <v/>
      </c>
      <c r="BW112" s="10" t="str">
        <f aca="false">IF($A112="","",IF(NOT(ISNUMBER($W112)),"Missing Calculated",IF(NOT(ISNUMBER($X112)),IF($E112="Client","Missing FA signed off","Missing Controlled"),IF($X112&lt;$W112,"End before start","OK"))))</f>
        <v/>
      </c>
      <c r="BX112" s="23" t="str">
        <f aca="false">IF($A112="","",IF(NOT(ISNUMBER($Z112)),"",ROUND((IF(ISNUMBER($U112),MIN($U112,$Z112),$Z112)-$B112)*24,4)))</f>
        <v/>
      </c>
      <c r="BY112" s="23" t="str">
        <f aca="false">IF($A112="","",IF(ISNUMBER($Z112),ROUND(($Z112-$B112)*24,4),""))</f>
        <v/>
      </c>
      <c r="BZ112" s="23" t="str">
        <f aca="false">IF($A112="","",IF(AND(ISNUMBER($W112),ISNUMBER($S112)),ROUND(($W112+$S112/1440-$B112)*24,4),""))</f>
        <v/>
      </c>
    </row>
    <row r="113" customFormat="false" ht="15" hidden="false" customHeight="true" outlineLevel="0" collapsed="false">
      <c r="A113" s="47"/>
      <c r="B113" s="47"/>
      <c r="D113" s="4" t="str">
        <f aca="false">IF($A113="","",$B113-$A113)</f>
        <v/>
      </c>
      <c r="E113" s="4" t="str">
        <f aca="false">IF($A113="","",IFERROR(VLOOKUP($C113,Dim_Fund!$A:$X,24,0),""))</f>
        <v/>
      </c>
      <c r="F113" s="37" t="str">
        <f aca="false">IF($A113="","",IF(COUNTIFS(Status_Log!$A:$A,$A113,Status_Log!$B:$B,$B113,Status_Log!$C:$C,$C113,Status_Log!$D:$D,"Changed to the status of Calculated")=0,"",_xlfn.MINIFS(Status_Log!$E:$E,Status_Log!$A:$A,$A113,Status_Log!$B:$B,$B113,Status_Log!$C:$C,$C113,Status_Log!$D:$D,"Changed to the status of Calculated")))</f>
        <v/>
      </c>
      <c r="G113" s="37" t="str">
        <f aca="false">IF($A113="","",IF(COUNTIFS(Status_Log!$A:$A,$A113,Status_Log!$B:$B,$B113,Status_Log!$C:$C,$C113,Status_Log!$D:$D,"Changed to the status of Controlled")=0,"",_xlfn.MAXIFS(Status_Log!$E:$E,Status_Log!$A:$A,$A113,Status_Log!$B:$B,$B113,Status_Log!$C:$C,$C113,Status_Log!$D:$D,"Changed to the status of Controlled")))</f>
        <v/>
      </c>
      <c r="H113" s="37" t="str">
        <f aca="false">IF($A113="","",IF(COUNTIFS(Status_Log!$A:$A,$A113,Status_Log!$B:$B,$B113,Status_Log!$C:$C,$C113,Status_Log!$D:$D,"Changed to the status of Fund accounting signed off")=0,"",_xlfn.MAXIFS(Status_Log!$E:$E,Status_Log!$A:$A,$A113,Status_Log!$B:$B,$B113,Status_Log!$C:$C,$C113,Status_Log!$D:$D,"Changed to the status of Fund accounting signed off")))</f>
        <v/>
      </c>
      <c r="I113" s="37" t="str">
        <f aca="false">IF($A113="","",IF(COUNTIFS(Status_Log!$A:$A,$A113,Status_Log!$B:$B,$B113,Status_Log!$C:$C,$C113,Status_Log!$D:$D,"Changed to the status of signed off")=0,"",_xlfn.MAXIFS(Status_Log!$E:$E,Status_Log!$A:$A,$A113,Status_Log!$B:$B,$B113,Status_Log!$C:$C,$C113,Status_Log!$D:$D,"Changed to the status of signed off")))</f>
        <v/>
      </c>
      <c r="J113" s="4" t="str">
        <f aca="false">IF($A113="","",COUNTIFS(Status_Log!$A:$A,$A113,Status_Log!$B:$B,$B113,Status_Log!$C:$C,$C113,Status_Log!$D:$D,"Changed to the status of Calculated"))</f>
        <v/>
      </c>
      <c r="K113" s="38" t="str">
        <f aca="false">IF($A113="","",IF(J113&lt;=1,0,ROUND((_xlfn.MAXIFS(Status_Log!$E:$E,Status_Log!$A:$A,$A113,Status_Log!$B:$B,$B113,Status_Log!$C:$C,$C113,Status_Log!$D:$D,"Changed to the status of Calculated")-F113)*1440,0)))</f>
        <v/>
      </c>
      <c r="L113" s="4" t="str">
        <f aca="false">IF($A113="","",IFERROR(INDEX(Status_Log!$F:$F,MATCH($A113&amp;"|"&amp;$B113&amp;"|"&amp;$C113&amp;"|Changed to the status of Calculated|"&amp;TEXT(_xlfn.MAXIFS(Status_Log!$E:$E,Status_Log!$A:$A,$A113,Status_Log!$B:$B,$B113,Status_Log!$C:$C,$C113,Status_Log!$D:$D,"Changed to the status of Calculated"),"0.000000"),Status_Log!$H:$H,0)),""))</f>
        <v/>
      </c>
      <c r="M113" s="4" t="str">
        <f aca="false">IF($A113="","",IF(E113="Client","n/a — no control step",IFERROR(INDEX(Status_Log!$F:$F,MATCH($A113&amp;"|"&amp;$B113&amp;"|"&amp;$C113&amp;"|Changed to the status of Controlled|"&amp;TEXT(_xlfn.MAXIFS(Status_Log!$E:$E,Status_Log!$A:$A,$A113,Status_Log!$B:$B,$B113,Status_Log!$C:$C,$C113,Status_Log!$D:$D,"Changed to the status of Controlled"),"0.000000"),Status_Log!$H:$H,0)),"")))</f>
        <v/>
      </c>
      <c r="N113" s="4" t="str">
        <f aca="false">IF($A113="","",IFERROR(VLOOKUP($C113,Dim_Fund!$A:$G,7,0),""))</f>
        <v/>
      </c>
      <c r="O113" s="4" t="str">
        <f aca="false">IF($A113="","",IF(L113=N113,"No","Yes"))</f>
        <v/>
      </c>
      <c r="P113" s="4" t="str">
        <f aca="false">IF($A113="","",IF(E113="Client","n/a",IF(L113=M113,"YES — four-eyes breach","No")))</f>
        <v/>
      </c>
      <c r="Q113" s="38" t="str">
        <f aca="false">IF($A113="","",IFERROR(VLOOKUP($C113,Dim_Fund!$A:$AB,28,0),""))</f>
        <v/>
      </c>
      <c r="R113" s="38" t="str">
        <f aca="false">IF($A113="","",IFERROR(VLOOKUP($C113,Dim_Fund!$A:$AC,29,0),""))</f>
        <v/>
      </c>
      <c r="S113" s="38" t="str">
        <f aca="false">IF($A113="","",IFERROR(VLOOKUP($C113,Dim_Fund!$A:$AD,30,0),""))</f>
        <v/>
      </c>
      <c r="T113" s="38" t="str">
        <f aca="false">IF($A113="","",IFERROR(VLOOKUP($C113,Dim_Fund!$A:$AL,38,0),""))</f>
        <v/>
      </c>
      <c r="U113" s="37" t="str">
        <f aca="false">IF($A113="","",IF(AL113="","",IFERROR(IF(COUNTIFS(Fact_Milestone!$A:$A,$B113,Fact_Milestone!$B:$B,AL113)=0,"",_xlfn.MAXIFS(Fact_Milestone!$C:$C,Fact_Milestone!$A:$A,$B113,Fact_Milestone!$B:$B,AL113)),"")))</f>
        <v/>
      </c>
      <c r="V113" s="37" t="str">
        <f aca="false">IF($A113="","",IFERROR(IF(VLOOKUP($C113,Dim_Fund!$A:$AI,35,0)&gt;0,$B113+VLOOKUP($C113,Dim_Fund!$A:$AI,35,0)/24,""),""))</f>
        <v/>
      </c>
      <c r="W113" s="37" t="str">
        <f aca="false">IF($A113="","",F113)</f>
        <v/>
      </c>
      <c r="X113" s="37" t="str">
        <f aca="false">IF($A113="","",IF(E113="Client",H113,G113))</f>
        <v/>
      </c>
      <c r="Y113" s="37" t="str">
        <f aca="false">IF($A113="","",I113)</f>
        <v/>
      </c>
      <c r="Z113" s="37" t="str">
        <f aca="false">IF($A113="","",IFERROR(W113-R113/1440,""))</f>
        <v/>
      </c>
      <c r="AA113" s="38" t="str">
        <f aca="false">IF($A113="","",IF(OR(U113="",V113=""),"",ROUND((V113-U113)*1440,0)))</f>
        <v/>
      </c>
      <c r="AB113" s="38" t="str">
        <f aca="false">IF($A113="","",IF(U113="","",ROUND((W113-U113)*1440,0)))</f>
        <v/>
      </c>
      <c r="AC113" s="38" t="str">
        <f aca="false">IF($A113="","",IF(AB113="","",MAX(0,AB113)))</f>
        <v/>
      </c>
      <c r="AD113" s="38" t="str">
        <f aca="false">IF($A113="","",IFERROR(ROUND((X113-W113)*1440,0),""))</f>
        <v/>
      </c>
      <c r="AE113" s="38" t="str">
        <f aca="false">IF($A113="","",IF(E113="Client","n/a",IFERROR(ROUND((H113-G113)*1440,0),"")))</f>
        <v/>
      </c>
      <c r="AF113" s="38" t="str">
        <f aca="false">IF($A113="","",IFERROR(ROUND((Y113-H113)*1440,0),""))</f>
        <v/>
      </c>
      <c r="AG113" s="38" t="str">
        <f aca="false">IF($A113="","",IFERROR(ROUND((H113-F113)*1440,0),""))</f>
        <v/>
      </c>
      <c r="AH113" s="38" t="str">
        <f aca="false">IF($A113="","",IFERROR(ROUND((Y113-V113)*1440,0),""))</f>
        <v/>
      </c>
      <c r="AI113" s="4" t="str">
        <f aca="false">IF($A113="","",IF(AH113="","",IF(AH113&gt;0,"Yes","No")))</f>
        <v/>
      </c>
      <c r="AJ113" s="4" t="str">
        <f aca="false">IF($A113="","",IF(AI113&lt;&gt;"Yes","On time",IF(N(AC113)&gt;=MAX(N(AF113),N(K113)),"Wait for analyst",IF(N(AF113)&gt;=N(K113),"External sign-off","Rework"))))</f>
        <v/>
      </c>
      <c r="AK113" s="4" t="str">
        <f aca="false">IF($A113="","",IF(OR(F113="",Y113="",ISNA(MATCH(L113,Dim_Analyst!$A:$A,0))),"CHECK","OK"))</f>
        <v/>
      </c>
      <c r="AL113" s="4" t="str">
        <f aca="false">IF($A113="","",IFERROR(VLOOKUP($C113,Dim_Fund!$A:$U,21,0),""))</f>
        <v/>
      </c>
      <c r="AM113" s="4" t="str">
        <f aca="false">IF($A113="","",IF($U113="","",IF($U113&gt;$B113+IFERROR(VLOOKUP($C113,Dim_Fund!$A:$AH,34,0),0)/24,"Yes","No")))</f>
        <v/>
      </c>
      <c r="AN113" s="22" t="str">
        <f aca="false">IF($A113="","",IFERROR(VLOOKUP($C113,Dim_Fund!$A:$AH,34,0),""))</f>
        <v/>
      </c>
      <c r="AO113" s="22" t="str">
        <f aca="false">IF($A113="","",IF($AL113="","",IFERROR(FLOOR(IF(COUNTIFS(Fact_Milestone!$A:$A,$B113,Fact_Milestone!$B:$B,$AL113,Fact_Milestone!$F:$F,"&gt;0")&gt;0,_xlfn.MINIFS(Fact_Milestone!$F:$F,Fact_Milestone!$A:$A,$B113,Fact_Milestone!$B:$B,$AL113,Fact_Milestone!$F:$F,"&gt;0"),VLOOKUP($AL113,Dim_TOP!$A:$E,5,0)),0.5),"")))</f>
        <v/>
      </c>
      <c r="AP113" s="22" t="str">
        <f aca="false">IF($A113="","",IF($U113="","",ROUND(($U113-INT($U113))*24,4)))</f>
        <v/>
      </c>
      <c r="AQ113" s="22" t="str">
        <f aca="false">IF($A113="","",IF($W113="","",ROUND(($W113-INT($W113))*24,4)))</f>
        <v/>
      </c>
      <c r="AR113" s="22" t="str">
        <f aca="false">IF($A113="","",IF($X113="","",ROUND(($X113-INT($X113))*24,4)))</f>
        <v/>
      </c>
      <c r="AS113" s="38" t="str">
        <f aca="false">IF($A113="","",IF(OR($AN113="",$V113="",$S113="",$T113=""),"",ROUND(($V113-($B113+$AN113/24))*1440-$S113-$T113,0)))</f>
        <v/>
      </c>
      <c r="AT113" s="38" t="str">
        <f aca="false">IF($A113="","",IF(OR($AN113="",$U113=""),"",ROUND(($U113-($B113+$AN113/24))*1440,0)))</f>
        <v/>
      </c>
      <c r="AU113" s="38" t="str">
        <f aca="false">IF($A113="","",IF(OR($AD113="",$S113=""),"",ROUND($AD113-$S113,0)))</f>
        <v/>
      </c>
      <c r="AV113" s="38" t="str">
        <f aca="false">IF($A113="","",N($AE113))</f>
        <v/>
      </c>
      <c r="AW113" s="38" t="str">
        <f aca="false">IF($A113="","",IF(OR($AF113="",$T113=""),"",$AF113-$T113))</f>
        <v/>
      </c>
      <c r="AX113" s="38" t="str">
        <f aca="false">IF($A113="","",IF(COUNT($AT113,$AB113,$AU113,$AW113,$AS113,$AH113)&lt;6,"",ROUND($AT113+$AB113+$AU113+$AV113+$AW113-$AS113-$AH113,0)))</f>
        <v/>
      </c>
      <c r="AY113" s="4" t="str">
        <f aca="false">IF($A113="","",IF($AX113="","No",IF(ABS($AX113)&lt;=2,"Yes","No")))</f>
        <v/>
      </c>
      <c r="AZ113" s="4" t="str">
        <f aca="false">IF($A113="","",IF($AI113&lt;&gt;"Yes","n/a",IF(OR($AA113="",$S113="",$T113=""),"Unknown",IF($AA113&lt;$S113+$T113,"Lost on arrival","Lost after arrival"))))</f>
        <v/>
      </c>
      <c r="BA113" s="10" t="str">
        <f aca="false">IF($A113="","",IFERROR(VLOOKUP($C113,Dim_Fund!$A:$D,4,0),""))</f>
        <v/>
      </c>
      <c r="BB113" s="10" t="str">
        <f aca="false">IF($A113="","",IF($AL113="","",IF(COUNTIFS(Fact_Milestone!$A:$A,$B113,Fact_Milestone!$B:$B,$AL113,Fact_Milestone!$I:$I,"No")&gt;0,"No",IF(COUNTIFS(Fact_Milestone!$A:$A,$B113,Fact_Milestone!$B:$B,$AL113,Fact_Milestone!$I:$I,"Yes")&gt;0,"Yes",""))))</f>
        <v/>
      </c>
      <c r="BC113" s="45" t="str">
        <f aca="false">IF($A113="","",IF(OR($L113="",$W113=""),"",IF(COUNTIFS($L:$L,$L113,$B:$B,$B113,$W:$W,"&lt;"&amp;$W113)=0,"",_xlfn.MAXIFS($W:$W,$L:$L,$L113,$B:$B,$B113,$W:$W,"&lt;"&amp;$W113))))</f>
        <v/>
      </c>
      <c r="BD113" s="39" t="str">
        <f aca="false">IF($A113="","",IF($AC113="","",IF(OR($L113="",$AC113=0),0,MIN($AC113,ROUND(ROUND(1440*SUMPRODUCT(($L$2:INDEX($L:$L,COUNTA($C:$C))=$L113)*($B$2:INDEX($B:$B,COUNTA($C:$C))=$B113)*(ROW($L$2:INDEX($L:$L,COUNTA($C:$C)))&lt;&gt;ROW())*((((($W113+$BT$2:INDEX($BT:$BT,COUNTA($C:$C))-ABS($W113-$BT$2:INDEX($BT:$BT,COUNTA($C:$C))))/2)-(($U113+$BS$2:INDEX($BS:$BS,COUNTA($C:$C))+ABS($U113-$BS$2:INDEX($BS:$BS,COUNTA($C:$C))))/2))+ABS(((($W113+$BT$2:INDEX($BT:$BT,COUNTA($C:$C))-ABS($W113-$BT$2:INDEX($BT:$BT,COUNTA($C:$C))))/2)-(($U113+$BS$2:INDEX($BS:$BS,COUNTA($C:$C))+ABS($U113-$BS$2:INDEX($BS:$BS,COUNTA($C:$C))))/2))))/2)),4),0)))))</f>
        <v/>
      </c>
      <c r="BE113" s="39" t="str">
        <f aca="false">IF($A113="","",IF($AC113="","",ROUND(MIN($AC113-$BD113,N($R113)),0)))</f>
        <v/>
      </c>
      <c r="BF113" s="10" t="str">
        <f aca="false">IF($A113="","",IFERROR(VLOOKUP($C113,Dim_Fund!$A:$BD,56,0),""))</f>
        <v/>
      </c>
      <c r="BG113" s="10" t="str">
        <f aca="false">IF($A113="","",IFERROR(VLOOKUP($C113,Dim_Fund!$A:$BH,60,0),""))</f>
        <v/>
      </c>
      <c r="BH113" s="10" t="str">
        <f aca="false">IF($A113="","",IF($AI113&lt;&gt;"Yes","Not breached",IF($AM113="Yes","Pricing late",IF($BG113="Thin custody slack","Thin custody slack",IF($BF113="Yes","Broker-dependent","None of these")))))</f>
        <v/>
      </c>
      <c r="BI113" s="23" t="str">
        <f aca="false">IF($A113="","",IFERROR(IF(VLOOKUP($C113,Dim_Fund!$A:$AI,35,0)&gt;0,VLOOKUP($C113,Dim_Fund!$A:$AI,35,0),""),""))</f>
        <v/>
      </c>
      <c r="BJ113" s="10" t="str">
        <f aca="false">IF($A113="","",$C113&amp;IF($E113="Client","*",""))</f>
        <v/>
      </c>
      <c r="BK113" s="39" t="str">
        <f aca="false">IF($A113="","",IFERROR(ROUND(($Y113-$X113)*1440,0),""))</f>
        <v/>
      </c>
      <c r="BL113" s="39" t="str">
        <f aca="false">IF($A113="","",IF($AH113="","",-$AH113))</f>
        <v/>
      </c>
      <c r="BM113" s="46" t="str">
        <f aca="false">IF($A113="","",IF($AQ113="","",IF($AP113="",$AQ113,MIN($AP113,$AQ113))))</f>
        <v/>
      </c>
      <c r="BN113" s="46" t="str">
        <f aca="false">IF($A113="","",IF($BM113="","",ROUND(N($AC113)/60,4)))</f>
        <v/>
      </c>
      <c r="BO113" s="46" t="str">
        <f aca="false">IF($A113="","",IF(OR($BM113="",$AD113=""),"",ROUND($AD113/60,4)))</f>
        <v/>
      </c>
      <c r="BP113" s="46" t="str">
        <f aca="false">IF($A113="","",IF($BM113="","",ROUND(N($AE113)/60,4)))</f>
        <v/>
      </c>
      <c r="BQ113" s="46" t="str">
        <f aca="false">IF($A113="","",IF(OR($BM113="",$AF113=""),"",ROUND($AF113/60,4)))</f>
        <v/>
      </c>
      <c r="BR113" s="39" t="str">
        <f aca="false">IF($A113="","",IF($AC113="","",$AC113-$BD113-$BE113))</f>
        <v/>
      </c>
      <c r="BS113" s="45" t="str">
        <f aca="false">IF($A113="","",IF(AND(ISNUMBER($Z113),ISNUMBER($W113)),$Z113,0))</f>
        <v/>
      </c>
      <c r="BT113" s="45" t="str">
        <f aca="false">IF($A113="","",IF(ISNUMBER($W113),$W113,0))</f>
        <v/>
      </c>
      <c r="BU113" s="23" t="str">
        <f aca="false">IF($A113="","",IF(ISNUMBER($W113),ROUND(($W113-$B113)*24,4),""))</f>
        <v/>
      </c>
      <c r="BV113" s="23" t="str">
        <f aca="false">IF($A113="","",IF(ISNUMBER($X113),ROUND(($X113-$B113)*24,4),""))</f>
        <v/>
      </c>
      <c r="BW113" s="10" t="str">
        <f aca="false">IF($A113="","",IF(NOT(ISNUMBER($W113)),"Missing Calculated",IF(NOT(ISNUMBER($X113)),IF($E113="Client","Missing FA signed off","Missing Controlled"),IF($X113&lt;$W113,"End before start","OK"))))</f>
        <v/>
      </c>
      <c r="BX113" s="23" t="str">
        <f aca="false">IF($A113="","",IF(NOT(ISNUMBER($Z113)),"",ROUND((IF(ISNUMBER($U113),MIN($U113,$Z113),$Z113)-$B113)*24,4)))</f>
        <v/>
      </c>
      <c r="BY113" s="23" t="str">
        <f aca="false">IF($A113="","",IF(ISNUMBER($Z113),ROUND(($Z113-$B113)*24,4),""))</f>
        <v/>
      </c>
      <c r="BZ113" s="23" t="str">
        <f aca="false">IF($A113="","",IF(AND(ISNUMBER($W113),ISNUMBER($S113)),ROUND(($W113+$S113/1440-$B113)*24,4),""))</f>
        <v/>
      </c>
    </row>
    <row r="114" customFormat="false" ht="15" hidden="false" customHeight="true" outlineLevel="0" collapsed="false">
      <c r="A114" s="47"/>
      <c r="B114" s="47"/>
      <c r="D114" s="4" t="str">
        <f aca="false">IF($A114="","",$B114-$A114)</f>
        <v/>
      </c>
      <c r="E114" s="4" t="str">
        <f aca="false">IF($A114="","",IFERROR(VLOOKUP($C114,Dim_Fund!$A:$X,24,0),""))</f>
        <v/>
      </c>
      <c r="F114" s="37" t="str">
        <f aca="false">IF($A114="","",IF(COUNTIFS(Status_Log!$A:$A,$A114,Status_Log!$B:$B,$B114,Status_Log!$C:$C,$C114,Status_Log!$D:$D,"Changed to the status of Calculated")=0,"",_xlfn.MINIFS(Status_Log!$E:$E,Status_Log!$A:$A,$A114,Status_Log!$B:$B,$B114,Status_Log!$C:$C,$C114,Status_Log!$D:$D,"Changed to the status of Calculated")))</f>
        <v/>
      </c>
      <c r="G114" s="37" t="str">
        <f aca="false">IF($A114="","",IF(COUNTIFS(Status_Log!$A:$A,$A114,Status_Log!$B:$B,$B114,Status_Log!$C:$C,$C114,Status_Log!$D:$D,"Changed to the status of Controlled")=0,"",_xlfn.MAXIFS(Status_Log!$E:$E,Status_Log!$A:$A,$A114,Status_Log!$B:$B,$B114,Status_Log!$C:$C,$C114,Status_Log!$D:$D,"Changed to the status of Controlled")))</f>
        <v/>
      </c>
      <c r="H114" s="37" t="str">
        <f aca="false">IF($A114="","",IF(COUNTIFS(Status_Log!$A:$A,$A114,Status_Log!$B:$B,$B114,Status_Log!$C:$C,$C114,Status_Log!$D:$D,"Changed to the status of Fund accounting signed off")=0,"",_xlfn.MAXIFS(Status_Log!$E:$E,Status_Log!$A:$A,$A114,Status_Log!$B:$B,$B114,Status_Log!$C:$C,$C114,Status_Log!$D:$D,"Changed to the status of Fund accounting signed off")))</f>
        <v/>
      </c>
      <c r="I114" s="37" t="str">
        <f aca="false">IF($A114="","",IF(COUNTIFS(Status_Log!$A:$A,$A114,Status_Log!$B:$B,$B114,Status_Log!$C:$C,$C114,Status_Log!$D:$D,"Changed to the status of signed off")=0,"",_xlfn.MAXIFS(Status_Log!$E:$E,Status_Log!$A:$A,$A114,Status_Log!$B:$B,$B114,Status_Log!$C:$C,$C114,Status_Log!$D:$D,"Changed to the status of signed off")))</f>
        <v/>
      </c>
      <c r="J114" s="4" t="str">
        <f aca="false">IF($A114="","",COUNTIFS(Status_Log!$A:$A,$A114,Status_Log!$B:$B,$B114,Status_Log!$C:$C,$C114,Status_Log!$D:$D,"Changed to the status of Calculated"))</f>
        <v/>
      </c>
      <c r="K114" s="38" t="str">
        <f aca="false">IF($A114="","",IF(J114&lt;=1,0,ROUND((_xlfn.MAXIFS(Status_Log!$E:$E,Status_Log!$A:$A,$A114,Status_Log!$B:$B,$B114,Status_Log!$C:$C,$C114,Status_Log!$D:$D,"Changed to the status of Calculated")-F114)*1440,0)))</f>
        <v/>
      </c>
      <c r="L114" s="4" t="str">
        <f aca="false">IF($A114="","",IFERROR(INDEX(Status_Log!$F:$F,MATCH($A114&amp;"|"&amp;$B114&amp;"|"&amp;$C114&amp;"|Changed to the status of Calculated|"&amp;TEXT(_xlfn.MAXIFS(Status_Log!$E:$E,Status_Log!$A:$A,$A114,Status_Log!$B:$B,$B114,Status_Log!$C:$C,$C114,Status_Log!$D:$D,"Changed to the status of Calculated"),"0.000000"),Status_Log!$H:$H,0)),""))</f>
        <v/>
      </c>
      <c r="M114" s="4" t="str">
        <f aca="false">IF($A114="","",IF(E114="Client","n/a — no control step",IFERROR(INDEX(Status_Log!$F:$F,MATCH($A114&amp;"|"&amp;$B114&amp;"|"&amp;$C114&amp;"|Changed to the status of Controlled|"&amp;TEXT(_xlfn.MAXIFS(Status_Log!$E:$E,Status_Log!$A:$A,$A114,Status_Log!$B:$B,$B114,Status_Log!$C:$C,$C114,Status_Log!$D:$D,"Changed to the status of Controlled"),"0.000000"),Status_Log!$H:$H,0)),"")))</f>
        <v/>
      </c>
      <c r="N114" s="4" t="str">
        <f aca="false">IF($A114="","",IFERROR(VLOOKUP($C114,Dim_Fund!$A:$G,7,0),""))</f>
        <v/>
      </c>
      <c r="O114" s="4" t="str">
        <f aca="false">IF($A114="","",IF(L114=N114,"No","Yes"))</f>
        <v/>
      </c>
      <c r="P114" s="4" t="str">
        <f aca="false">IF($A114="","",IF(E114="Client","n/a",IF(L114=M114,"YES — four-eyes breach","No")))</f>
        <v/>
      </c>
      <c r="Q114" s="38" t="str">
        <f aca="false">IF($A114="","",IFERROR(VLOOKUP($C114,Dim_Fund!$A:$AB,28,0),""))</f>
        <v/>
      </c>
      <c r="R114" s="38" t="str">
        <f aca="false">IF($A114="","",IFERROR(VLOOKUP($C114,Dim_Fund!$A:$AC,29,0),""))</f>
        <v/>
      </c>
      <c r="S114" s="38" t="str">
        <f aca="false">IF($A114="","",IFERROR(VLOOKUP($C114,Dim_Fund!$A:$AD,30,0),""))</f>
        <v/>
      </c>
      <c r="T114" s="38" t="str">
        <f aca="false">IF($A114="","",IFERROR(VLOOKUP($C114,Dim_Fund!$A:$AL,38,0),""))</f>
        <v/>
      </c>
      <c r="U114" s="37" t="str">
        <f aca="false">IF($A114="","",IF(AL114="","",IFERROR(IF(COUNTIFS(Fact_Milestone!$A:$A,$B114,Fact_Milestone!$B:$B,AL114)=0,"",_xlfn.MAXIFS(Fact_Milestone!$C:$C,Fact_Milestone!$A:$A,$B114,Fact_Milestone!$B:$B,AL114)),"")))</f>
        <v/>
      </c>
      <c r="V114" s="37" t="str">
        <f aca="false">IF($A114="","",IFERROR(IF(VLOOKUP($C114,Dim_Fund!$A:$AI,35,0)&gt;0,$B114+VLOOKUP($C114,Dim_Fund!$A:$AI,35,0)/24,""),""))</f>
        <v/>
      </c>
      <c r="W114" s="37" t="str">
        <f aca="false">IF($A114="","",F114)</f>
        <v/>
      </c>
      <c r="X114" s="37" t="str">
        <f aca="false">IF($A114="","",IF(E114="Client",H114,G114))</f>
        <v/>
      </c>
      <c r="Y114" s="37" t="str">
        <f aca="false">IF($A114="","",I114)</f>
        <v/>
      </c>
      <c r="Z114" s="37" t="str">
        <f aca="false">IF($A114="","",IFERROR(W114-R114/1440,""))</f>
        <v/>
      </c>
      <c r="AA114" s="38" t="str">
        <f aca="false">IF($A114="","",IF(OR(U114="",V114=""),"",ROUND((V114-U114)*1440,0)))</f>
        <v/>
      </c>
      <c r="AB114" s="38" t="str">
        <f aca="false">IF($A114="","",IF(U114="","",ROUND((W114-U114)*1440,0)))</f>
        <v/>
      </c>
      <c r="AC114" s="38" t="str">
        <f aca="false">IF($A114="","",IF(AB114="","",MAX(0,AB114)))</f>
        <v/>
      </c>
      <c r="AD114" s="38" t="str">
        <f aca="false">IF($A114="","",IFERROR(ROUND((X114-W114)*1440,0),""))</f>
        <v/>
      </c>
      <c r="AE114" s="38" t="str">
        <f aca="false">IF($A114="","",IF(E114="Client","n/a",IFERROR(ROUND((H114-G114)*1440,0),"")))</f>
        <v/>
      </c>
      <c r="AF114" s="38" t="str">
        <f aca="false">IF($A114="","",IFERROR(ROUND((Y114-H114)*1440,0),""))</f>
        <v/>
      </c>
      <c r="AG114" s="38" t="str">
        <f aca="false">IF($A114="","",IFERROR(ROUND((H114-F114)*1440,0),""))</f>
        <v/>
      </c>
      <c r="AH114" s="38" t="str">
        <f aca="false">IF($A114="","",IFERROR(ROUND((Y114-V114)*1440,0),""))</f>
        <v/>
      </c>
      <c r="AI114" s="4" t="str">
        <f aca="false">IF($A114="","",IF(AH114="","",IF(AH114&gt;0,"Yes","No")))</f>
        <v/>
      </c>
      <c r="AJ114" s="4" t="str">
        <f aca="false">IF($A114="","",IF(AI114&lt;&gt;"Yes","On time",IF(N(AC114)&gt;=MAX(N(AF114),N(K114)),"Wait for analyst",IF(N(AF114)&gt;=N(K114),"External sign-off","Rework"))))</f>
        <v/>
      </c>
      <c r="AK114" s="4" t="str">
        <f aca="false">IF($A114="","",IF(OR(F114="",Y114="",ISNA(MATCH(L114,Dim_Analyst!$A:$A,0))),"CHECK","OK"))</f>
        <v/>
      </c>
      <c r="AL114" s="4" t="str">
        <f aca="false">IF($A114="","",IFERROR(VLOOKUP($C114,Dim_Fund!$A:$U,21,0),""))</f>
        <v/>
      </c>
      <c r="AM114" s="4" t="str">
        <f aca="false">IF($A114="","",IF($U114="","",IF($U114&gt;$B114+IFERROR(VLOOKUP($C114,Dim_Fund!$A:$AH,34,0),0)/24,"Yes","No")))</f>
        <v/>
      </c>
      <c r="AN114" s="22" t="str">
        <f aca="false">IF($A114="","",IFERROR(VLOOKUP($C114,Dim_Fund!$A:$AH,34,0),""))</f>
        <v/>
      </c>
      <c r="AO114" s="22" t="str">
        <f aca="false">IF($A114="","",IF($AL114="","",IFERROR(FLOOR(IF(COUNTIFS(Fact_Milestone!$A:$A,$B114,Fact_Milestone!$B:$B,$AL114,Fact_Milestone!$F:$F,"&gt;0")&gt;0,_xlfn.MINIFS(Fact_Milestone!$F:$F,Fact_Milestone!$A:$A,$B114,Fact_Milestone!$B:$B,$AL114,Fact_Milestone!$F:$F,"&gt;0"),VLOOKUP($AL114,Dim_TOP!$A:$E,5,0)),0.5),"")))</f>
        <v/>
      </c>
      <c r="AP114" s="22" t="str">
        <f aca="false">IF($A114="","",IF($U114="","",ROUND(($U114-INT($U114))*24,4)))</f>
        <v/>
      </c>
      <c r="AQ114" s="22" t="str">
        <f aca="false">IF($A114="","",IF($W114="","",ROUND(($W114-INT($W114))*24,4)))</f>
        <v/>
      </c>
      <c r="AR114" s="22" t="str">
        <f aca="false">IF($A114="","",IF($X114="","",ROUND(($X114-INT($X114))*24,4)))</f>
        <v/>
      </c>
      <c r="AS114" s="38" t="str">
        <f aca="false">IF($A114="","",IF(OR($AN114="",$V114="",$S114="",$T114=""),"",ROUND(($V114-($B114+$AN114/24))*1440-$S114-$T114,0)))</f>
        <v/>
      </c>
      <c r="AT114" s="38" t="str">
        <f aca="false">IF($A114="","",IF(OR($AN114="",$U114=""),"",ROUND(($U114-($B114+$AN114/24))*1440,0)))</f>
        <v/>
      </c>
      <c r="AU114" s="38" t="str">
        <f aca="false">IF($A114="","",IF(OR($AD114="",$S114=""),"",ROUND($AD114-$S114,0)))</f>
        <v/>
      </c>
      <c r="AV114" s="38" t="str">
        <f aca="false">IF($A114="","",N($AE114))</f>
        <v/>
      </c>
      <c r="AW114" s="38" t="str">
        <f aca="false">IF($A114="","",IF(OR($AF114="",$T114=""),"",$AF114-$T114))</f>
        <v/>
      </c>
      <c r="AX114" s="38" t="str">
        <f aca="false">IF($A114="","",IF(COUNT($AT114,$AB114,$AU114,$AW114,$AS114,$AH114)&lt;6,"",ROUND($AT114+$AB114+$AU114+$AV114+$AW114-$AS114-$AH114,0)))</f>
        <v/>
      </c>
      <c r="AY114" s="4" t="str">
        <f aca="false">IF($A114="","",IF($AX114="","No",IF(ABS($AX114)&lt;=2,"Yes","No")))</f>
        <v/>
      </c>
      <c r="AZ114" s="4" t="str">
        <f aca="false">IF($A114="","",IF($AI114&lt;&gt;"Yes","n/a",IF(OR($AA114="",$S114="",$T114=""),"Unknown",IF($AA114&lt;$S114+$T114,"Lost on arrival","Lost after arrival"))))</f>
        <v/>
      </c>
      <c r="BA114" s="10" t="str">
        <f aca="false">IF($A114="","",IFERROR(VLOOKUP($C114,Dim_Fund!$A:$D,4,0),""))</f>
        <v/>
      </c>
      <c r="BB114" s="10" t="str">
        <f aca="false">IF($A114="","",IF($AL114="","",IF(COUNTIFS(Fact_Milestone!$A:$A,$B114,Fact_Milestone!$B:$B,$AL114,Fact_Milestone!$I:$I,"No")&gt;0,"No",IF(COUNTIFS(Fact_Milestone!$A:$A,$B114,Fact_Milestone!$B:$B,$AL114,Fact_Milestone!$I:$I,"Yes")&gt;0,"Yes",""))))</f>
        <v/>
      </c>
      <c r="BC114" s="45" t="str">
        <f aca="false">IF($A114="","",IF(OR($L114="",$W114=""),"",IF(COUNTIFS($L:$L,$L114,$B:$B,$B114,$W:$W,"&lt;"&amp;$W114)=0,"",_xlfn.MAXIFS($W:$W,$L:$L,$L114,$B:$B,$B114,$W:$W,"&lt;"&amp;$W114))))</f>
        <v/>
      </c>
      <c r="BD114" s="39" t="str">
        <f aca="false">IF($A114="","",IF($AC114="","",IF(OR($L114="",$AC114=0),0,MIN($AC114,ROUND(ROUND(1440*SUMPRODUCT(($L$2:INDEX($L:$L,COUNTA($C:$C))=$L114)*($B$2:INDEX($B:$B,COUNTA($C:$C))=$B114)*(ROW($L$2:INDEX($L:$L,COUNTA($C:$C)))&lt;&gt;ROW())*((((($W114+$BT$2:INDEX($BT:$BT,COUNTA($C:$C))-ABS($W114-$BT$2:INDEX($BT:$BT,COUNTA($C:$C))))/2)-(($U114+$BS$2:INDEX($BS:$BS,COUNTA($C:$C))+ABS($U114-$BS$2:INDEX($BS:$BS,COUNTA($C:$C))))/2))+ABS(((($W114+$BT$2:INDEX($BT:$BT,COUNTA($C:$C))-ABS($W114-$BT$2:INDEX($BT:$BT,COUNTA($C:$C))))/2)-(($U114+$BS$2:INDEX($BS:$BS,COUNTA($C:$C))+ABS($U114-$BS$2:INDEX($BS:$BS,COUNTA($C:$C))))/2))))/2)),4),0)))))</f>
        <v/>
      </c>
      <c r="BE114" s="39" t="str">
        <f aca="false">IF($A114="","",IF($AC114="","",ROUND(MIN($AC114-$BD114,N($R114)),0)))</f>
        <v/>
      </c>
      <c r="BF114" s="10" t="str">
        <f aca="false">IF($A114="","",IFERROR(VLOOKUP($C114,Dim_Fund!$A:$BD,56,0),""))</f>
        <v/>
      </c>
      <c r="BG114" s="10" t="str">
        <f aca="false">IF($A114="","",IFERROR(VLOOKUP($C114,Dim_Fund!$A:$BH,60,0),""))</f>
        <v/>
      </c>
      <c r="BH114" s="10" t="str">
        <f aca="false">IF($A114="","",IF($AI114&lt;&gt;"Yes","Not breached",IF($AM114="Yes","Pricing late",IF($BG114="Thin custody slack","Thin custody slack",IF($BF114="Yes","Broker-dependent","None of these")))))</f>
        <v/>
      </c>
      <c r="BI114" s="23" t="str">
        <f aca="false">IF($A114="","",IFERROR(IF(VLOOKUP($C114,Dim_Fund!$A:$AI,35,0)&gt;0,VLOOKUP($C114,Dim_Fund!$A:$AI,35,0),""),""))</f>
        <v/>
      </c>
      <c r="BJ114" s="10" t="str">
        <f aca="false">IF($A114="","",$C114&amp;IF($E114="Client","*",""))</f>
        <v/>
      </c>
      <c r="BK114" s="39" t="str">
        <f aca="false">IF($A114="","",IFERROR(ROUND(($Y114-$X114)*1440,0),""))</f>
        <v/>
      </c>
      <c r="BL114" s="39" t="str">
        <f aca="false">IF($A114="","",IF($AH114="","",-$AH114))</f>
        <v/>
      </c>
      <c r="BM114" s="46" t="str">
        <f aca="false">IF($A114="","",IF($AQ114="","",IF($AP114="",$AQ114,MIN($AP114,$AQ114))))</f>
        <v/>
      </c>
      <c r="BN114" s="46" t="str">
        <f aca="false">IF($A114="","",IF($BM114="","",ROUND(N($AC114)/60,4)))</f>
        <v/>
      </c>
      <c r="BO114" s="46" t="str">
        <f aca="false">IF($A114="","",IF(OR($BM114="",$AD114=""),"",ROUND($AD114/60,4)))</f>
        <v/>
      </c>
      <c r="BP114" s="46" t="str">
        <f aca="false">IF($A114="","",IF($BM114="","",ROUND(N($AE114)/60,4)))</f>
        <v/>
      </c>
      <c r="BQ114" s="46" t="str">
        <f aca="false">IF($A114="","",IF(OR($BM114="",$AF114=""),"",ROUND($AF114/60,4)))</f>
        <v/>
      </c>
      <c r="BR114" s="39" t="str">
        <f aca="false">IF($A114="","",IF($AC114="","",$AC114-$BD114-$BE114))</f>
        <v/>
      </c>
      <c r="BS114" s="45" t="str">
        <f aca="false">IF($A114="","",IF(AND(ISNUMBER($Z114),ISNUMBER($W114)),$Z114,0))</f>
        <v/>
      </c>
      <c r="BT114" s="45" t="str">
        <f aca="false">IF($A114="","",IF(ISNUMBER($W114),$W114,0))</f>
        <v/>
      </c>
      <c r="BU114" s="23" t="str">
        <f aca="false">IF($A114="","",IF(ISNUMBER($W114),ROUND(($W114-$B114)*24,4),""))</f>
        <v/>
      </c>
      <c r="BV114" s="23" t="str">
        <f aca="false">IF($A114="","",IF(ISNUMBER($X114),ROUND(($X114-$B114)*24,4),""))</f>
        <v/>
      </c>
      <c r="BW114" s="10" t="str">
        <f aca="false">IF($A114="","",IF(NOT(ISNUMBER($W114)),"Missing Calculated",IF(NOT(ISNUMBER($X114)),IF($E114="Client","Missing FA signed off","Missing Controlled"),IF($X114&lt;$W114,"End before start","OK"))))</f>
        <v/>
      </c>
      <c r="BX114" s="23" t="str">
        <f aca="false">IF($A114="","",IF(NOT(ISNUMBER($Z114)),"",ROUND((IF(ISNUMBER($U114),MIN($U114,$Z114),$Z114)-$B114)*24,4)))</f>
        <v/>
      </c>
      <c r="BY114" s="23" t="str">
        <f aca="false">IF($A114="","",IF(ISNUMBER($Z114),ROUND(($Z114-$B114)*24,4),""))</f>
        <v/>
      </c>
      <c r="BZ114" s="23" t="str">
        <f aca="false">IF($A114="","",IF(AND(ISNUMBER($W114),ISNUMBER($S114)),ROUND(($W114+$S114/1440-$B114)*24,4),""))</f>
        <v/>
      </c>
    </row>
    <row r="115" customFormat="false" ht="15" hidden="false" customHeight="true" outlineLevel="0" collapsed="false">
      <c r="A115" s="47"/>
      <c r="B115" s="47"/>
      <c r="D115" s="4" t="str">
        <f aca="false">IF($A115="","",$B115-$A115)</f>
        <v/>
      </c>
      <c r="E115" s="4" t="str">
        <f aca="false">IF($A115="","",IFERROR(VLOOKUP($C115,Dim_Fund!$A:$X,24,0),""))</f>
        <v/>
      </c>
      <c r="F115" s="37" t="str">
        <f aca="false">IF($A115="","",IF(COUNTIFS(Status_Log!$A:$A,$A115,Status_Log!$B:$B,$B115,Status_Log!$C:$C,$C115,Status_Log!$D:$D,"Changed to the status of Calculated")=0,"",_xlfn.MINIFS(Status_Log!$E:$E,Status_Log!$A:$A,$A115,Status_Log!$B:$B,$B115,Status_Log!$C:$C,$C115,Status_Log!$D:$D,"Changed to the status of Calculated")))</f>
        <v/>
      </c>
      <c r="G115" s="37" t="str">
        <f aca="false">IF($A115="","",IF(COUNTIFS(Status_Log!$A:$A,$A115,Status_Log!$B:$B,$B115,Status_Log!$C:$C,$C115,Status_Log!$D:$D,"Changed to the status of Controlled")=0,"",_xlfn.MAXIFS(Status_Log!$E:$E,Status_Log!$A:$A,$A115,Status_Log!$B:$B,$B115,Status_Log!$C:$C,$C115,Status_Log!$D:$D,"Changed to the status of Controlled")))</f>
        <v/>
      </c>
      <c r="H115" s="37" t="str">
        <f aca="false">IF($A115="","",IF(COUNTIFS(Status_Log!$A:$A,$A115,Status_Log!$B:$B,$B115,Status_Log!$C:$C,$C115,Status_Log!$D:$D,"Changed to the status of Fund accounting signed off")=0,"",_xlfn.MAXIFS(Status_Log!$E:$E,Status_Log!$A:$A,$A115,Status_Log!$B:$B,$B115,Status_Log!$C:$C,$C115,Status_Log!$D:$D,"Changed to the status of Fund accounting signed off")))</f>
        <v/>
      </c>
      <c r="I115" s="37" t="str">
        <f aca="false">IF($A115="","",IF(COUNTIFS(Status_Log!$A:$A,$A115,Status_Log!$B:$B,$B115,Status_Log!$C:$C,$C115,Status_Log!$D:$D,"Changed to the status of signed off")=0,"",_xlfn.MAXIFS(Status_Log!$E:$E,Status_Log!$A:$A,$A115,Status_Log!$B:$B,$B115,Status_Log!$C:$C,$C115,Status_Log!$D:$D,"Changed to the status of signed off")))</f>
        <v/>
      </c>
      <c r="J115" s="4" t="str">
        <f aca="false">IF($A115="","",COUNTIFS(Status_Log!$A:$A,$A115,Status_Log!$B:$B,$B115,Status_Log!$C:$C,$C115,Status_Log!$D:$D,"Changed to the status of Calculated"))</f>
        <v/>
      </c>
      <c r="K115" s="38" t="str">
        <f aca="false">IF($A115="","",IF(J115&lt;=1,0,ROUND((_xlfn.MAXIFS(Status_Log!$E:$E,Status_Log!$A:$A,$A115,Status_Log!$B:$B,$B115,Status_Log!$C:$C,$C115,Status_Log!$D:$D,"Changed to the status of Calculated")-F115)*1440,0)))</f>
        <v/>
      </c>
      <c r="L115" s="4" t="str">
        <f aca="false">IF($A115="","",IFERROR(INDEX(Status_Log!$F:$F,MATCH($A115&amp;"|"&amp;$B115&amp;"|"&amp;$C115&amp;"|Changed to the status of Calculated|"&amp;TEXT(_xlfn.MAXIFS(Status_Log!$E:$E,Status_Log!$A:$A,$A115,Status_Log!$B:$B,$B115,Status_Log!$C:$C,$C115,Status_Log!$D:$D,"Changed to the status of Calculated"),"0.000000"),Status_Log!$H:$H,0)),""))</f>
        <v/>
      </c>
      <c r="M115" s="4" t="str">
        <f aca="false">IF($A115="","",IF(E115="Client","n/a — no control step",IFERROR(INDEX(Status_Log!$F:$F,MATCH($A115&amp;"|"&amp;$B115&amp;"|"&amp;$C115&amp;"|Changed to the status of Controlled|"&amp;TEXT(_xlfn.MAXIFS(Status_Log!$E:$E,Status_Log!$A:$A,$A115,Status_Log!$B:$B,$B115,Status_Log!$C:$C,$C115,Status_Log!$D:$D,"Changed to the status of Controlled"),"0.000000"),Status_Log!$H:$H,0)),"")))</f>
        <v/>
      </c>
      <c r="N115" s="4" t="str">
        <f aca="false">IF($A115="","",IFERROR(VLOOKUP($C115,Dim_Fund!$A:$G,7,0),""))</f>
        <v/>
      </c>
      <c r="O115" s="4" t="str">
        <f aca="false">IF($A115="","",IF(L115=N115,"No","Yes"))</f>
        <v/>
      </c>
      <c r="P115" s="4" t="str">
        <f aca="false">IF($A115="","",IF(E115="Client","n/a",IF(L115=M115,"YES — four-eyes breach","No")))</f>
        <v/>
      </c>
      <c r="Q115" s="38" t="str">
        <f aca="false">IF($A115="","",IFERROR(VLOOKUP($C115,Dim_Fund!$A:$AB,28,0),""))</f>
        <v/>
      </c>
      <c r="R115" s="38" t="str">
        <f aca="false">IF($A115="","",IFERROR(VLOOKUP($C115,Dim_Fund!$A:$AC,29,0),""))</f>
        <v/>
      </c>
      <c r="S115" s="38" t="str">
        <f aca="false">IF($A115="","",IFERROR(VLOOKUP($C115,Dim_Fund!$A:$AD,30,0),""))</f>
        <v/>
      </c>
      <c r="T115" s="38" t="str">
        <f aca="false">IF($A115="","",IFERROR(VLOOKUP($C115,Dim_Fund!$A:$AL,38,0),""))</f>
        <v/>
      </c>
      <c r="U115" s="37" t="str">
        <f aca="false">IF($A115="","",IF(AL115="","",IFERROR(IF(COUNTIFS(Fact_Milestone!$A:$A,$B115,Fact_Milestone!$B:$B,AL115)=0,"",_xlfn.MAXIFS(Fact_Milestone!$C:$C,Fact_Milestone!$A:$A,$B115,Fact_Milestone!$B:$B,AL115)),"")))</f>
        <v/>
      </c>
      <c r="V115" s="37" t="str">
        <f aca="false">IF($A115="","",IFERROR(IF(VLOOKUP($C115,Dim_Fund!$A:$AI,35,0)&gt;0,$B115+VLOOKUP($C115,Dim_Fund!$A:$AI,35,0)/24,""),""))</f>
        <v/>
      </c>
      <c r="W115" s="37" t="str">
        <f aca="false">IF($A115="","",F115)</f>
        <v/>
      </c>
      <c r="X115" s="37" t="str">
        <f aca="false">IF($A115="","",IF(E115="Client",H115,G115))</f>
        <v/>
      </c>
      <c r="Y115" s="37" t="str">
        <f aca="false">IF($A115="","",I115)</f>
        <v/>
      </c>
      <c r="Z115" s="37" t="str">
        <f aca="false">IF($A115="","",IFERROR(W115-R115/1440,""))</f>
        <v/>
      </c>
      <c r="AA115" s="38" t="str">
        <f aca="false">IF($A115="","",IF(OR(U115="",V115=""),"",ROUND((V115-U115)*1440,0)))</f>
        <v/>
      </c>
      <c r="AB115" s="38" t="str">
        <f aca="false">IF($A115="","",IF(U115="","",ROUND((W115-U115)*1440,0)))</f>
        <v/>
      </c>
      <c r="AC115" s="38" t="str">
        <f aca="false">IF($A115="","",IF(AB115="","",MAX(0,AB115)))</f>
        <v/>
      </c>
      <c r="AD115" s="38" t="str">
        <f aca="false">IF($A115="","",IFERROR(ROUND((X115-W115)*1440,0),""))</f>
        <v/>
      </c>
      <c r="AE115" s="38" t="str">
        <f aca="false">IF($A115="","",IF(E115="Client","n/a",IFERROR(ROUND((H115-G115)*1440,0),"")))</f>
        <v/>
      </c>
      <c r="AF115" s="38" t="str">
        <f aca="false">IF($A115="","",IFERROR(ROUND((Y115-H115)*1440,0),""))</f>
        <v/>
      </c>
      <c r="AG115" s="38" t="str">
        <f aca="false">IF($A115="","",IFERROR(ROUND((H115-F115)*1440,0),""))</f>
        <v/>
      </c>
      <c r="AH115" s="38" t="str">
        <f aca="false">IF($A115="","",IFERROR(ROUND((Y115-V115)*1440,0),""))</f>
        <v/>
      </c>
      <c r="AI115" s="4" t="str">
        <f aca="false">IF($A115="","",IF(AH115="","",IF(AH115&gt;0,"Yes","No")))</f>
        <v/>
      </c>
      <c r="AJ115" s="4" t="str">
        <f aca="false">IF($A115="","",IF(AI115&lt;&gt;"Yes","On time",IF(N(AC115)&gt;=MAX(N(AF115),N(K115)),"Wait for analyst",IF(N(AF115)&gt;=N(K115),"External sign-off","Rework"))))</f>
        <v/>
      </c>
      <c r="AK115" s="4" t="str">
        <f aca="false">IF($A115="","",IF(OR(F115="",Y115="",ISNA(MATCH(L115,Dim_Analyst!$A:$A,0))),"CHECK","OK"))</f>
        <v/>
      </c>
      <c r="AL115" s="4" t="str">
        <f aca="false">IF($A115="","",IFERROR(VLOOKUP($C115,Dim_Fund!$A:$U,21,0),""))</f>
        <v/>
      </c>
      <c r="AM115" s="4" t="str">
        <f aca="false">IF($A115="","",IF($U115="","",IF($U115&gt;$B115+IFERROR(VLOOKUP($C115,Dim_Fund!$A:$AH,34,0),0)/24,"Yes","No")))</f>
        <v/>
      </c>
      <c r="AN115" s="22" t="str">
        <f aca="false">IF($A115="","",IFERROR(VLOOKUP($C115,Dim_Fund!$A:$AH,34,0),""))</f>
        <v/>
      </c>
      <c r="AO115" s="22" t="str">
        <f aca="false">IF($A115="","",IF($AL115="","",IFERROR(FLOOR(IF(COUNTIFS(Fact_Milestone!$A:$A,$B115,Fact_Milestone!$B:$B,$AL115,Fact_Milestone!$F:$F,"&gt;0")&gt;0,_xlfn.MINIFS(Fact_Milestone!$F:$F,Fact_Milestone!$A:$A,$B115,Fact_Milestone!$B:$B,$AL115,Fact_Milestone!$F:$F,"&gt;0"),VLOOKUP($AL115,Dim_TOP!$A:$E,5,0)),0.5),"")))</f>
        <v/>
      </c>
      <c r="AP115" s="22" t="str">
        <f aca="false">IF($A115="","",IF($U115="","",ROUND(($U115-INT($U115))*24,4)))</f>
        <v/>
      </c>
      <c r="AQ115" s="22" t="str">
        <f aca="false">IF($A115="","",IF($W115="","",ROUND(($W115-INT($W115))*24,4)))</f>
        <v/>
      </c>
      <c r="AR115" s="22" t="str">
        <f aca="false">IF($A115="","",IF($X115="","",ROUND(($X115-INT($X115))*24,4)))</f>
        <v/>
      </c>
      <c r="AS115" s="38" t="str">
        <f aca="false">IF($A115="","",IF(OR($AN115="",$V115="",$S115="",$T115=""),"",ROUND(($V115-($B115+$AN115/24))*1440-$S115-$T115,0)))</f>
        <v/>
      </c>
      <c r="AT115" s="38" t="str">
        <f aca="false">IF($A115="","",IF(OR($AN115="",$U115=""),"",ROUND(($U115-($B115+$AN115/24))*1440,0)))</f>
        <v/>
      </c>
      <c r="AU115" s="38" t="str">
        <f aca="false">IF($A115="","",IF(OR($AD115="",$S115=""),"",ROUND($AD115-$S115,0)))</f>
        <v/>
      </c>
      <c r="AV115" s="38" t="str">
        <f aca="false">IF($A115="","",N($AE115))</f>
        <v/>
      </c>
      <c r="AW115" s="38" t="str">
        <f aca="false">IF($A115="","",IF(OR($AF115="",$T115=""),"",$AF115-$T115))</f>
        <v/>
      </c>
      <c r="AX115" s="38" t="str">
        <f aca="false">IF($A115="","",IF(COUNT($AT115,$AB115,$AU115,$AW115,$AS115,$AH115)&lt;6,"",ROUND($AT115+$AB115+$AU115+$AV115+$AW115-$AS115-$AH115,0)))</f>
        <v/>
      </c>
      <c r="AY115" s="4" t="str">
        <f aca="false">IF($A115="","",IF($AX115="","No",IF(ABS($AX115)&lt;=2,"Yes","No")))</f>
        <v/>
      </c>
      <c r="AZ115" s="4" t="str">
        <f aca="false">IF($A115="","",IF($AI115&lt;&gt;"Yes","n/a",IF(OR($AA115="",$S115="",$T115=""),"Unknown",IF($AA115&lt;$S115+$T115,"Lost on arrival","Lost after arrival"))))</f>
        <v/>
      </c>
      <c r="BA115" s="10" t="str">
        <f aca="false">IF($A115="","",IFERROR(VLOOKUP($C115,Dim_Fund!$A:$D,4,0),""))</f>
        <v/>
      </c>
      <c r="BB115" s="10" t="str">
        <f aca="false">IF($A115="","",IF($AL115="","",IF(COUNTIFS(Fact_Milestone!$A:$A,$B115,Fact_Milestone!$B:$B,$AL115,Fact_Milestone!$I:$I,"No")&gt;0,"No",IF(COUNTIFS(Fact_Milestone!$A:$A,$B115,Fact_Milestone!$B:$B,$AL115,Fact_Milestone!$I:$I,"Yes")&gt;0,"Yes",""))))</f>
        <v/>
      </c>
      <c r="BC115" s="45" t="str">
        <f aca="false">IF($A115="","",IF(OR($L115="",$W115=""),"",IF(COUNTIFS($L:$L,$L115,$B:$B,$B115,$W:$W,"&lt;"&amp;$W115)=0,"",_xlfn.MAXIFS($W:$W,$L:$L,$L115,$B:$B,$B115,$W:$W,"&lt;"&amp;$W115))))</f>
        <v/>
      </c>
      <c r="BD115" s="39" t="str">
        <f aca="false">IF($A115="","",IF($AC115="","",IF(OR($L115="",$AC115=0),0,MIN($AC115,ROUND(ROUND(1440*SUMPRODUCT(($L$2:INDEX($L:$L,COUNTA($C:$C))=$L115)*($B$2:INDEX($B:$B,COUNTA($C:$C))=$B115)*(ROW($L$2:INDEX($L:$L,COUNTA($C:$C)))&lt;&gt;ROW())*((((($W115+$BT$2:INDEX($BT:$BT,COUNTA($C:$C))-ABS($W115-$BT$2:INDEX($BT:$BT,COUNTA($C:$C))))/2)-(($U115+$BS$2:INDEX($BS:$BS,COUNTA($C:$C))+ABS($U115-$BS$2:INDEX($BS:$BS,COUNTA($C:$C))))/2))+ABS(((($W115+$BT$2:INDEX($BT:$BT,COUNTA($C:$C))-ABS($W115-$BT$2:INDEX($BT:$BT,COUNTA($C:$C))))/2)-(($U115+$BS$2:INDEX($BS:$BS,COUNTA($C:$C))+ABS($U115-$BS$2:INDEX($BS:$BS,COUNTA($C:$C))))/2))))/2)),4),0)))))</f>
        <v/>
      </c>
      <c r="BE115" s="39" t="str">
        <f aca="false">IF($A115="","",IF($AC115="","",ROUND(MIN($AC115-$BD115,N($R115)),0)))</f>
        <v/>
      </c>
      <c r="BF115" s="10" t="str">
        <f aca="false">IF($A115="","",IFERROR(VLOOKUP($C115,Dim_Fund!$A:$BD,56,0),""))</f>
        <v/>
      </c>
      <c r="BG115" s="10" t="str">
        <f aca="false">IF($A115="","",IFERROR(VLOOKUP($C115,Dim_Fund!$A:$BH,60,0),""))</f>
        <v/>
      </c>
      <c r="BH115" s="10" t="str">
        <f aca="false">IF($A115="","",IF($AI115&lt;&gt;"Yes","Not breached",IF($AM115="Yes","Pricing late",IF($BG115="Thin custody slack","Thin custody slack",IF($BF115="Yes","Broker-dependent","None of these")))))</f>
        <v/>
      </c>
      <c r="BI115" s="23" t="str">
        <f aca="false">IF($A115="","",IFERROR(IF(VLOOKUP($C115,Dim_Fund!$A:$AI,35,0)&gt;0,VLOOKUP($C115,Dim_Fund!$A:$AI,35,0),""),""))</f>
        <v/>
      </c>
      <c r="BJ115" s="10" t="str">
        <f aca="false">IF($A115="","",$C115&amp;IF($E115="Client","*",""))</f>
        <v/>
      </c>
      <c r="BK115" s="39" t="str">
        <f aca="false">IF($A115="","",IFERROR(ROUND(($Y115-$X115)*1440,0),""))</f>
        <v/>
      </c>
      <c r="BL115" s="39" t="str">
        <f aca="false">IF($A115="","",IF($AH115="","",-$AH115))</f>
        <v/>
      </c>
      <c r="BM115" s="46" t="str">
        <f aca="false">IF($A115="","",IF($AQ115="","",IF($AP115="",$AQ115,MIN($AP115,$AQ115))))</f>
        <v/>
      </c>
      <c r="BN115" s="46" t="str">
        <f aca="false">IF($A115="","",IF($BM115="","",ROUND(N($AC115)/60,4)))</f>
        <v/>
      </c>
      <c r="BO115" s="46" t="str">
        <f aca="false">IF($A115="","",IF(OR($BM115="",$AD115=""),"",ROUND($AD115/60,4)))</f>
        <v/>
      </c>
      <c r="BP115" s="46" t="str">
        <f aca="false">IF($A115="","",IF($BM115="","",ROUND(N($AE115)/60,4)))</f>
        <v/>
      </c>
      <c r="BQ115" s="46" t="str">
        <f aca="false">IF($A115="","",IF(OR($BM115="",$AF115=""),"",ROUND($AF115/60,4)))</f>
        <v/>
      </c>
      <c r="BR115" s="39" t="str">
        <f aca="false">IF($A115="","",IF($AC115="","",$AC115-$BD115-$BE115))</f>
        <v/>
      </c>
      <c r="BS115" s="45" t="str">
        <f aca="false">IF($A115="","",IF(AND(ISNUMBER($Z115),ISNUMBER($W115)),$Z115,0))</f>
        <v/>
      </c>
      <c r="BT115" s="45" t="str">
        <f aca="false">IF($A115="","",IF(ISNUMBER($W115),$W115,0))</f>
        <v/>
      </c>
      <c r="BU115" s="23" t="str">
        <f aca="false">IF($A115="","",IF(ISNUMBER($W115),ROUND(($W115-$B115)*24,4),""))</f>
        <v/>
      </c>
      <c r="BV115" s="23" t="str">
        <f aca="false">IF($A115="","",IF(ISNUMBER($X115),ROUND(($X115-$B115)*24,4),""))</f>
        <v/>
      </c>
      <c r="BW115" s="10" t="str">
        <f aca="false">IF($A115="","",IF(NOT(ISNUMBER($W115)),"Missing Calculated",IF(NOT(ISNUMBER($X115)),IF($E115="Client","Missing FA signed off","Missing Controlled"),IF($X115&lt;$W115,"End before start","OK"))))</f>
        <v/>
      </c>
      <c r="BX115" s="23" t="str">
        <f aca="false">IF($A115="","",IF(NOT(ISNUMBER($Z115)),"",ROUND((IF(ISNUMBER($U115),MIN($U115,$Z115),$Z115)-$B115)*24,4)))</f>
        <v/>
      </c>
      <c r="BY115" s="23" t="str">
        <f aca="false">IF($A115="","",IF(ISNUMBER($Z115),ROUND(($Z115-$B115)*24,4),""))</f>
        <v/>
      </c>
      <c r="BZ115" s="23" t="str">
        <f aca="false">IF($A115="","",IF(AND(ISNUMBER($W115),ISNUMBER($S115)),ROUND(($W115+$S115/1440-$B115)*24,4),""))</f>
        <v/>
      </c>
    </row>
    <row r="116" customFormat="false" ht="15" hidden="false" customHeight="true" outlineLevel="0" collapsed="false">
      <c r="A116" s="47"/>
      <c r="B116" s="47"/>
      <c r="D116" s="4" t="str">
        <f aca="false">IF($A116="","",$B116-$A116)</f>
        <v/>
      </c>
      <c r="E116" s="4" t="str">
        <f aca="false">IF($A116="","",IFERROR(VLOOKUP($C116,Dim_Fund!$A:$X,24,0),""))</f>
        <v/>
      </c>
      <c r="F116" s="37" t="str">
        <f aca="false">IF($A116="","",IF(COUNTIFS(Status_Log!$A:$A,$A116,Status_Log!$B:$B,$B116,Status_Log!$C:$C,$C116,Status_Log!$D:$D,"Changed to the status of Calculated")=0,"",_xlfn.MINIFS(Status_Log!$E:$E,Status_Log!$A:$A,$A116,Status_Log!$B:$B,$B116,Status_Log!$C:$C,$C116,Status_Log!$D:$D,"Changed to the status of Calculated")))</f>
        <v/>
      </c>
      <c r="G116" s="37" t="str">
        <f aca="false">IF($A116="","",IF(COUNTIFS(Status_Log!$A:$A,$A116,Status_Log!$B:$B,$B116,Status_Log!$C:$C,$C116,Status_Log!$D:$D,"Changed to the status of Controlled")=0,"",_xlfn.MAXIFS(Status_Log!$E:$E,Status_Log!$A:$A,$A116,Status_Log!$B:$B,$B116,Status_Log!$C:$C,$C116,Status_Log!$D:$D,"Changed to the status of Controlled")))</f>
        <v/>
      </c>
      <c r="H116" s="37" t="str">
        <f aca="false">IF($A116="","",IF(COUNTIFS(Status_Log!$A:$A,$A116,Status_Log!$B:$B,$B116,Status_Log!$C:$C,$C116,Status_Log!$D:$D,"Changed to the status of Fund accounting signed off")=0,"",_xlfn.MAXIFS(Status_Log!$E:$E,Status_Log!$A:$A,$A116,Status_Log!$B:$B,$B116,Status_Log!$C:$C,$C116,Status_Log!$D:$D,"Changed to the status of Fund accounting signed off")))</f>
        <v/>
      </c>
      <c r="I116" s="37" t="str">
        <f aca="false">IF($A116="","",IF(COUNTIFS(Status_Log!$A:$A,$A116,Status_Log!$B:$B,$B116,Status_Log!$C:$C,$C116,Status_Log!$D:$D,"Changed to the status of signed off")=0,"",_xlfn.MAXIFS(Status_Log!$E:$E,Status_Log!$A:$A,$A116,Status_Log!$B:$B,$B116,Status_Log!$C:$C,$C116,Status_Log!$D:$D,"Changed to the status of signed off")))</f>
        <v/>
      </c>
      <c r="J116" s="4" t="str">
        <f aca="false">IF($A116="","",COUNTIFS(Status_Log!$A:$A,$A116,Status_Log!$B:$B,$B116,Status_Log!$C:$C,$C116,Status_Log!$D:$D,"Changed to the status of Calculated"))</f>
        <v/>
      </c>
      <c r="K116" s="38" t="str">
        <f aca="false">IF($A116="","",IF(J116&lt;=1,0,ROUND((_xlfn.MAXIFS(Status_Log!$E:$E,Status_Log!$A:$A,$A116,Status_Log!$B:$B,$B116,Status_Log!$C:$C,$C116,Status_Log!$D:$D,"Changed to the status of Calculated")-F116)*1440,0)))</f>
        <v/>
      </c>
      <c r="L116" s="4" t="str">
        <f aca="false">IF($A116="","",IFERROR(INDEX(Status_Log!$F:$F,MATCH($A116&amp;"|"&amp;$B116&amp;"|"&amp;$C116&amp;"|Changed to the status of Calculated|"&amp;TEXT(_xlfn.MAXIFS(Status_Log!$E:$E,Status_Log!$A:$A,$A116,Status_Log!$B:$B,$B116,Status_Log!$C:$C,$C116,Status_Log!$D:$D,"Changed to the status of Calculated"),"0.000000"),Status_Log!$H:$H,0)),""))</f>
        <v/>
      </c>
      <c r="M116" s="4" t="str">
        <f aca="false">IF($A116="","",IF(E116="Client","n/a — no control step",IFERROR(INDEX(Status_Log!$F:$F,MATCH($A116&amp;"|"&amp;$B116&amp;"|"&amp;$C116&amp;"|Changed to the status of Controlled|"&amp;TEXT(_xlfn.MAXIFS(Status_Log!$E:$E,Status_Log!$A:$A,$A116,Status_Log!$B:$B,$B116,Status_Log!$C:$C,$C116,Status_Log!$D:$D,"Changed to the status of Controlled"),"0.000000"),Status_Log!$H:$H,0)),"")))</f>
        <v/>
      </c>
      <c r="N116" s="4" t="str">
        <f aca="false">IF($A116="","",IFERROR(VLOOKUP($C116,Dim_Fund!$A:$G,7,0),""))</f>
        <v/>
      </c>
      <c r="O116" s="4" t="str">
        <f aca="false">IF($A116="","",IF(L116=N116,"No","Yes"))</f>
        <v/>
      </c>
      <c r="P116" s="4" t="str">
        <f aca="false">IF($A116="","",IF(E116="Client","n/a",IF(L116=M116,"YES — four-eyes breach","No")))</f>
        <v/>
      </c>
      <c r="Q116" s="38" t="str">
        <f aca="false">IF($A116="","",IFERROR(VLOOKUP($C116,Dim_Fund!$A:$AB,28,0),""))</f>
        <v/>
      </c>
      <c r="R116" s="38" t="str">
        <f aca="false">IF($A116="","",IFERROR(VLOOKUP($C116,Dim_Fund!$A:$AC,29,0),""))</f>
        <v/>
      </c>
      <c r="S116" s="38" t="str">
        <f aca="false">IF($A116="","",IFERROR(VLOOKUP($C116,Dim_Fund!$A:$AD,30,0),""))</f>
        <v/>
      </c>
      <c r="T116" s="38" t="str">
        <f aca="false">IF($A116="","",IFERROR(VLOOKUP($C116,Dim_Fund!$A:$AL,38,0),""))</f>
        <v/>
      </c>
      <c r="U116" s="37" t="str">
        <f aca="false">IF($A116="","",IF(AL116="","",IFERROR(IF(COUNTIFS(Fact_Milestone!$A:$A,$B116,Fact_Milestone!$B:$B,AL116)=0,"",_xlfn.MAXIFS(Fact_Milestone!$C:$C,Fact_Milestone!$A:$A,$B116,Fact_Milestone!$B:$B,AL116)),"")))</f>
        <v/>
      </c>
      <c r="V116" s="37" t="str">
        <f aca="false">IF($A116="","",IFERROR(IF(VLOOKUP($C116,Dim_Fund!$A:$AI,35,0)&gt;0,$B116+VLOOKUP($C116,Dim_Fund!$A:$AI,35,0)/24,""),""))</f>
        <v/>
      </c>
      <c r="W116" s="37" t="str">
        <f aca="false">IF($A116="","",F116)</f>
        <v/>
      </c>
      <c r="X116" s="37" t="str">
        <f aca="false">IF($A116="","",IF(E116="Client",H116,G116))</f>
        <v/>
      </c>
      <c r="Y116" s="37" t="str">
        <f aca="false">IF($A116="","",I116)</f>
        <v/>
      </c>
      <c r="Z116" s="37" t="str">
        <f aca="false">IF($A116="","",IFERROR(W116-R116/1440,""))</f>
        <v/>
      </c>
      <c r="AA116" s="38" t="str">
        <f aca="false">IF($A116="","",IF(OR(U116="",V116=""),"",ROUND((V116-U116)*1440,0)))</f>
        <v/>
      </c>
      <c r="AB116" s="38" t="str">
        <f aca="false">IF($A116="","",IF(U116="","",ROUND((W116-U116)*1440,0)))</f>
        <v/>
      </c>
      <c r="AC116" s="38" t="str">
        <f aca="false">IF($A116="","",IF(AB116="","",MAX(0,AB116)))</f>
        <v/>
      </c>
      <c r="AD116" s="38" t="str">
        <f aca="false">IF($A116="","",IFERROR(ROUND((X116-W116)*1440,0),""))</f>
        <v/>
      </c>
      <c r="AE116" s="38" t="str">
        <f aca="false">IF($A116="","",IF(E116="Client","n/a",IFERROR(ROUND((H116-G116)*1440,0),"")))</f>
        <v/>
      </c>
      <c r="AF116" s="38" t="str">
        <f aca="false">IF($A116="","",IFERROR(ROUND((Y116-H116)*1440,0),""))</f>
        <v/>
      </c>
      <c r="AG116" s="38" t="str">
        <f aca="false">IF($A116="","",IFERROR(ROUND((H116-F116)*1440,0),""))</f>
        <v/>
      </c>
      <c r="AH116" s="38" t="str">
        <f aca="false">IF($A116="","",IFERROR(ROUND((Y116-V116)*1440,0),""))</f>
        <v/>
      </c>
      <c r="AI116" s="4" t="str">
        <f aca="false">IF($A116="","",IF(AH116="","",IF(AH116&gt;0,"Yes","No")))</f>
        <v/>
      </c>
      <c r="AJ116" s="4" t="str">
        <f aca="false">IF($A116="","",IF(AI116&lt;&gt;"Yes","On time",IF(N(AC116)&gt;=MAX(N(AF116),N(K116)),"Wait for analyst",IF(N(AF116)&gt;=N(K116),"External sign-off","Rework"))))</f>
        <v/>
      </c>
      <c r="AK116" s="4" t="str">
        <f aca="false">IF($A116="","",IF(OR(F116="",Y116="",ISNA(MATCH(L116,Dim_Analyst!$A:$A,0))),"CHECK","OK"))</f>
        <v/>
      </c>
      <c r="AL116" s="4" t="str">
        <f aca="false">IF($A116="","",IFERROR(VLOOKUP($C116,Dim_Fund!$A:$U,21,0),""))</f>
        <v/>
      </c>
      <c r="AM116" s="4" t="str">
        <f aca="false">IF($A116="","",IF($U116="","",IF($U116&gt;$B116+IFERROR(VLOOKUP($C116,Dim_Fund!$A:$AH,34,0),0)/24,"Yes","No")))</f>
        <v/>
      </c>
      <c r="AN116" s="22" t="str">
        <f aca="false">IF($A116="","",IFERROR(VLOOKUP($C116,Dim_Fund!$A:$AH,34,0),""))</f>
        <v/>
      </c>
      <c r="AO116" s="22" t="str">
        <f aca="false">IF($A116="","",IF($AL116="","",IFERROR(FLOOR(IF(COUNTIFS(Fact_Milestone!$A:$A,$B116,Fact_Milestone!$B:$B,$AL116,Fact_Milestone!$F:$F,"&gt;0")&gt;0,_xlfn.MINIFS(Fact_Milestone!$F:$F,Fact_Milestone!$A:$A,$B116,Fact_Milestone!$B:$B,$AL116,Fact_Milestone!$F:$F,"&gt;0"),VLOOKUP($AL116,Dim_TOP!$A:$E,5,0)),0.5),"")))</f>
        <v/>
      </c>
      <c r="AP116" s="22" t="str">
        <f aca="false">IF($A116="","",IF($U116="","",ROUND(($U116-INT($U116))*24,4)))</f>
        <v/>
      </c>
      <c r="AQ116" s="22" t="str">
        <f aca="false">IF($A116="","",IF($W116="","",ROUND(($W116-INT($W116))*24,4)))</f>
        <v/>
      </c>
      <c r="AR116" s="22" t="str">
        <f aca="false">IF($A116="","",IF($X116="","",ROUND(($X116-INT($X116))*24,4)))</f>
        <v/>
      </c>
      <c r="AS116" s="38" t="str">
        <f aca="false">IF($A116="","",IF(OR($AN116="",$V116="",$S116="",$T116=""),"",ROUND(($V116-($B116+$AN116/24))*1440-$S116-$T116,0)))</f>
        <v/>
      </c>
      <c r="AT116" s="38" t="str">
        <f aca="false">IF($A116="","",IF(OR($AN116="",$U116=""),"",ROUND(($U116-($B116+$AN116/24))*1440,0)))</f>
        <v/>
      </c>
      <c r="AU116" s="38" t="str">
        <f aca="false">IF($A116="","",IF(OR($AD116="",$S116=""),"",ROUND($AD116-$S116,0)))</f>
        <v/>
      </c>
      <c r="AV116" s="38" t="str">
        <f aca="false">IF($A116="","",N($AE116))</f>
        <v/>
      </c>
      <c r="AW116" s="38" t="str">
        <f aca="false">IF($A116="","",IF(OR($AF116="",$T116=""),"",$AF116-$T116))</f>
        <v/>
      </c>
      <c r="AX116" s="38" t="str">
        <f aca="false">IF($A116="","",IF(COUNT($AT116,$AB116,$AU116,$AW116,$AS116,$AH116)&lt;6,"",ROUND($AT116+$AB116+$AU116+$AV116+$AW116-$AS116-$AH116,0)))</f>
        <v/>
      </c>
      <c r="AY116" s="4" t="str">
        <f aca="false">IF($A116="","",IF($AX116="","No",IF(ABS($AX116)&lt;=2,"Yes","No")))</f>
        <v/>
      </c>
      <c r="AZ116" s="4" t="str">
        <f aca="false">IF($A116="","",IF($AI116&lt;&gt;"Yes","n/a",IF(OR($AA116="",$S116="",$T116=""),"Unknown",IF($AA116&lt;$S116+$T116,"Lost on arrival","Lost after arrival"))))</f>
        <v/>
      </c>
      <c r="BA116" s="10" t="str">
        <f aca="false">IF($A116="","",IFERROR(VLOOKUP($C116,Dim_Fund!$A:$D,4,0),""))</f>
        <v/>
      </c>
      <c r="BB116" s="10" t="str">
        <f aca="false">IF($A116="","",IF($AL116="","",IF(COUNTIFS(Fact_Milestone!$A:$A,$B116,Fact_Milestone!$B:$B,$AL116,Fact_Milestone!$I:$I,"No")&gt;0,"No",IF(COUNTIFS(Fact_Milestone!$A:$A,$B116,Fact_Milestone!$B:$B,$AL116,Fact_Milestone!$I:$I,"Yes")&gt;0,"Yes",""))))</f>
        <v/>
      </c>
      <c r="BC116" s="45" t="str">
        <f aca="false">IF($A116="","",IF(OR($L116="",$W116=""),"",IF(COUNTIFS($L:$L,$L116,$B:$B,$B116,$W:$W,"&lt;"&amp;$W116)=0,"",_xlfn.MAXIFS($W:$W,$L:$L,$L116,$B:$B,$B116,$W:$W,"&lt;"&amp;$W116))))</f>
        <v/>
      </c>
      <c r="BD116" s="39" t="str">
        <f aca="false">IF($A116="","",IF($AC116="","",IF(OR($L116="",$AC116=0),0,MIN($AC116,ROUND(ROUND(1440*SUMPRODUCT(($L$2:INDEX($L:$L,COUNTA($C:$C))=$L116)*($B$2:INDEX($B:$B,COUNTA($C:$C))=$B116)*(ROW($L$2:INDEX($L:$L,COUNTA($C:$C)))&lt;&gt;ROW())*((((($W116+$BT$2:INDEX($BT:$BT,COUNTA($C:$C))-ABS($W116-$BT$2:INDEX($BT:$BT,COUNTA($C:$C))))/2)-(($U116+$BS$2:INDEX($BS:$BS,COUNTA($C:$C))+ABS($U116-$BS$2:INDEX($BS:$BS,COUNTA($C:$C))))/2))+ABS(((($W116+$BT$2:INDEX($BT:$BT,COUNTA($C:$C))-ABS($W116-$BT$2:INDEX($BT:$BT,COUNTA($C:$C))))/2)-(($U116+$BS$2:INDEX($BS:$BS,COUNTA($C:$C))+ABS($U116-$BS$2:INDEX($BS:$BS,COUNTA($C:$C))))/2))))/2)),4),0)))))</f>
        <v/>
      </c>
      <c r="BE116" s="39" t="str">
        <f aca="false">IF($A116="","",IF($AC116="","",ROUND(MIN($AC116-$BD116,N($R116)),0)))</f>
        <v/>
      </c>
      <c r="BF116" s="10" t="str">
        <f aca="false">IF($A116="","",IFERROR(VLOOKUP($C116,Dim_Fund!$A:$BD,56,0),""))</f>
        <v/>
      </c>
      <c r="BG116" s="10" t="str">
        <f aca="false">IF($A116="","",IFERROR(VLOOKUP($C116,Dim_Fund!$A:$BH,60,0),""))</f>
        <v/>
      </c>
      <c r="BH116" s="10" t="str">
        <f aca="false">IF($A116="","",IF($AI116&lt;&gt;"Yes","Not breached",IF($AM116="Yes","Pricing late",IF($BG116="Thin custody slack","Thin custody slack",IF($BF116="Yes","Broker-dependent","None of these")))))</f>
        <v/>
      </c>
      <c r="BI116" s="23" t="str">
        <f aca="false">IF($A116="","",IFERROR(IF(VLOOKUP($C116,Dim_Fund!$A:$AI,35,0)&gt;0,VLOOKUP($C116,Dim_Fund!$A:$AI,35,0),""),""))</f>
        <v/>
      </c>
      <c r="BJ116" s="10" t="str">
        <f aca="false">IF($A116="","",$C116&amp;IF($E116="Client","*",""))</f>
        <v/>
      </c>
      <c r="BK116" s="39" t="str">
        <f aca="false">IF($A116="","",IFERROR(ROUND(($Y116-$X116)*1440,0),""))</f>
        <v/>
      </c>
      <c r="BL116" s="39" t="str">
        <f aca="false">IF($A116="","",IF($AH116="","",-$AH116))</f>
        <v/>
      </c>
      <c r="BM116" s="46" t="str">
        <f aca="false">IF($A116="","",IF($AQ116="","",IF($AP116="",$AQ116,MIN($AP116,$AQ116))))</f>
        <v/>
      </c>
      <c r="BN116" s="46" t="str">
        <f aca="false">IF($A116="","",IF($BM116="","",ROUND(N($AC116)/60,4)))</f>
        <v/>
      </c>
      <c r="BO116" s="46" t="str">
        <f aca="false">IF($A116="","",IF(OR($BM116="",$AD116=""),"",ROUND($AD116/60,4)))</f>
        <v/>
      </c>
      <c r="BP116" s="46" t="str">
        <f aca="false">IF($A116="","",IF($BM116="","",ROUND(N($AE116)/60,4)))</f>
        <v/>
      </c>
      <c r="BQ116" s="46" t="str">
        <f aca="false">IF($A116="","",IF(OR($BM116="",$AF116=""),"",ROUND($AF116/60,4)))</f>
        <v/>
      </c>
      <c r="BR116" s="39" t="str">
        <f aca="false">IF($A116="","",IF($AC116="","",$AC116-$BD116-$BE116))</f>
        <v/>
      </c>
      <c r="BS116" s="45" t="str">
        <f aca="false">IF($A116="","",IF(AND(ISNUMBER($Z116),ISNUMBER($W116)),$Z116,0))</f>
        <v/>
      </c>
      <c r="BT116" s="45" t="str">
        <f aca="false">IF($A116="","",IF(ISNUMBER($W116),$W116,0))</f>
        <v/>
      </c>
      <c r="BU116" s="23" t="str">
        <f aca="false">IF($A116="","",IF(ISNUMBER($W116),ROUND(($W116-$B116)*24,4),""))</f>
        <v/>
      </c>
      <c r="BV116" s="23" t="str">
        <f aca="false">IF($A116="","",IF(ISNUMBER($X116),ROUND(($X116-$B116)*24,4),""))</f>
        <v/>
      </c>
      <c r="BW116" s="10" t="str">
        <f aca="false">IF($A116="","",IF(NOT(ISNUMBER($W116)),"Missing Calculated",IF(NOT(ISNUMBER($X116)),IF($E116="Client","Missing FA signed off","Missing Controlled"),IF($X116&lt;$W116,"End before start","OK"))))</f>
        <v/>
      </c>
      <c r="BX116" s="23" t="str">
        <f aca="false">IF($A116="","",IF(NOT(ISNUMBER($Z116)),"",ROUND((IF(ISNUMBER($U116),MIN($U116,$Z116),$Z116)-$B116)*24,4)))</f>
        <v/>
      </c>
      <c r="BY116" s="23" t="str">
        <f aca="false">IF($A116="","",IF(ISNUMBER($Z116),ROUND(($Z116-$B116)*24,4),""))</f>
        <v/>
      </c>
      <c r="BZ116" s="23" t="str">
        <f aca="false">IF($A116="","",IF(AND(ISNUMBER($W116),ISNUMBER($S116)),ROUND(($W116+$S116/1440-$B116)*24,4),""))</f>
        <v/>
      </c>
    </row>
    <row r="117" customFormat="false" ht="15" hidden="false" customHeight="true" outlineLevel="0" collapsed="false">
      <c r="A117" s="47"/>
      <c r="B117" s="47"/>
      <c r="D117" s="4" t="str">
        <f aca="false">IF($A117="","",$B117-$A117)</f>
        <v/>
      </c>
      <c r="E117" s="4" t="str">
        <f aca="false">IF($A117="","",IFERROR(VLOOKUP($C117,Dim_Fund!$A:$X,24,0),""))</f>
        <v/>
      </c>
      <c r="F117" s="37" t="str">
        <f aca="false">IF($A117="","",IF(COUNTIFS(Status_Log!$A:$A,$A117,Status_Log!$B:$B,$B117,Status_Log!$C:$C,$C117,Status_Log!$D:$D,"Changed to the status of Calculated")=0,"",_xlfn.MINIFS(Status_Log!$E:$E,Status_Log!$A:$A,$A117,Status_Log!$B:$B,$B117,Status_Log!$C:$C,$C117,Status_Log!$D:$D,"Changed to the status of Calculated")))</f>
        <v/>
      </c>
      <c r="G117" s="37" t="str">
        <f aca="false">IF($A117="","",IF(COUNTIFS(Status_Log!$A:$A,$A117,Status_Log!$B:$B,$B117,Status_Log!$C:$C,$C117,Status_Log!$D:$D,"Changed to the status of Controlled")=0,"",_xlfn.MAXIFS(Status_Log!$E:$E,Status_Log!$A:$A,$A117,Status_Log!$B:$B,$B117,Status_Log!$C:$C,$C117,Status_Log!$D:$D,"Changed to the status of Controlled")))</f>
        <v/>
      </c>
      <c r="H117" s="37" t="str">
        <f aca="false">IF($A117="","",IF(COUNTIFS(Status_Log!$A:$A,$A117,Status_Log!$B:$B,$B117,Status_Log!$C:$C,$C117,Status_Log!$D:$D,"Changed to the status of Fund accounting signed off")=0,"",_xlfn.MAXIFS(Status_Log!$E:$E,Status_Log!$A:$A,$A117,Status_Log!$B:$B,$B117,Status_Log!$C:$C,$C117,Status_Log!$D:$D,"Changed to the status of Fund accounting signed off")))</f>
        <v/>
      </c>
      <c r="I117" s="37" t="str">
        <f aca="false">IF($A117="","",IF(COUNTIFS(Status_Log!$A:$A,$A117,Status_Log!$B:$B,$B117,Status_Log!$C:$C,$C117,Status_Log!$D:$D,"Changed to the status of signed off")=0,"",_xlfn.MAXIFS(Status_Log!$E:$E,Status_Log!$A:$A,$A117,Status_Log!$B:$B,$B117,Status_Log!$C:$C,$C117,Status_Log!$D:$D,"Changed to the status of signed off")))</f>
        <v/>
      </c>
      <c r="J117" s="4" t="str">
        <f aca="false">IF($A117="","",COUNTIFS(Status_Log!$A:$A,$A117,Status_Log!$B:$B,$B117,Status_Log!$C:$C,$C117,Status_Log!$D:$D,"Changed to the status of Calculated"))</f>
        <v/>
      </c>
      <c r="K117" s="38" t="str">
        <f aca="false">IF($A117="","",IF(J117&lt;=1,0,ROUND((_xlfn.MAXIFS(Status_Log!$E:$E,Status_Log!$A:$A,$A117,Status_Log!$B:$B,$B117,Status_Log!$C:$C,$C117,Status_Log!$D:$D,"Changed to the status of Calculated")-F117)*1440,0)))</f>
        <v/>
      </c>
      <c r="L117" s="4" t="str">
        <f aca="false">IF($A117="","",IFERROR(INDEX(Status_Log!$F:$F,MATCH($A117&amp;"|"&amp;$B117&amp;"|"&amp;$C117&amp;"|Changed to the status of Calculated|"&amp;TEXT(_xlfn.MAXIFS(Status_Log!$E:$E,Status_Log!$A:$A,$A117,Status_Log!$B:$B,$B117,Status_Log!$C:$C,$C117,Status_Log!$D:$D,"Changed to the status of Calculated"),"0.000000"),Status_Log!$H:$H,0)),""))</f>
        <v/>
      </c>
      <c r="M117" s="4" t="str">
        <f aca="false">IF($A117="","",IF(E117="Client","n/a — no control step",IFERROR(INDEX(Status_Log!$F:$F,MATCH($A117&amp;"|"&amp;$B117&amp;"|"&amp;$C117&amp;"|Changed to the status of Controlled|"&amp;TEXT(_xlfn.MAXIFS(Status_Log!$E:$E,Status_Log!$A:$A,$A117,Status_Log!$B:$B,$B117,Status_Log!$C:$C,$C117,Status_Log!$D:$D,"Changed to the status of Controlled"),"0.000000"),Status_Log!$H:$H,0)),"")))</f>
        <v/>
      </c>
      <c r="N117" s="4" t="str">
        <f aca="false">IF($A117="","",IFERROR(VLOOKUP($C117,Dim_Fund!$A:$G,7,0),""))</f>
        <v/>
      </c>
      <c r="O117" s="4" t="str">
        <f aca="false">IF($A117="","",IF(L117=N117,"No","Yes"))</f>
        <v/>
      </c>
      <c r="P117" s="4" t="str">
        <f aca="false">IF($A117="","",IF(E117="Client","n/a",IF(L117=M117,"YES — four-eyes breach","No")))</f>
        <v/>
      </c>
      <c r="Q117" s="38" t="str">
        <f aca="false">IF($A117="","",IFERROR(VLOOKUP($C117,Dim_Fund!$A:$AB,28,0),""))</f>
        <v/>
      </c>
      <c r="R117" s="38" t="str">
        <f aca="false">IF($A117="","",IFERROR(VLOOKUP($C117,Dim_Fund!$A:$AC,29,0),""))</f>
        <v/>
      </c>
      <c r="S117" s="38" t="str">
        <f aca="false">IF($A117="","",IFERROR(VLOOKUP($C117,Dim_Fund!$A:$AD,30,0),""))</f>
        <v/>
      </c>
      <c r="T117" s="38" t="str">
        <f aca="false">IF($A117="","",IFERROR(VLOOKUP($C117,Dim_Fund!$A:$AL,38,0),""))</f>
        <v/>
      </c>
      <c r="U117" s="37" t="str">
        <f aca="false">IF($A117="","",IF(AL117="","",IFERROR(IF(COUNTIFS(Fact_Milestone!$A:$A,$B117,Fact_Milestone!$B:$B,AL117)=0,"",_xlfn.MAXIFS(Fact_Milestone!$C:$C,Fact_Milestone!$A:$A,$B117,Fact_Milestone!$B:$B,AL117)),"")))</f>
        <v/>
      </c>
      <c r="V117" s="37" t="str">
        <f aca="false">IF($A117="","",IFERROR(IF(VLOOKUP($C117,Dim_Fund!$A:$AI,35,0)&gt;0,$B117+VLOOKUP($C117,Dim_Fund!$A:$AI,35,0)/24,""),""))</f>
        <v/>
      </c>
      <c r="W117" s="37" t="str">
        <f aca="false">IF($A117="","",F117)</f>
        <v/>
      </c>
      <c r="X117" s="37" t="str">
        <f aca="false">IF($A117="","",IF(E117="Client",H117,G117))</f>
        <v/>
      </c>
      <c r="Y117" s="37" t="str">
        <f aca="false">IF($A117="","",I117)</f>
        <v/>
      </c>
      <c r="Z117" s="37" t="str">
        <f aca="false">IF($A117="","",IFERROR(W117-R117/1440,""))</f>
        <v/>
      </c>
      <c r="AA117" s="38" t="str">
        <f aca="false">IF($A117="","",IF(OR(U117="",V117=""),"",ROUND((V117-U117)*1440,0)))</f>
        <v/>
      </c>
      <c r="AB117" s="38" t="str">
        <f aca="false">IF($A117="","",IF(U117="","",ROUND((W117-U117)*1440,0)))</f>
        <v/>
      </c>
      <c r="AC117" s="38" t="str">
        <f aca="false">IF($A117="","",IF(AB117="","",MAX(0,AB117)))</f>
        <v/>
      </c>
      <c r="AD117" s="38" t="str">
        <f aca="false">IF($A117="","",IFERROR(ROUND((X117-W117)*1440,0),""))</f>
        <v/>
      </c>
      <c r="AE117" s="38" t="str">
        <f aca="false">IF($A117="","",IF(E117="Client","n/a",IFERROR(ROUND((H117-G117)*1440,0),"")))</f>
        <v/>
      </c>
      <c r="AF117" s="38" t="str">
        <f aca="false">IF($A117="","",IFERROR(ROUND((Y117-H117)*1440,0),""))</f>
        <v/>
      </c>
      <c r="AG117" s="38" t="str">
        <f aca="false">IF($A117="","",IFERROR(ROUND((H117-F117)*1440,0),""))</f>
        <v/>
      </c>
      <c r="AH117" s="38" t="str">
        <f aca="false">IF($A117="","",IFERROR(ROUND((Y117-V117)*1440,0),""))</f>
        <v/>
      </c>
      <c r="AI117" s="4" t="str">
        <f aca="false">IF($A117="","",IF(AH117="","",IF(AH117&gt;0,"Yes","No")))</f>
        <v/>
      </c>
      <c r="AJ117" s="4" t="str">
        <f aca="false">IF($A117="","",IF(AI117&lt;&gt;"Yes","On time",IF(N(AC117)&gt;=MAX(N(AF117),N(K117)),"Wait for analyst",IF(N(AF117)&gt;=N(K117),"External sign-off","Rework"))))</f>
        <v/>
      </c>
      <c r="AK117" s="4" t="str">
        <f aca="false">IF($A117="","",IF(OR(F117="",Y117="",ISNA(MATCH(L117,Dim_Analyst!$A:$A,0))),"CHECK","OK"))</f>
        <v/>
      </c>
      <c r="AL117" s="4" t="str">
        <f aca="false">IF($A117="","",IFERROR(VLOOKUP($C117,Dim_Fund!$A:$U,21,0),""))</f>
        <v/>
      </c>
      <c r="AM117" s="4" t="str">
        <f aca="false">IF($A117="","",IF($U117="","",IF($U117&gt;$B117+IFERROR(VLOOKUP($C117,Dim_Fund!$A:$AH,34,0),0)/24,"Yes","No")))</f>
        <v/>
      </c>
      <c r="AN117" s="22" t="str">
        <f aca="false">IF($A117="","",IFERROR(VLOOKUP($C117,Dim_Fund!$A:$AH,34,0),""))</f>
        <v/>
      </c>
      <c r="AO117" s="22" t="str">
        <f aca="false">IF($A117="","",IF($AL117="","",IFERROR(FLOOR(IF(COUNTIFS(Fact_Milestone!$A:$A,$B117,Fact_Milestone!$B:$B,$AL117,Fact_Milestone!$F:$F,"&gt;0")&gt;0,_xlfn.MINIFS(Fact_Milestone!$F:$F,Fact_Milestone!$A:$A,$B117,Fact_Milestone!$B:$B,$AL117,Fact_Milestone!$F:$F,"&gt;0"),VLOOKUP($AL117,Dim_TOP!$A:$E,5,0)),0.5),"")))</f>
        <v/>
      </c>
      <c r="AP117" s="22" t="str">
        <f aca="false">IF($A117="","",IF($U117="","",ROUND(($U117-INT($U117))*24,4)))</f>
        <v/>
      </c>
      <c r="AQ117" s="22" t="str">
        <f aca="false">IF($A117="","",IF($W117="","",ROUND(($W117-INT($W117))*24,4)))</f>
        <v/>
      </c>
      <c r="AR117" s="22" t="str">
        <f aca="false">IF($A117="","",IF($X117="","",ROUND(($X117-INT($X117))*24,4)))</f>
        <v/>
      </c>
      <c r="AS117" s="38" t="str">
        <f aca="false">IF($A117="","",IF(OR($AN117="",$V117="",$S117="",$T117=""),"",ROUND(($V117-($B117+$AN117/24))*1440-$S117-$T117,0)))</f>
        <v/>
      </c>
      <c r="AT117" s="38" t="str">
        <f aca="false">IF($A117="","",IF(OR($AN117="",$U117=""),"",ROUND(($U117-($B117+$AN117/24))*1440,0)))</f>
        <v/>
      </c>
      <c r="AU117" s="38" t="str">
        <f aca="false">IF($A117="","",IF(OR($AD117="",$S117=""),"",ROUND($AD117-$S117,0)))</f>
        <v/>
      </c>
      <c r="AV117" s="38" t="str">
        <f aca="false">IF($A117="","",N($AE117))</f>
        <v/>
      </c>
      <c r="AW117" s="38" t="str">
        <f aca="false">IF($A117="","",IF(OR($AF117="",$T117=""),"",$AF117-$T117))</f>
        <v/>
      </c>
      <c r="AX117" s="38" t="str">
        <f aca="false">IF($A117="","",IF(COUNT($AT117,$AB117,$AU117,$AW117,$AS117,$AH117)&lt;6,"",ROUND($AT117+$AB117+$AU117+$AV117+$AW117-$AS117-$AH117,0)))</f>
        <v/>
      </c>
      <c r="AY117" s="4" t="str">
        <f aca="false">IF($A117="","",IF($AX117="","No",IF(ABS($AX117)&lt;=2,"Yes","No")))</f>
        <v/>
      </c>
      <c r="AZ117" s="4" t="str">
        <f aca="false">IF($A117="","",IF($AI117&lt;&gt;"Yes","n/a",IF(OR($AA117="",$S117="",$T117=""),"Unknown",IF($AA117&lt;$S117+$T117,"Lost on arrival","Lost after arrival"))))</f>
        <v/>
      </c>
      <c r="BA117" s="10" t="str">
        <f aca="false">IF($A117="","",IFERROR(VLOOKUP($C117,Dim_Fund!$A:$D,4,0),""))</f>
        <v/>
      </c>
      <c r="BB117" s="10" t="str">
        <f aca="false">IF($A117="","",IF($AL117="","",IF(COUNTIFS(Fact_Milestone!$A:$A,$B117,Fact_Milestone!$B:$B,$AL117,Fact_Milestone!$I:$I,"No")&gt;0,"No",IF(COUNTIFS(Fact_Milestone!$A:$A,$B117,Fact_Milestone!$B:$B,$AL117,Fact_Milestone!$I:$I,"Yes")&gt;0,"Yes",""))))</f>
        <v/>
      </c>
      <c r="BC117" s="45" t="str">
        <f aca="false">IF($A117="","",IF(OR($L117="",$W117=""),"",IF(COUNTIFS($L:$L,$L117,$B:$B,$B117,$W:$W,"&lt;"&amp;$W117)=0,"",_xlfn.MAXIFS($W:$W,$L:$L,$L117,$B:$B,$B117,$W:$W,"&lt;"&amp;$W117))))</f>
        <v/>
      </c>
      <c r="BD117" s="39" t="str">
        <f aca="false">IF($A117="","",IF($AC117="","",IF(OR($L117="",$AC117=0),0,MIN($AC117,ROUND(ROUND(1440*SUMPRODUCT(($L$2:INDEX($L:$L,COUNTA($C:$C))=$L117)*($B$2:INDEX($B:$B,COUNTA($C:$C))=$B117)*(ROW($L$2:INDEX($L:$L,COUNTA($C:$C)))&lt;&gt;ROW())*((((($W117+$BT$2:INDEX($BT:$BT,COUNTA($C:$C))-ABS($W117-$BT$2:INDEX($BT:$BT,COUNTA($C:$C))))/2)-(($U117+$BS$2:INDEX($BS:$BS,COUNTA($C:$C))+ABS($U117-$BS$2:INDEX($BS:$BS,COUNTA($C:$C))))/2))+ABS(((($W117+$BT$2:INDEX($BT:$BT,COUNTA($C:$C))-ABS($W117-$BT$2:INDEX($BT:$BT,COUNTA($C:$C))))/2)-(($U117+$BS$2:INDEX($BS:$BS,COUNTA($C:$C))+ABS($U117-$BS$2:INDEX($BS:$BS,COUNTA($C:$C))))/2))))/2)),4),0)))))</f>
        <v/>
      </c>
      <c r="BE117" s="39" t="str">
        <f aca="false">IF($A117="","",IF($AC117="","",ROUND(MIN($AC117-$BD117,N($R117)),0)))</f>
        <v/>
      </c>
      <c r="BF117" s="10" t="str">
        <f aca="false">IF($A117="","",IFERROR(VLOOKUP($C117,Dim_Fund!$A:$BD,56,0),""))</f>
        <v/>
      </c>
      <c r="BG117" s="10" t="str">
        <f aca="false">IF($A117="","",IFERROR(VLOOKUP($C117,Dim_Fund!$A:$BH,60,0),""))</f>
        <v/>
      </c>
      <c r="BH117" s="10" t="str">
        <f aca="false">IF($A117="","",IF($AI117&lt;&gt;"Yes","Not breached",IF($AM117="Yes","Pricing late",IF($BG117="Thin custody slack","Thin custody slack",IF($BF117="Yes","Broker-dependent","None of these")))))</f>
        <v/>
      </c>
      <c r="BI117" s="23" t="str">
        <f aca="false">IF($A117="","",IFERROR(IF(VLOOKUP($C117,Dim_Fund!$A:$AI,35,0)&gt;0,VLOOKUP($C117,Dim_Fund!$A:$AI,35,0),""),""))</f>
        <v/>
      </c>
      <c r="BJ117" s="10" t="str">
        <f aca="false">IF($A117="","",$C117&amp;IF($E117="Client","*",""))</f>
        <v/>
      </c>
      <c r="BK117" s="39" t="str">
        <f aca="false">IF($A117="","",IFERROR(ROUND(($Y117-$X117)*1440,0),""))</f>
        <v/>
      </c>
      <c r="BL117" s="39" t="str">
        <f aca="false">IF($A117="","",IF($AH117="","",-$AH117))</f>
        <v/>
      </c>
      <c r="BM117" s="46" t="str">
        <f aca="false">IF($A117="","",IF($AQ117="","",IF($AP117="",$AQ117,MIN($AP117,$AQ117))))</f>
        <v/>
      </c>
      <c r="BN117" s="46" t="str">
        <f aca="false">IF($A117="","",IF($BM117="","",ROUND(N($AC117)/60,4)))</f>
        <v/>
      </c>
      <c r="BO117" s="46" t="str">
        <f aca="false">IF($A117="","",IF(OR($BM117="",$AD117=""),"",ROUND($AD117/60,4)))</f>
        <v/>
      </c>
      <c r="BP117" s="46" t="str">
        <f aca="false">IF($A117="","",IF($BM117="","",ROUND(N($AE117)/60,4)))</f>
        <v/>
      </c>
      <c r="BQ117" s="46" t="str">
        <f aca="false">IF($A117="","",IF(OR($BM117="",$AF117=""),"",ROUND($AF117/60,4)))</f>
        <v/>
      </c>
      <c r="BR117" s="39" t="str">
        <f aca="false">IF($A117="","",IF($AC117="","",$AC117-$BD117-$BE117))</f>
        <v/>
      </c>
      <c r="BS117" s="45" t="str">
        <f aca="false">IF($A117="","",IF(AND(ISNUMBER($Z117),ISNUMBER($W117)),$Z117,0))</f>
        <v/>
      </c>
      <c r="BT117" s="45" t="str">
        <f aca="false">IF($A117="","",IF(ISNUMBER($W117),$W117,0))</f>
        <v/>
      </c>
      <c r="BU117" s="23" t="str">
        <f aca="false">IF($A117="","",IF(ISNUMBER($W117),ROUND(($W117-$B117)*24,4),""))</f>
        <v/>
      </c>
      <c r="BV117" s="23" t="str">
        <f aca="false">IF($A117="","",IF(ISNUMBER($X117),ROUND(($X117-$B117)*24,4),""))</f>
        <v/>
      </c>
      <c r="BW117" s="10" t="str">
        <f aca="false">IF($A117="","",IF(NOT(ISNUMBER($W117)),"Missing Calculated",IF(NOT(ISNUMBER($X117)),IF($E117="Client","Missing FA signed off","Missing Controlled"),IF($X117&lt;$W117,"End before start","OK"))))</f>
        <v/>
      </c>
      <c r="BX117" s="23" t="str">
        <f aca="false">IF($A117="","",IF(NOT(ISNUMBER($Z117)),"",ROUND((IF(ISNUMBER($U117),MIN($U117,$Z117),$Z117)-$B117)*24,4)))</f>
        <v/>
      </c>
      <c r="BY117" s="23" t="str">
        <f aca="false">IF($A117="","",IF(ISNUMBER($Z117),ROUND(($Z117-$B117)*24,4),""))</f>
        <v/>
      </c>
      <c r="BZ117" s="23" t="str">
        <f aca="false">IF($A117="","",IF(AND(ISNUMBER($W117),ISNUMBER($S117)),ROUND(($W117+$S117/1440-$B117)*24,4),""))</f>
        <v/>
      </c>
    </row>
    <row r="118" customFormat="false" ht="15" hidden="false" customHeight="true" outlineLevel="0" collapsed="false">
      <c r="A118" s="47"/>
      <c r="B118" s="47"/>
      <c r="D118" s="4" t="str">
        <f aca="false">IF($A118="","",$B118-$A118)</f>
        <v/>
      </c>
      <c r="E118" s="4" t="str">
        <f aca="false">IF($A118="","",IFERROR(VLOOKUP($C118,Dim_Fund!$A:$X,24,0),""))</f>
        <v/>
      </c>
      <c r="F118" s="37" t="str">
        <f aca="false">IF($A118="","",IF(COUNTIFS(Status_Log!$A:$A,$A118,Status_Log!$B:$B,$B118,Status_Log!$C:$C,$C118,Status_Log!$D:$D,"Changed to the status of Calculated")=0,"",_xlfn.MINIFS(Status_Log!$E:$E,Status_Log!$A:$A,$A118,Status_Log!$B:$B,$B118,Status_Log!$C:$C,$C118,Status_Log!$D:$D,"Changed to the status of Calculated")))</f>
        <v/>
      </c>
      <c r="G118" s="37" t="str">
        <f aca="false">IF($A118="","",IF(COUNTIFS(Status_Log!$A:$A,$A118,Status_Log!$B:$B,$B118,Status_Log!$C:$C,$C118,Status_Log!$D:$D,"Changed to the status of Controlled")=0,"",_xlfn.MAXIFS(Status_Log!$E:$E,Status_Log!$A:$A,$A118,Status_Log!$B:$B,$B118,Status_Log!$C:$C,$C118,Status_Log!$D:$D,"Changed to the status of Controlled")))</f>
        <v/>
      </c>
      <c r="H118" s="37" t="str">
        <f aca="false">IF($A118="","",IF(COUNTIFS(Status_Log!$A:$A,$A118,Status_Log!$B:$B,$B118,Status_Log!$C:$C,$C118,Status_Log!$D:$D,"Changed to the status of Fund accounting signed off")=0,"",_xlfn.MAXIFS(Status_Log!$E:$E,Status_Log!$A:$A,$A118,Status_Log!$B:$B,$B118,Status_Log!$C:$C,$C118,Status_Log!$D:$D,"Changed to the status of Fund accounting signed off")))</f>
        <v/>
      </c>
      <c r="I118" s="37" t="str">
        <f aca="false">IF($A118="","",IF(COUNTIFS(Status_Log!$A:$A,$A118,Status_Log!$B:$B,$B118,Status_Log!$C:$C,$C118,Status_Log!$D:$D,"Changed to the status of signed off")=0,"",_xlfn.MAXIFS(Status_Log!$E:$E,Status_Log!$A:$A,$A118,Status_Log!$B:$B,$B118,Status_Log!$C:$C,$C118,Status_Log!$D:$D,"Changed to the status of signed off")))</f>
        <v/>
      </c>
      <c r="J118" s="4" t="str">
        <f aca="false">IF($A118="","",COUNTIFS(Status_Log!$A:$A,$A118,Status_Log!$B:$B,$B118,Status_Log!$C:$C,$C118,Status_Log!$D:$D,"Changed to the status of Calculated"))</f>
        <v/>
      </c>
      <c r="K118" s="38" t="str">
        <f aca="false">IF($A118="","",IF(J118&lt;=1,0,ROUND((_xlfn.MAXIFS(Status_Log!$E:$E,Status_Log!$A:$A,$A118,Status_Log!$B:$B,$B118,Status_Log!$C:$C,$C118,Status_Log!$D:$D,"Changed to the status of Calculated")-F118)*1440,0)))</f>
        <v/>
      </c>
      <c r="L118" s="4" t="str">
        <f aca="false">IF($A118="","",IFERROR(INDEX(Status_Log!$F:$F,MATCH($A118&amp;"|"&amp;$B118&amp;"|"&amp;$C118&amp;"|Changed to the status of Calculated|"&amp;TEXT(_xlfn.MAXIFS(Status_Log!$E:$E,Status_Log!$A:$A,$A118,Status_Log!$B:$B,$B118,Status_Log!$C:$C,$C118,Status_Log!$D:$D,"Changed to the status of Calculated"),"0.000000"),Status_Log!$H:$H,0)),""))</f>
        <v/>
      </c>
      <c r="M118" s="4" t="str">
        <f aca="false">IF($A118="","",IF(E118="Client","n/a — no control step",IFERROR(INDEX(Status_Log!$F:$F,MATCH($A118&amp;"|"&amp;$B118&amp;"|"&amp;$C118&amp;"|Changed to the status of Controlled|"&amp;TEXT(_xlfn.MAXIFS(Status_Log!$E:$E,Status_Log!$A:$A,$A118,Status_Log!$B:$B,$B118,Status_Log!$C:$C,$C118,Status_Log!$D:$D,"Changed to the status of Controlled"),"0.000000"),Status_Log!$H:$H,0)),"")))</f>
        <v/>
      </c>
      <c r="N118" s="4" t="str">
        <f aca="false">IF($A118="","",IFERROR(VLOOKUP($C118,Dim_Fund!$A:$G,7,0),""))</f>
        <v/>
      </c>
      <c r="O118" s="4" t="str">
        <f aca="false">IF($A118="","",IF(L118=N118,"No","Yes"))</f>
        <v/>
      </c>
      <c r="P118" s="4" t="str">
        <f aca="false">IF($A118="","",IF(E118="Client","n/a",IF(L118=M118,"YES — four-eyes breach","No")))</f>
        <v/>
      </c>
      <c r="Q118" s="38" t="str">
        <f aca="false">IF($A118="","",IFERROR(VLOOKUP($C118,Dim_Fund!$A:$AB,28,0),""))</f>
        <v/>
      </c>
      <c r="R118" s="38" t="str">
        <f aca="false">IF($A118="","",IFERROR(VLOOKUP($C118,Dim_Fund!$A:$AC,29,0),""))</f>
        <v/>
      </c>
      <c r="S118" s="38" t="str">
        <f aca="false">IF($A118="","",IFERROR(VLOOKUP($C118,Dim_Fund!$A:$AD,30,0),""))</f>
        <v/>
      </c>
      <c r="T118" s="38" t="str">
        <f aca="false">IF($A118="","",IFERROR(VLOOKUP($C118,Dim_Fund!$A:$AL,38,0),""))</f>
        <v/>
      </c>
      <c r="U118" s="37" t="str">
        <f aca="false">IF($A118="","",IF(AL118="","",IFERROR(IF(COUNTIFS(Fact_Milestone!$A:$A,$B118,Fact_Milestone!$B:$B,AL118)=0,"",_xlfn.MAXIFS(Fact_Milestone!$C:$C,Fact_Milestone!$A:$A,$B118,Fact_Milestone!$B:$B,AL118)),"")))</f>
        <v/>
      </c>
      <c r="V118" s="37" t="str">
        <f aca="false">IF($A118="","",IFERROR(IF(VLOOKUP($C118,Dim_Fund!$A:$AI,35,0)&gt;0,$B118+VLOOKUP($C118,Dim_Fund!$A:$AI,35,0)/24,""),""))</f>
        <v/>
      </c>
      <c r="W118" s="37" t="str">
        <f aca="false">IF($A118="","",F118)</f>
        <v/>
      </c>
      <c r="X118" s="37" t="str">
        <f aca="false">IF($A118="","",IF(E118="Client",H118,G118))</f>
        <v/>
      </c>
      <c r="Y118" s="37" t="str">
        <f aca="false">IF($A118="","",I118)</f>
        <v/>
      </c>
      <c r="Z118" s="37" t="str">
        <f aca="false">IF($A118="","",IFERROR(W118-R118/1440,""))</f>
        <v/>
      </c>
      <c r="AA118" s="38" t="str">
        <f aca="false">IF($A118="","",IF(OR(U118="",V118=""),"",ROUND((V118-U118)*1440,0)))</f>
        <v/>
      </c>
      <c r="AB118" s="38" t="str">
        <f aca="false">IF($A118="","",IF(U118="","",ROUND((W118-U118)*1440,0)))</f>
        <v/>
      </c>
      <c r="AC118" s="38" t="str">
        <f aca="false">IF($A118="","",IF(AB118="","",MAX(0,AB118)))</f>
        <v/>
      </c>
      <c r="AD118" s="38" t="str">
        <f aca="false">IF($A118="","",IFERROR(ROUND((X118-W118)*1440,0),""))</f>
        <v/>
      </c>
      <c r="AE118" s="38" t="str">
        <f aca="false">IF($A118="","",IF(E118="Client","n/a",IFERROR(ROUND((H118-G118)*1440,0),"")))</f>
        <v/>
      </c>
      <c r="AF118" s="38" t="str">
        <f aca="false">IF($A118="","",IFERROR(ROUND((Y118-H118)*1440,0),""))</f>
        <v/>
      </c>
      <c r="AG118" s="38" t="str">
        <f aca="false">IF($A118="","",IFERROR(ROUND((H118-F118)*1440,0),""))</f>
        <v/>
      </c>
      <c r="AH118" s="38" t="str">
        <f aca="false">IF($A118="","",IFERROR(ROUND((Y118-V118)*1440,0),""))</f>
        <v/>
      </c>
      <c r="AI118" s="4" t="str">
        <f aca="false">IF($A118="","",IF(AH118="","",IF(AH118&gt;0,"Yes","No")))</f>
        <v/>
      </c>
      <c r="AJ118" s="4" t="str">
        <f aca="false">IF($A118="","",IF(AI118&lt;&gt;"Yes","On time",IF(N(AC118)&gt;=MAX(N(AF118),N(K118)),"Wait for analyst",IF(N(AF118)&gt;=N(K118),"External sign-off","Rework"))))</f>
        <v/>
      </c>
      <c r="AK118" s="4" t="str">
        <f aca="false">IF($A118="","",IF(OR(F118="",Y118="",ISNA(MATCH(L118,Dim_Analyst!$A:$A,0))),"CHECK","OK"))</f>
        <v/>
      </c>
      <c r="AL118" s="4" t="str">
        <f aca="false">IF($A118="","",IFERROR(VLOOKUP($C118,Dim_Fund!$A:$U,21,0),""))</f>
        <v/>
      </c>
      <c r="AM118" s="4" t="str">
        <f aca="false">IF($A118="","",IF($U118="","",IF($U118&gt;$B118+IFERROR(VLOOKUP($C118,Dim_Fund!$A:$AH,34,0),0)/24,"Yes","No")))</f>
        <v/>
      </c>
      <c r="AN118" s="22" t="str">
        <f aca="false">IF($A118="","",IFERROR(VLOOKUP($C118,Dim_Fund!$A:$AH,34,0),""))</f>
        <v/>
      </c>
      <c r="AO118" s="22" t="str">
        <f aca="false">IF($A118="","",IF($AL118="","",IFERROR(FLOOR(IF(COUNTIFS(Fact_Milestone!$A:$A,$B118,Fact_Milestone!$B:$B,$AL118,Fact_Milestone!$F:$F,"&gt;0")&gt;0,_xlfn.MINIFS(Fact_Milestone!$F:$F,Fact_Milestone!$A:$A,$B118,Fact_Milestone!$B:$B,$AL118,Fact_Milestone!$F:$F,"&gt;0"),VLOOKUP($AL118,Dim_TOP!$A:$E,5,0)),0.5),"")))</f>
        <v/>
      </c>
      <c r="AP118" s="22" t="str">
        <f aca="false">IF($A118="","",IF($U118="","",ROUND(($U118-INT($U118))*24,4)))</f>
        <v/>
      </c>
      <c r="AQ118" s="22" t="str">
        <f aca="false">IF($A118="","",IF($W118="","",ROUND(($W118-INT($W118))*24,4)))</f>
        <v/>
      </c>
      <c r="AR118" s="22" t="str">
        <f aca="false">IF($A118="","",IF($X118="","",ROUND(($X118-INT($X118))*24,4)))</f>
        <v/>
      </c>
      <c r="AS118" s="38" t="str">
        <f aca="false">IF($A118="","",IF(OR($AN118="",$V118="",$S118="",$T118=""),"",ROUND(($V118-($B118+$AN118/24))*1440-$S118-$T118,0)))</f>
        <v/>
      </c>
      <c r="AT118" s="38" t="str">
        <f aca="false">IF($A118="","",IF(OR($AN118="",$U118=""),"",ROUND(($U118-($B118+$AN118/24))*1440,0)))</f>
        <v/>
      </c>
      <c r="AU118" s="38" t="str">
        <f aca="false">IF($A118="","",IF(OR($AD118="",$S118=""),"",ROUND($AD118-$S118,0)))</f>
        <v/>
      </c>
      <c r="AV118" s="38" t="str">
        <f aca="false">IF($A118="","",N($AE118))</f>
        <v/>
      </c>
      <c r="AW118" s="38" t="str">
        <f aca="false">IF($A118="","",IF(OR($AF118="",$T118=""),"",$AF118-$T118))</f>
        <v/>
      </c>
      <c r="AX118" s="38" t="str">
        <f aca="false">IF($A118="","",IF(COUNT($AT118,$AB118,$AU118,$AW118,$AS118,$AH118)&lt;6,"",ROUND($AT118+$AB118+$AU118+$AV118+$AW118-$AS118-$AH118,0)))</f>
        <v/>
      </c>
      <c r="AY118" s="4" t="str">
        <f aca="false">IF($A118="","",IF($AX118="","No",IF(ABS($AX118)&lt;=2,"Yes","No")))</f>
        <v/>
      </c>
      <c r="AZ118" s="4" t="str">
        <f aca="false">IF($A118="","",IF($AI118&lt;&gt;"Yes","n/a",IF(OR($AA118="",$S118="",$T118=""),"Unknown",IF($AA118&lt;$S118+$T118,"Lost on arrival","Lost after arrival"))))</f>
        <v/>
      </c>
      <c r="BA118" s="10" t="str">
        <f aca="false">IF($A118="","",IFERROR(VLOOKUP($C118,Dim_Fund!$A:$D,4,0),""))</f>
        <v/>
      </c>
      <c r="BB118" s="10" t="str">
        <f aca="false">IF($A118="","",IF($AL118="","",IF(COUNTIFS(Fact_Milestone!$A:$A,$B118,Fact_Milestone!$B:$B,$AL118,Fact_Milestone!$I:$I,"No")&gt;0,"No",IF(COUNTIFS(Fact_Milestone!$A:$A,$B118,Fact_Milestone!$B:$B,$AL118,Fact_Milestone!$I:$I,"Yes")&gt;0,"Yes",""))))</f>
        <v/>
      </c>
      <c r="BC118" s="45" t="str">
        <f aca="false">IF($A118="","",IF(OR($L118="",$W118=""),"",IF(COUNTIFS($L:$L,$L118,$B:$B,$B118,$W:$W,"&lt;"&amp;$W118)=0,"",_xlfn.MAXIFS($W:$W,$L:$L,$L118,$B:$B,$B118,$W:$W,"&lt;"&amp;$W118))))</f>
        <v/>
      </c>
      <c r="BD118" s="39" t="str">
        <f aca="false">IF($A118="","",IF($AC118="","",IF(OR($L118="",$AC118=0),0,MIN($AC118,ROUND(ROUND(1440*SUMPRODUCT(($L$2:INDEX($L:$L,COUNTA($C:$C))=$L118)*($B$2:INDEX($B:$B,COUNTA($C:$C))=$B118)*(ROW($L$2:INDEX($L:$L,COUNTA($C:$C)))&lt;&gt;ROW())*((((($W118+$BT$2:INDEX($BT:$BT,COUNTA($C:$C))-ABS($W118-$BT$2:INDEX($BT:$BT,COUNTA($C:$C))))/2)-(($U118+$BS$2:INDEX($BS:$BS,COUNTA($C:$C))+ABS($U118-$BS$2:INDEX($BS:$BS,COUNTA($C:$C))))/2))+ABS(((($W118+$BT$2:INDEX($BT:$BT,COUNTA($C:$C))-ABS($W118-$BT$2:INDEX($BT:$BT,COUNTA($C:$C))))/2)-(($U118+$BS$2:INDEX($BS:$BS,COUNTA($C:$C))+ABS($U118-$BS$2:INDEX($BS:$BS,COUNTA($C:$C))))/2))))/2)),4),0)))))</f>
        <v/>
      </c>
      <c r="BE118" s="39" t="str">
        <f aca="false">IF($A118="","",IF($AC118="","",ROUND(MIN($AC118-$BD118,N($R118)),0)))</f>
        <v/>
      </c>
      <c r="BF118" s="10" t="str">
        <f aca="false">IF($A118="","",IFERROR(VLOOKUP($C118,Dim_Fund!$A:$BD,56,0),""))</f>
        <v/>
      </c>
      <c r="BG118" s="10" t="str">
        <f aca="false">IF($A118="","",IFERROR(VLOOKUP($C118,Dim_Fund!$A:$BH,60,0),""))</f>
        <v/>
      </c>
      <c r="BH118" s="10" t="str">
        <f aca="false">IF($A118="","",IF($AI118&lt;&gt;"Yes","Not breached",IF($AM118="Yes","Pricing late",IF($BG118="Thin custody slack","Thin custody slack",IF($BF118="Yes","Broker-dependent","None of these")))))</f>
        <v/>
      </c>
      <c r="BI118" s="23" t="str">
        <f aca="false">IF($A118="","",IFERROR(IF(VLOOKUP($C118,Dim_Fund!$A:$AI,35,0)&gt;0,VLOOKUP($C118,Dim_Fund!$A:$AI,35,0),""),""))</f>
        <v/>
      </c>
      <c r="BJ118" s="10" t="str">
        <f aca="false">IF($A118="","",$C118&amp;IF($E118="Client","*",""))</f>
        <v/>
      </c>
      <c r="BK118" s="39" t="str">
        <f aca="false">IF($A118="","",IFERROR(ROUND(($Y118-$X118)*1440,0),""))</f>
        <v/>
      </c>
      <c r="BL118" s="39" t="str">
        <f aca="false">IF($A118="","",IF($AH118="","",-$AH118))</f>
        <v/>
      </c>
      <c r="BM118" s="46" t="str">
        <f aca="false">IF($A118="","",IF($AQ118="","",IF($AP118="",$AQ118,MIN($AP118,$AQ118))))</f>
        <v/>
      </c>
      <c r="BN118" s="46" t="str">
        <f aca="false">IF($A118="","",IF($BM118="","",ROUND(N($AC118)/60,4)))</f>
        <v/>
      </c>
      <c r="BO118" s="46" t="str">
        <f aca="false">IF($A118="","",IF(OR($BM118="",$AD118=""),"",ROUND($AD118/60,4)))</f>
        <v/>
      </c>
      <c r="BP118" s="46" t="str">
        <f aca="false">IF($A118="","",IF($BM118="","",ROUND(N($AE118)/60,4)))</f>
        <v/>
      </c>
      <c r="BQ118" s="46" t="str">
        <f aca="false">IF($A118="","",IF(OR($BM118="",$AF118=""),"",ROUND($AF118/60,4)))</f>
        <v/>
      </c>
      <c r="BR118" s="39" t="str">
        <f aca="false">IF($A118="","",IF($AC118="","",$AC118-$BD118-$BE118))</f>
        <v/>
      </c>
      <c r="BS118" s="45" t="str">
        <f aca="false">IF($A118="","",IF(AND(ISNUMBER($Z118),ISNUMBER($W118)),$Z118,0))</f>
        <v/>
      </c>
      <c r="BT118" s="45" t="str">
        <f aca="false">IF($A118="","",IF(ISNUMBER($W118),$W118,0))</f>
        <v/>
      </c>
      <c r="BU118" s="23" t="str">
        <f aca="false">IF($A118="","",IF(ISNUMBER($W118),ROUND(($W118-$B118)*24,4),""))</f>
        <v/>
      </c>
      <c r="BV118" s="23" t="str">
        <f aca="false">IF($A118="","",IF(ISNUMBER($X118),ROUND(($X118-$B118)*24,4),""))</f>
        <v/>
      </c>
      <c r="BW118" s="10" t="str">
        <f aca="false">IF($A118="","",IF(NOT(ISNUMBER($W118)),"Missing Calculated",IF(NOT(ISNUMBER($X118)),IF($E118="Client","Missing FA signed off","Missing Controlled"),IF($X118&lt;$W118,"End before start","OK"))))</f>
        <v/>
      </c>
      <c r="BX118" s="23" t="str">
        <f aca="false">IF($A118="","",IF(NOT(ISNUMBER($Z118)),"",ROUND((IF(ISNUMBER($U118),MIN($U118,$Z118),$Z118)-$B118)*24,4)))</f>
        <v/>
      </c>
      <c r="BY118" s="23" t="str">
        <f aca="false">IF($A118="","",IF(ISNUMBER($Z118),ROUND(($Z118-$B118)*24,4),""))</f>
        <v/>
      </c>
      <c r="BZ118" s="23" t="str">
        <f aca="false">IF($A118="","",IF(AND(ISNUMBER($W118),ISNUMBER($S118)),ROUND(($W118+$S118/1440-$B118)*24,4),""))</f>
        <v/>
      </c>
    </row>
    <row r="119" customFormat="false" ht="15" hidden="false" customHeight="true" outlineLevel="0" collapsed="false">
      <c r="A119" s="47"/>
      <c r="B119" s="47"/>
      <c r="D119" s="4" t="str">
        <f aca="false">IF($A119="","",$B119-$A119)</f>
        <v/>
      </c>
      <c r="E119" s="4" t="str">
        <f aca="false">IF($A119="","",IFERROR(VLOOKUP($C119,Dim_Fund!$A:$X,24,0),""))</f>
        <v/>
      </c>
      <c r="F119" s="37" t="str">
        <f aca="false">IF($A119="","",IF(COUNTIFS(Status_Log!$A:$A,$A119,Status_Log!$B:$B,$B119,Status_Log!$C:$C,$C119,Status_Log!$D:$D,"Changed to the status of Calculated")=0,"",_xlfn.MINIFS(Status_Log!$E:$E,Status_Log!$A:$A,$A119,Status_Log!$B:$B,$B119,Status_Log!$C:$C,$C119,Status_Log!$D:$D,"Changed to the status of Calculated")))</f>
        <v/>
      </c>
      <c r="G119" s="37" t="str">
        <f aca="false">IF($A119="","",IF(COUNTIFS(Status_Log!$A:$A,$A119,Status_Log!$B:$B,$B119,Status_Log!$C:$C,$C119,Status_Log!$D:$D,"Changed to the status of Controlled")=0,"",_xlfn.MAXIFS(Status_Log!$E:$E,Status_Log!$A:$A,$A119,Status_Log!$B:$B,$B119,Status_Log!$C:$C,$C119,Status_Log!$D:$D,"Changed to the status of Controlled")))</f>
        <v/>
      </c>
      <c r="H119" s="37" t="str">
        <f aca="false">IF($A119="","",IF(COUNTIFS(Status_Log!$A:$A,$A119,Status_Log!$B:$B,$B119,Status_Log!$C:$C,$C119,Status_Log!$D:$D,"Changed to the status of Fund accounting signed off")=0,"",_xlfn.MAXIFS(Status_Log!$E:$E,Status_Log!$A:$A,$A119,Status_Log!$B:$B,$B119,Status_Log!$C:$C,$C119,Status_Log!$D:$D,"Changed to the status of Fund accounting signed off")))</f>
        <v/>
      </c>
      <c r="I119" s="37" t="str">
        <f aca="false">IF($A119="","",IF(COUNTIFS(Status_Log!$A:$A,$A119,Status_Log!$B:$B,$B119,Status_Log!$C:$C,$C119,Status_Log!$D:$D,"Changed to the status of signed off")=0,"",_xlfn.MAXIFS(Status_Log!$E:$E,Status_Log!$A:$A,$A119,Status_Log!$B:$B,$B119,Status_Log!$C:$C,$C119,Status_Log!$D:$D,"Changed to the status of signed off")))</f>
        <v/>
      </c>
      <c r="J119" s="4" t="str">
        <f aca="false">IF($A119="","",COUNTIFS(Status_Log!$A:$A,$A119,Status_Log!$B:$B,$B119,Status_Log!$C:$C,$C119,Status_Log!$D:$D,"Changed to the status of Calculated"))</f>
        <v/>
      </c>
      <c r="K119" s="38" t="str">
        <f aca="false">IF($A119="","",IF(J119&lt;=1,0,ROUND((_xlfn.MAXIFS(Status_Log!$E:$E,Status_Log!$A:$A,$A119,Status_Log!$B:$B,$B119,Status_Log!$C:$C,$C119,Status_Log!$D:$D,"Changed to the status of Calculated")-F119)*1440,0)))</f>
        <v/>
      </c>
      <c r="L119" s="4" t="str">
        <f aca="false">IF($A119="","",IFERROR(INDEX(Status_Log!$F:$F,MATCH($A119&amp;"|"&amp;$B119&amp;"|"&amp;$C119&amp;"|Changed to the status of Calculated|"&amp;TEXT(_xlfn.MAXIFS(Status_Log!$E:$E,Status_Log!$A:$A,$A119,Status_Log!$B:$B,$B119,Status_Log!$C:$C,$C119,Status_Log!$D:$D,"Changed to the status of Calculated"),"0.000000"),Status_Log!$H:$H,0)),""))</f>
        <v/>
      </c>
      <c r="M119" s="4" t="str">
        <f aca="false">IF($A119="","",IF(E119="Client","n/a — no control step",IFERROR(INDEX(Status_Log!$F:$F,MATCH($A119&amp;"|"&amp;$B119&amp;"|"&amp;$C119&amp;"|Changed to the status of Controlled|"&amp;TEXT(_xlfn.MAXIFS(Status_Log!$E:$E,Status_Log!$A:$A,$A119,Status_Log!$B:$B,$B119,Status_Log!$C:$C,$C119,Status_Log!$D:$D,"Changed to the status of Controlled"),"0.000000"),Status_Log!$H:$H,0)),"")))</f>
        <v/>
      </c>
      <c r="N119" s="4" t="str">
        <f aca="false">IF($A119="","",IFERROR(VLOOKUP($C119,Dim_Fund!$A:$G,7,0),""))</f>
        <v/>
      </c>
      <c r="O119" s="4" t="str">
        <f aca="false">IF($A119="","",IF(L119=N119,"No","Yes"))</f>
        <v/>
      </c>
      <c r="P119" s="4" t="str">
        <f aca="false">IF($A119="","",IF(E119="Client","n/a",IF(L119=M119,"YES — four-eyes breach","No")))</f>
        <v/>
      </c>
      <c r="Q119" s="38" t="str">
        <f aca="false">IF($A119="","",IFERROR(VLOOKUP($C119,Dim_Fund!$A:$AB,28,0),""))</f>
        <v/>
      </c>
      <c r="R119" s="38" t="str">
        <f aca="false">IF($A119="","",IFERROR(VLOOKUP($C119,Dim_Fund!$A:$AC,29,0),""))</f>
        <v/>
      </c>
      <c r="S119" s="38" t="str">
        <f aca="false">IF($A119="","",IFERROR(VLOOKUP($C119,Dim_Fund!$A:$AD,30,0),""))</f>
        <v/>
      </c>
      <c r="T119" s="38" t="str">
        <f aca="false">IF($A119="","",IFERROR(VLOOKUP($C119,Dim_Fund!$A:$AL,38,0),""))</f>
        <v/>
      </c>
      <c r="U119" s="37" t="str">
        <f aca="false">IF($A119="","",IF(AL119="","",IFERROR(IF(COUNTIFS(Fact_Milestone!$A:$A,$B119,Fact_Milestone!$B:$B,AL119)=0,"",_xlfn.MAXIFS(Fact_Milestone!$C:$C,Fact_Milestone!$A:$A,$B119,Fact_Milestone!$B:$B,AL119)),"")))</f>
        <v/>
      </c>
      <c r="V119" s="37" t="str">
        <f aca="false">IF($A119="","",IFERROR(IF(VLOOKUP($C119,Dim_Fund!$A:$AI,35,0)&gt;0,$B119+VLOOKUP($C119,Dim_Fund!$A:$AI,35,0)/24,""),""))</f>
        <v/>
      </c>
      <c r="W119" s="37" t="str">
        <f aca="false">IF($A119="","",F119)</f>
        <v/>
      </c>
      <c r="X119" s="37" t="str">
        <f aca="false">IF($A119="","",IF(E119="Client",H119,G119))</f>
        <v/>
      </c>
      <c r="Y119" s="37" t="str">
        <f aca="false">IF($A119="","",I119)</f>
        <v/>
      </c>
      <c r="Z119" s="37" t="str">
        <f aca="false">IF($A119="","",IFERROR(W119-R119/1440,""))</f>
        <v/>
      </c>
      <c r="AA119" s="38" t="str">
        <f aca="false">IF($A119="","",IF(OR(U119="",V119=""),"",ROUND((V119-U119)*1440,0)))</f>
        <v/>
      </c>
      <c r="AB119" s="38" t="str">
        <f aca="false">IF($A119="","",IF(U119="","",ROUND((W119-U119)*1440,0)))</f>
        <v/>
      </c>
      <c r="AC119" s="38" t="str">
        <f aca="false">IF($A119="","",IF(AB119="","",MAX(0,AB119)))</f>
        <v/>
      </c>
      <c r="AD119" s="38" t="str">
        <f aca="false">IF($A119="","",IFERROR(ROUND((X119-W119)*1440,0),""))</f>
        <v/>
      </c>
      <c r="AE119" s="38" t="str">
        <f aca="false">IF($A119="","",IF(E119="Client","n/a",IFERROR(ROUND((H119-G119)*1440,0),"")))</f>
        <v/>
      </c>
      <c r="AF119" s="38" t="str">
        <f aca="false">IF($A119="","",IFERROR(ROUND((Y119-H119)*1440,0),""))</f>
        <v/>
      </c>
      <c r="AG119" s="38" t="str">
        <f aca="false">IF($A119="","",IFERROR(ROUND((H119-F119)*1440,0),""))</f>
        <v/>
      </c>
      <c r="AH119" s="38" t="str">
        <f aca="false">IF($A119="","",IFERROR(ROUND((Y119-V119)*1440,0),""))</f>
        <v/>
      </c>
      <c r="AI119" s="4" t="str">
        <f aca="false">IF($A119="","",IF(AH119="","",IF(AH119&gt;0,"Yes","No")))</f>
        <v/>
      </c>
      <c r="AJ119" s="4" t="str">
        <f aca="false">IF($A119="","",IF(AI119&lt;&gt;"Yes","On time",IF(N(AC119)&gt;=MAX(N(AF119),N(K119)),"Wait for analyst",IF(N(AF119)&gt;=N(K119),"External sign-off","Rework"))))</f>
        <v/>
      </c>
      <c r="AK119" s="4" t="str">
        <f aca="false">IF($A119="","",IF(OR(F119="",Y119="",ISNA(MATCH(L119,Dim_Analyst!$A:$A,0))),"CHECK","OK"))</f>
        <v/>
      </c>
      <c r="AL119" s="4" t="str">
        <f aca="false">IF($A119="","",IFERROR(VLOOKUP($C119,Dim_Fund!$A:$U,21,0),""))</f>
        <v/>
      </c>
      <c r="AM119" s="4" t="str">
        <f aca="false">IF($A119="","",IF($U119="","",IF($U119&gt;$B119+IFERROR(VLOOKUP($C119,Dim_Fund!$A:$AH,34,0),0)/24,"Yes","No")))</f>
        <v/>
      </c>
      <c r="AN119" s="22" t="str">
        <f aca="false">IF($A119="","",IFERROR(VLOOKUP($C119,Dim_Fund!$A:$AH,34,0),""))</f>
        <v/>
      </c>
      <c r="AO119" s="22" t="str">
        <f aca="false">IF($A119="","",IF($AL119="","",IFERROR(FLOOR(IF(COUNTIFS(Fact_Milestone!$A:$A,$B119,Fact_Milestone!$B:$B,$AL119,Fact_Milestone!$F:$F,"&gt;0")&gt;0,_xlfn.MINIFS(Fact_Milestone!$F:$F,Fact_Milestone!$A:$A,$B119,Fact_Milestone!$B:$B,$AL119,Fact_Milestone!$F:$F,"&gt;0"),VLOOKUP($AL119,Dim_TOP!$A:$E,5,0)),0.5),"")))</f>
        <v/>
      </c>
      <c r="AP119" s="22" t="str">
        <f aca="false">IF($A119="","",IF($U119="","",ROUND(($U119-INT($U119))*24,4)))</f>
        <v/>
      </c>
      <c r="AQ119" s="22" t="str">
        <f aca="false">IF($A119="","",IF($W119="","",ROUND(($W119-INT($W119))*24,4)))</f>
        <v/>
      </c>
      <c r="AR119" s="22" t="str">
        <f aca="false">IF($A119="","",IF($X119="","",ROUND(($X119-INT($X119))*24,4)))</f>
        <v/>
      </c>
      <c r="AS119" s="38" t="str">
        <f aca="false">IF($A119="","",IF(OR($AN119="",$V119="",$S119="",$T119=""),"",ROUND(($V119-($B119+$AN119/24))*1440-$S119-$T119,0)))</f>
        <v/>
      </c>
      <c r="AT119" s="38" t="str">
        <f aca="false">IF($A119="","",IF(OR($AN119="",$U119=""),"",ROUND(($U119-($B119+$AN119/24))*1440,0)))</f>
        <v/>
      </c>
      <c r="AU119" s="38" t="str">
        <f aca="false">IF($A119="","",IF(OR($AD119="",$S119=""),"",ROUND($AD119-$S119,0)))</f>
        <v/>
      </c>
      <c r="AV119" s="38" t="str">
        <f aca="false">IF($A119="","",N($AE119))</f>
        <v/>
      </c>
      <c r="AW119" s="38" t="str">
        <f aca="false">IF($A119="","",IF(OR($AF119="",$T119=""),"",$AF119-$T119))</f>
        <v/>
      </c>
      <c r="AX119" s="38" t="str">
        <f aca="false">IF($A119="","",IF(COUNT($AT119,$AB119,$AU119,$AW119,$AS119,$AH119)&lt;6,"",ROUND($AT119+$AB119+$AU119+$AV119+$AW119-$AS119-$AH119,0)))</f>
        <v/>
      </c>
      <c r="AY119" s="4" t="str">
        <f aca="false">IF($A119="","",IF($AX119="","No",IF(ABS($AX119)&lt;=2,"Yes","No")))</f>
        <v/>
      </c>
      <c r="AZ119" s="4" t="str">
        <f aca="false">IF($A119="","",IF($AI119&lt;&gt;"Yes","n/a",IF(OR($AA119="",$S119="",$T119=""),"Unknown",IF($AA119&lt;$S119+$T119,"Lost on arrival","Lost after arrival"))))</f>
        <v/>
      </c>
      <c r="BA119" s="10" t="str">
        <f aca="false">IF($A119="","",IFERROR(VLOOKUP($C119,Dim_Fund!$A:$D,4,0),""))</f>
        <v/>
      </c>
      <c r="BB119" s="10" t="str">
        <f aca="false">IF($A119="","",IF($AL119="","",IF(COUNTIFS(Fact_Milestone!$A:$A,$B119,Fact_Milestone!$B:$B,$AL119,Fact_Milestone!$I:$I,"No")&gt;0,"No",IF(COUNTIFS(Fact_Milestone!$A:$A,$B119,Fact_Milestone!$B:$B,$AL119,Fact_Milestone!$I:$I,"Yes")&gt;0,"Yes",""))))</f>
        <v/>
      </c>
      <c r="BC119" s="45" t="str">
        <f aca="false">IF($A119="","",IF(OR($L119="",$W119=""),"",IF(COUNTIFS($L:$L,$L119,$B:$B,$B119,$W:$W,"&lt;"&amp;$W119)=0,"",_xlfn.MAXIFS($W:$W,$L:$L,$L119,$B:$B,$B119,$W:$W,"&lt;"&amp;$W119))))</f>
        <v/>
      </c>
      <c r="BD119" s="39" t="str">
        <f aca="false">IF($A119="","",IF($AC119="","",IF(OR($L119="",$AC119=0),0,MIN($AC119,ROUND(ROUND(1440*SUMPRODUCT(($L$2:INDEX($L:$L,COUNTA($C:$C))=$L119)*($B$2:INDEX($B:$B,COUNTA($C:$C))=$B119)*(ROW($L$2:INDEX($L:$L,COUNTA($C:$C)))&lt;&gt;ROW())*((((($W119+$BT$2:INDEX($BT:$BT,COUNTA($C:$C))-ABS($W119-$BT$2:INDEX($BT:$BT,COUNTA($C:$C))))/2)-(($U119+$BS$2:INDEX($BS:$BS,COUNTA($C:$C))+ABS($U119-$BS$2:INDEX($BS:$BS,COUNTA($C:$C))))/2))+ABS(((($W119+$BT$2:INDEX($BT:$BT,COUNTA($C:$C))-ABS($W119-$BT$2:INDEX($BT:$BT,COUNTA($C:$C))))/2)-(($U119+$BS$2:INDEX($BS:$BS,COUNTA($C:$C))+ABS($U119-$BS$2:INDEX($BS:$BS,COUNTA($C:$C))))/2))))/2)),4),0)))))</f>
        <v/>
      </c>
      <c r="BE119" s="39" t="str">
        <f aca="false">IF($A119="","",IF($AC119="","",ROUND(MIN($AC119-$BD119,N($R119)),0)))</f>
        <v/>
      </c>
      <c r="BF119" s="10" t="str">
        <f aca="false">IF($A119="","",IFERROR(VLOOKUP($C119,Dim_Fund!$A:$BD,56,0),""))</f>
        <v/>
      </c>
      <c r="BG119" s="10" t="str">
        <f aca="false">IF($A119="","",IFERROR(VLOOKUP($C119,Dim_Fund!$A:$BH,60,0),""))</f>
        <v/>
      </c>
      <c r="BH119" s="10" t="str">
        <f aca="false">IF($A119="","",IF($AI119&lt;&gt;"Yes","Not breached",IF($AM119="Yes","Pricing late",IF($BG119="Thin custody slack","Thin custody slack",IF($BF119="Yes","Broker-dependent","None of these")))))</f>
        <v/>
      </c>
      <c r="BI119" s="23" t="str">
        <f aca="false">IF($A119="","",IFERROR(IF(VLOOKUP($C119,Dim_Fund!$A:$AI,35,0)&gt;0,VLOOKUP($C119,Dim_Fund!$A:$AI,35,0),""),""))</f>
        <v/>
      </c>
      <c r="BJ119" s="10" t="str">
        <f aca="false">IF($A119="","",$C119&amp;IF($E119="Client","*",""))</f>
        <v/>
      </c>
      <c r="BK119" s="39" t="str">
        <f aca="false">IF($A119="","",IFERROR(ROUND(($Y119-$X119)*1440,0),""))</f>
        <v/>
      </c>
      <c r="BL119" s="39" t="str">
        <f aca="false">IF($A119="","",IF($AH119="","",-$AH119))</f>
        <v/>
      </c>
      <c r="BM119" s="46" t="str">
        <f aca="false">IF($A119="","",IF($AQ119="","",IF($AP119="",$AQ119,MIN($AP119,$AQ119))))</f>
        <v/>
      </c>
      <c r="BN119" s="46" t="str">
        <f aca="false">IF($A119="","",IF($BM119="","",ROUND(N($AC119)/60,4)))</f>
        <v/>
      </c>
      <c r="BO119" s="46" t="str">
        <f aca="false">IF($A119="","",IF(OR($BM119="",$AD119=""),"",ROUND($AD119/60,4)))</f>
        <v/>
      </c>
      <c r="BP119" s="46" t="str">
        <f aca="false">IF($A119="","",IF($BM119="","",ROUND(N($AE119)/60,4)))</f>
        <v/>
      </c>
      <c r="BQ119" s="46" t="str">
        <f aca="false">IF($A119="","",IF(OR($BM119="",$AF119=""),"",ROUND($AF119/60,4)))</f>
        <v/>
      </c>
      <c r="BR119" s="39" t="str">
        <f aca="false">IF($A119="","",IF($AC119="","",$AC119-$BD119-$BE119))</f>
        <v/>
      </c>
      <c r="BS119" s="45" t="str">
        <f aca="false">IF($A119="","",IF(AND(ISNUMBER($Z119),ISNUMBER($W119)),$Z119,0))</f>
        <v/>
      </c>
      <c r="BT119" s="45" t="str">
        <f aca="false">IF($A119="","",IF(ISNUMBER($W119),$W119,0))</f>
        <v/>
      </c>
      <c r="BU119" s="23" t="str">
        <f aca="false">IF($A119="","",IF(ISNUMBER($W119),ROUND(($W119-$B119)*24,4),""))</f>
        <v/>
      </c>
      <c r="BV119" s="23" t="str">
        <f aca="false">IF($A119="","",IF(ISNUMBER($X119),ROUND(($X119-$B119)*24,4),""))</f>
        <v/>
      </c>
      <c r="BW119" s="10" t="str">
        <f aca="false">IF($A119="","",IF(NOT(ISNUMBER($W119)),"Missing Calculated",IF(NOT(ISNUMBER($X119)),IF($E119="Client","Missing FA signed off","Missing Controlled"),IF($X119&lt;$W119,"End before start","OK"))))</f>
        <v/>
      </c>
      <c r="BX119" s="23" t="str">
        <f aca="false">IF($A119="","",IF(NOT(ISNUMBER($Z119)),"",ROUND((IF(ISNUMBER($U119),MIN($U119,$Z119),$Z119)-$B119)*24,4)))</f>
        <v/>
      </c>
      <c r="BY119" s="23" t="str">
        <f aca="false">IF($A119="","",IF(ISNUMBER($Z119),ROUND(($Z119-$B119)*24,4),""))</f>
        <v/>
      </c>
      <c r="BZ119" s="23" t="str">
        <f aca="false">IF($A119="","",IF(AND(ISNUMBER($W119),ISNUMBER($S119)),ROUND(($W119+$S119/1440-$B119)*24,4),""))</f>
        <v/>
      </c>
    </row>
    <row r="120" customFormat="false" ht="15" hidden="false" customHeight="true" outlineLevel="0" collapsed="false">
      <c r="A120" s="47"/>
      <c r="B120" s="47"/>
      <c r="D120" s="4" t="str">
        <f aca="false">IF($A120="","",$B120-$A120)</f>
        <v/>
      </c>
      <c r="E120" s="4" t="str">
        <f aca="false">IF($A120="","",IFERROR(VLOOKUP($C120,Dim_Fund!$A:$X,24,0),""))</f>
        <v/>
      </c>
      <c r="F120" s="37" t="str">
        <f aca="false">IF($A120="","",IF(COUNTIFS(Status_Log!$A:$A,$A120,Status_Log!$B:$B,$B120,Status_Log!$C:$C,$C120,Status_Log!$D:$D,"Changed to the status of Calculated")=0,"",_xlfn.MINIFS(Status_Log!$E:$E,Status_Log!$A:$A,$A120,Status_Log!$B:$B,$B120,Status_Log!$C:$C,$C120,Status_Log!$D:$D,"Changed to the status of Calculated")))</f>
        <v/>
      </c>
      <c r="G120" s="37" t="str">
        <f aca="false">IF($A120="","",IF(COUNTIFS(Status_Log!$A:$A,$A120,Status_Log!$B:$B,$B120,Status_Log!$C:$C,$C120,Status_Log!$D:$D,"Changed to the status of Controlled")=0,"",_xlfn.MAXIFS(Status_Log!$E:$E,Status_Log!$A:$A,$A120,Status_Log!$B:$B,$B120,Status_Log!$C:$C,$C120,Status_Log!$D:$D,"Changed to the status of Controlled")))</f>
        <v/>
      </c>
      <c r="H120" s="37" t="str">
        <f aca="false">IF($A120="","",IF(COUNTIFS(Status_Log!$A:$A,$A120,Status_Log!$B:$B,$B120,Status_Log!$C:$C,$C120,Status_Log!$D:$D,"Changed to the status of Fund accounting signed off")=0,"",_xlfn.MAXIFS(Status_Log!$E:$E,Status_Log!$A:$A,$A120,Status_Log!$B:$B,$B120,Status_Log!$C:$C,$C120,Status_Log!$D:$D,"Changed to the status of Fund accounting signed off")))</f>
        <v/>
      </c>
      <c r="I120" s="37" t="str">
        <f aca="false">IF($A120="","",IF(COUNTIFS(Status_Log!$A:$A,$A120,Status_Log!$B:$B,$B120,Status_Log!$C:$C,$C120,Status_Log!$D:$D,"Changed to the status of signed off")=0,"",_xlfn.MAXIFS(Status_Log!$E:$E,Status_Log!$A:$A,$A120,Status_Log!$B:$B,$B120,Status_Log!$C:$C,$C120,Status_Log!$D:$D,"Changed to the status of signed off")))</f>
        <v/>
      </c>
      <c r="J120" s="4" t="str">
        <f aca="false">IF($A120="","",COUNTIFS(Status_Log!$A:$A,$A120,Status_Log!$B:$B,$B120,Status_Log!$C:$C,$C120,Status_Log!$D:$D,"Changed to the status of Calculated"))</f>
        <v/>
      </c>
      <c r="K120" s="38" t="str">
        <f aca="false">IF($A120="","",IF(J120&lt;=1,0,ROUND((_xlfn.MAXIFS(Status_Log!$E:$E,Status_Log!$A:$A,$A120,Status_Log!$B:$B,$B120,Status_Log!$C:$C,$C120,Status_Log!$D:$D,"Changed to the status of Calculated")-F120)*1440,0)))</f>
        <v/>
      </c>
      <c r="L120" s="4" t="str">
        <f aca="false">IF($A120="","",IFERROR(INDEX(Status_Log!$F:$F,MATCH($A120&amp;"|"&amp;$B120&amp;"|"&amp;$C120&amp;"|Changed to the status of Calculated|"&amp;TEXT(_xlfn.MAXIFS(Status_Log!$E:$E,Status_Log!$A:$A,$A120,Status_Log!$B:$B,$B120,Status_Log!$C:$C,$C120,Status_Log!$D:$D,"Changed to the status of Calculated"),"0.000000"),Status_Log!$H:$H,0)),""))</f>
        <v/>
      </c>
      <c r="M120" s="4" t="str">
        <f aca="false">IF($A120="","",IF(E120="Client","n/a — no control step",IFERROR(INDEX(Status_Log!$F:$F,MATCH($A120&amp;"|"&amp;$B120&amp;"|"&amp;$C120&amp;"|Changed to the status of Controlled|"&amp;TEXT(_xlfn.MAXIFS(Status_Log!$E:$E,Status_Log!$A:$A,$A120,Status_Log!$B:$B,$B120,Status_Log!$C:$C,$C120,Status_Log!$D:$D,"Changed to the status of Controlled"),"0.000000"),Status_Log!$H:$H,0)),"")))</f>
        <v/>
      </c>
      <c r="N120" s="4" t="str">
        <f aca="false">IF($A120="","",IFERROR(VLOOKUP($C120,Dim_Fund!$A:$G,7,0),""))</f>
        <v/>
      </c>
      <c r="O120" s="4" t="str">
        <f aca="false">IF($A120="","",IF(L120=N120,"No","Yes"))</f>
        <v/>
      </c>
      <c r="P120" s="4" t="str">
        <f aca="false">IF($A120="","",IF(E120="Client","n/a",IF(L120=M120,"YES — four-eyes breach","No")))</f>
        <v/>
      </c>
      <c r="Q120" s="38" t="str">
        <f aca="false">IF($A120="","",IFERROR(VLOOKUP($C120,Dim_Fund!$A:$AB,28,0),""))</f>
        <v/>
      </c>
      <c r="R120" s="38" t="str">
        <f aca="false">IF($A120="","",IFERROR(VLOOKUP($C120,Dim_Fund!$A:$AC,29,0),""))</f>
        <v/>
      </c>
      <c r="S120" s="38" t="str">
        <f aca="false">IF($A120="","",IFERROR(VLOOKUP($C120,Dim_Fund!$A:$AD,30,0),""))</f>
        <v/>
      </c>
      <c r="T120" s="38" t="str">
        <f aca="false">IF($A120="","",IFERROR(VLOOKUP($C120,Dim_Fund!$A:$AL,38,0),""))</f>
        <v/>
      </c>
      <c r="U120" s="37" t="str">
        <f aca="false">IF($A120="","",IF(AL120="","",IFERROR(IF(COUNTIFS(Fact_Milestone!$A:$A,$B120,Fact_Milestone!$B:$B,AL120)=0,"",_xlfn.MAXIFS(Fact_Milestone!$C:$C,Fact_Milestone!$A:$A,$B120,Fact_Milestone!$B:$B,AL120)),"")))</f>
        <v/>
      </c>
      <c r="V120" s="37" t="str">
        <f aca="false">IF($A120="","",IFERROR(IF(VLOOKUP($C120,Dim_Fund!$A:$AI,35,0)&gt;0,$B120+VLOOKUP($C120,Dim_Fund!$A:$AI,35,0)/24,""),""))</f>
        <v/>
      </c>
      <c r="W120" s="37" t="str">
        <f aca="false">IF($A120="","",F120)</f>
        <v/>
      </c>
      <c r="X120" s="37" t="str">
        <f aca="false">IF($A120="","",IF(E120="Client",H120,G120))</f>
        <v/>
      </c>
      <c r="Y120" s="37" t="str">
        <f aca="false">IF($A120="","",I120)</f>
        <v/>
      </c>
      <c r="Z120" s="37" t="str">
        <f aca="false">IF($A120="","",IFERROR(W120-R120/1440,""))</f>
        <v/>
      </c>
      <c r="AA120" s="38" t="str">
        <f aca="false">IF($A120="","",IF(OR(U120="",V120=""),"",ROUND((V120-U120)*1440,0)))</f>
        <v/>
      </c>
      <c r="AB120" s="38" t="str">
        <f aca="false">IF($A120="","",IF(U120="","",ROUND((W120-U120)*1440,0)))</f>
        <v/>
      </c>
      <c r="AC120" s="38" t="str">
        <f aca="false">IF($A120="","",IF(AB120="","",MAX(0,AB120)))</f>
        <v/>
      </c>
      <c r="AD120" s="38" t="str">
        <f aca="false">IF($A120="","",IFERROR(ROUND((X120-W120)*1440,0),""))</f>
        <v/>
      </c>
      <c r="AE120" s="38" t="str">
        <f aca="false">IF($A120="","",IF(E120="Client","n/a",IFERROR(ROUND((H120-G120)*1440,0),"")))</f>
        <v/>
      </c>
      <c r="AF120" s="38" t="str">
        <f aca="false">IF($A120="","",IFERROR(ROUND((Y120-H120)*1440,0),""))</f>
        <v/>
      </c>
      <c r="AG120" s="38" t="str">
        <f aca="false">IF($A120="","",IFERROR(ROUND((H120-F120)*1440,0),""))</f>
        <v/>
      </c>
      <c r="AH120" s="38" t="str">
        <f aca="false">IF($A120="","",IFERROR(ROUND((Y120-V120)*1440,0),""))</f>
        <v/>
      </c>
      <c r="AI120" s="4" t="str">
        <f aca="false">IF($A120="","",IF(AH120="","",IF(AH120&gt;0,"Yes","No")))</f>
        <v/>
      </c>
      <c r="AJ120" s="4" t="str">
        <f aca="false">IF($A120="","",IF(AI120&lt;&gt;"Yes","On time",IF(N(AC120)&gt;=MAX(N(AF120),N(K120)),"Wait for analyst",IF(N(AF120)&gt;=N(K120),"External sign-off","Rework"))))</f>
        <v/>
      </c>
      <c r="AK120" s="4" t="str">
        <f aca="false">IF($A120="","",IF(OR(F120="",Y120="",ISNA(MATCH(L120,Dim_Analyst!$A:$A,0))),"CHECK","OK"))</f>
        <v/>
      </c>
      <c r="AL120" s="4" t="str">
        <f aca="false">IF($A120="","",IFERROR(VLOOKUP($C120,Dim_Fund!$A:$U,21,0),""))</f>
        <v/>
      </c>
      <c r="AM120" s="4" t="str">
        <f aca="false">IF($A120="","",IF($U120="","",IF($U120&gt;$B120+IFERROR(VLOOKUP($C120,Dim_Fund!$A:$AH,34,0),0)/24,"Yes","No")))</f>
        <v/>
      </c>
      <c r="AN120" s="22" t="str">
        <f aca="false">IF($A120="","",IFERROR(VLOOKUP($C120,Dim_Fund!$A:$AH,34,0),""))</f>
        <v/>
      </c>
      <c r="AO120" s="22" t="str">
        <f aca="false">IF($A120="","",IF($AL120="","",IFERROR(FLOOR(IF(COUNTIFS(Fact_Milestone!$A:$A,$B120,Fact_Milestone!$B:$B,$AL120,Fact_Milestone!$F:$F,"&gt;0")&gt;0,_xlfn.MINIFS(Fact_Milestone!$F:$F,Fact_Milestone!$A:$A,$B120,Fact_Milestone!$B:$B,$AL120,Fact_Milestone!$F:$F,"&gt;0"),VLOOKUP($AL120,Dim_TOP!$A:$E,5,0)),0.5),"")))</f>
        <v/>
      </c>
      <c r="AP120" s="22" t="str">
        <f aca="false">IF($A120="","",IF($U120="","",ROUND(($U120-INT($U120))*24,4)))</f>
        <v/>
      </c>
      <c r="AQ120" s="22" t="str">
        <f aca="false">IF($A120="","",IF($W120="","",ROUND(($W120-INT($W120))*24,4)))</f>
        <v/>
      </c>
      <c r="AR120" s="22" t="str">
        <f aca="false">IF($A120="","",IF($X120="","",ROUND(($X120-INT($X120))*24,4)))</f>
        <v/>
      </c>
      <c r="AS120" s="38" t="str">
        <f aca="false">IF($A120="","",IF(OR($AN120="",$V120="",$S120="",$T120=""),"",ROUND(($V120-($B120+$AN120/24))*1440-$S120-$T120,0)))</f>
        <v/>
      </c>
      <c r="AT120" s="38" t="str">
        <f aca="false">IF($A120="","",IF(OR($AN120="",$U120=""),"",ROUND(($U120-($B120+$AN120/24))*1440,0)))</f>
        <v/>
      </c>
      <c r="AU120" s="38" t="str">
        <f aca="false">IF($A120="","",IF(OR($AD120="",$S120=""),"",ROUND($AD120-$S120,0)))</f>
        <v/>
      </c>
      <c r="AV120" s="38" t="str">
        <f aca="false">IF($A120="","",N($AE120))</f>
        <v/>
      </c>
      <c r="AW120" s="38" t="str">
        <f aca="false">IF($A120="","",IF(OR($AF120="",$T120=""),"",$AF120-$T120))</f>
        <v/>
      </c>
      <c r="AX120" s="38" t="str">
        <f aca="false">IF($A120="","",IF(COUNT($AT120,$AB120,$AU120,$AW120,$AS120,$AH120)&lt;6,"",ROUND($AT120+$AB120+$AU120+$AV120+$AW120-$AS120-$AH120,0)))</f>
        <v/>
      </c>
      <c r="AY120" s="4" t="str">
        <f aca="false">IF($A120="","",IF($AX120="","No",IF(ABS($AX120)&lt;=2,"Yes","No")))</f>
        <v/>
      </c>
      <c r="AZ120" s="4" t="str">
        <f aca="false">IF($A120="","",IF($AI120&lt;&gt;"Yes","n/a",IF(OR($AA120="",$S120="",$T120=""),"Unknown",IF($AA120&lt;$S120+$T120,"Lost on arrival","Lost after arrival"))))</f>
        <v/>
      </c>
      <c r="BA120" s="10" t="str">
        <f aca="false">IF($A120="","",IFERROR(VLOOKUP($C120,Dim_Fund!$A:$D,4,0),""))</f>
        <v/>
      </c>
      <c r="BB120" s="10" t="str">
        <f aca="false">IF($A120="","",IF($AL120="","",IF(COUNTIFS(Fact_Milestone!$A:$A,$B120,Fact_Milestone!$B:$B,$AL120,Fact_Milestone!$I:$I,"No")&gt;0,"No",IF(COUNTIFS(Fact_Milestone!$A:$A,$B120,Fact_Milestone!$B:$B,$AL120,Fact_Milestone!$I:$I,"Yes")&gt;0,"Yes",""))))</f>
        <v/>
      </c>
      <c r="BC120" s="45" t="str">
        <f aca="false">IF($A120="","",IF(OR($L120="",$W120=""),"",IF(COUNTIFS($L:$L,$L120,$B:$B,$B120,$W:$W,"&lt;"&amp;$W120)=0,"",_xlfn.MAXIFS($W:$W,$L:$L,$L120,$B:$B,$B120,$W:$W,"&lt;"&amp;$W120))))</f>
        <v/>
      </c>
      <c r="BD120" s="39" t="str">
        <f aca="false">IF($A120="","",IF($AC120="","",IF(OR($L120="",$AC120=0),0,MIN($AC120,ROUND(ROUND(1440*SUMPRODUCT(($L$2:INDEX($L:$L,COUNTA($C:$C))=$L120)*($B$2:INDEX($B:$B,COUNTA($C:$C))=$B120)*(ROW($L$2:INDEX($L:$L,COUNTA($C:$C)))&lt;&gt;ROW())*((((($W120+$BT$2:INDEX($BT:$BT,COUNTA($C:$C))-ABS($W120-$BT$2:INDEX($BT:$BT,COUNTA($C:$C))))/2)-(($U120+$BS$2:INDEX($BS:$BS,COUNTA($C:$C))+ABS($U120-$BS$2:INDEX($BS:$BS,COUNTA($C:$C))))/2))+ABS(((($W120+$BT$2:INDEX($BT:$BT,COUNTA($C:$C))-ABS($W120-$BT$2:INDEX($BT:$BT,COUNTA($C:$C))))/2)-(($U120+$BS$2:INDEX($BS:$BS,COUNTA($C:$C))+ABS($U120-$BS$2:INDEX($BS:$BS,COUNTA($C:$C))))/2))))/2)),4),0)))))</f>
        <v/>
      </c>
      <c r="BE120" s="39" t="str">
        <f aca="false">IF($A120="","",IF($AC120="","",ROUND(MIN($AC120-$BD120,N($R120)),0)))</f>
        <v/>
      </c>
      <c r="BF120" s="10" t="str">
        <f aca="false">IF($A120="","",IFERROR(VLOOKUP($C120,Dim_Fund!$A:$BD,56,0),""))</f>
        <v/>
      </c>
      <c r="BG120" s="10" t="str">
        <f aca="false">IF($A120="","",IFERROR(VLOOKUP($C120,Dim_Fund!$A:$BH,60,0),""))</f>
        <v/>
      </c>
      <c r="BH120" s="10" t="str">
        <f aca="false">IF($A120="","",IF($AI120&lt;&gt;"Yes","Not breached",IF($AM120="Yes","Pricing late",IF($BG120="Thin custody slack","Thin custody slack",IF($BF120="Yes","Broker-dependent","None of these")))))</f>
        <v/>
      </c>
      <c r="BI120" s="23" t="str">
        <f aca="false">IF($A120="","",IFERROR(IF(VLOOKUP($C120,Dim_Fund!$A:$AI,35,0)&gt;0,VLOOKUP($C120,Dim_Fund!$A:$AI,35,0),""),""))</f>
        <v/>
      </c>
      <c r="BJ120" s="10" t="str">
        <f aca="false">IF($A120="","",$C120&amp;IF($E120="Client","*",""))</f>
        <v/>
      </c>
      <c r="BK120" s="39" t="str">
        <f aca="false">IF($A120="","",IFERROR(ROUND(($Y120-$X120)*1440,0),""))</f>
        <v/>
      </c>
      <c r="BL120" s="39" t="str">
        <f aca="false">IF($A120="","",IF($AH120="","",-$AH120))</f>
        <v/>
      </c>
      <c r="BM120" s="46" t="str">
        <f aca="false">IF($A120="","",IF($AQ120="","",IF($AP120="",$AQ120,MIN($AP120,$AQ120))))</f>
        <v/>
      </c>
      <c r="BN120" s="46" t="str">
        <f aca="false">IF($A120="","",IF($BM120="","",ROUND(N($AC120)/60,4)))</f>
        <v/>
      </c>
      <c r="BO120" s="46" t="str">
        <f aca="false">IF($A120="","",IF(OR($BM120="",$AD120=""),"",ROUND($AD120/60,4)))</f>
        <v/>
      </c>
      <c r="BP120" s="46" t="str">
        <f aca="false">IF($A120="","",IF($BM120="","",ROUND(N($AE120)/60,4)))</f>
        <v/>
      </c>
      <c r="BQ120" s="46" t="str">
        <f aca="false">IF($A120="","",IF(OR($BM120="",$AF120=""),"",ROUND($AF120/60,4)))</f>
        <v/>
      </c>
      <c r="BR120" s="39" t="str">
        <f aca="false">IF($A120="","",IF($AC120="","",$AC120-$BD120-$BE120))</f>
        <v/>
      </c>
      <c r="BS120" s="45" t="str">
        <f aca="false">IF($A120="","",IF(AND(ISNUMBER($Z120),ISNUMBER($W120)),$Z120,0))</f>
        <v/>
      </c>
      <c r="BT120" s="45" t="str">
        <f aca="false">IF($A120="","",IF(ISNUMBER($W120),$W120,0))</f>
        <v/>
      </c>
      <c r="BU120" s="23" t="str">
        <f aca="false">IF($A120="","",IF(ISNUMBER($W120),ROUND(($W120-$B120)*24,4),""))</f>
        <v/>
      </c>
      <c r="BV120" s="23" t="str">
        <f aca="false">IF($A120="","",IF(ISNUMBER($X120),ROUND(($X120-$B120)*24,4),""))</f>
        <v/>
      </c>
      <c r="BW120" s="10" t="str">
        <f aca="false">IF($A120="","",IF(NOT(ISNUMBER($W120)),"Missing Calculated",IF(NOT(ISNUMBER($X120)),IF($E120="Client","Missing FA signed off","Missing Controlled"),IF($X120&lt;$W120,"End before start","OK"))))</f>
        <v/>
      </c>
      <c r="BX120" s="23" t="str">
        <f aca="false">IF($A120="","",IF(NOT(ISNUMBER($Z120)),"",ROUND((IF(ISNUMBER($U120),MIN($U120,$Z120),$Z120)-$B120)*24,4)))</f>
        <v/>
      </c>
      <c r="BY120" s="23" t="str">
        <f aca="false">IF($A120="","",IF(ISNUMBER($Z120),ROUND(($Z120-$B120)*24,4),""))</f>
        <v/>
      </c>
      <c r="BZ120" s="23" t="str">
        <f aca="false">IF($A120="","",IF(AND(ISNUMBER($W120),ISNUMBER($S120)),ROUND(($W120+$S120/1440-$B120)*24,4),""))</f>
        <v/>
      </c>
    </row>
    <row r="121" customFormat="false" ht="15" hidden="false" customHeight="true" outlineLevel="0" collapsed="false">
      <c r="A121" s="47"/>
      <c r="B121" s="47"/>
      <c r="D121" s="4" t="str">
        <f aca="false">IF($A121="","",$B121-$A121)</f>
        <v/>
      </c>
      <c r="E121" s="4" t="str">
        <f aca="false">IF($A121="","",IFERROR(VLOOKUP($C121,Dim_Fund!$A:$X,24,0),""))</f>
        <v/>
      </c>
      <c r="F121" s="37" t="str">
        <f aca="false">IF($A121="","",IF(COUNTIFS(Status_Log!$A:$A,$A121,Status_Log!$B:$B,$B121,Status_Log!$C:$C,$C121,Status_Log!$D:$D,"Changed to the status of Calculated")=0,"",_xlfn.MINIFS(Status_Log!$E:$E,Status_Log!$A:$A,$A121,Status_Log!$B:$B,$B121,Status_Log!$C:$C,$C121,Status_Log!$D:$D,"Changed to the status of Calculated")))</f>
        <v/>
      </c>
      <c r="G121" s="37" t="str">
        <f aca="false">IF($A121="","",IF(COUNTIFS(Status_Log!$A:$A,$A121,Status_Log!$B:$B,$B121,Status_Log!$C:$C,$C121,Status_Log!$D:$D,"Changed to the status of Controlled")=0,"",_xlfn.MAXIFS(Status_Log!$E:$E,Status_Log!$A:$A,$A121,Status_Log!$B:$B,$B121,Status_Log!$C:$C,$C121,Status_Log!$D:$D,"Changed to the status of Controlled")))</f>
        <v/>
      </c>
      <c r="H121" s="37" t="str">
        <f aca="false">IF($A121="","",IF(COUNTIFS(Status_Log!$A:$A,$A121,Status_Log!$B:$B,$B121,Status_Log!$C:$C,$C121,Status_Log!$D:$D,"Changed to the status of Fund accounting signed off")=0,"",_xlfn.MAXIFS(Status_Log!$E:$E,Status_Log!$A:$A,$A121,Status_Log!$B:$B,$B121,Status_Log!$C:$C,$C121,Status_Log!$D:$D,"Changed to the status of Fund accounting signed off")))</f>
        <v/>
      </c>
      <c r="I121" s="37" t="str">
        <f aca="false">IF($A121="","",IF(COUNTIFS(Status_Log!$A:$A,$A121,Status_Log!$B:$B,$B121,Status_Log!$C:$C,$C121,Status_Log!$D:$D,"Changed to the status of signed off")=0,"",_xlfn.MAXIFS(Status_Log!$E:$E,Status_Log!$A:$A,$A121,Status_Log!$B:$B,$B121,Status_Log!$C:$C,$C121,Status_Log!$D:$D,"Changed to the status of signed off")))</f>
        <v/>
      </c>
      <c r="J121" s="4" t="str">
        <f aca="false">IF($A121="","",COUNTIFS(Status_Log!$A:$A,$A121,Status_Log!$B:$B,$B121,Status_Log!$C:$C,$C121,Status_Log!$D:$D,"Changed to the status of Calculated"))</f>
        <v/>
      </c>
      <c r="K121" s="38" t="str">
        <f aca="false">IF($A121="","",IF(J121&lt;=1,0,ROUND((_xlfn.MAXIFS(Status_Log!$E:$E,Status_Log!$A:$A,$A121,Status_Log!$B:$B,$B121,Status_Log!$C:$C,$C121,Status_Log!$D:$D,"Changed to the status of Calculated")-F121)*1440,0)))</f>
        <v/>
      </c>
      <c r="L121" s="4" t="str">
        <f aca="false">IF($A121="","",IFERROR(INDEX(Status_Log!$F:$F,MATCH($A121&amp;"|"&amp;$B121&amp;"|"&amp;$C121&amp;"|Changed to the status of Calculated|"&amp;TEXT(_xlfn.MAXIFS(Status_Log!$E:$E,Status_Log!$A:$A,$A121,Status_Log!$B:$B,$B121,Status_Log!$C:$C,$C121,Status_Log!$D:$D,"Changed to the status of Calculated"),"0.000000"),Status_Log!$H:$H,0)),""))</f>
        <v/>
      </c>
      <c r="M121" s="4" t="str">
        <f aca="false">IF($A121="","",IF(E121="Client","n/a — no control step",IFERROR(INDEX(Status_Log!$F:$F,MATCH($A121&amp;"|"&amp;$B121&amp;"|"&amp;$C121&amp;"|Changed to the status of Controlled|"&amp;TEXT(_xlfn.MAXIFS(Status_Log!$E:$E,Status_Log!$A:$A,$A121,Status_Log!$B:$B,$B121,Status_Log!$C:$C,$C121,Status_Log!$D:$D,"Changed to the status of Controlled"),"0.000000"),Status_Log!$H:$H,0)),"")))</f>
        <v/>
      </c>
      <c r="N121" s="4" t="str">
        <f aca="false">IF($A121="","",IFERROR(VLOOKUP($C121,Dim_Fund!$A:$G,7,0),""))</f>
        <v/>
      </c>
      <c r="O121" s="4" t="str">
        <f aca="false">IF($A121="","",IF(L121=N121,"No","Yes"))</f>
        <v/>
      </c>
      <c r="P121" s="4" t="str">
        <f aca="false">IF($A121="","",IF(E121="Client","n/a",IF(L121=M121,"YES — four-eyes breach","No")))</f>
        <v/>
      </c>
      <c r="Q121" s="38" t="str">
        <f aca="false">IF($A121="","",IFERROR(VLOOKUP($C121,Dim_Fund!$A:$AB,28,0),""))</f>
        <v/>
      </c>
      <c r="R121" s="38" t="str">
        <f aca="false">IF($A121="","",IFERROR(VLOOKUP($C121,Dim_Fund!$A:$AC,29,0),""))</f>
        <v/>
      </c>
      <c r="S121" s="38" t="str">
        <f aca="false">IF($A121="","",IFERROR(VLOOKUP($C121,Dim_Fund!$A:$AD,30,0),""))</f>
        <v/>
      </c>
      <c r="T121" s="38" t="str">
        <f aca="false">IF($A121="","",IFERROR(VLOOKUP($C121,Dim_Fund!$A:$AL,38,0),""))</f>
        <v/>
      </c>
      <c r="U121" s="37" t="str">
        <f aca="false">IF($A121="","",IF(AL121="","",IFERROR(IF(COUNTIFS(Fact_Milestone!$A:$A,$B121,Fact_Milestone!$B:$B,AL121)=0,"",_xlfn.MAXIFS(Fact_Milestone!$C:$C,Fact_Milestone!$A:$A,$B121,Fact_Milestone!$B:$B,AL121)),"")))</f>
        <v/>
      </c>
      <c r="V121" s="37" t="str">
        <f aca="false">IF($A121="","",IFERROR(IF(VLOOKUP($C121,Dim_Fund!$A:$AI,35,0)&gt;0,$B121+VLOOKUP($C121,Dim_Fund!$A:$AI,35,0)/24,""),""))</f>
        <v/>
      </c>
      <c r="W121" s="37" t="str">
        <f aca="false">IF($A121="","",F121)</f>
        <v/>
      </c>
      <c r="X121" s="37" t="str">
        <f aca="false">IF($A121="","",IF(E121="Client",H121,G121))</f>
        <v/>
      </c>
      <c r="Y121" s="37" t="str">
        <f aca="false">IF($A121="","",I121)</f>
        <v/>
      </c>
      <c r="Z121" s="37" t="str">
        <f aca="false">IF($A121="","",IFERROR(W121-R121/1440,""))</f>
        <v/>
      </c>
      <c r="AA121" s="38" t="str">
        <f aca="false">IF($A121="","",IF(OR(U121="",V121=""),"",ROUND((V121-U121)*1440,0)))</f>
        <v/>
      </c>
      <c r="AB121" s="38" t="str">
        <f aca="false">IF($A121="","",IF(U121="","",ROUND((W121-U121)*1440,0)))</f>
        <v/>
      </c>
      <c r="AC121" s="38" t="str">
        <f aca="false">IF($A121="","",IF(AB121="","",MAX(0,AB121)))</f>
        <v/>
      </c>
      <c r="AD121" s="38" t="str">
        <f aca="false">IF($A121="","",IFERROR(ROUND((X121-W121)*1440,0),""))</f>
        <v/>
      </c>
      <c r="AE121" s="38" t="str">
        <f aca="false">IF($A121="","",IF(E121="Client","n/a",IFERROR(ROUND((H121-G121)*1440,0),"")))</f>
        <v/>
      </c>
      <c r="AF121" s="38" t="str">
        <f aca="false">IF($A121="","",IFERROR(ROUND((Y121-H121)*1440,0),""))</f>
        <v/>
      </c>
      <c r="AG121" s="38" t="str">
        <f aca="false">IF($A121="","",IFERROR(ROUND((H121-F121)*1440,0),""))</f>
        <v/>
      </c>
      <c r="AH121" s="38" t="str">
        <f aca="false">IF($A121="","",IFERROR(ROUND((Y121-V121)*1440,0),""))</f>
        <v/>
      </c>
      <c r="AI121" s="4" t="str">
        <f aca="false">IF($A121="","",IF(AH121="","",IF(AH121&gt;0,"Yes","No")))</f>
        <v/>
      </c>
      <c r="AJ121" s="4" t="str">
        <f aca="false">IF($A121="","",IF(AI121&lt;&gt;"Yes","On time",IF(N(AC121)&gt;=MAX(N(AF121),N(K121)),"Wait for analyst",IF(N(AF121)&gt;=N(K121),"External sign-off","Rework"))))</f>
        <v/>
      </c>
      <c r="AK121" s="4" t="str">
        <f aca="false">IF($A121="","",IF(OR(F121="",Y121="",ISNA(MATCH(L121,Dim_Analyst!$A:$A,0))),"CHECK","OK"))</f>
        <v/>
      </c>
      <c r="AL121" s="4" t="str">
        <f aca="false">IF($A121="","",IFERROR(VLOOKUP($C121,Dim_Fund!$A:$U,21,0),""))</f>
        <v/>
      </c>
      <c r="AM121" s="4" t="str">
        <f aca="false">IF($A121="","",IF($U121="","",IF($U121&gt;$B121+IFERROR(VLOOKUP($C121,Dim_Fund!$A:$AH,34,0),0)/24,"Yes","No")))</f>
        <v/>
      </c>
      <c r="AN121" s="22" t="str">
        <f aca="false">IF($A121="","",IFERROR(VLOOKUP($C121,Dim_Fund!$A:$AH,34,0),""))</f>
        <v/>
      </c>
      <c r="AO121" s="22" t="str">
        <f aca="false">IF($A121="","",IF($AL121="","",IFERROR(FLOOR(IF(COUNTIFS(Fact_Milestone!$A:$A,$B121,Fact_Milestone!$B:$B,$AL121,Fact_Milestone!$F:$F,"&gt;0")&gt;0,_xlfn.MINIFS(Fact_Milestone!$F:$F,Fact_Milestone!$A:$A,$B121,Fact_Milestone!$B:$B,$AL121,Fact_Milestone!$F:$F,"&gt;0"),VLOOKUP($AL121,Dim_TOP!$A:$E,5,0)),0.5),"")))</f>
        <v/>
      </c>
      <c r="AP121" s="22" t="str">
        <f aca="false">IF($A121="","",IF($U121="","",ROUND(($U121-INT($U121))*24,4)))</f>
        <v/>
      </c>
      <c r="AQ121" s="22" t="str">
        <f aca="false">IF($A121="","",IF($W121="","",ROUND(($W121-INT($W121))*24,4)))</f>
        <v/>
      </c>
      <c r="AR121" s="22" t="str">
        <f aca="false">IF($A121="","",IF($X121="","",ROUND(($X121-INT($X121))*24,4)))</f>
        <v/>
      </c>
      <c r="AS121" s="38" t="str">
        <f aca="false">IF($A121="","",IF(OR($AN121="",$V121="",$S121="",$T121=""),"",ROUND(($V121-($B121+$AN121/24))*1440-$S121-$T121,0)))</f>
        <v/>
      </c>
      <c r="AT121" s="38" t="str">
        <f aca="false">IF($A121="","",IF(OR($AN121="",$U121=""),"",ROUND(($U121-($B121+$AN121/24))*1440,0)))</f>
        <v/>
      </c>
      <c r="AU121" s="38" t="str">
        <f aca="false">IF($A121="","",IF(OR($AD121="",$S121=""),"",ROUND($AD121-$S121,0)))</f>
        <v/>
      </c>
      <c r="AV121" s="38" t="str">
        <f aca="false">IF($A121="","",N($AE121))</f>
        <v/>
      </c>
      <c r="AW121" s="38" t="str">
        <f aca="false">IF($A121="","",IF(OR($AF121="",$T121=""),"",$AF121-$T121))</f>
        <v/>
      </c>
      <c r="AX121" s="38" t="str">
        <f aca="false">IF($A121="","",IF(COUNT($AT121,$AB121,$AU121,$AW121,$AS121,$AH121)&lt;6,"",ROUND($AT121+$AB121+$AU121+$AV121+$AW121-$AS121-$AH121,0)))</f>
        <v/>
      </c>
      <c r="AY121" s="4" t="str">
        <f aca="false">IF($A121="","",IF($AX121="","No",IF(ABS($AX121)&lt;=2,"Yes","No")))</f>
        <v/>
      </c>
      <c r="AZ121" s="4" t="str">
        <f aca="false">IF($A121="","",IF($AI121&lt;&gt;"Yes","n/a",IF(OR($AA121="",$S121="",$T121=""),"Unknown",IF($AA121&lt;$S121+$T121,"Lost on arrival","Lost after arrival"))))</f>
        <v/>
      </c>
      <c r="BA121" s="10" t="str">
        <f aca="false">IF($A121="","",IFERROR(VLOOKUP($C121,Dim_Fund!$A:$D,4,0),""))</f>
        <v/>
      </c>
      <c r="BB121" s="10" t="str">
        <f aca="false">IF($A121="","",IF($AL121="","",IF(COUNTIFS(Fact_Milestone!$A:$A,$B121,Fact_Milestone!$B:$B,$AL121,Fact_Milestone!$I:$I,"No")&gt;0,"No",IF(COUNTIFS(Fact_Milestone!$A:$A,$B121,Fact_Milestone!$B:$B,$AL121,Fact_Milestone!$I:$I,"Yes")&gt;0,"Yes",""))))</f>
        <v/>
      </c>
      <c r="BC121" s="45" t="str">
        <f aca="false">IF($A121="","",IF(OR($L121="",$W121=""),"",IF(COUNTIFS($L:$L,$L121,$B:$B,$B121,$W:$W,"&lt;"&amp;$W121)=0,"",_xlfn.MAXIFS($W:$W,$L:$L,$L121,$B:$B,$B121,$W:$W,"&lt;"&amp;$W121))))</f>
        <v/>
      </c>
      <c r="BD121" s="39" t="str">
        <f aca="false">IF($A121="","",IF($AC121="","",IF(OR($L121="",$AC121=0),0,MIN($AC121,ROUND(ROUND(1440*SUMPRODUCT(($L$2:INDEX($L:$L,COUNTA($C:$C))=$L121)*($B$2:INDEX($B:$B,COUNTA($C:$C))=$B121)*(ROW($L$2:INDEX($L:$L,COUNTA($C:$C)))&lt;&gt;ROW())*((((($W121+$BT$2:INDEX($BT:$BT,COUNTA($C:$C))-ABS($W121-$BT$2:INDEX($BT:$BT,COUNTA($C:$C))))/2)-(($U121+$BS$2:INDEX($BS:$BS,COUNTA($C:$C))+ABS($U121-$BS$2:INDEX($BS:$BS,COUNTA($C:$C))))/2))+ABS(((($W121+$BT$2:INDEX($BT:$BT,COUNTA($C:$C))-ABS($W121-$BT$2:INDEX($BT:$BT,COUNTA($C:$C))))/2)-(($U121+$BS$2:INDEX($BS:$BS,COUNTA($C:$C))+ABS($U121-$BS$2:INDEX($BS:$BS,COUNTA($C:$C))))/2))))/2)),4),0)))))</f>
        <v/>
      </c>
      <c r="BE121" s="39" t="str">
        <f aca="false">IF($A121="","",IF($AC121="","",ROUND(MIN($AC121-$BD121,N($R121)),0)))</f>
        <v/>
      </c>
      <c r="BF121" s="10" t="str">
        <f aca="false">IF($A121="","",IFERROR(VLOOKUP($C121,Dim_Fund!$A:$BD,56,0),""))</f>
        <v/>
      </c>
      <c r="BG121" s="10" t="str">
        <f aca="false">IF($A121="","",IFERROR(VLOOKUP($C121,Dim_Fund!$A:$BH,60,0),""))</f>
        <v/>
      </c>
      <c r="BH121" s="10" t="str">
        <f aca="false">IF($A121="","",IF($AI121&lt;&gt;"Yes","Not breached",IF($AM121="Yes","Pricing late",IF($BG121="Thin custody slack","Thin custody slack",IF($BF121="Yes","Broker-dependent","None of these")))))</f>
        <v/>
      </c>
      <c r="BI121" s="23" t="str">
        <f aca="false">IF($A121="","",IFERROR(IF(VLOOKUP($C121,Dim_Fund!$A:$AI,35,0)&gt;0,VLOOKUP($C121,Dim_Fund!$A:$AI,35,0),""),""))</f>
        <v/>
      </c>
      <c r="BJ121" s="10" t="str">
        <f aca="false">IF($A121="","",$C121&amp;IF($E121="Client","*",""))</f>
        <v/>
      </c>
      <c r="BK121" s="39" t="str">
        <f aca="false">IF($A121="","",IFERROR(ROUND(($Y121-$X121)*1440,0),""))</f>
        <v/>
      </c>
      <c r="BL121" s="39" t="str">
        <f aca="false">IF($A121="","",IF($AH121="","",-$AH121))</f>
        <v/>
      </c>
      <c r="BM121" s="46" t="str">
        <f aca="false">IF($A121="","",IF($AQ121="","",IF($AP121="",$AQ121,MIN($AP121,$AQ121))))</f>
        <v/>
      </c>
      <c r="BN121" s="46" t="str">
        <f aca="false">IF($A121="","",IF($BM121="","",ROUND(N($AC121)/60,4)))</f>
        <v/>
      </c>
      <c r="BO121" s="46" t="str">
        <f aca="false">IF($A121="","",IF(OR($BM121="",$AD121=""),"",ROUND($AD121/60,4)))</f>
        <v/>
      </c>
      <c r="BP121" s="46" t="str">
        <f aca="false">IF($A121="","",IF($BM121="","",ROUND(N($AE121)/60,4)))</f>
        <v/>
      </c>
      <c r="BQ121" s="46" t="str">
        <f aca="false">IF($A121="","",IF(OR($BM121="",$AF121=""),"",ROUND($AF121/60,4)))</f>
        <v/>
      </c>
      <c r="BR121" s="39" t="str">
        <f aca="false">IF($A121="","",IF($AC121="","",$AC121-$BD121-$BE121))</f>
        <v/>
      </c>
      <c r="BS121" s="45" t="str">
        <f aca="false">IF($A121="","",IF(AND(ISNUMBER($Z121),ISNUMBER($W121)),$Z121,0))</f>
        <v/>
      </c>
      <c r="BT121" s="45" t="str">
        <f aca="false">IF($A121="","",IF(ISNUMBER($W121),$W121,0))</f>
        <v/>
      </c>
      <c r="BU121" s="23" t="str">
        <f aca="false">IF($A121="","",IF(ISNUMBER($W121),ROUND(($W121-$B121)*24,4),""))</f>
        <v/>
      </c>
      <c r="BV121" s="23" t="str">
        <f aca="false">IF($A121="","",IF(ISNUMBER($X121),ROUND(($X121-$B121)*24,4),""))</f>
        <v/>
      </c>
      <c r="BW121" s="10" t="str">
        <f aca="false">IF($A121="","",IF(NOT(ISNUMBER($W121)),"Missing Calculated",IF(NOT(ISNUMBER($X121)),IF($E121="Client","Missing FA signed off","Missing Controlled"),IF($X121&lt;$W121,"End before start","OK"))))</f>
        <v/>
      </c>
      <c r="BX121" s="23" t="str">
        <f aca="false">IF($A121="","",IF(NOT(ISNUMBER($Z121)),"",ROUND((IF(ISNUMBER($U121),MIN($U121,$Z121),$Z121)-$B121)*24,4)))</f>
        <v/>
      </c>
      <c r="BY121" s="23" t="str">
        <f aca="false">IF($A121="","",IF(ISNUMBER($Z121),ROUND(($Z121-$B121)*24,4),""))</f>
        <v/>
      </c>
      <c r="BZ121" s="23" t="str">
        <f aca="false">IF($A121="","",IF(AND(ISNUMBER($W121),ISNUMBER($S121)),ROUND(($W121+$S121/1440-$B121)*24,4),""))</f>
        <v/>
      </c>
    </row>
    <row r="122" customFormat="false" ht="15" hidden="false" customHeight="true" outlineLevel="0" collapsed="false">
      <c r="A122" s="47"/>
      <c r="B122" s="47"/>
      <c r="D122" s="4" t="str">
        <f aca="false">IF($A122="","",$B122-$A122)</f>
        <v/>
      </c>
      <c r="E122" s="4" t="str">
        <f aca="false">IF($A122="","",IFERROR(VLOOKUP($C122,Dim_Fund!$A:$X,24,0),""))</f>
        <v/>
      </c>
      <c r="F122" s="37" t="str">
        <f aca="false">IF($A122="","",IF(COUNTIFS(Status_Log!$A:$A,$A122,Status_Log!$B:$B,$B122,Status_Log!$C:$C,$C122,Status_Log!$D:$D,"Changed to the status of Calculated")=0,"",_xlfn.MINIFS(Status_Log!$E:$E,Status_Log!$A:$A,$A122,Status_Log!$B:$B,$B122,Status_Log!$C:$C,$C122,Status_Log!$D:$D,"Changed to the status of Calculated")))</f>
        <v/>
      </c>
      <c r="G122" s="37" t="str">
        <f aca="false">IF($A122="","",IF(COUNTIFS(Status_Log!$A:$A,$A122,Status_Log!$B:$B,$B122,Status_Log!$C:$C,$C122,Status_Log!$D:$D,"Changed to the status of Controlled")=0,"",_xlfn.MAXIFS(Status_Log!$E:$E,Status_Log!$A:$A,$A122,Status_Log!$B:$B,$B122,Status_Log!$C:$C,$C122,Status_Log!$D:$D,"Changed to the status of Controlled")))</f>
        <v/>
      </c>
      <c r="H122" s="37" t="str">
        <f aca="false">IF($A122="","",IF(COUNTIFS(Status_Log!$A:$A,$A122,Status_Log!$B:$B,$B122,Status_Log!$C:$C,$C122,Status_Log!$D:$D,"Changed to the status of Fund accounting signed off")=0,"",_xlfn.MAXIFS(Status_Log!$E:$E,Status_Log!$A:$A,$A122,Status_Log!$B:$B,$B122,Status_Log!$C:$C,$C122,Status_Log!$D:$D,"Changed to the status of Fund accounting signed off")))</f>
        <v/>
      </c>
      <c r="I122" s="37" t="str">
        <f aca="false">IF($A122="","",IF(COUNTIFS(Status_Log!$A:$A,$A122,Status_Log!$B:$B,$B122,Status_Log!$C:$C,$C122,Status_Log!$D:$D,"Changed to the status of signed off")=0,"",_xlfn.MAXIFS(Status_Log!$E:$E,Status_Log!$A:$A,$A122,Status_Log!$B:$B,$B122,Status_Log!$C:$C,$C122,Status_Log!$D:$D,"Changed to the status of signed off")))</f>
        <v/>
      </c>
      <c r="J122" s="4" t="str">
        <f aca="false">IF($A122="","",COUNTIFS(Status_Log!$A:$A,$A122,Status_Log!$B:$B,$B122,Status_Log!$C:$C,$C122,Status_Log!$D:$D,"Changed to the status of Calculated"))</f>
        <v/>
      </c>
      <c r="K122" s="38" t="str">
        <f aca="false">IF($A122="","",IF(J122&lt;=1,0,ROUND((_xlfn.MAXIFS(Status_Log!$E:$E,Status_Log!$A:$A,$A122,Status_Log!$B:$B,$B122,Status_Log!$C:$C,$C122,Status_Log!$D:$D,"Changed to the status of Calculated")-F122)*1440,0)))</f>
        <v/>
      </c>
      <c r="L122" s="4" t="str">
        <f aca="false">IF($A122="","",IFERROR(INDEX(Status_Log!$F:$F,MATCH($A122&amp;"|"&amp;$B122&amp;"|"&amp;$C122&amp;"|Changed to the status of Calculated|"&amp;TEXT(_xlfn.MAXIFS(Status_Log!$E:$E,Status_Log!$A:$A,$A122,Status_Log!$B:$B,$B122,Status_Log!$C:$C,$C122,Status_Log!$D:$D,"Changed to the status of Calculated"),"0.000000"),Status_Log!$H:$H,0)),""))</f>
        <v/>
      </c>
      <c r="M122" s="4" t="str">
        <f aca="false">IF($A122="","",IF(E122="Client","n/a — no control step",IFERROR(INDEX(Status_Log!$F:$F,MATCH($A122&amp;"|"&amp;$B122&amp;"|"&amp;$C122&amp;"|Changed to the status of Controlled|"&amp;TEXT(_xlfn.MAXIFS(Status_Log!$E:$E,Status_Log!$A:$A,$A122,Status_Log!$B:$B,$B122,Status_Log!$C:$C,$C122,Status_Log!$D:$D,"Changed to the status of Controlled"),"0.000000"),Status_Log!$H:$H,0)),"")))</f>
        <v/>
      </c>
      <c r="N122" s="4" t="str">
        <f aca="false">IF($A122="","",IFERROR(VLOOKUP($C122,Dim_Fund!$A:$G,7,0),""))</f>
        <v/>
      </c>
      <c r="O122" s="4" t="str">
        <f aca="false">IF($A122="","",IF(L122=N122,"No","Yes"))</f>
        <v/>
      </c>
      <c r="P122" s="4" t="str">
        <f aca="false">IF($A122="","",IF(E122="Client","n/a",IF(L122=M122,"YES — four-eyes breach","No")))</f>
        <v/>
      </c>
      <c r="Q122" s="38" t="str">
        <f aca="false">IF($A122="","",IFERROR(VLOOKUP($C122,Dim_Fund!$A:$AB,28,0),""))</f>
        <v/>
      </c>
      <c r="R122" s="38" t="str">
        <f aca="false">IF($A122="","",IFERROR(VLOOKUP($C122,Dim_Fund!$A:$AC,29,0),""))</f>
        <v/>
      </c>
      <c r="S122" s="38" t="str">
        <f aca="false">IF($A122="","",IFERROR(VLOOKUP($C122,Dim_Fund!$A:$AD,30,0),""))</f>
        <v/>
      </c>
      <c r="T122" s="38" t="str">
        <f aca="false">IF($A122="","",IFERROR(VLOOKUP($C122,Dim_Fund!$A:$AL,38,0),""))</f>
        <v/>
      </c>
      <c r="U122" s="37" t="str">
        <f aca="false">IF($A122="","",IF(AL122="","",IFERROR(IF(COUNTIFS(Fact_Milestone!$A:$A,$B122,Fact_Milestone!$B:$B,AL122)=0,"",_xlfn.MAXIFS(Fact_Milestone!$C:$C,Fact_Milestone!$A:$A,$B122,Fact_Milestone!$B:$B,AL122)),"")))</f>
        <v/>
      </c>
      <c r="V122" s="37" t="str">
        <f aca="false">IF($A122="","",IFERROR(IF(VLOOKUP($C122,Dim_Fund!$A:$AI,35,0)&gt;0,$B122+VLOOKUP($C122,Dim_Fund!$A:$AI,35,0)/24,""),""))</f>
        <v/>
      </c>
      <c r="W122" s="37" t="str">
        <f aca="false">IF($A122="","",F122)</f>
        <v/>
      </c>
      <c r="X122" s="37" t="str">
        <f aca="false">IF($A122="","",IF(E122="Client",H122,G122))</f>
        <v/>
      </c>
      <c r="Y122" s="37" t="str">
        <f aca="false">IF($A122="","",I122)</f>
        <v/>
      </c>
      <c r="Z122" s="37" t="str">
        <f aca="false">IF($A122="","",IFERROR(W122-R122/1440,""))</f>
        <v/>
      </c>
      <c r="AA122" s="38" t="str">
        <f aca="false">IF($A122="","",IF(OR(U122="",V122=""),"",ROUND((V122-U122)*1440,0)))</f>
        <v/>
      </c>
      <c r="AB122" s="38" t="str">
        <f aca="false">IF($A122="","",IF(U122="","",ROUND((W122-U122)*1440,0)))</f>
        <v/>
      </c>
      <c r="AC122" s="38" t="str">
        <f aca="false">IF($A122="","",IF(AB122="","",MAX(0,AB122)))</f>
        <v/>
      </c>
      <c r="AD122" s="38" t="str">
        <f aca="false">IF($A122="","",IFERROR(ROUND((X122-W122)*1440,0),""))</f>
        <v/>
      </c>
      <c r="AE122" s="38" t="str">
        <f aca="false">IF($A122="","",IF(E122="Client","n/a",IFERROR(ROUND((H122-G122)*1440,0),"")))</f>
        <v/>
      </c>
      <c r="AF122" s="38" t="str">
        <f aca="false">IF($A122="","",IFERROR(ROUND((Y122-H122)*1440,0),""))</f>
        <v/>
      </c>
      <c r="AG122" s="38" t="str">
        <f aca="false">IF($A122="","",IFERROR(ROUND((H122-F122)*1440,0),""))</f>
        <v/>
      </c>
      <c r="AH122" s="38" t="str">
        <f aca="false">IF($A122="","",IFERROR(ROUND((Y122-V122)*1440,0),""))</f>
        <v/>
      </c>
      <c r="AI122" s="4" t="str">
        <f aca="false">IF($A122="","",IF(AH122="","",IF(AH122&gt;0,"Yes","No")))</f>
        <v/>
      </c>
      <c r="AJ122" s="4" t="str">
        <f aca="false">IF($A122="","",IF(AI122&lt;&gt;"Yes","On time",IF(N(AC122)&gt;=MAX(N(AF122),N(K122)),"Wait for analyst",IF(N(AF122)&gt;=N(K122),"External sign-off","Rework"))))</f>
        <v/>
      </c>
      <c r="AK122" s="4" t="str">
        <f aca="false">IF($A122="","",IF(OR(F122="",Y122="",ISNA(MATCH(L122,Dim_Analyst!$A:$A,0))),"CHECK","OK"))</f>
        <v/>
      </c>
      <c r="AL122" s="4" t="str">
        <f aca="false">IF($A122="","",IFERROR(VLOOKUP($C122,Dim_Fund!$A:$U,21,0),""))</f>
        <v/>
      </c>
      <c r="AM122" s="4" t="str">
        <f aca="false">IF($A122="","",IF($U122="","",IF($U122&gt;$B122+IFERROR(VLOOKUP($C122,Dim_Fund!$A:$AH,34,0),0)/24,"Yes","No")))</f>
        <v/>
      </c>
      <c r="AN122" s="22" t="str">
        <f aca="false">IF($A122="","",IFERROR(VLOOKUP($C122,Dim_Fund!$A:$AH,34,0),""))</f>
        <v/>
      </c>
      <c r="AO122" s="22" t="str">
        <f aca="false">IF($A122="","",IF($AL122="","",IFERROR(FLOOR(IF(COUNTIFS(Fact_Milestone!$A:$A,$B122,Fact_Milestone!$B:$B,$AL122,Fact_Milestone!$F:$F,"&gt;0")&gt;0,_xlfn.MINIFS(Fact_Milestone!$F:$F,Fact_Milestone!$A:$A,$B122,Fact_Milestone!$B:$B,$AL122,Fact_Milestone!$F:$F,"&gt;0"),VLOOKUP($AL122,Dim_TOP!$A:$E,5,0)),0.5),"")))</f>
        <v/>
      </c>
      <c r="AP122" s="22" t="str">
        <f aca="false">IF($A122="","",IF($U122="","",ROUND(($U122-INT($U122))*24,4)))</f>
        <v/>
      </c>
      <c r="AQ122" s="22" t="str">
        <f aca="false">IF($A122="","",IF($W122="","",ROUND(($W122-INT($W122))*24,4)))</f>
        <v/>
      </c>
      <c r="AR122" s="22" t="str">
        <f aca="false">IF($A122="","",IF($X122="","",ROUND(($X122-INT($X122))*24,4)))</f>
        <v/>
      </c>
      <c r="AS122" s="38" t="str">
        <f aca="false">IF($A122="","",IF(OR($AN122="",$V122="",$S122="",$T122=""),"",ROUND(($V122-($B122+$AN122/24))*1440-$S122-$T122,0)))</f>
        <v/>
      </c>
      <c r="AT122" s="38" t="str">
        <f aca="false">IF($A122="","",IF(OR($AN122="",$U122=""),"",ROUND(($U122-($B122+$AN122/24))*1440,0)))</f>
        <v/>
      </c>
      <c r="AU122" s="38" t="str">
        <f aca="false">IF($A122="","",IF(OR($AD122="",$S122=""),"",ROUND($AD122-$S122,0)))</f>
        <v/>
      </c>
      <c r="AV122" s="38" t="str">
        <f aca="false">IF($A122="","",N($AE122))</f>
        <v/>
      </c>
      <c r="AW122" s="38" t="str">
        <f aca="false">IF($A122="","",IF(OR($AF122="",$T122=""),"",$AF122-$T122))</f>
        <v/>
      </c>
      <c r="AX122" s="38" t="str">
        <f aca="false">IF($A122="","",IF(COUNT($AT122,$AB122,$AU122,$AW122,$AS122,$AH122)&lt;6,"",ROUND($AT122+$AB122+$AU122+$AV122+$AW122-$AS122-$AH122,0)))</f>
        <v/>
      </c>
      <c r="AY122" s="4" t="str">
        <f aca="false">IF($A122="","",IF($AX122="","No",IF(ABS($AX122)&lt;=2,"Yes","No")))</f>
        <v/>
      </c>
      <c r="AZ122" s="4" t="str">
        <f aca="false">IF($A122="","",IF($AI122&lt;&gt;"Yes","n/a",IF(OR($AA122="",$S122="",$T122=""),"Unknown",IF($AA122&lt;$S122+$T122,"Lost on arrival","Lost after arrival"))))</f>
        <v/>
      </c>
      <c r="BA122" s="10" t="str">
        <f aca="false">IF($A122="","",IFERROR(VLOOKUP($C122,Dim_Fund!$A:$D,4,0),""))</f>
        <v/>
      </c>
      <c r="BB122" s="10" t="str">
        <f aca="false">IF($A122="","",IF($AL122="","",IF(COUNTIFS(Fact_Milestone!$A:$A,$B122,Fact_Milestone!$B:$B,$AL122,Fact_Milestone!$I:$I,"No")&gt;0,"No",IF(COUNTIFS(Fact_Milestone!$A:$A,$B122,Fact_Milestone!$B:$B,$AL122,Fact_Milestone!$I:$I,"Yes")&gt;0,"Yes",""))))</f>
        <v/>
      </c>
      <c r="BC122" s="45" t="str">
        <f aca="false">IF($A122="","",IF(OR($L122="",$W122=""),"",IF(COUNTIFS($L:$L,$L122,$B:$B,$B122,$W:$W,"&lt;"&amp;$W122)=0,"",_xlfn.MAXIFS($W:$W,$L:$L,$L122,$B:$B,$B122,$W:$W,"&lt;"&amp;$W122))))</f>
        <v/>
      </c>
      <c r="BD122" s="39" t="str">
        <f aca="false">IF($A122="","",IF($AC122="","",IF(OR($L122="",$AC122=0),0,MIN($AC122,ROUND(ROUND(1440*SUMPRODUCT(($L$2:INDEX($L:$L,COUNTA($C:$C))=$L122)*($B$2:INDEX($B:$B,COUNTA($C:$C))=$B122)*(ROW($L$2:INDEX($L:$L,COUNTA($C:$C)))&lt;&gt;ROW())*((((($W122+$BT$2:INDEX($BT:$BT,COUNTA($C:$C))-ABS($W122-$BT$2:INDEX($BT:$BT,COUNTA($C:$C))))/2)-(($U122+$BS$2:INDEX($BS:$BS,COUNTA($C:$C))+ABS($U122-$BS$2:INDEX($BS:$BS,COUNTA($C:$C))))/2))+ABS(((($W122+$BT$2:INDEX($BT:$BT,COUNTA($C:$C))-ABS($W122-$BT$2:INDEX($BT:$BT,COUNTA($C:$C))))/2)-(($U122+$BS$2:INDEX($BS:$BS,COUNTA($C:$C))+ABS($U122-$BS$2:INDEX($BS:$BS,COUNTA($C:$C))))/2))))/2)),4),0)))))</f>
        <v/>
      </c>
      <c r="BE122" s="39" t="str">
        <f aca="false">IF($A122="","",IF($AC122="","",ROUND(MIN($AC122-$BD122,N($R122)),0)))</f>
        <v/>
      </c>
      <c r="BF122" s="10" t="str">
        <f aca="false">IF($A122="","",IFERROR(VLOOKUP($C122,Dim_Fund!$A:$BD,56,0),""))</f>
        <v/>
      </c>
      <c r="BG122" s="10" t="str">
        <f aca="false">IF($A122="","",IFERROR(VLOOKUP($C122,Dim_Fund!$A:$BH,60,0),""))</f>
        <v/>
      </c>
      <c r="BH122" s="10" t="str">
        <f aca="false">IF($A122="","",IF($AI122&lt;&gt;"Yes","Not breached",IF($AM122="Yes","Pricing late",IF($BG122="Thin custody slack","Thin custody slack",IF($BF122="Yes","Broker-dependent","None of these")))))</f>
        <v/>
      </c>
      <c r="BI122" s="23" t="str">
        <f aca="false">IF($A122="","",IFERROR(IF(VLOOKUP($C122,Dim_Fund!$A:$AI,35,0)&gt;0,VLOOKUP($C122,Dim_Fund!$A:$AI,35,0),""),""))</f>
        <v/>
      </c>
      <c r="BJ122" s="10" t="str">
        <f aca="false">IF($A122="","",$C122&amp;IF($E122="Client","*",""))</f>
        <v/>
      </c>
      <c r="BK122" s="39" t="str">
        <f aca="false">IF($A122="","",IFERROR(ROUND(($Y122-$X122)*1440,0),""))</f>
        <v/>
      </c>
      <c r="BL122" s="39" t="str">
        <f aca="false">IF($A122="","",IF($AH122="","",-$AH122))</f>
        <v/>
      </c>
      <c r="BM122" s="46" t="str">
        <f aca="false">IF($A122="","",IF($AQ122="","",IF($AP122="",$AQ122,MIN($AP122,$AQ122))))</f>
        <v/>
      </c>
      <c r="BN122" s="46" t="str">
        <f aca="false">IF($A122="","",IF($BM122="","",ROUND(N($AC122)/60,4)))</f>
        <v/>
      </c>
      <c r="BO122" s="46" t="str">
        <f aca="false">IF($A122="","",IF(OR($BM122="",$AD122=""),"",ROUND($AD122/60,4)))</f>
        <v/>
      </c>
      <c r="BP122" s="46" t="str">
        <f aca="false">IF($A122="","",IF($BM122="","",ROUND(N($AE122)/60,4)))</f>
        <v/>
      </c>
      <c r="BQ122" s="46" t="str">
        <f aca="false">IF($A122="","",IF(OR($BM122="",$AF122=""),"",ROUND($AF122/60,4)))</f>
        <v/>
      </c>
      <c r="BR122" s="39" t="str">
        <f aca="false">IF($A122="","",IF($AC122="","",$AC122-$BD122-$BE122))</f>
        <v/>
      </c>
      <c r="BS122" s="45" t="str">
        <f aca="false">IF($A122="","",IF(AND(ISNUMBER($Z122),ISNUMBER($W122)),$Z122,0))</f>
        <v/>
      </c>
      <c r="BT122" s="45" t="str">
        <f aca="false">IF($A122="","",IF(ISNUMBER($W122),$W122,0))</f>
        <v/>
      </c>
      <c r="BU122" s="23" t="str">
        <f aca="false">IF($A122="","",IF(ISNUMBER($W122),ROUND(($W122-$B122)*24,4),""))</f>
        <v/>
      </c>
      <c r="BV122" s="23" t="str">
        <f aca="false">IF($A122="","",IF(ISNUMBER($X122),ROUND(($X122-$B122)*24,4),""))</f>
        <v/>
      </c>
      <c r="BW122" s="10" t="str">
        <f aca="false">IF($A122="","",IF(NOT(ISNUMBER($W122)),"Missing Calculated",IF(NOT(ISNUMBER($X122)),IF($E122="Client","Missing FA signed off","Missing Controlled"),IF($X122&lt;$W122,"End before start","OK"))))</f>
        <v/>
      </c>
      <c r="BX122" s="23" t="str">
        <f aca="false">IF($A122="","",IF(NOT(ISNUMBER($Z122)),"",ROUND((IF(ISNUMBER($U122),MIN($U122,$Z122),$Z122)-$B122)*24,4)))</f>
        <v/>
      </c>
      <c r="BY122" s="23" t="str">
        <f aca="false">IF($A122="","",IF(ISNUMBER($Z122),ROUND(($Z122-$B122)*24,4),""))</f>
        <v/>
      </c>
      <c r="BZ122" s="23" t="str">
        <f aca="false">IF($A122="","",IF(AND(ISNUMBER($W122),ISNUMBER($S122)),ROUND(($W122+$S122/1440-$B122)*24,4),""))</f>
        <v/>
      </c>
    </row>
    <row r="123" customFormat="false" ht="15" hidden="false" customHeight="true" outlineLevel="0" collapsed="false">
      <c r="A123" s="47"/>
      <c r="B123" s="47"/>
      <c r="D123" s="4" t="str">
        <f aca="false">IF($A123="","",$B123-$A123)</f>
        <v/>
      </c>
      <c r="E123" s="4" t="str">
        <f aca="false">IF($A123="","",IFERROR(VLOOKUP($C123,Dim_Fund!$A:$X,24,0),""))</f>
        <v/>
      </c>
      <c r="F123" s="37" t="str">
        <f aca="false">IF($A123="","",IF(COUNTIFS(Status_Log!$A:$A,$A123,Status_Log!$B:$B,$B123,Status_Log!$C:$C,$C123,Status_Log!$D:$D,"Changed to the status of Calculated")=0,"",_xlfn.MINIFS(Status_Log!$E:$E,Status_Log!$A:$A,$A123,Status_Log!$B:$B,$B123,Status_Log!$C:$C,$C123,Status_Log!$D:$D,"Changed to the status of Calculated")))</f>
        <v/>
      </c>
      <c r="G123" s="37" t="str">
        <f aca="false">IF($A123="","",IF(COUNTIFS(Status_Log!$A:$A,$A123,Status_Log!$B:$B,$B123,Status_Log!$C:$C,$C123,Status_Log!$D:$D,"Changed to the status of Controlled")=0,"",_xlfn.MAXIFS(Status_Log!$E:$E,Status_Log!$A:$A,$A123,Status_Log!$B:$B,$B123,Status_Log!$C:$C,$C123,Status_Log!$D:$D,"Changed to the status of Controlled")))</f>
        <v/>
      </c>
      <c r="H123" s="37" t="str">
        <f aca="false">IF($A123="","",IF(COUNTIFS(Status_Log!$A:$A,$A123,Status_Log!$B:$B,$B123,Status_Log!$C:$C,$C123,Status_Log!$D:$D,"Changed to the status of Fund accounting signed off")=0,"",_xlfn.MAXIFS(Status_Log!$E:$E,Status_Log!$A:$A,$A123,Status_Log!$B:$B,$B123,Status_Log!$C:$C,$C123,Status_Log!$D:$D,"Changed to the status of Fund accounting signed off")))</f>
        <v/>
      </c>
      <c r="I123" s="37" t="str">
        <f aca="false">IF($A123="","",IF(COUNTIFS(Status_Log!$A:$A,$A123,Status_Log!$B:$B,$B123,Status_Log!$C:$C,$C123,Status_Log!$D:$D,"Changed to the status of signed off")=0,"",_xlfn.MAXIFS(Status_Log!$E:$E,Status_Log!$A:$A,$A123,Status_Log!$B:$B,$B123,Status_Log!$C:$C,$C123,Status_Log!$D:$D,"Changed to the status of signed off")))</f>
        <v/>
      </c>
      <c r="J123" s="4" t="str">
        <f aca="false">IF($A123="","",COUNTIFS(Status_Log!$A:$A,$A123,Status_Log!$B:$B,$B123,Status_Log!$C:$C,$C123,Status_Log!$D:$D,"Changed to the status of Calculated"))</f>
        <v/>
      </c>
      <c r="K123" s="38" t="str">
        <f aca="false">IF($A123="","",IF(J123&lt;=1,0,ROUND((_xlfn.MAXIFS(Status_Log!$E:$E,Status_Log!$A:$A,$A123,Status_Log!$B:$B,$B123,Status_Log!$C:$C,$C123,Status_Log!$D:$D,"Changed to the status of Calculated")-F123)*1440,0)))</f>
        <v/>
      </c>
      <c r="L123" s="4" t="str">
        <f aca="false">IF($A123="","",IFERROR(INDEX(Status_Log!$F:$F,MATCH($A123&amp;"|"&amp;$B123&amp;"|"&amp;$C123&amp;"|Changed to the status of Calculated|"&amp;TEXT(_xlfn.MAXIFS(Status_Log!$E:$E,Status_Log!$A:$A,$A123,Status_Log!$B:$B,$B123,Status_Log!$C:$C,$C123,Status_Log!$D:$D,"Changed to the status of Calculated"),"0.000000"),Status_Log!$H:$H,0)),""))</f>
        <v/>
      </c>
      <c r="M123" s="4" t="str">
        <f aca="false">IF($A123="","",IF(E123="Client","n/a — no control step",IFERROR(INDEX(Status_Log!$F:$F,MATCH($A123&amp;"|"&amp;$B123&amp;"|"&amp;$C123&amp;"|Changed to the status of Controlled|"&amp;TEXT(_xlfn.MAXIFS(Status_Log!$E:$E,Status_Log!$A:$A,$A123,Status_Log!$B:$B,$B123,Status_Log!$C:$C,$C123,Status_Log!$D:$D,"Changed to the status of Controlled"),"0.000000"),Status_Log!$H:$H,0)),"")))</f>
        <v/>
      </c>
      <c r="N123" s="4" t="str">
        <f aca="false">IF($A123="","",IFERROR(VLOOKUP($C123,Dim_Fund!$A:$G,7,0),""))</f>
        <v/>
      </c>
      <c r="O123" s="4" t="str">
        <f aca="false">IF($A123="","",IF(L123=N123,"No","Yes"))</f>
        <v/>
      </c>
      <c r="P123" s="4" t="str">
        <f aca="false">IF($A123="","",IF(E123="Client","n/a",IF(L123=M123,"YES — four-eyes breach","No")))</f>
        <v/>
      </c>
      <c r="Q123" s="38" t="str">
        <f aca="false">IF($A123="","",IFERROR(VLOOKUP($C123,Dim_Fund!$A:$AB,28,0),""))</f>
        <v/>
      </c>
      <c r="R123" s="38" t="str">
        <f aca="false">IF($A123="","",IFERROR(VLOOKUP($C123,Dim_Fund!$A:$AC,29,0),""))</f>
        <v/>
      </c>
      <c r="S123" s="38" t="str">
        <f aca="false">IF($A123="","",IFERROR(VLOOKUP($C123,Dim_Fund!$A:$AD,30,0),""))</f>
        <v/>
      </c>
      <c r="T123" s="38" t="str">
        <f aca="false">IF($A123="","",IFERROR(VLOOKUP($C123,Dim_Fund!$A:$AL,38,0),""))</f>
        <v/>
      </c>
      <c r="U123" s="37" t="str">
        <f aca="false">IF($A123="","",IF(AL123="","",IFERROR(IF(COUNTIFS(Fact_Milestone!$A:$A,$B123,Fact_Milestone!$B:$B,AL123)=0,"",_xlfn.MAXIFS(Fact_Milestone!$C:$C,Fact_Milestone!$A:$A,$B123,Fact_Milestone!$B:$B,AL123)),"")))</f>
        <v/>
      </c>
      <c r="V123" s="37" t="str">
        <f aca="false">IF($A123="","",IFERROR(IF(VLOOKUP($C123,Dim_Fund!$A:$AI,35,0)&gt;0,$B123+VLOOKUP($C123,Dim_Fund!$A:$AI,35,0)/24,""),""))</f>
        <v/>
      </c>
      <c r="W123" s="37" t="str">
        <f aca="false">IF($A123="","",F123)</f>
        <v/>
      </c>
      <c r="X123" s="37" t="str">
        <f aca="false">IF($A123="","",IF(E123="Client",H123,G123))</f>
        <v/>
      </c>
      <c r="Y123" s="37" t="str">
        <f aca="false">IF($A123="","",I123)</f>
        <v/>
      </c>
      <c r="Z123" s="37" t="str">
        <f aca="false">IF($A123="","",IFERROR(W123-R123/1440,""))</f>
        <v/>
      </c>
      <c r="AA123" s="38" t="str">
        <f aca="false">IF($A123="","",IF(OR(U123="",V123=""),"",ROUND((V123-U123)*1440,0)))</f>
        <v/>
      </c>
      <c r="AB123" s="38" t="str">
        <f aca="false">IF($A123="","",IF(U123="","",ROUND((W123-U123)*1440,0)))</f>
        <v/>
      </c>
      <c r="AC123" s="38" t="str">
        <f aca="false">IF($A123="","",IF(AB123="","",MAX(0,AB123)))</f>
        <v/>
      </c>
      <c r="AD123" s="38" t="str">
        <f aca="false">IF($A123="","",IFERROR(ROUND((X123-W123)*1440,0),""))</f>
        <v/>
      </c>
      <c r="AE123" s="38" t="str">
        <f aca="false">IF($A123="","",IF(E123="Client","n/a",IFERROR(ROUND((H123-G123)*1440,0),"")))</f>
        <v/>
      </c>
      <c r="AF123" s="38" t="str">
        <f aca="false">IF($A123="","",IFERROR(ROUND((Y123-H123)*1440,0),""))</f>
        <v/>
      </c>
      <c r="AG123" s="38" t="str">
        <f aca="false">IF($A123="","",IFERROR(ROUND((H123-F123)*1440,0),""))</f>
        <v/>
      </c>
      <c r="AH123" s="38" t="str">
        <f aca="false">IF($A123="","",IFERROR(ROUND((Y123-V123)*1440,0),""))</f>
        <v/>
      </c>
      <c r="AI123" s="4" t="str">
        <f aca="false">IF($A123="","",IF(AH123="","",IF(AH123&gt;0,"Yes","No")))</f>
        <v/>
      </c>
      <c r="AJ123" s="4" t="str">
        <f aca="false">IF($A123="","",IF(AI123&lt;&gt;"Yes","On time",IF(N(AC123)&gt;=MAX(N(AF123),N(K123)),"Wait for analyst",IF(N(AF123)&gt;=N(K123),"External sign-off","Rework"))))</f>
        <v/>
      </c>
      <c r="AK123" s="4" t="str">
        <f aca="false">IF($A123="","",IF(OR(F123="",Y123="",ISNA(MATCH(L123,Dim_Analyst!$A:$A,0))),"CHECK","OK"))</f>
        <v/>
      </c>
      <c r="AL123" s="4" t="str">
        <f aca="false">IF($A123="","",IFERROR(VLOOKUP($C123,Dim_Fund!$A:$U,21,0),""))</f>
        <v/>
      </c>
      <c r="AM123" s="4" t="str">
        <f aca="false">IF($A123="","",IF($U123="","",IF($U123&gt;$B123+IFERROR(VLOOKUP($C123,Dim_Fund!$A:$AH,34,0),0)/24,"Yes","No")))</f>
        <v/>
      </c>
      <c r="AN123" s="22" t="str">
        <f aca="false">IF($A123="","",IFERROR(VLOOKUP($C123,Dim_Fund!$A:$AH,34,0),""))</f>
        <v/>
      </c>
      <c r="AO123" s="22" t="str">
        <f aca="false">IF($A123="","",IF($AL123="","",IFERROR(FLOOR(IF(COUNTIFS(Fact_Milestone!$A:$A,$B123,Fact_Milestone!$B:$B,$AL123,Fact_Milestone!$F:$F,"&gt;0")&gt;0,_xlfn.MINIFS(Fact_Milestone!$F:$F,Fact_Milestone!$A:$A,$B123,Fact_Milestone!$B:$B,$AL123,Fact_Milestone!$F:$F,"&gt;0"),VLOOKUP($AL123,Dim_TOP!$A:$E,5,0)),0.5),"")))</f>
        <v/>
      </c>
      <c r="AP123" s="22" t="str">
        <f aca="false">IF($A123="","",IF($U123="","",ROUND(($U123-INT($U123))*24,4)))</f>
        <v/>
      </c>
      <c r="AQ123" s="22" t="str">
        <f aca="false">IF($A123="","",IF($W123="","",ROUND(($W123-INT($W123))*24,4)))</f>
        <v/>
      </c>
      <c r="AR123" s="22" t="str">
        <f aca="false">IF($A123="","",IF($X123="","",ROUND(($X123-INT($X123))*24,4)))</f>
        <v/>
      </c>
      <c r="AS123" s="38" t="str">
        <f aca="false">IF($A123="","",IF(OR($AN123="",$V123="",$S123="",$T123=""),"",ROUND(($V123-($B123+$AN123/24))*1440-$S123-$T123,0)))</f>
        <v/>
      </c>
      <c r="AT123" s="38" t="str">
        <f aca="false">IF($A123="","",IF(OR($AN123="",$U123=""),"",ROUND(($U123-($B123+$AN123/24))*1440,0)))</f>
        <v/>
      </c>
      <c r="AU123" s="38" t="str">
        <f aca="false">IF($A123="","",IF(OR($AD123="",$S123=""),"",ROUND($AD123-$S123,0)))</f>
        <v/>
      </c>
      <c r="AV123" s="38" t="str">
        <f aca="false">IF($A123="","",N($AE123))</f>
        <v/>
      </c>
      <c r="AW123" s="38" t="str">
        <f aca="false">IF($A123="","",IF(OR($AF123="",$T123=""),"",$AF123-$T123))</f>
        <v/>
      </c>
      <c r="AX123" s="38" t="str">
        <f aca="false">IF($A123="","",IF(COUNT($AT123,$AB123,$AU123,$AW123,$AS123,$AH123)&lt;6,"",ROUND($AT123+$AB123+$AU123+$AV123+$AW123-$AS123-$AH123,0)))</f>
        <v/>
      </c>
      <c r="AY123" s="4" t="str">
        <f aca="false">IF($A123="","",IF($AX123="","No",IF(ABS($AX123)&lt;=2,"Yes","No")))</f>
        <v/>
      </c>
      <c r="AZ123" s="4" t="str">
        <f aca="false">IF($A123="","",IF($AI123&lt;&gt;"Yes","n/a",IF(OR($AA123="",$S123="",$T123=""),"Unknown",IF($AA123&lt;$S123+$T123,"Lost on arrival","Lost after arrival"))))</f>
        <v/>
      </c>
      <c r="BA123" s="10" t="str">
        <f aca="false">IF($A123="","",IFERROR(VLOOKUP($C123,Dim_Fund!$A:$D,4,0),""))</f>
        <v/>
      </c>
      <c r="BB123" s="10" t="str">
        <f aca="false">IF($A123="","",IF($AL123="","",IF(COUNTIFS(Fact_Milestone!$A:$A,$B123,Fact_Milestone!$B:$B,$AL123,Fact_Milestone!$I:$I,"No")&gt;0,"No",IF(COUNTIFS(Fact_Milestone!$A:$A,$B123,Fact_Milestone!$B:$B,$AL123,Fact_Milestone!$I:$I,"Yes")&gt;0,"Yes",""))))</f>
        <v/>
      </c>
      <c r="BC123" s="45" t="str">
        <f aca="false">IF($A123="","",IF(OR($L123="",$W123=""),"",IF(COUNTIFS($L:$L,$L123,$B:$B,$B123,$W:$W,"&lt;"&amp;$W123)=0,"",_xlfn.MAXIFS($W:$W,$L:$L,$L123,$B:$B,$B123,$W:$W,"&lt;"&amp;$W123))))</f>
        <v/>
      </c>
      <c r="BD123" s="39" t="str">
        <f aca="false">IF($A123="","",IF($AC123="","",IF(OR($L123="",$AC123=0),0,MIN($AC123,ROUND(ROUND(1440*SUMPRODUCT(($L$2:INDEX($L:$L,COUNTA($C:$C))=$L123)*($B$2:INDEX($B:$B,COUNTA($C:$C))=$B123)*(ROW($L$2:INDEX($L:$L,COUNTA($C:$C)))&lt;&gt;ROW())*((((($W123+$BT$2:INDEX($BT:$BT,COUNTA($C:$C))-ABS($W123-$BT$2:INDEX($BT:$BT,COUNTA($C:$C))))/2)-(($U123+$BS$2:INDEX($BS:$BS,COUNTA($C:$C))+ABS($U123-$BS$2:INDEX($BS:$BS,COUNTA($C:$C))))/2))+ABS(((($W123+$BT$2:INDEX($BT:$BT,COUNTA($C:$C))-ABS($W123-$BT$2:INDEX($BT:$BT,COUNTA($C:$C))))/2)-(($U123+$BS$2:INDEX($BS:$BS,COUNTA($C:$C))+ABS($U123-$BS$2:INDEX($BS:$BS,COUNTA($C:$C))))/2))))/2)),4),0)))))</f>
        <v/>
      </c>
      <c r="BE123" s="39" t="str">
        <f aca="false">IF($A123="","",IF($AC123="","",ROUND(MIN($AC123-$BD123,N($R123)),0)))</f>
        <v/>
      </c>
      <c r="BF123" s="10" t="str">
        <f aca="false">IF($A123="","",IFERROR(VLOOKUP($C123,Dim_Fund!$A:$BD,56,0),""))</f>
        <v/>
      </c>
      <c r="BG123" s="10" t="str">
        <f aca="false">IF($A123="","",IFERROR(VLOOKUP($C123,Dim_Fund!$A:$BH,60,0),""))</f>
        <v/>
      </c>
      <c r="BH123" s="10" t="str">
        <f aca="false">IF($A123="","",IF($AI123&lt;&gt;"Yes","Not breached",IF($AM123="Yes","Pricing late",IF($BG123="Thin custody slack","Thin custody slack",IF($BF123="Yes","Broker-dependent","None of these")))))</f>
        <v/>
      </c>
      <c r="BI123" s="23" t="str">
        <f aca="false">IF($A123="","",IFERROR(IF(VLOOKUP($C123,Dim_Fund!$A:$AI,35,0)&gt;0,VLOOKUP($C123,Dim_Fund!$A:$AI,35,0),""),""))</f>
        <v/>
      </c>
      <c r="BJ123" s="10" t="str">
        <f aca="false">IF($A123="","",$C123&amp;IF($E123="Client","*",""))</f>
        <v/>
      </c>
      <c r="BK123" s="39" t="str">
        <f aca="false">IF($A123="","",IFERROR(ROUND(($Y123-$X123)*1440,0),""))</f>
        <v/>
      </c>
      <c r="BL123" s="39" t="str">
        <f aca="false">IF($A123="","",IF($AH123="","",-$AH123))</f>
        <v/>
      </c>
      <c r="BM123" s="46" t="str">
        <f aca="false">IF($A123="","",IF($AQ123="","",IF($AP123="",$AQ123,MIN($AP123,$AQ123))))</f>
        <v/>
      </c>
      <c r="BN123" s="46" t="str">
        <f aca="false">IF($A123="","",IF($BM123="","",ROUND(N($AC123)/60,4)))</f>
        <v/>
      </c>
      <c r="BO123" s="46" t="str">
        <f aca="false">IF($A123="","",IF(OR($BM123="",$AD123=""),"",ROUND($AD123/60,4)))</f>
        <v/>
      </c>
      <c r="BP123" s="46" t="str">
        <f aca="false">IF($A123="","",IF($BM123="","",ROUND(N($AE123)/60,4)))</f>
        <v/>
      </c>
      <c r="BQ123" s="46" t="str">
        <f aca="false">IF($A123="","",IF(OR($BM123="",$AF123=""),"",ROUND($AF123/60,4)))</f>
        <v/>
      </c>
      <c r="BR123" s="39" t="str">
        <f aca="false">IF($A123="","",IF($AC123="","",$AC123-$BD123-$BE123))</f>
        <v/>
      </c>
      <c r="BS123" s="45" t="str">
        <f aca="false">IF($A123="","",IF(AND(ISNUMBER($Z123),ISNUMBER($W123)),$Z123,0))</f>
        <v/>
      </c>
      <c r="BT123" s="45" t="str">
        <f aca="false">IF($A123="","",IF(ISNUMBER($W123),$W123,0))</f>
        <v/>
      </c>
      <c r="BU123" s="23" t="str">
        <f aca="false">IF($A123="","",IF(ISNUMBER($W123),ROUND(($W123-$B123)*24,4),""))</f>
        <v/>
      </c>
      <c r="BV123" s="23" t="str">
        <f aca="false">IF($A123="","",IF(ISNUMBER($X123),ROUND(($X123-$B123)*24,4),""))</f>
        <v/>
      </c>
      <c r="BW123" s="10" t="str">
        <f aca="false">IF($A123="","",IF(NOT(ISNUMBER($W123)),"Missing Calculated",IF(NOT(ISNUMBER($X123)),IF($E123="Client","Missing FA signed off","Missing Controlled"),IF($X123&lt;$W123,"End before start","OK"))))</f>
        <v/>
      </c>
      <c r="BX123" s="23" t="str">
        <f aca="false">IF($A123="","",IF(NOT(ISNUMBER($Z123)),"",ROUND((IF(ISNUMBER($U123),MIN($U123,$Z123),$Z123)-$B123)*24,4)))</f>
        <v/>
      </c>
      <c r="BY123" s="23" t="str">
        <f aca="false">IF($A123="","",IF(ISNUMBER($Z123),ROUND(($Z123-$B123)*24,4),""))</f>
        <v/>
      </c>
      <c r="BZ123" s="23" t="str">
        <f aca="false">IF($A123="","",IF(AND(ISNUMBER($W123),ISNUMBER($S123)),ROUND(($W123+$S123/1440-$B123)*24,4),""))</f>
        <v/>
      </c>
    </row>
    <row r="124" customFormat="false" ht="15" hidden="false" customHeight="true" outlineLevel="0" collapsed="false">
      <c r="A124" s="47"/>
      <c r="B124" s="47"/>
      <c r="D124" s="4" t="str">
        <f aca="false">IF($A124="","",$B124-$A124)</f>
        <v/>
      </c>
      <c r="E124" s="4" t="str">
        <f aca="false">IF($A124="","",IFERROR(VLOOKUP($C124,Dim_Fund!$A:$X,24,0),""))</f>
        <v/>
      </c>
      <c r="F124" s="37" t="str">
        <f aca="false">IF($A124="","",IF(COUNTIFS(Status_Log!$A:$A,$A124,Status_Log!$B:$B,$B124,Status_Log!$C:$C,$C124,Status_Log!$D:$D,"Changed to the status of Calculated")=0,"",_xlfn.MINIFS(Status_Log!$E:$E,Status_Log!$A:$A,$A124,Status_Log!$B:$B,$B124,Status_Log!$C:$C,$C124,Status_Log!$D:$D,"Changed to the status of Calculated")))</f>
        <v/>
      </c>
      <c r="G124" s="37" t="str">
        <f aca="false">IF($A124="","",IF(COUNTIFS(Status_Log!$A:$A,$A124,Status_Log!$B:$B,$B124,Status_Log!$C:$C,$C124,Status_Log!$D:$D,"Changed to the status of Controlled")=0,"",_xlfn.MAXIFS(Status_Log!$E:$E,Status_Log!$A:$A,$A124,Status_Log!$B:$B,$B124,Status_Log!$C:$C,$C124,Status_Log!$D:$D,"Changed to the status of Controlled")))</f>
        <v/>
      </c>
      <c r="H124" s="37" t="str">
        <f aca="false">IF($A124="","",IF(COUNTIFS(Status_Log!$A:$A,$A124,Status_Log!$B:$B,$B124,Status_Log!$C:$C,$C124,Status_Log!$D:$D,"Changed to the status of Fund accounting signed off")=0,"",_xlfn.MAXIFS(Status_Log!$E:$E,Status_Log!$A:$A,$A124,Status_Log!$B:$B,$B124,Status_Log!$C:$C,$C124,Status_Log!$D:$D,"Changed to the status of Fund accounting signed off")))</f>
        <v/>
      </c>
      <c r="I124" s="37" t="str">
        <f aca="false">IF($A124="","",IF(COUNTIFS(Status_Log!$A:$A,$A124,Status_Log!$B:$B,$B124,Status_Log!$C:$C,$C124,Status_Log!$D:$D,"Changed to the status of signed off")=0,"",_xlfn.MAXIFS(Status_Log!$E:$E,Status_Log!$A:$A,$A124,Status_Log!$B:$B,$B124,Status_Log!$C:$C,$C124,Status_Log!$D:$D,"Changed to the status of signed off")))</f>
        <v/>
      </c>
      <c r="J124" s="4" t="str">
        <f aca="false">IF($A124="","",COUNTIFS(Status_Log!$A:$A,$A124,Status_Log!$B:$B,$B124,Status_Log!$C:$C,$C124,Status_Log!$D:$D,"Changed to the status of Calculated"))</f>
        <v/>
      </c>
      <c r="K124" s="38" t="str">
        <f aca="false">IF($A124="","",IF(J124&lt;=1,0,ROUND((_xlfn.MAXIFS(Status_Log!$E:$E,Status_Log!$A:$A,$A124,Status_Log!$B:$B,$B124,Status_Log!$C:$C,$C124,Status_Log!$D:$D,"Changed to the status of Calculated")-F124)*1440,0)))</f>
        <v/>
      </c>
      <c r="L124" s="4" t="str">
        <f aca="false">IF($A124="","",IFERROR(INDEX(Status_Log!$F:$F,MATCH($A124&amp;"|"&amp;$B124&amp;"|"&amp;$C124&amp;"|Changed to the status of Calculated|"&amp;TEXT(_xlfn.MAXIFS(Status_Log!$E:$E,Status_Log!$A:$A,$A124,Status_Log!$B:$B,$B124,Status_Log!$C:$C,$C124,Status_Log!$D:$D,"Changed to the status of Calculated"),"0.000000"),Status_Log!$H:$H,0)),""))</f>
        <v/>
      </c>
      <c r="M124" s="4" t="str">
        <f aca="false">IF($A124="","",IF(E124="Client","n/a — no control step",IFERROR(INDEX(Status_Log!$F:$F,MATCH($A124&amp;"|"&amp;$B124&amp;"|"&amp;$C124&amp;"|Changed to the status of Controlled|"&amp;TEXT(_xlfn.MAXIFS(Status_Log!$E:$E,Status_Log!$A:$A,$A124,Status_Log!$B:$B,$B124,Status_Log!$C:$C,$C124,Status_Log!$D:$D,"Changed to the status of Controlled"),"0.000000"),Status_Log!$H:$H,0)),"")))</f>
        <v/>
      </c>
      <c r="N124" s="4" t="str">
        <f aca="false">IF($A124="","",IFERROR(VLOOKUP($C124,Dim_Fund!$A:$G,7,0),""))</f>
        <v/>
      </c>
      <c r="O124" s="4" t="str">
        <f aca="false">IF($A124="","",IF(L124=N124,"No","Yes"))</f>
        <v/>
      </c>
      <c r="P124" s="4" t="str">
        <f aca="false">IF($A124="","",IF(E124="Client","n/a",IF(L124=M124,"YES — four-eyes breach","No")))</f>
        <v/>
      </c>
      <c r="Q124" s="38" t="str">
        <f aca="false">IF($A124="","",IFERROR(VLOOKUP($C124,Dim_Fund!$A:$AB,28,0),""))</f>
        <v/>
      </c>
      <c r="R124" s="38" t="str">
        <f aca="false">IF($A124="","",IFERROR(VLOOKUP($C124,Dim_Fund!$A:$AC,29,0),""))</f>
        <v/>
      </c>
      <c r="S124" s="38" t="str">
        <f aca="false">IF($A124="","",IFERROR(VLOOKUP($C124,Dim_Fund!$A:$AD,30,0),""))</f>
        <v/>
      </c>
      <c r="T124" s="38" t="str">
        <f aca="false">IF($A124="","",IFERROR(VLOOKUP($C124,Dim_Fund!$A:$AL,38,0),""))</f>
        <v/>
      </c>
      <c r="U124" s="37" t="str">
        <f aca="false">IF($A124="","",IF(AL124="","",IFERROR(IF(COUNTIFS(Fact_Milestone!$A:$A,$B124,Fact_Milestone!$B:$B,AL124)=0,"",_xlfn.MAXIFS(Fact_Milestone!$C:$C,Fact_Milestone!$A:$A,$B124,Fact_Milestone!$B:$B,AL124)),"")))</f>
        <v/>
      </c>
      <c r="V124" s="37" t="str">
        <f aca="false">IF($A124="","",IFERROR(IF(VLOOKUP($C124,Dim_Fund!$A:$AI,35,0)&gt;0,$B124+VLOOKUP($C124,Dim_Fund!$A:$AI,35,0)/24,""),""))</f>
        <v/>
      </c>
      <c r="W124" s="37" t="str">
        <f aca="false">IF($A124="","",F124)</f>
        <v/>
      </c>
      <c r="X124" s="37" t="str">
        <f aca="false">IF($A124="","",IF(E124="Client",H124,G124))</f>
        <v/>
      </c>
      <c r="Y124" s="37" t="str">
        <f aca="false">IF($A124="","",I124)</f>
        <v/>
      </c>
      <c r="Z124" s="37" t="str">
        <f aca="false">IF($A124="","",IFERROR(W124-R124/1440,""))</f>
        <v/>
      </c>
      <c r="AA124" s="38" t="str">
        <f aca="false">IF($A124="","",IF(OR(U124="",V124=""),"",ROUND((V124-U124)*1440,0)))</f>
        <v/>
      </c>
      <c r="AB124" s="38" t="str">
        <f aca="false">IF($A124="","",IF(U124="","",ROUND((W124-U124)*1440,0)))</f>
        <v/>
      </c>
      <c r="AC124" s="38" t="str">
        <f aca="false">IF($A124="","",IF(AB124="","",MAX(0,AB124)))</f>
        <v/>
      </c>
      <c r="AD124" s="38" t="str">
        <f aca="false">IF($A124="","",IFERROR(ROUND((X124-W124)*1440,0),""))</f>
        <v/>
      </c>
      <c r="AE124" s="38" t="str">
        <f aca="false">IF($A124="","",IF(E124="Client","n/a",IFERROR(ROUND((H124-G124)*1440,0),"")))</f>
        <v/>
      </c>
      <c r="AF124" s="38" t="str">
        <f aca="false">IF($A124="","",IFERROR(ROUND((Y124-H124)*1440,0),""))</f>
        <v/>
      </c>
      <c r="AG124" s="38" t="str">
        <f aca="false">IF($A124="","",IFERROR(ROUND((H124-F124)*1440,0),""))</f>
        <v/>
      </c>
      <c r="AH124" s="38" t="str">
        <f aca="false">IF($A124="","",IFERROR(ROUND((Y124-V124)*1440,0),""))</f>
        <v/>
      </c>
      <c r="AI124" s="4" t="str">
        <f aca="false">IF($A124="","",IF(AH124="","",IF(AH124&gt;0,"Yes","No")))</f>
        <v/>
      </c>
      <c r="AJ124" s="4" t="str">
        <f aca="false">IF($A124="","",IF(AI124&lt;&gt;"Yes","On time",IF(N(AC124)&gt;=MAX(N(AF124),N(K124)),"Wait for analyst",IF(N(AF124)&gt;=N(K124),"External sign-off","Rework"))))</f>
        <v/>
      </c>
      <c r="AK124" s="4" t="str">
        <f aca="false">IF($A124="","",IF(OR(F124="",Y124="",ISNA(MATCH(L124,Dim_Analyst!$A:$A,0))),"CHECK","OK"))</f>
        <v/>
      </c>
      <c r="AL124" s="4" t="str">
        <f aca="false">IF($A124="","",IFERROR(VLOOKUP($C124,Dim_Fund!$A:$U,21,0),""))</f>
        <v/>
      </c>
      <c r="AM124" s="4" t="str">
        <f aca="false">IF($A124="","",IF($U124="","",IF($U124&gt;$B124+IFERROR(VLOOKUP($C124,Dim_Fund!$A:$AH,34,0),0)/24,"Yes","No")))</f>
        <v/>
      </c>
      <c r="AN124" s="22" t="str">
        <f aca="false">IF($A124="","",IFERROR(VLOOKUP($C124,Dim_Fund!$A:$AH,34,0),""))</f>
        <v/>
      </c>
      <c r="AO124" s="22" t="str">
        <f aca="false">IF($A124="","",IF($AL124="","",IFERROR(FLOOR(IF(COUNTIFS(Fact_Milestone!$A:$A,$B124,Fact_Milestone!$B:$B,$AL124,Fact_Milestone!$F:$F,"&gt;0")&gt;0,_xlfn.MINIFS(Fact_Milestone!$F:$F,Fact_Milestone!$A:$A,$B124,Fact_Milestone!$B:$B,$AL124,Fact_Milestone!$F:$F,"&gt;0"),VLOOKUP($AL124,Dim_TOP!$A:$E,5,0)),0.5),"")))</f>
        <v/>
      </c>
      <c r="AP124" s="22" t="str">
        <f aca="false">IF($A124="","",IF($U124="","",ROUND(($U124-INT($U124))*24,4)))</f>
        <v/>
      </c>
      <c r="AQ124" s="22" t="str">
        <f aca="false">IF($A124="","",IF($W124="","",ROUND(($W124-INT($W124))*24,4)))</f>
        <v/>
      </c>
      <c r="AR124" s="22" t="str">
        <f aca="false">IF($A124="","",IF($X124="","",ROUND(($X124-INT($X124))*24,4)))</f>
        <v/>
      </c>
      <c r="AS124" s="38" t="str">
        <f aca="false">IF($A124="","",IF(OR($AN124="",$V124="",$S124="",$T124=""),"",ROUND(($V124-($B124+$AN124/24))*1440-$S124-$T124,0)))</f>
        <v/>
      </c>
      <c r="AT124" s="38" t="str">
        <f aca="false">IF($A124="","",IF(OR($AN124="",$U124=""),"",ROUND(($U124-($B124+$AN124/24))*1440,0)))</f>
        <v/>
      </c>
      <c r="AU124" s="38" t="str">
        <f aca="false">IF($A124="","",IF(OR($AD124="",$S124=""),"",ROUND($AD124-$S124,0)))</f>
        <v/>
      </c>
      <c r="AV124" s="38" t="str">
        <f aca="false">IF($A124="","",N($AE124))</f>
        <v/>
      </c>
      <c r="AW124" s="38" t="str">
        <f aca="false">IF($A124="","",IF(OR($AF124="",$T124=""),"",$AF124-$T124))</f>
        <v/>
      </c>
      <c r="AX124" s="38" t="str">
        <f aca="false">IF($A124="","",IF(COUNT($AT124,$AB124,$AU124,$AW124,$AS124,$AH124)&lt;6,"",ROUND($AT124+$AB124+$AU124+$AV124+$AW124-$AS124-$AH124,0)))</f>
        <v/>
      </c>
      <c r="AY124" s="4" t="str">
        <f aca="false">IF($A124="","",IF($AX124="","No",IF(ABS($AX124)&lt;=2,"Yes","No")))</f>
        <v/>
      </c>
      <c r="AZ124" s="4" t="str">
        <f aca="false">IF($A124="","",IF($AI124&lt;&gt;"Yes","n/a",IF(OR($AA124="",$S124="",$T124=""),"Unknown",IF($AA124&lt;$S124+$T124,"Lost on arrival","Lost after arrival"))))</f>
        <v/>
      </c>
      <c r="BA124" s="10" t="str">
        <f aca="false">IF($A124="","",IFERROR(VLOOKUP($C124,Dim_Fund!$A:$D,4,0),""))</f>
        <v/>
      </c>
      <c r="BB124" s="10" t="str">
        <f aca="false">IF($A124="","",IF($AL124="","",IF(COUNTIFS(Fact_Milestone!$A:$A,$B124,Fact_Milestone!$B:$B,$AL124,Fact_Milestone!$I:$I,"No")&gt;0,"No",IF(COUNTIFS(Fact_Milestone!$A:$A,$B124,Fact_Milestone!$B:$B,$AL124,Fact_Milestone!$I:$I,"Yes")&gt;0,"Yes",""))))</f>
        <v/>
      </c>
      <c r="BC124" s="45" t="str">
        <f aca="false">IF($A124="","",IF(OR($L124="",$W124=""),"",IF(COUNTIFS($L:$L,$L124,$B:$B,$B124,$W:$W,"&lt;"&amp;$W124)=0,"",_xlfn.MAXIFS($W:$W,$L:$L,$L124,$B:$B,$B124,$W:$W,"&lt;"&amp;$W124))))</f>
        <v/>
      </c>
      <c r="BD124" s="39" t="str">
        <f aca="false">IF($A124="","",IF($AC124="","",IF(OR($L124="",$AC124=0),0,MIN($AC124,ROUND(ROUND(1440*SUMPRODUCT(($L$2:INDEX($L:$L,COUNTA($C:$C))=$L124)*($B$2:INDEX($B:$B,COUNTA($C:$C))=$B124)*(ROW($L$2:INDEX($L:$L,COUNTA($C:$C)))&lt;&gt;ROW())*((((($W124+$BT$2:INDEX($BT:$BT,COUNTA($C:$C))-ABS($W124-$BT$2:INDEX($BT:$BT,COUNTA($C:$C))))/2)-(($U124+$BS$2:INDEX($BS:$BS,COUNTA($C:$C))+ABS($U124-$BS$2:INDEX($BS:$BS,COUNTA($C:$C))))/2))+ABS(((($W124+$BT$2:INDEX($BT:$BT,COUNTA($C:$C))-ABS($W124-$BT$2:INDEX($BT:$BT,COUNTA($C:$C))))/2)-(($U124+$BS$2:INDEX($BS:$BS,COUNTA($C:$C))+ABS($U124-$BS$2:INDEX($BS:$BS,COUNTA($C:$C))))/2))))/2)),4),0)))))</f>
        <v/>
      </c>
      <c r="BE124" s="39" t="str">
        <f aca="false">IF($A124="","",IF($AC124="","",ROUND(MIN($AC124-$BD124,N($R124)),0)))</f>
        <v/>
      </c>
      <c r="BF124" s="10" t="str">
        <f aca="false">IF($A124="","",IFERROR(VLOOKUP($C124,Dim_Fund!$A:$BD,56,0),""))</f>
        <v/>
      </c>
      <c r="BG124" s="10" t="str">
        <f aca="false">IF($A124="","",IFERROR(VLOOKUP($C124,Dim_Fund!$A:$BH,60,0),""))</f>
        <v/>
      </c>
      <c r="BH124" s="10" t="str">
        <f aca="false">IF($A124="","",IF($AI124&lt;&gt;"Yes","Not breached",IF($AM124="Yes","Pricing late",IF($BG124="Thin custody slack","Thin custody slack",IF($BF124="Yes","Broker-dependent","None of these")))))</f>
        <v/>
      </c>
      <c r="BI124" s="23" t="str">
        <f aca="false">IF($A124="","",IFERROR(IF(VLOOKUP($C124,Dim_Fund!$A:$AI,35,0)&gt;0,VLOOKUP($C124,Dim_Fund!$A:$AI,35,0),""),""))</f>
        <v/>
      </c>
      <c r="BJ124" s="10" t="str">
        <f aca="false">IF($A124="","",$C124&amp;IF($E124="Client","*",""))</f>
        <v/>
      </c>
      <c r="BK124" s="39" t="str">
        <f aca="false">IF($A124="","",IFERROR(ROUND(($Y124-$X124)*1440,0),""))</f>
        <v/>
      </c>
      <c r="BL124" s="39" t="str">
        <f aca="false">IF($A124="","",IF($AH124="","",-$AH124))</f>
        <v/>
      </c>
      <c r="BM124" s="46" t="str">
        <f aca="false">IF($A124="","",IF($AQ124="","",IF($AP124="",$AQ124,MIN($AP124,$AQ124))))</f>
        <v/>
      </c>
      <c r="BN124" s="46" t="str">
        <f aca="false">IF($A124="","",IF($BM124="","",ROUND(N($AC124)/60,4)))</f>
        <v/>
      </c>
      <c r="BO124" s="46" t="str">
        <f aca="false">IF($A124="","",IF(OR($BM124="",$AD124=""),"",ROUND($AD124/60,4)))</f>
        <v/>
      </c>
      <c r="BP124" s="46" t="str">
        <f aca="false">IF($A124="","",IF($BM124="","",ROUND(N($AE124)/60,4)))</f>
        <v/>
      </c>
      <c r="BQ124" s="46" t="str">
        <f aca="false">IF($A124="","",IF(OR($BM124="",$AF124=""),"",ROUND($AF124/60,4)))</f>
        <v/>
      </c>
      <c r="BR124" s="39" t="str">
        <f aca="false">IF($A124="","",IF($AC124="","",$AC124-$BD124-$BE124))</f>
        <v/>
      </c>
      <c r="BS124" s="45" t="str">
        <f aca="false">IF($A124="","",IF(AND(ISNUMBER($Z124),ISNUMBER($W124)),$Z124,0))</f>
        <v/>
      </c>
      <c r="BT124" s="45" t="str">
        <f aca="false">IF($A124="","",IF(ISNUMBER($W124),$W124,0))</f>
        <v/>
      </c>
      <c r="BU124" s="23" t="str">
        <f aca="false">IF($A124="","",IF(ISNUMBER($W124),ROUND(($W124-$B124)*24,4),""))</f>
        <v/>
      </c>
      <c r="BV124" s="23" t="str">
        <f aca="false">IF($A124="","",IF(ISNUMBER($X124),ROUND(($X124-$B124)*24,4),""))</f>
        <v/>
      </c>
      <c r="BW124" s="10" t="str">
        <f aca="false">IF($A124="","",IF(NOT(ISNUMBER($W124)),"Missing Calculated",IF(NOT(ISNUMBER($X124)),IF($E124="Client","Missing FA signed off","Missing Controlled"),IF($X124&lt;$W124,"End before start","OK"))))</f>
        <v/>
      </c>
      <c r="BX124" s="23" t="str">
        <f aca="false">IF($A124="","",IF(NOT(ISNUMBER($Z124)),"",ROUND((IF(ISNUMBER($U124),MIN($U124,$Z124),$Z124)-$B124)*24,4)))</f>
        <v/>
      </c>
      <c r="BY124" s="23" t="str">
        <f aca="false">IF($A124="","",IF(ISNUMBER($Z124),ROUND(($Z124-$B124)*24,4),""))</f>
        <v/>
      </c>
      <c r="BZ124" s="23" t="str">
        <f aca="false">IF($A124="","",IF(AND(ISNUMBER($W124),ISNUMBER($S124)),ROUND(($W124+$S124/1440-$B124)*24,4),""))</f>
        <v/>
      </c>
    </row>
    <row r="125" customFormat="false" ht="15" hidden="false" customHeight="true" outlineLevel="0" collapsed="false">
      <c r="A125" s="47"/>
      <c r="B125" s="47"/>
      <c r="D125" s="4" t="str">
        <f aca="false">IF($A125="","",$B125-$A125)</f>
        <v/>
      </c>
      <c r="E125" s="4" t="str">
        <f aca="false">IF($A125="","",IFERROR(VLOOKUP($C125,Dim_Fund!$A:$X,24,0),""))</f>
        <v/>
      </c>
      <c r="F125" s="37" t="str">
        <f aca="false">IF($A125="","",IF(COUNTIFS(Status_Log!$A:$A,$A125,Status_Log!$B:$B,$B125,Status_Log!$C:$C,$C125,Status_Log!$D:$D,"Changed to the status of Calculated")=0,"",_xlfn.MINIFS(Status_Log!$E:$E,Status_Log!$A:$A,$A125,Status_Log!$B:$B,$B125,Status_Log!$C:$C,$C125,Status_Log!$D:$D,"Changed to the status of Calculated")))</f>
        <v/>
      </c>
      <c r="G125" s="37" t="str">
        <f aca="false">IF($A125="","",IF(COUNTIFS(Status_Log!$A:$A,$A125,Status_Log!$B:$B,$B125,Status_Log!$C:$C,$C125,Status_Log!$D:$D,"Changed to the status of Controlled")=0,"",_xlfn.MAXIFS(Status_Log!$E:$E,Status_Log!$A:$A,$A125,Status_Log!$B:$B,$B125,Status_Log!$C:$C,$C125,Status_Log!$D:$D,"Changed to the status of Controlled")))</f>
        <v/>
      </c>
      <c r="H125" s="37" t="str">
        <f aca="false">IF($A125="","",IF(COUNTIFS(Status_Log!$A:$A,$A125,Status_Log!$B:$B,$B125,Status_Log!$C:$C,$C125,Status_Log!$D:$D,"Changed to the status of Fund accounting signed off")=0,"",_xlfn.MAXIFS(Status_Log!$E:$E,Status_Log!$A:$A,$A125,Status_Log!$B:$B,$B125,Status_Log!$C:$C,$C125,Status_Log!$D:$D,"Changed to the status of Fund accounting signed off")))</f>
        <v/>
      </c>
      <c r="I125" s="37" t="str">
        <f aca="false">IF($A125="","",IF(COUNTIFS(Status_Log!$A:$A,$A125,Status_Log!$B:$B,$B125,Status_Log!$C:$C,$C125,Status_Log!$D:$D,"Changed to the status of signed off")=0,"",_xlfn.MAXIFS(Status_Log!$E:$E,Status_Log!$A:$A,$A125,Status_Log!$B:$B,$B125,Status_Log!$C:$C,$C125,Status_Log!$D:$D,"Changed to the status of signed off")))</f>
        <v/>
      </c>
      <c r="J125" s="4" t="str">
        <f aca="false">IF($A125="","",COUNTIFS(Status_Log!$A:$A,$A125,Status_Log!$B:$B,$B125,Status_Log!$C:$C,$C125,Status_Log!$D:$D,"Changed to the status of Calculated"))</f>
        <v/>
      </c>
      <c r="K125" s="38" t="str">
        <f aca="false">IF($A125="","",IF(J125&lt;=1,0,ROUND((_xlfn.MAXIFS(Status_Log!$E:$E,Status_Log!$A:$A,$A125,Status_Log!$B:$B,$B125,Status_Log!$C:$C,$C125,Status_Log!$D:$D,"Changed to the status of Calculated")-F125)*1440,0)))</f>
        <v/>
      </c>
      <c r="L125" s="4" t="str">
        <f aca="false">IF($A125="","",IFERROR(INDEX(Status_Log!$F:$F,MATCH($A125&amp;"|"&amp;$B125&amp;"|"&amp;$C125&amp;"|Changed to the status of Calculated|"&amp;TEXT(_xlfn.MAXIFS(Status_Log!$E:$E,Status_Log!$A:$A,$A125,Status_Log!$B:$B,$B125,Status_Log!$C:$C,$C125,Status_Log!$D:$D,"Changed to the status of Calculated"),"0.000000"),Status_Log!$H:$H,0)),""))</f>
        <v/>
      </c>
      <c r="M125" s="4" t="str">
        <f aca="false">IF($A125="","",IF(E125="Client","n/a — no control step",IFERROR(INDEX(Status_Log!$F:$F,MATCH($A125&amp;"|"&amp;$B125&amp;"|"&amp;$C125&amp;"|Changed to the status of Controlled|"&amp;TEXT(_xlfn.MAXIFS(Status_Log!$E:$E,Status_Log!$A:$A,$A125,Status_Log!$B:$B,$B125,Status_Log!$C:$C,$C125,Status_Log!$D:$D,"Changed to the status of Controlled"),"0.000000"),Status_Log!$H:$H,0)),"")))</f>
        <v/>
      </c>
      <c r="N125" s="4" t="str">
        <f aca="false">IF($A125="","",IFERROR(VLOOKUP($C125,Dim_Fund!$A:$G,7,0),""))</f>
        <v/>
      </c>
      <c r="O125" s="4" t="str">
        <f aca="false">IF($A125="","",IF(L125=N125,"No","Yes"))</f>
        <v/>
      </c>
      <c r="P125" s="4" t="str">
        <f aca="false">IF($A125="","",IF(E125="Client","n/a",IF(L125=M125,"YES — four-eyes breach","No")))</f>
        <v/>
      </c>
      <c r="Q125" s="38" t="str">
        <f aca="false">IF($A125="","",IFERROR(VLOOKUP($C125,Dim_Fund!$A:$AB,28,0),""))</f>
        <v/>
      </c>
      <c r="R125" s="38" t="str">
        <f aca="false">IF($A125="","",IFERROR(VLOOKUP($C125,Dim_Fund!$A:$AC,29,0),""))</f>
        <v/>
      </c>
      <c r="S125" s="38" t="str">
        <f aca="false">IF($A125="","",IFERROR(VLOOKUP($C125,Dim_Fund!$A:$AD,30,0),""))</f>
        <v/>
      </c>
      <c r="T125" s="38" t="str">
        <f aca="false">IF($A125="","",IFERROR(VLOOKUP($C125,Dim_Fund!$A:$AL,38,0),""))</f>
        <v/>
      </c>
      <c r="U125" s="37" t="str">
        <f aca="false">IF($A125="","",IF(AL125="","",IFERROR(IF(COUNTIFS(Fact_Milestone!$A:$A,$B125,Fact_Milestone!$B:$B,AL125)=0,"",_xlfn.MAXIFS(Fact_Milestone!$C:$C,Fact_Milestone!$A:$A,$B125,Fact_Milestone!$B:$B,AL125)),"")))</f>
        <v/>
      </c>
      <c r="V125" s="37" t="str">
        <f aca="false">IF($A125="","",IFERROR(IF(VLOOKUP($C125,Dim_Fund!$A:$AI,35,0)&gt;0,$B125+VLOOKUP($C125,Dim_Fund!$A:$AI,35,0)/24,""),""))</f>
        <v/>
      </c>
      <c r="W125" s="37" t="str">
        <f aca="false">IF($A125="","",F125)</f>
        <v/>
      </c>
      <c r="X125" s="37" t="str">
        <f aca="false">IF($A125="","",IF(E125="Client",H125,G125))</f>
        <v/>
      </c>
      <c r="Y125" s="37" t="str">
        <f aca="false">IF($A125="","",I125)</f>
        <v/>
      </c>
      <c r="Z125" s="37" t="str">
        <f aca="false">IF($A125="","",IFERROR(W125-R125/1440,""))</f>
        <v/>
      </c>
      <c r="AA125" s="38" t="str">
        <f aca="false">IF($A125="","",IF(OR(U125="",V125=""),"",ROUND((V125-U125)*1440,0)))</f>
        <v/>
      </c>
      <c r="AB125" s="38" t="str">
        <f aca="false">IF($A125="","",IF(U125="","",ROUND((W125-U125)*1440,0)))</f>
        <v/>
      </c>
      <c r="AC125" s="38" t="str">
        <f aca="false">IF($A125="","",IF(AB125="","",MAX(0,AB125)))</f>
        <v/>
      </c>
      <c r="AD125" s="38" t="str">
        <f aca="false">IF($A125="","",IFERROR(ROUND((X125-W125)*1440,0),""))</f>
        <v/>
      </c>
      <c r="AE125" s="38" t="str">
        <f aca="false">IF($A125="","",IF(E125="Client","n/a",IFERROR(ROUND((H125-G125)*1440,0),"")))</f>
        <v/>
      </c>
      <c r="AF125" s="38" t="str">
        <f aca="false">IF($A125="","",IFERROR(ROUND((Y125-H125)*1440,0),""))</f>
        <v/>
      </c>
      <c r="AG125" s="38" t="str">
        <f aca="false">IF($A125="","",IFERROR(ROUND((H125-F125)*1440,0),""))</f>
        <v/>
      </c>
      <c r="AH125" s="38" t="str">
        <f aca="false">IF($A125="","",IFERROR(ROUND((Y125-V125)*1440,0),""))</f>
        <v/>
      </c>
      <c r="AI125" s="4" t="str">
        <f aca="false">IF($A125="","",IF(AH125="","",IF(AH125&gt;0,"Yes","No")))</f>
        <v/>
      </c>
      <c r="AJ125" s="4" t="str">
        <f aca="false">IF($A125="","",IF(AI125&lt;&gt;"Yes","On time",IF(N(AC125)&gt;=MAX(N(AF125),N(K125)),"Wait for analyst",IF(N(AF125)&gt;=N(K125),"External sign-off","Rework"))))</f>
        <v/>
      </c>
      <c r="AK125" s="4" t="str">
        <f aca="false">IF($A125="","",IF(OR(F125="",Y125="",ISNA(MATCH(L125,Dim_Analyst!$A:$A,0))),"CHECK","OK"))</f>
        <v/>
      </c>
      <c r="AL125" s="4" t="str">
        <f aca="false">IF($A125="","",IFERROR(VLOOKUP($C125,Dim_Fund!$A:$U,21,0),""))</f>
        <v/>
      </c>
      <c r="AM125" s="4" t="str">
        <f aca="false">IF($A125="","",IF($U125="","",IF($U125&gt;$B125+IFERROR(VLOOKUP($C125,Dim_Fund!$A:$AH,34,0),0)/24,"Yes","No")))</f>
        <v/>
      </c>
      <c r="AN125" s="22" t="str">
        <f aca="false">IF($A125="","",IFERROR(VLOOKUP($C125,Dim_Fund!$A:$AH,34,0),""))</f>
        <v/>
      </c>
      <c r="AO125" s="22" t="str">
        <f aca="false">IF($A125="","",IF($AL125="","",IFERROR(FLOOR(IF(COUNTIFS(Fact_Milestone!$A:$A,$B125,Fact_Milestone!$B:$B,$AL125,Fact_Milestone!$F:$F,"&gt;0")&gt;0,_xlfn.MINIFS(Fact_Milestone!$F:$F,Fact_Milestone!$A:$A,$B125,Fact_Milestone!$B:$B,$AL125,Fact_Milestone!$F:$F,"&gt;0"),VLOOKUP($AL125,Dim_TOP!$A:$E,5,0)),0.5),"")))</f>
        <v/>
      </c>
      <c r="AP125" s="22" t="str">
        <f aca="false">IF($A125="","",IF($U125="","",ROUND(($U125-INT($U125))*24,4)))</f>
        <v/>
      </c>
      <c r="AQ125" s="22" t="str">
        <f aca="false">IF($A125="","",IF($W125="","",ROUND(($W125-INT($W125))*24,4)))</f>
        <v/>
      </c>
      <c r="AR125" s="22" t="str">
        <f aca="false">IF($A125="","",IF($X125="","",ROUND(($X125-INT($X125))*24,4)))</f>
        <v/>
      </c>
      <c r="AS125" s="38" t="str">
        <f aca="false">IF($A125="","",IF(OR($AN125="",$V125="",$S125="",$T125=""),"",ROUND(($V125-($B125+$AN125/24))*1440-$S125-$T125,0)))</f>
        <v/>
      </c>
      <c r="AT125" s="38" t="str">
        <f aca="false">IF($A125="","",IF(OR($AN125="",$U125=""),"",ROUND(($U125-($B125+$AN125/24))*1440,0)))</f>
        <v/>
      </c>
      <c r="AU125" s="38" t="str">
        <f aca="false">IF($A125="","",IF(OR($AD125="",$S125=""),"",ROUND($AD125-$S125,0)))</f>
        <v/>
      </c>
      <c r="AV125" s="38" t="str">
        <f aca="false">IF($A125="","",N($AE125))</f>
        <v/>
      </c>
      <c r="AW125" s="38" t="str">
        <f aca="false">IF($A125="","",IF(OR($AF125="",$T125=""),"",$AF125-$T125))</f>
        <v/>
      </c>
      <c r="AX125" s="38" t="str">
        <f aca="false">IF($A125="","",IF(COUNT($AT125,$AB125,$AU125,$AW125,$AS125,$AH125)&lt;6,"",ROUND($AT125+$AB125+$AU125+$AV125+$AW125-$AS125-$AH125,0)))</f>
        <v/>
      </c>
      <c r="AY125" s="4" t="str">
        <f aca="false">IF($A125="","",IF($AX125="","No",IF(ABS($AX125)&lt;=2,"Yes","No")))</f>
        <v/>
      </c>
      <c r="AZ125" s="4" t="str">
        <f aca="false">IF($A125="","",IF($AI125&lt;&gt;"Yes","n/a",IF(OR($AA125="",$S125="",$T125=""),"Unknown",IF($AA125&lt;$S125+$T125,"Lost on arrival","Lost after arrival"))))</f>
        <v/>
      </c>
      <c r="BA125" s="10" t="str">
        <f aca="false">IF($A125="","",IFERROR(VLOOKUP($C125,Dim_Fund!$A:$D,4,0),""))</f>
        <v/>
      </c>
      <c r="BB125" s="10" t="str">
        <f aca="false">IF($A125="","",IF($AL125="","",IF(COUNTIFS(Fact_Milestone!$A:$A,$B125,Fact_Milestone!$B:$B,$AL125,Fact_Milestone!$I:$I,"No")&gt;0,"No",IF(COUNTIFS(Fact_Milestone!$A:$A,$B125,Fact_Milestone!$B:$B,$AL125,Fact_Milestone!$I:$I,"Yes")&gt;0,"Yes",""))))</f>
        <v/>
      </c>
      <c r="BC125" s="45" t="str">
        <f aca="false">IF($A125="","",IF(OR($L125="",$W125=""),"",IF(COUNTIFS($L:$L,$L125,$B:$B,$B125,$W:$W,"&lt;"&amp;$W125)=0,"",_xlfn.MAXIFS($W:$W,$L:$L,$L125,$B:$B,$B125,$W:$W,"&lt;"&amp;$W125))))</f>
        <v/>
      </c>
      <c r="BD125" s="39" t="str">
        <f aca="false">IF($A125="","",IF($AC125="","",IF(OR($L125="",$AC125=0),0,MIN($AC125,ROUND(ROUND(1440*SUMPRODUCT(($L$2:INDEX($L:$L,COUNTA($C:$C))=$L125)*($B$2:INDEX($B:$B,COUNTA($C:$C))=$B125)*(ROW($L$2:INDEX($L:$L,COUNTA($C:$C)))&lt;&gt;ROW())*((((($W125+$BT$2:INDEX($BT:$BT,COUNTA($C:$C))-ABS($W125-$BT$2:INDEX($BT:$BT,COUNTA($C:$C))))/2)-(($U125+$BS$2:INDEX($BS:$BS,COUNTA($C:$C))+ABS($U125-$BS$2:INDEX($BS:$BS,COUNTA($C:$C))))/2))+ABS(((($W125+$BT$2:INDEX($BT:$BT,COUNTA($C:$C))-ABS($W125-$BT$2:INDEX($BT:$BT,COUNTA($C:$C))))/2)-(($U125+$BS$2:INDEX($BS:$BS,COUNTA($C:$C))+ABS($U125-$BS$2:INDEX($BS:$BS,COUNTA($C:$C))))/2))))/2)),4),0)))))</f>
        <v/>
      </c>
      <c r="BE125" s="39" t="str">
        <f aca="false">IF($A125="","",IF($AC125="","",ROUND(MIN($AC125-$BD125,N($R125)),0)))</f>
        <v/>
      </c>
      <c r="BF125" s="10" t="str">
        <f aca="false">IF($A125="","",IFERROR(VLOOKUP($C125,Dim_Fund!$A:$BD,56,0),""))</f>
        <v/>
      </c>
      <c r="BG125" s="10" t="str">
        <f aca="false">IF($A125="","",IFERROR(VLOOKUP($C125,Dim_Fund!$A:$BH,60,0),""))</f>
        <v/>
      </c>
      <c r="BH125" s="10" t="str">
        <f aca="false">IF($A125="","",IF($AI125&lt;&gt;"Yes","Not breached",IF($AM125="Yes","Pricing late",IF($BG125="Thin custody slack","Thin custody slack",IF($BF125="Yes","Broker-dependent","None of these")))))</f>
        <v/>
      </c>
      <c r="BI125" s="23" t="str">
        <f aca="false">IF($A125="","",IFERROR(IF(VLOOKUP($C125,Dim_Fund!$A:$AI,35,0)&gt;0,VLOOKUP($C125,Dim_Fund!$A:$AI,35,0),""),""))</f>
        <v/>
      </c>
      <c r="BJ125" s="10" t="str">
        <f aca="false">IF($A125="","",$C125&amp;IF($E125="Client","*",""))</f>
        <v/>
      </c>
      <c r="BK125" s="39" t="str">
        <f aca="false">IF($A125="","",IFERROR(ROUND(($Y125-$X125)*1440,0),""))</f>
        <v/>
      </c>
      <c r="BL125" s="39" t="str">
        <f aca="false">IF($A125="","",IF($AH125="","",-$AH125))</f>
        <v/>
      </c>
      <c r="BM125" s="46" t="str">
        <f aca="false">IF($A125="","",IF($AQ125="","",IF($AP125="",$AQ125,MIN($AP125,$AQ125))))</f>
        <v/>
      </c>
      <c r="BN125" s="46" t="str">
        <f aca="false">IF($A125="","",IF($BM125="","",ROUND(N($AC125)/60,4)))</f>
        <v/>
      </c>
      <c r="BO125" s="46" t="str">
        <f aca="false">IF($A125="","",IF(OR($BM125="",$AD125=""),"",ROUND($AD125/60,4)))</f>
        <v/>
      </c>
      <c r="BP125" s="46" t="str">
        <f aca="false">IF($A125="","",IF($BM125="","",ROUND(N($AE125)/60,4)))</f>
        <v/>
      </c>
      <c r="BQ125" s="46" t="str">
        <f aca="false">IF($A125="","",IF(OR($BM125="",$AF125=""),"",ROUND($AF125/60,4)))</f>
        <v/>
      </c>
      <c r="BR125" s="39" t="str">
        <f aca="false">IF($A125="","",IF($AC125="","",$AC125-$BD125-$BE125))</f>
        <v/>
      </c>
      <c r="BS125" s="45" t="str">
        <f aca="false">IF($A125="","",IF(AND(ISNUMBER($Z125),ISNUMBER($W125)),$Z125,0))</f>
        <v/>
      </c>
      <c r="BT125" s="45" t="str">
        <f aca="false">IF($A125="","",IF(ISNUMBER($W125),$W125,0))</f>
        <v/>
      </c>
      <c r="BU125" s="23" t="str">
        <f aca="false">IF($A125="","",IF(ISNUMBER($W125),ROUND(($W125-$B125)*24,4),""))</f>
        <v/>
      </c>
      <c r="BV125" s="23" t="str">
        <f aca="false">IF($A125="","",IF(ISNUMBER($X125),ROUND(($X125-$B125)*24,4),""))</f>
        <v/>
      </c>
      <c r="BW125" s="10" t="str">
        <f aca="false">IF($A125="","",IF(NOT(ISNUMBER($W125)),"Missing Calculated",IF(NOT(ISNUMBER($X125)),IF($E125="Client","Missing FA signed off","Missing Controlled"),IF($X125&lt;$W125,"End before start","OK"))))</f>
        <v/>
      </c>
      <c r="BX125" s="23" t="str">
        <f aca="false">IF($A125="","",IF(NOT(ISNUMBER($Z125)),"",ROUND((IF(ISNUMBER($U125),MIN($U125,$Z125),$Z125)-$B125)*24,4)))</f>
        <v/>
      </c>
      <c r="BY125" s="23" t="str">
        <f aca="false">IF($A125="","",IF(ISNUMBER($Z125),ROUND(($Z125-$B125)*24,4),""))</f>
        <v/>
      </c>
      <c r="BZ125" s="23" t="str">
        <f aca="false">IF($A125="","",IF(AND(ISNUMBER($W125),ISNUMBER($S125)),ROUND(($W125+$S125/1440-$B125)*24,4),""))</f>
        <v/>
      </c>
    </row>
    <row r="126" customFormat="false" ht="15" hidden="false" customHeight="true" outlineLevel="0" collapsed="false">
      <c r="A126" s="47"/>
      <c r="B126" s="47"/>
      <c r="D126" s="4" t="str">
        <f aca="false">IF($A126="","",$B126-$A126)</f>
        <v/>
      </c>
      <c r="E126" s="4" t="str">
        <f aca="false">IF($A126="","",IFERROR(VLOOKUP($C126,Dim_Fund!$A:$X,24,0),""))</f>
        <v/>
      </c>
      <c r="F126" s="37" t="str">
        <f aca="false">IF($A126="","",IF(COUNTIFS(Status_Log!$A:$A,$A126,Status_Log!$B:$B,$B126,Status_Log!$C:$C,$C126,Status_Log!$D:$D,"Changed to the status of Calculated")=0,"",_xlfn.MINIFS(Status_Log!$E:$E,Status_Log!$A:$A,$A126,Status_Log!$B:$B,$B126,Status_Log!$C:$C,$C126,Status_Log!$D:$D,"Changed to the status of Calculated")))</f>
        <v/>
      </c>
      <c r="G126" s="37" t="str">
        <f aca="false">IF($A126="","",IF(COUNTIFS(Status_Log!$A:$A,$A126,Status_Log!$B:$B,$B126,Status_Log!$C:$C,$C126,Status_Log!$D:$D,"Changed to the status of Controlled")=0,"",_xlfn.MAXIFS(Status_Log!$E:$E,Status_Log!$A:$A,$A126,Status_Log!$B:$B,$B126,Status_Log!$C:$C,$C126,Status_Log!$D:$D,"Changed to the status of Controlled")))</f>
        <v/>
      </c>
      <c r="H126" s="37" t="str">
        <f aca="false">IF($A126="","",IF(COUNTIFS(Status_Log!$A:$A,$A126,Status_Log!$B:$B,$B126,Status_Log!$C:$C,$C126,Status_Log!$D:$D,"Changed to the status of Fund accounting signed off")=0,"",_xlfn.MAXIFS(Status_Log!$E:$E,Status_Log!$A:$A,$A126,Status_Log!$B:$B,$B126,Status_Log!$C:$C,$C126,Status_Log!$D:$D,"Changed to the status of Fund accounting signed off")))</f>
        <v/>
      </c>
      <c r="I126" s="37" t="str">
        <f aca="false">IF($A126="","",IF(COUNTIFS(Status_Log!$A:$A,$A126,Status_Log!$B:$B,$B126,Status_Log!$C:$C,$C126,Status_Log!$D:$D,"Changed to the status of signed off")=0,"",_xlfn.MAXIFS(Status_Log!$E:$E,Status_Log!$A:$A,$A126,Status_Log!$B:$B,$B126,Status_Log!$C:$C,$C126,Status_Log!$D:$D,"Changed to the status of signed off")))</f>
        <v/>
      </c>
      <c r="J126" s="4" t="str">
        <f aca="false">IF($A126="","",COUNTIFS(Status_Log!$A:$A,$A126,Status_Log!$B:$B,$B126,Status_Log!$C:$C,$C126,Status_Log!$D:$D,"Changed to the status of Calculated"))</f>
        <v/>
      </c>
      <c r="K126" s="38" t="str">
        <f aca="false">IF($A126="","",IF(J126&lt;=1,0,ROUND((_xlfn.MAXIFS(Status_Log!$E:$E,Status_Log!$A:$A,$A126,Status_Log!$B:$B,$B126,Status_Log!$C:$C,$C126,Status_Log!$D:$D,"Changed to the status of Calculated")-F126)*1440,0)))</f>
        <v/>
      </c>
      <c r="L126" s="4" t="str">
        <f aca="false">IF($A126="","",IFERROR(INDEX(Status_Log!$F:$F,MATCH($A126&amp;"|"&amp;$B126&amp;"|"&amp;$C126&amp;"|Changed to the status of Calculated|"&amp;TEXT(_xlfn.MAXIFS(Status_Log!$E:$E,Status_Log!$A:$A,$A126,Status_Log!$B:$B,$B126,Status_Log!$C:$C,$C126,Status_Log!$D:$D,"Changed to the status of Calculated"),"0.000000"),Status_Log!$H:$H,0)),""))</f>
        <v/>
      </c>
      <c r="M126" s="4" t="str">
        <f aca="false">IF($A126="","",IF(E126="Client","n/a — no control step",IFERROR(INDEX(Status_Log!$F:$F,MATCH($A126&amp;"|"&amp;$B126&amp;"|"&amp;$C126&amp;"|Changed to the status of Controlled|"&amp;TEXT(_xlfn.MAXIFS(Status_Log!$E:$E,Status_Log!$A:$A,$A126,Status_Log!$B:$B,$B126,Status_Log!$C:$C,$C126,Status_Log!$D:$D,"Changed to the status of Controlled"),"0.000000"),Status_Log!$H:$H,0)),"")))</f>
        <v/>
      </c>
      <c r="N126" s="4" t="str">
        <f aca="false">IF($A126="","",IFERROR(VLOOKUP($C126,Dim_Fund!$A:$G,7,0),""))</f>
        <v/>
      </c>
      <c r="O126" s="4" t="str">
        <f aca="false">IF($A126="","",IF(L126=N126,"No","Yes"))</f>
        <v/>
      </c>
      <c r="P126" s="4" t="str">
        <f aca="false">IF($A126="","",IF(E126="Client","n/a",IF(L126=M126,"YES — four-eyes breach","No")))</f>
        <v/>
      </c>
      <c r="Q126" s="38" t="str">
        <f aca="false">IF($A126="","",IFERROR(VLOOKUP($C126,Dim_Fund!$A:$AB,28,0),""))</f>
        <v/>
      </c>
      <c r="R126" s="38" t="str">
        <f aca="false">IF($A126="","",IFERROR(VLOOKUP($C126,Dim_Fund!$A:$AC,29,0),""))</f>
        <v/>
      </c>
      <c r="S126" s="38" t="str">
        <f aca="false">IF($A126="","",IFERROR(VLOOKUP($C126,Dim_Fund!$A:$AD,30,0),""))</f>
        <v/>
      </c>
      <c r="T126" s="38" t="str">
        <f aca="false">IF($A126="","",IFERROR(VLOOKUP($C126,Dim_Fund!$A:$AL,38,0),""))</f>
        <v/>
      </c>
      <c r="U126" s="37" t="str">
        <f aca="false">IF($A126="","",IF(AL126="","",IFERROR(IF(COUNTIFS(Fact_Milestone!$A:$A,$B126,Fact_Milestone!$B:$B,AL126)=0,"",_xlfn.MAXIFS(Fact_Milestone!$C:$C,Fact_Milestone!$A:$A,$B126,Fact_Milestone!$B:$B,AL126)),"")))</f>
        <v/>
      </c>
      <c r="V126" s="37" t="str">
        <f aca="false">IF($A126="","",IFERROR(IF(VLOOKUP($C126,Dim_Fund!$A:$AI,35,0)&gt;0,$B126+VLOOKUP($C126,Dim_Fund!$A:$AI,35,0)/24,""),""))</f>
        <v/>
      </c>
      <c r="W126" s="37" t="str">
        <f aca="false">IF($A126="","",F126)</f>
        <v/>
      </c>
      <c r="X126" s="37" t="str">
        <f aca="false">IF($A126="","",IF(E126="Client",H126,G126))</f>
        <v/>
      </c>
      <c r="Y126" s="37" t="str">
        <f aca="false">IF($A126="","",I126)</f>
        <v/>
      </c>
      <c r="Z126" s="37" t="str">
        <f aca="false">IF($A126="","",IFERROR(W126-R126/1440,""))</f>
        <v/>
      </c>
      <c r="AA126" s="38" t="str">
        <f aca="false">IF($A126="","",IF(OR(U126="",V126=""),"",ROUND((V126-U126)*1440,0)))</f>
        <v/>
      </c>
      <c r="AB126" s="38" t="str">
        <f aca="false">IF($A126="","",IF(U126="","",ROUND((W126-U126)*1440,0)))</f>
        <v/>
      </c>
      <c r="AC126" s="38" t="str">
        <f aca="false">IF($A126="","",IF(AB126="","",MAX(0,AB126)))</f>
        <v/>
      </c>
      <c r="AD126" s="38" t="str">
        <f aca="false">IF($A126="","",IFERROR(ROUND((X126-W126)*1440,0),""))</f>
        <v/>
      </c>
      <c r="AE126" s="38" t="str">
        <f aca="false">IF($A126="","",IF(E126="Client","n/a",IFERROR(ROUND((H126-G126)*1440,0),"")))</f>
        <v/>
      </c>
      <c r="AF126" s="38" t="str">
        <f aca="false">IF($A126="","",IFERROR(ROUND((Y126-H126)*1440,0),""))</f>
        <v/>
      </c>
      <c r="AG126" s="38" t="str">
        <f aca="false">IF($A126="","",IFERROR(ROUND((H126-F126)*1440,0),""))</f>
        <v/>
      </c>
      <c r="AH126" s="38" t="str">
        <f aca="false">IF($A126="","",IFERROR(ROUND((Y126-V126)*1440,0),""))</f>
        <v/>
      </c>
      <c r="AI126" s="4" t="str">
        <f aca="false">IF($A126="","",IF(AH126="","",IF(AH126&gt;0,"Yes","No")))</f>
        <v/>
      </c>
      <c r="AJ126" s="4" t="str">
        <f aca="false">IF($A126="","",IF(AI126&lt;&gt;"Yes","On time",IF(N(AC126)&gt;=MAX(N(AF126),N(K126)),"Wait for analyst",IF(N(AF126)&gt;=N(K126),"External sign-off","Rework"))))</f>
        <v/>
      </c>
      <c r="AK126" s="4" t="str">
        <f aca="false">IF($A126="","",IF(OR(F126="",Y126="",ISNA(MATCH(L126,Dim_Analyst!$A:$A,0))),"CHECK","OK"))</f>
        <v/>
      </c>
      <c r="AL126" s="4" t="str">
        <f aca="false">IF($A126="","",IFERROR(VLOOKUP($C126,Dim_Fund!$A:$U,21,0),""))</f>
        <v/>
      </c>
      <c r="AM126" s="4" t="str">
        <f aca="false">IF($A126="","",IF($U126="","",IF($U126&gt;$B126+IFERROR(VLOOKUP($C126,Dim_Fund!$A:$AH,34,0),0)/24,"Yes","No")))</f>
        <v/>
      </c>
      <c r="AN126" s="22" t="str">
        <f aca="false">IF($A126="","",IFERROR(VLOOKUP($C126,Dim_Fund!$A:$AH,34,0),""))</f>
        <v/>
      </c>
      <c r="AO126" s="22" t="str">
        <f aca="false">IF($A126="","",IF($AL126="","",IFERROR(FLOOR(IF(COUNTIFS(Fact_Milestone!$A:$A,$B126,Fact_Milestone!$B:$B,$AL126,Fact_Milestone!$F:$F,"&gt;0")&gt;0,_xlfn.MINIFS(Fact_Milestone!$F:$F,Fact_Milestone!$A:$A,$B126,Fact_Milestone!$B:$B,$AL126,Fact_Milestone!$F:$F,"&gt;0"),VLOOKUP($AL126,Dim_TOP!$A:$E,5,0)),0.5),"")))</f>
        <v/>
      </c>
      <c r="AP126" s="22" t="str">
        <f aca="false">IF($A126="","",IF($U126="","",ROUND(($U126-INT($U126))*24,4)))</f>
        <v/>
      </c>
      <c r="AQ126" s="22" t="str">
        <f aca="false">IF($A126="","",IF($W126="","",ROUND(($W126-INT($W126))*24,4)))</f>
        <v/>
      </c>
      <c r="AR126" s="22" t="str">
        <f aca="false">IF($A126="","",IF($X126="","",ROUND(($X126-INT($X126))*24,4)))</f>
        <v/>
      </c>
      <c r="AS126" s="38" t="str">
        <f aca="false">IF($A126="","",IF(OR($AN126="",$V126="",$S126="",$T126=""),"",ROUND(($V126-($B126+$AN126/24))*1440-$S126-$T126,0)))</f>
        <v/>
      </c>
      <c r="AT126" s="38" t="str">
        <f aca="false">IF($A126="","",IF(OR($AN126="",$U126=""),"",ROUND(($U126-($B126+$AN126/24))*1440,0)))</f>
        <v/>
      </c>
      <c r="AU126" s="38" t="str">
        <f aca="false">IF($A126="","",IF(OR($AD126="",$S126=""),"",ROUND($AD126-$S126,0)))</f>
        <v/>
      </c>
      <c r="AV126" s="38" t="str">
        <f aca="false">IF($A126="","",N($AE126))</f>
        <v/>
      </c>
      <c r="AW126" s="38" t="str">
        <f aca="false">IF($A126="","",IF(OR($AF126="",$T126=""),"",$AF126-$T126))</f>
        <v/>
      </c>
      <c r="AX126" s="38" t="str">
        <f aca="false">IF($A126="","",IF(COUNT($AT126,$AB126,$AU126,$AW126,$AS126,$AH126)&lt;6,"",ROUND($AT126+$AB126+$AU126+$AV126+$AW126-$AS126-$AH126,0)))</f>
        <v/>
      </c>
      <c r="AY126" s="4" t="str">
        <f aca="false">IF($A126="","",IF($AX126="","No",IF(ABS($AX126)&lt;=2,"Yes","No")))</f>
        <v/>
      </c>
      <c r="AZ126" s="4" t="str">
        <f aca="false">IF($A126="","",IF($AI126&lt;&gt;"Yes","n/a",IF(OR($AA126="",$S126="",$T126=""),"Unknown",IF($AA126&lt;$S126+$T126,"Lost on arrival","Lost after arrival"))))</f>
        <v/>
      </c>
      <c r="BA126" s="10" t="str">
        <f aca="false">IF($A126="","",IFERROR(VLOOKUP($C126,Dim_Fund!$A:$D,4,0),""))</f>
        <v/>
      </c>
      <c r="BB126" s="10" t="str">
        <f aca="false">IF($A126="","",IF($AL126="","",IF(COUNTIFS(Fact_Milestone!$A:$A,$B126,Fact_Milestone!$B:$B,$AL126,Fact_Milestone!$I:$I,"No")&gt;0,"No",IF(COUNTIFS(Fact_Milestone!$A:$A,$B126,Fact_Milestone!$B:$B,$AL126,Fact_Milestone!$I:$I,"Yes")&gt;0,"Yes",""))))</f>
        <v/>
      </c>
      <c r="BC126" s="45" t="str">
        <f aca="false">IF($A126="","",IF(OR($L126="",$W126=""),"",IF(COUNTIFS($L:$L,$L126,$B:$B,$B126,$W:$W,"&lt;"&amp;$W126)=0,"",_xlfn.MAXIFS($W:$W,$L:$L,$L126,$B:$B,$B126,$W:$W,"&lt;"&amp;$W126))))</f>
        <v/>
      </c>
      <c r="BD126" s="39" t="str">
        <f aca="false">IF($A126="","",IF($AC126="","",IF(OR($L126="",$AC126=0),0,MIN($AC126,ROUND(ROUND(1440*SUMPRODUCT(($L$2:INDEX($L:$L,COUNTA($C:$C))=$L126)*($B$2:INDEX($B:$B,COUNTA($C:$C))=$B126)*(ROW($L$2:INDEX($L:$L,COUNTA($C:$C)))&lt;&gt;ROW())*((((($W126+$BT$2:INDEX($BT:$BT,COUNTA($C:$C))-ABS($W126-$BT$2:INDEX($BT:$BT,COUNTA($C:$C))))/2)-(($U126+$BS$2:INDEX($BS:$BS,COUNTA($C:$C))+ABS($U126-$BS$2:INDEX($BS:$BS,COUNTA($C:$C))))/2))+ABS(((($W126+$BT$2:INDEX($BT:$BT,COUNTA($C:$C))-ABS($W126-$BT$2:INDEX($BT:$BT,COUNTA($C:$C))))/2)-(($U126+$BS$2:INDEX($BS:$BS,COUNTA($C:$C))+ABS($U126-$BS$2:INDEX($BS:$BS,COUNTA($C:$C))))/2))))/2)),4),0)))))</f>
        <v/>
      </c>
      <c r="BE126" s="39" t="str">
        <f aca="false">IF($A126="","",IF($AC126="","",ROUND(MIN($AC126-$BD126,N($R126)),0)))</f>
        <v/>
      </c>
      <c r="BF126" s="10" t="str">
        <f aca="false">IF($A126="","",IFERROR(VLOOKUP($C126,Dim_Fund!$A:$BD,56,0),""))</f>
        <v/>
      </c>
      <c r="BG126" s="10" t="str">
        <f aca="false">IF($A126="","",IFERROR(VLOOKUP($C126,Dim_Fund!$A:$BH,60,0),""))</f>
        <v/>
      </c>
      <c r="BH126" s="10" t="str">
        <f aca="false">IF($A126="","",IF($AI126&lt;&gt;"Yes","Not breached",IF($AM126="Yes","Pricing late",IF($BG126="Thin custody slack","Thin custody slack",IF($BF126="Yes","Broker-dependent","None of these")))))</f>
        <v/>
      </c>
      <c r="BI126" s="23" t="str">
        <f aca="false">IF($A126="","",IFERROR(IF(VLOOKUP($C126,Dim_Fund!$A:$AI,35,0)&gt;0,VLOOKUP($C126,Dim_Fund!$A:$AI,35,0),""),""))</f>
        <v/>
      </c>
      <c r="BJ126" s="10" t="str">
        <f aca="false">IF($A126="","",$C126&amp;IF($E126="Client","*",""))</f>
        <v/>
      </c>
      <c r="BK126" s="39" t="str">
        <f aca="false">IF($A126="","",IFERROR(ROUND(($Y126-$X126)*1440,0),""))</f>
        <v/>
      </c>
      <c r="BL126" s="39" t="str">
        <f aca="false">IF($A126="","",IF($AH126="","",-$AH126))</f>
        <v/>
      </c>
      <c r="BM126" s="46" t="str">
        <f aca="false">IF($A126="","",IF($AQ126="","",IF($AP126="",$AQ126,MIN($AP126,$AQ126))))</f>
        <v/>
      </c>
      <c r="BN126" s="46" t="str">
        <f aca="false">IF($A126="","",IF($BM126="","",ROUND(N($AC126)/60,4)))</f>
        <v/>
      </c>
      <c r="BO126" s="46" t="str">
        <f aca="false">IF($A126="","",IF(OR($BM126="",$AD126=""),"",ROUND($AD126/60,4)))</f>
        <v/>
      </c>
      <c r="BP126" s="46" t="str">
        <f aca="false">IF($A126="","",IF($BM126="","",ROUND(N($AE126)/60,4)))</f>
        <v/>
      </c>
      <c r="BQ126" s="46" t="str">
        <f aca="false">IF($A126="","",IF(OR($BM126="",$AF126=""),"",ROUND($AF126/60,4)))</f>
        <v/>
      </c>
      <c r="BR126" s="39" t="str">
        <f aca="false">IF($A126="","",IF($AC126="","",$AC126-$BD126-$BE126))</f>
        <v/>
      </c>
      <c r="BS126" s="45" t="str">
        <f aca="false">IF($A126="","",IF(AND(ISNUMBER($Z126),ISNUMBER($W126)),$Z126,0))</f>
        <v/>
      </c>
      <c r="BT126" s="45" t="str">
        <f aca="false">IF($A126="","",IF(ISNUMBER($W126),$W126,0))</f>
        <v/>
      </c>
      <c r="BU126" s="23" t="str">
        <f aca="false">IF($A126="","",IF(ISNUMBER($W126),ROUND(($W126-$B126)*24,4),""))</f>
        <v/>
      </c>
      <c r="BV126" s="23" t="str">
        <f aca="false">IF($A126="","",IF(ISNUMBER($X126),ROUND(($X126-$B126)*24,4),""))</f>
        <v/>
      </c>
      <c r="BW126" s="10" t="str">
        <f aca="false">IF($A126="","",IF(NOT(ISNUMBER($W126)),"Missing Calculated",IF(NOT(ISNUMBER($X126)),IF($E126="Client","Missing FA signed off","Missing Controlled"),IF($X126&lt;$W126,"End before start","OK"))))</f>
        <v/>
      </c>
      <c r="BX126" s="23" t="str">
        <f aca="false">IF($A126="","",IF(NOT(ISNUMBER($Z126)),"",ROUND((IF(ISNUMBER($U126),MIN($U126,$Z126),$Z126)-$B126)*24,4)))</f>
        <v/>
      </c>
      <c r="BY126" s="23" t="str">
        <f aca="false">IF($A126="","",IF(ISNUMBER($Z126),ROUND(($Z126-$B126)*24,4),""))</f>
        <v/>
      </c>
      <c r="BZ126" s="23" t="str">
        <f aca="false">IF($A126="","",IF(AND(ISNUMBER($W126),ISNUMBER($S126)),ROUND(($W126+$S126/1440-$B126)*24,4),""))</f>
        <v/>
      </c>
    </row>
    <row r="127" customFormat="false" ht="15" hidden="false" customHeight="true" outlineLevel="0" collapsed="false">
      <c r="A127" s="47"/>
      <c r="B127" s="47"/>
      <c r="D127" s="4" t="str">
        <f aca="false">IF($A127="","",$B127-$A127)</f>
        <v/>
      </c>
      <c r="E127" s="4" t="str">
        <f aca="false">IF($A127="","",IFERROR(VLOOKUP($C127,Dim_Fund!$A:$X,24,0),""))</f>
        <v/>
      </c>
      <c r="F127" s="37" t="str">
        <f aca="false">IF($A127="","",IF(COUNTIFS(Status_Log!$A:$A,$A127,Status_Log!$B:$B,$B127,Status_Log!$C:$C,$C127,Status_Log!$D:$D,"Changed to the status of Calculated")=0,"",_xlfn.MINIFS(Status_Log!$E:$E,Status_Log!$A:$A,$A127,Status_Log!$B:$B,$B127,Status_Log!$C:$C,$C127,Status_Log!$D:$D,"Changed to the status of Calculated")))</f>
        <v/>
      </c>
      <c r="G127" s="37" t="str">
        <f aca="false">IF($A127="","",IF(COUNTIFS(Status_Log!$A:$A,$A127,Status_Log!$B:$B,$B127,Status_Log!$C:$C,$C127,Status_Log!$D:$D,"Changed to the status of Controlled")=0,"",_xlfn.MAXIFS(Status_Log!$E:$E,Status_Log!$A:$A,$A127,Status_Log!$B:$B,$B127,Status_Log!$C:$C,$C127,Status_Log!$D:$D,"Changed to the status of Controlled")))</f>
        <v/>
      </c>
      <c r="H127" s="37" t="str">
        <f aca="false">IF($A127="","",IF(COUNTIFS(Status_Log!$A:$A,$A127,Status_Log!$B:$B,$B127,Status_Log!$C:$C,$C127,Status_Log!$D:$D,"Changed to the status of Fund accounting signed off")=0,"",_xlfn.MAXIFS(Status_Log!$E:$E,Status_Log!$A:$A,$A127,Status_Log!$B:$B,$B127,Status_Log!$C:$C,$C127,Status_Log!$D:$D,"Changed to the status of Fund accounting signed off")))</f>
        <v/>
      </c>
      <c r="I127" s="37" t="str">
        <f aca="false">IF($A127="","",IF(COUNTIFS(Status_Log!$A:$A,$A127,Status_Log!$B:$B,$B127,Status_Log!$C:$C,$C127,Status_Log!$D:$D,"Changed to the status of signed off")=0,"",_xlfn.MAXIFS(Status_Log!$E:$E,Status_Log!$A:$A,$A127,Status_Log!$B:$B,$B127,Status_Log!$C:$C,$C127,Status_Log!$D:$D,"Changed to the status of signed off")))</f>
        <v/>
      </c>
      <c r="J127" s="4" t="str">
        <f aca="false">IF($A127="","",COUNTIFS(Status_Log!$A:$A,$A127,Status_Log!$B:$B,$B127,Status_Log!$C:$C,$C127,Status_Log!$D:$D,"Changed to the status of Calculated"))</f>
        <v/>
      </c>
      <c r="K127" s="38" t="str">
        <f aca="false">IF($A127="","",IF(J127&lt;=1,0,ROUND((_xlfn.MAXIFS(Status_Log!$E:$E,Status_Log!$A:$A,$A127,Status_Log!$B:$B,$B127,Status_Log!$C:$C,$C127,Status_Log!$D:$D,"Changed to the status of Calculated")-F127)*1440,0)))</f>
        <v/>
      </c>
      <c r="L127" s="4" t="str">
        <f aca="false">IF($A127="","",IFERROR(INDEX(Status_Log!$F:$F,MATCH($A127&amp;"|"&amp;$B127&amp;"|"&amp;$C127&amp;"|Changed to the status of Calculated|"&amp;TEXT(_xlfn.MAXIFS(Status_Log!$E:$E,Status_Log!$A:$A,$A127,Status_Log!$B:$B,$B127,Status_Log!$C:$C,$C127,Status_Log!$D:$D,"Changed to the status of Calculated"),"0.000000"),Status_Log!$H:$H,0)),""))</f>
        <v/>
      </c>
      <c r="M127" s="4" t="str">
        <f aca="false">IF($A127="","",IF(E127="Client","n/a — no control step",IFERROR(INDEX(Status_Log!$F:$F,MATCH($A127&amp;"|"&amp;$B127&amp;"|"&amp;$C127&amp;"|Changed to the status of Controlled|"&amp;TEXT(_xlfn.MAXIFS(Status_Log!$E:$E,Status_Log!$A:$A,$A127,Status_Log!$B:$B,$B127,Status_Log!$C:$C,$C127,Status_Log!$D:$D,"Changed to the status of Controlled"),"0.000000"),Status_Log!$H:$H,0)),"")))</f>
        <v/>
      </c>
      <c r="N127" s="4" t="str">
        <f aca="false">IF($A127="","",IFERROR(VLOOKUP($C127,Dim_Fund!$A:$G,7,0),""))</f>
        <v/>
      </c>
      <c r="O127" s="4" t="str">
        <f aca="false">IF($A127="","",IF(L127=N127,"No","Yes"))</f>
        <v/>
      </c>
      <c r="P127" s="4" t="str">
        <f aca="false">IF($A127="","",IF(E127="Client","n/a",IF(L127=M127,"YES — four-eyes breach","No")))</f>
        <v/>
      </c>
      <c r="Q127" s="38" t="str">
        <f aca="false">IF($A127="","",IFERROR(VLOOKUP($C127,Dim_Fund!$A:$AB,28,0),""))</f>
        <v/>
      </c>
      <c r="R127" s="38" t="str">
        <f aca="false">IF($A127="","",IFERROR(VLOOKUP($C127,Dim_Fund!$A:$AC,29,0),""))</f>
        <v/>
      </c>
      <c r="S127" s="38" t="str">
        <f aca="false">IF($A127="","",IFERROR(VLOOKUP($C127,Dim_Fund!$A:$AD,30,0),""))</f>
        <v/>
      </c>
      <c r="T127" s="38" t="str">
        <f aca="false">IF($A127="","",IFERROR(VLOOKUP($C127,Dim_Fund!$A:$AL,38,0),""))</f>
        <v/>
      </c>
      <c r="U127" s="37" t="str">
        <f aca="false">IF($A127="","",IF(AL127="","",IFERROR(IF(COUNTIFS(Fact_Milestone!$A:$A,$B127,Fact_Milestone!$B:$B,AL127)=0,"",_xlfn.MAXIFS(Fact_Milestone!$C:$C,Fact_Milestone!$A:$A,$B127,Fact_Milestone!$B:$B,AL127)),"")))</f>
        <v/>
      </c>
      <c r="V127" s="37" t="str">
        <f aca="false">IF($A127="","",IFERROR(IF(VLOOKUP($C127,Dim_Fund!$A:$AI,35,0)&gt;0,$B127+VLOOKUP($C127,Dim_Fund!$A:$AI,35,0)/24,""),""))</f>
        <v/>
      </c>
      <c r="W127" s="37" t="str">
        <f aca="false">IF($A127="","",F127)</f>
        <v/>
      </c>
      <c r="X127" s="37" t="str">
        <f aca="false">IF($A127="","",IF(E127="Client",H127,G127))</f>
        <v/>
      </c>
      <c r="Y127" s="37" t="str">
        <f aca="false">IF($A127="","",I127)</f>
        <v/>
      </c>
      <c r="Z127" s="37" t="str">
        <f aca="false">IF($A127="","",IFERROR(W127-R127/1440,""))</f>
        <v/>
      </c>
      <c r="AA127" s="38" t="str">
        <f aca="false">IF($A127="","",IF(OR(U127="",V127=""),"",ROUND((V127-U127)*1440,0)))</f>
        <v/>
      </c>
      <c r="AB127" s="38" t="str">
        <f aca="false">IF($A127="","",IF(U127="","",ROUND((W127-U127)*1440,0)))</f>
        <v/>
      </c>
      <c r="AC127" s="38" t="str">
        <f aca="false">IF($A127="","",IF(AB127="","",MAX(0,AB127)))</f>
        <v/>
      </c>
      <c r="AD127" s="38" t="str">
        <f aca="false">IF($A127="","",IFERROR(ROUND((X127-W127)*1440,0),""))</f>
        <v/>
      </c>
      <c r="AE127" s="38" t="str">
        <f aca="false">IF($A127="","",IF(E127="Client","n/a",IFERROR(ROUND((H127-G127)*1440,0),"")))</f>
        <v/>
      </c>
      <c r="AF127" s="38" t="str">
        <f aca="false">IF($A127="","",IFERROR(ROUND((Y127-H127)*1440,0),""))</f>
        <v/>
      </c>
      <c r="AG127" s="38" t="str">
        <f aca="false">IF($A127="","",IFERROR(ROUND((H127-F127)*1440,0),""))</f>
        <v/>
      </c>
      <c r="AH127" s="38" t="str">
        <f aca="false">IF($A127="","",IFERROR(ROUND((Y127-V127)*1440,0),""))</f>
        <v/>
      </c>
      <c r="AI127" s="4" t="str">
        <f aca="false">IF($A127="","",IF(AH127="","",IF(AH127&gt;0,"Yes","No")))</f>
        <v/>
      </c>
      <c r="AJ127" s="4" t="str">
        <f aca="false">IF($A127="","",IF(AI127&lt;&gt;"Yes","On time",IF(N(AC127)&gt;=MAX(N(AF127),N(K127)),"Wait for analyst",IF(N(AF127)&gt;=N(K127),"External sign-off","Rework"))))</f>
        <v/>
      </c>
      <c r="AK127" s="4" t="str">
        <f aca="false">IF($A127="","",IF(OR(F127="",Y127="",ISNA(MATCH(L127,Dim_Analyst!$A:$A,0))),"CHECK","OK"))</f>
        <v/>
      </c>
      <c r="AL127" s="4" t="str">
        <f aca="false">IF($A127="","",IFERROR(VLOOKUP($C127,Dim_Fund!$A:$U,21,0),""))</f>
        <v/>
      </c>
      <c r="AM127" s="4" t="str">
        <f aca="false">IF($A127="","",IF($U127="","",IF($U127&gt;$B127+IFERROR(VLOOKUP($C127,Dim_Fund!$A:$AH,34,0),0)/24,"Yes","No")))</f>
        <v/>
      </c>
      <c r="AN127" s="22" t="str">
        <f aca="false">IF($A127="","",IFERROR(VLOOKUP($C127,Dim_Fund!$A:$AH,34,0),""))</f>
        <v/>
      </c>
      <c r="AO127" s="22" t="str">
        <f aca="false">IF($A127="","",IF($AL127="","",IFERROR(FLOOR(IF(COUNTIFS(Fact_Milestone!$A:$A,$B127,Fact_Milestone!$B:$B,$AL127,Fact_Milestone!$F:$F,"&gt;0")&gt;0,_xlfn.MINIFS(Fact_Milestone!$F:$F,Fact_Milestone!$A:$A,$B127,Fact_Milestone!$B:$B,$AL127,Fact_Milestone!$F:$F,"&gt;0"),VLOOKUP($AL127,Dim_TOP!$A:$E,5,0)),0.5),"")))</f>
        <v/>
      </c>
      <c r="AP127" s="22" t="str">
        <f aca="false">IF($A127="","",IF($U127="","",ROUND(($U127-INT($U127))*24,4)))</f>
        <v/>
      </c>
      <c r="AQ127" s="22" t="str">
        <f aca="false">IF($A127="","",IF($W127="","",ROUND(($W127-INT($W127))*24,4)))</f>
        <v/>
      </c>
      <c r="AR127" s="22" t="str">
        <f aca="false">IF($A127="","",IF($X127="","",ROUND(($X127-INT($X127))*24,4)))</f>
        <v/>
      </c>
      <c r="AS127" s="38" t="str">
        <f aca="false">IF($A127="","",IF(OR($AN127="",$V127="",$S127="",$T127=""),"",ROUND(($V127-($B127+$AN127/24))*1440-$S127-$T127,0)))</f>
        <v/>
      </c>
      <c r="AT127" s="38" t="str">
        <f aca="false">IF($A127="","",IF(OR($AN127="",$U127=""),"",ROUND(($U127-($B127+$AN127/24))*1440,0)))</f>
        <v/>
      </c>
      <c r="AU127" s="38" t="str">
        <f aca="false">IF($A127="","",IF(OR($AD127="",$S127=""),"",ROUND($AD127-$S127,0)))</f>
        <v/>
      </c>
      <c r="AV127" s="38" t="str">
        <f aca="false">IF($A127="","",N($AE127))</f>
        <v/>
      </c>
      <c r="AW127" s="38" t="str">
        <f aca="false">IF($A127="","",IF(OR($AF127="",$T127=""),"",$AF127-$T127))</f>
        <v/>
      </c>
      <c r="AX127" s="38" t="str">
        <f aca="false">IF($A127="","",IF(COUNT($AT127,$AB127,$AU127,$AW127,$AS127,$AH127)&lt;6,"",ROUND($AT127+$AB127+$AU127+$AV127+$AW127-$AS127-$AH127,0)))</f>
        <v/>
      </c>
      <c r="AY127" s="4" t="str">
        <f aca="false">IF($A127="","",IF($AX127="","No",IF(ABS($AX127)&lt;=2,"Yes","No")))</f>
        <v/>
      </c>
      <c r="AZ127" s="4" t="str">
        <f aca="false">IF($A127="","",IF($AI127&lt;&gt;"Yes","n/a",IF(OR($AA127="",$S127="",$T127=""),"Unknown",IF($AA127&lt;$S127+$T127,"Lost on arrival","Lost after arrival"))))</f>
        <v/>
      </c>
      <c r="BA127" s="10" t="str">
        <f aca="false">IF($A127="","",IFERROR(VLOOKUP($C127,Dim_Fund!$A:$D,4,0),""))</f>
        <v/>
      </c>
      <c r="BB127" s="10" t="str">
        <f aca="false">IF($A127="","",IF($AL127="","",IF(COUNTIFS(Fact_Milestone!$A:$A,$B127,Fact_Milestone!$B:$B,$AL127,Fact_Milestone!$I:$I,"No")&gt;0,"No",IF(COUNTIFS(Fact_Milestone!$A:$A,$B127,Fact_Milestone!$B:$B,$AL127,Fact_Milestone!$I:$I,"Yes")&gt;0,"Yes",""))))</f>
        <v/>
      </c>
      <c r="BC127" s="45" t="str">
        <f aca="false">IF($A127="","",IF(OR($L127="",$W127=""),"",IF(COUNTIFS($L:$L,$L127,$B:$B,$B127,$W:$W,"&lt;"&amp;$W127)=0,"",_xlfn.MAXIFS($W:$W,$L:$L,$L127,$B:$B,$B127,$W:$W,"&lt;"&amp;$W127))))</f>
        <v/>
      </c>
      <c r="BD127" s="39" t="str">
        <f aca="false">IF($A127="","",IF($AC127="","",IF(OR($L127="",$AC127=0),0,MIN($AC127,ROUND(ROUND(1440*SUMPRODUCT(($L$2:INDEX($L:$L,COUNTA($C:$C))=$L127)*($B$2:INDEX($B:$B,COUNTA($C:$C))=$B127)*(ROW($L$2:INDEX($L:$L,COUNTA($C:$C)))&lt;&gt;ROW())*((((($W127+$BT$2:INDEX($BT:$BT,COUNTA($C:$C))-ABS($W127-$BT$2:INDEX($BT:$BT,COUNTA($C:$C))))/2)-(($U127+$BS$2:INDEX($BS:$BS,COUNTA($C:$C))+ABS($U127-$BS$2:INDEX($BS:$BS,COUNTA($C:$C))))/2))+ABS(((($W127+$BT$2:INDEX($BT:$BT,COUNTA($C:$C))-ABS($W127-$BT$2:INDEX($BT:$BT,COUNTA($C:$C))))/2)-(($U127+$BS$2:INDEX($BS:$BS,COUNTA($C:$C))+ABS($U127-$BS$2:INDEX($BS:$BS,COUNTA($C:$C))))/2))))/2)),4),0)))))</f>
        <v/>
      </c>
      <c r="BE127" s="39" t="str">
        <f aca="false">IF($A127="","",IF($AC127="","",ROUND(MIN($AC127-$BD127,N($R127)),0)))</f>
        <v/>
      </c>
      <c r="BF127" s="10" t="str">
        <f aca="false">IF($A127="","",IFERROR(VLOOKUP($C127,Dim_Fund!$A:$BD,56,0),""))</f>
        <v/>
      </c>
      <c r="BG127" s="10" t="str">
        <f aca="false">IF($A127="","",IFERROR(VLOOKUP($C127,Dim_Fund!$A:$BH,60,0),""))</f>
        <v/>
      </c>
      <c r="BH127" s="10" t="str">
        <f aca="false">IF($A127="","",IF($AI127&lt;&gt;"Yes","Not breached",IF($AM127="Yes","Pricing late",IF($BG127="Thin custody slack","Thin custody slack",IF($BF127="Yes","Broker-dependent","None of these")))))</f>
        <v/>
      </c>
      <c r="BI127" s="23" t="str">
        <f aca="false">IF($A127="","",IFERROR(IF(VLOOKUP($C127,Dim_Fund!$A:$AI,35,0)&gt;0,VLOOKUP($C127,Dim_Fund!$A:$AI,35,0),""),""))</f>
        <v/>
      </c>
      <c r="BJ127" s="10" t="str">
        <f aca="false">IF($A127="","",$C127&amp;IF($E127="Client","*",""))</f>
        <v/>
      </c>
      <c r="BK127" s="39" t="str">
        <f aca="false">IF($A127="","",IFERROR(ROUND(($Y127-$X127)*1440,0),""))</f>
        <v/>
      </c>
      <c r="BL127" s="39" t="str">
        <f aca="false">IF($A127="","",IF($AH127="","",-$AH127))</f>
        <v/>
      </c>
      <c r="BM127" s="46" t="str">
        <f aca="false">IF($A127="","",IF($AQ127="","",IF($AP127="",$AQ127,MIN($AP127,$AQ127))))</f>
        <v/>
      </c>
      <c r="BN127" s="46" t="str">
        <f aca="false">IF($A127="","",IF($BM127="","",ROUND(N($AC127)/60,4)))</f>
        <v/>
      </c>
      <c r="BO127" s="46" t="str">
        <f aca="false">IF($A127="","",IF(OR($BM127="",$AD127=""),"",ROUND($AD127/60,4)))</f>
        <v/>
      </c>
      <c r="BP127" s="46" t="str">
        <f aca="false">IF($A127="","",IF($BM127="","",ROUND(N($AE127)/60,4)))</f>
        <v/>
      </c>
      <c r="BQ127" s="46" t="str">
        <f aca="false">IF($A127="","",IF(OR($BM127="",$AF127=""),"",ROUND($AF127/60,4)))</f>
        <v/>
      </c>
      <c r="BR127" s="39" t="str">
        <f aca="false">IF($A127="","",IF($AC127="","",$AC127-$BD127-$BE127))</f>
        <v/>
      </c>
      <c r="BS127" s="45" t="str">
        <f aca="false">IF($A127="","",IF(AND(ISNUMBER($Z127),ISNUMBER($W127)),$Z127,0))</f>
        <v/>
      </c>
      <c r="BT127" s="45" t="str">
        <f aca="false">IF($A127="","",IF(ISNUMBER($W127),$W127,0))</f>
        <v/>
      </c>
      <c r="BU127" s="23" t="str">
        <f aca="false">IF($A127="","",IF(ISNUMBER($W127),ROUND(($W127-$B127)*24,4),""))</f>
        <v/>
      </c>
      <c r="BV127" s="23" t="str">
        <f aca="false">IF($A127="","",IF(ISNUMBER($X127),ROUND(($X127-$B127)*24,4),""))</f>
        <v/>
      </c>
      <c r="BW127" s="10" t="str">
        <f aca="false">IF($A127="","",IF(NOT(ISNUMBER($W127)),"Missing Calculated",IF(NOT(ISNUMBER($X127)),IF($E127="Client","Missing FA signed off","Missing Controlled"),IF($X127&lt;$W127,"End before start","OK"))))</f>
        <v/>
      </c>
      <c r="BX127" s="23" t="str">
        <f aca="false">IF($A127="","",IF(NOT(ISNUMBER($Z127)),"",ROUND((IF(ISNUMBER($U127),MIN($U127,$Z127),$Z127)-$B127)*24,4)))</f>
        <v/>
      </c>
      <c r="BY127" s="23" t="str">
        <f aca="false">IF($A127="","",IF(ISNUMBER($Z127),ROUND(($Z127-$B127)*24,4),""))</f>
        <v/>
      </c>
      <c r="BZ127" s="23" t="str">
        <f aca="false">IF($A127="","",IF(AND(ISNUMBER($W127),ISNUMBER($S127)),ROUND(($W127+$S127/1440-$B127)*24,4),""))</f>
        <v/>
      </c>
    </row>
    <row r="128" customFormat="false" ht="15" hidden="false" customHeight="true" outlineLevel="0" collapsed="false">
      <c r="A128" s="47"/>
      <c r="B128" s="47"/>
      <c r="D128" s="4" t="str">
        <f aca="false">IF($A128="","",$B128-$A128)</f>
        <v/>
      </c>
      <c r="E128" s="4" t="str">
        <f aca="false">IF($A128="","",IFERROR(VLOOKUP($C128,Dim_Fund!$A:$X,24,0),""))</f>
        <v/>
      </c>
      <c r="F128" s="37" t="str">
        <f aca="false">IF($A128="","",IF(COUNTIFS(Status_Log!$A:$A,$A128,Status_Log!$B:$B,$B128,Status_Log!$C:$C,$C128,Status_Log!$D:$D,"Changed to the status of Calculated")=0,"",_xlfn.MINIFS(Status_Log!$E:$E,Status_Log!$A:$A,$A128,Status_Log!$B:$B,$B128,Status_Log!$C:$C,$C128,Status_Log!$D:$D,"Changed to the status of Calculated")))</f>
        <v/>
      </c>
      <c r="G128" s="37" t="str">
        <f aca="false">IF($A128="","",IF(COUNTIFS(Status_Log!$A:$A,$A128,Status_Log!$B:$B,$B128,Status_Log!$C:$C,$C128,Status_Log!$D:$D,"Changed to the status of Controlled")=0,"",_xlfn.MAXIFS(Status_Log!$E:$E,Status_Log!$A:$A,$A128,Status_Log!$B:$B,$B128,Status_Log!$C:$C,$C128,Status_Log!$D:$D,"Changed to the status of Controlled")))</f>
        <v/>
      </c>
      <c r="H128" s="37" t="str">
        <f aca="false">IF($A128="","",IF(COUNTIFS(Status_Log!$A:$A,$A128,Status_Log!$B:$B,$B128,Status_Log!$C:$C,$C128,Status_Log!$D:$D,"Changed to the status of Fund accounting signed off")=0,"",_xlfn.MAXIFS(Status_Log!$E:$E,Status_Log!$A:$A,$A128,Status_Log!$B:$B,$B128,Status_Log!$C:$C,$C128,Status_Log!$D:$D,"Changed to the status of Fund accounting signed off")))</f>
        <v/>
      </c>
      <c r="I128" s="37" t="str">
        <f aca="false">IF($A128="","",IF(COUNTIFS(Status_Log!$A:$A,$A128,Status_Log!$B:$B,$B128,Status_Log!$C:$C,$C128,Status_Log!$D:$D,"Changed to the status of signed off")=0,"",_xlfn.MAXIFS(Status_Log!$E:$E,Status_Log!$A:$A,$A128,Status_Log!$B:$B,$B128,Status_Log!$C:$C,$C128,Status_Log!$D:$D,"Changed to the status of signed off")))</f>
        <v/>
      </c>
      <c r="J128" s="4" t="str">
        <f aca="false">IF($A128="","",COUNTIFS(Status_Log!$A:$A,$A128,Status_Log!$B:$B,$B128,Status_Log!$C:$C,$C128,Status_Log!$D:$D,"Changed to the status of Calculated"))</f>
        <v/>
      </c>
      <c r="K128" s="38" t="str">
        <f aca="false">IF($A128="","",IF(J128&lt;=1,0,ROUND((_xlfn.MAXIFS(Status_Log!$E:$E,Status_Log!$A:$A,$A128,Status_Log!$B:$B,$B128,Status_Log!$C:$C,$C128,Status_Log!$D:$D,"Changed to the status of Calculated")-F128)*1440,0)))</f>
        <v/>
      </c>
      <c r="L128" s="4" t="str">
        <f aca="false">IF($A128="","",IFERROR(INDEX(Status_Log!$F:$F,MATCH($A128&amp;"|"&amp;$B128&amp;"|"&amp;$C128&amp;"|Changed to the status of Calculated|"&amp;TEXT(_xlfn.MAXIFS(Status_Log!$E:$E,Status_Log!$A:$A,$A128,Status_Log!$B:$B,$B128,Status_Log!$C:$C,$C128,Status_Log!$D:$D,"Changed to the status of Calculated"),"0.000000"),Status_Log!$H:$H,0)),""))</f>
        <v/>
      </c>
      <c r="M128" s="4" t="str">
        <f aca="false">IF($A128="","",IF(E128="Client","n/a — no control step",IFERROR(INDEX(Status_Log!$F:$F,MATCH($A128&amp;"|"&amp;$B128&amp;"|"&amp;$C128&amp;"|Changed to the status of Controlled|"&amp;TEXT(_xlfn.MAXIFS(Status_Log!$E:$E,Status_Log!$A:$A,$A128,Status_Log!$B:$B,$B128,Status_Log!$C:$C,$C128,Status_Log!$D:$D,"Changed to the status of Controlled"),"0.000000"),Status_Log!$H:$H,0)),"")))</f>
        <v/>
      </c>
      <c r="N128" s="4" t="str">
        <f aca="false">IF($A128="","",IFERROR(VLOOKUP($C128,Dim_Fund!$A:$G,7,0),""))</f>
        <v/>
      </c>
      <c r="O128" s="4" t="str">
        <f aca="false">IF($A128="","",IF(L128=N128,"No","Yes"))</f>
        <v/>
      </c>
      <c r="P128" s="4" t="str">
        <f aca="false">IF($A128="","",IF(E128="Client","n/a",IF(L128=M128,"YES — four-eyes breach","No")))</f>
        <v/>
      </c>
      <c r="Q128" s="38" t="str">
        <f aca="false">IF($A128="","",IFERROR(VLOOKUP($C128,Dim_Fund!$A:$AB,28,0),""))</f>
        <v/>
      </c>
      <c r="R128" s="38" t="str">
        <f aca="false">IF($A128="","",IFERROR(VLOOKUP($C128,Dim_Fund!$A:$AC,29,0),""))</f>
        <v/>
      </c>
      <c r="S128" s="38" t="str">
        <f aca="false">IF($A128="","",IFERROR(VLOOKUP($C128,Dim_Fund!$A:$AD,30,0),""))</f>
        <v/>
      </c>
      <c r="T128" s="38" t="str">
        <f aca="false">IF($A128="","",IFERROR(VLOOKUP($C128,Dim_Fund!$A:$AL,38,0),""))</f>
        <v/>
      </c>
      <c r="U128" s="37" t="str">
        <f aca="false">IF($A128="","",IF(AL128="","",IFERROR(IF(COUNTIFS(Fact_Milestone!$A:$A,$B128,Fact_Milestone!$B:$B,AL128)=0,"",_xlfn.MAXIFS(Fact_Milestone!$C:$C,Fact_Milestone!$A:$A,$B128,Fact_Milestone!$B:$B,AL128)),"")))</f>
        <v/>
      </c>
      <c r="V128" s="37" t="str">
        <f aca="false">IF($A128="","",IFERROR(IF(VLOOKUP($C128,Dim_Fund!$A:$AI,35,0)&gt;0,$B128+VLOOKUP($C128,Dim_Fund!$A:$AI,35,0)/24,""),""))</f>
        <v/>
      </c>
      <c r="W128" s="37" t="str">
        <f aca="false">IF($A128="","",F128)</f>
        <v/>
      </c>
      <c r="X128" s="37" t="str">
        <f aca="false">IF($A128="","",IF(E128="Client",H128,G128))</f>
        <v/>
      </c>
      <c r="Y128" s="37" t="str">
        <f aca="false">IF($A128="","",I128)</f>
        <v/>
      </c>
      <c r="Z128" s="37" t="str">
        <f aca="false">IF($A128="","",IFERROR(W128-R128/1440,""))</f>
        <v/>
      </c>
      <c r="AA128" s="38" t="str">
        <f aca="false">IF($A128="","",IF(OR(U128="",V128=""),"",ROUND((V128-U128)*1440,0)))</f>
        <v/>
      </c>
      <c r="AB128" s="38" t="str">
        <f aca="false">IF($A128="","",IF(U128="","",ROUND((W128-U128)*1440,0)))</f>
        <v/>
      </c>
      <c r="AC128" s="38" t="str">
        <f aca="false">IF($A128="","",IF(AB128="","",MAX(0,AB128)))</f>
        <v/>
      </c>
      <c r="AD128" s="38" t="str">
        <f aca="false">IF($A128="","",IFERROR(ROUND((X128-W128)*1440,0),""))</f>
        <v/>
      </c>
      <c r="AE128" s="38" t="str">
        <f aca="false">IF($A128="","",IF(E128="Client","n/a",IFERROR(ROUND((H128-G128)*1440,0),"")))</f>
        <v/>
      </c>
      <c r="AF128" s="38" t="str">
        <f aca="false">IF($A128="","",IFERROR(ROUND((Y128-H128)*1440,0),""))</f>
        <v/>
      </c>
      <c r="AG128" s="38" t="str">
        <f aca="false">IF($A128="","",IFERROR(ROUND((H128-F128)*1440,0),""))</f>
        <v/>
      </c>
      <c r="AH128" s="38" t="str">
        <f aca="false">IF($A128="","",IFERROR(ROUND((Y128-V128)*1440,0),""))</f>
        <v/>
      </c>
      <c r="AI128" s="4" t="str">
        <f aca="false">IF($A128="","",IF(AH128="","",IF(AH128&gt;0,"Yes","No")))</f>
        <v/>
      </c>
      <c r="AJ128" s="4" t="str">
        <f aca="false">IF($A128="","",IF(AI128&lt;&gt;"Yes","On time",IF(N(AC128)&gt;=MAX(N(AF128),N(K128)),"Wait for analyst",IF(N(AF128)&gt;=N(K128),"External sign-off","Rework"))))</f>
        <v/>
      </c>
      <c r="AK128" s="4" t="str">
        <f aca="false">IF($A128="","",IF(OR(F128="",Y128="",ISNA(MATCH(L128,Dim_Analyst!$A:$A,0))),"CHECK","OK"))</f>
        <v/>
      </c>
      <c r="AL128" s="4" t="str">
        <f aca="false">IF($A128="","",IFERROR(VLOOKUP($C128,Dim_Fund!$A:$U,21,0),""))</f>
        <v/>
      </c>
      <c r="AM128" s="4" t="str">
        <f aca="false">IF($A128="","",IF($U128="","",IF($U128&gt;$B128+IFERROR(VLOOKUP($C128,Dim_Fund!$A:$AH,34,0),0)/24,"Yes","No")))</f>
        <v/>
      </c>
      <c r="AN128" s="22" t="str">
        <f aca="false">IF($A128="","",IFERROR(VLOOKUP($C128,Dim_Fund!$A:$AH,34,0),""))</f>
        <v/>
      </c>
      <c r="AO128" s="22" t="str">
        <f aca="false">IF($A128="","",IF($AL128="","",IFERROR(FLOOR(IF(COUNTIFS(Fact_Milestone!$A:$A,$B128,Fact_Milestone!$B:$B,$AL128,Fact_Milestone!$F:$F,"&gt;0")&gt;0,_xlfn.MINIFS(Fact_Milestone!$F:$F,Fact_Milestone!$A:$A,$B128,Fact_Milestone!$B:$B,$AL128,Fact_Milestone!$F:$F,"&gt;0"),VLOOKUP($AL128,Dim_TOP!$A:$E,5,0)),0.5),"")))</f>
        <v/>
      </c>
      <c r="AP128" s="22" t="str">
        <f aca="false">IF($A128="","",IF($U128="","",ROUND(($U128-INT($U128))*24,4)))</f>
        <v/>
      </c>
      <c r="AQ128" s="22" t="str">
        <f aca="false">IF($A128="","",IF($W128="","",ROUND(($W128-INT($W128))*24,4)))</f>
        <v/>
      </c>
      <c r="AR128" s="22" t="str">
        <f aca="false">IF($A128="","",IF($X128="","",ROUND(($X128-INT($X128))*24,4)))</f>
        <v/>
      </c>
      <c r="AS128" s="38" t="str">
        <f aca="false">IF($A128="","",IF(OR($AN128="",$V128="",$S128="",$T128=""),"",ROUND(($V128-($B128+$AN128/24))*1440-$S128-$T128,0)))</f>
        <v/>
      </c>
      <c r="AT128" s="38" t="str">
        <f aca="false">IF($A128="","",IF(OR($AN128="",$U128=""),"",ROUND(($U128-($B128+$AN128/24))*1440,0)))</f>
        <v/>
      </c>
      <c r="AU128" s="38" t="str">
        <f aca="false">IF($A128="","",IF(OR($AD128="",$S128=""),"",ROUND($AD128-$S128,0)))</f>
        <v/>
      </c>
      <c r="AV128" s="38" t="str">
        <f aca="false">IF($A128="","",N($AE128))</f>
        <v/>
      </c>
      <c r="AW128" s="38" t="str">
        <f aca="false">IF($A128="","",IF(OR($AF128="",$T128=""),"",$AF128-$T128))</f>
        <v/>
      </c>
      <c r="AX128" s="38" t="str">
        <f aca="false">IF($A128="","",IF(COUNT($AT128,$AB128,$AU128,$AW128,$AS128,$AH128)&lt;6,"",ROUND($AT128+$AB128+$AU128+$AV128+$AW128-$AS128-$AH128,0)))</f>
        <v/>
      </c>
      <c r="AY128" s="4" t="str">
        <f aca="false">IF($A128="","",IF($AX128="","No",IF(ABS($AX128)&lt;=2,"Yes","No")))</f>
        <v/>
      </c>
      <c r="AZ128" s="4" t="str">
        <f aca="false">IF($A128="","",IF($AI128&lt;&gt;"Yes","n/a",IF(OR($AA128="",$S128="",$T128=""),"Unknown",IF($AA128&lt;$S128+$T128,"Lost on arrival","Lost after arrival"))))</f>
        <v/>
      </c>
      <c r="BA128" s="10" t="str">
        <f aca="false">IF($A128="","",IFERROR(VLOOKUP($C128,Dim_Fund!$A:$D,4,0),""))</f>
        <v/>
      </c>
      <c r="BB128" s="10" t="str">
        <f aca="false">IF($A128="","",IF($AL128="","",IF(COUNTIFS(Fact_Milestone!$A:$A,$B128,Fact_Milestone!$B:$B,$AL128,Fact_Milestone!$I:$I,"No")&gt;0,"No",IF(COUNTIFS(Fact_Milestone!$A:$A,$B128,Fact_Milestone!$B:$B,$AL128,Fact_Milestone!$I:$I,"Yes")&gt;0,"Yes",""))))</f>
        <v/>
      </c>
      <c r="BC128" s="45" t="str">
        <f aca="false">IF($A128="","",IF(OR($L128="",$W128=""),"",IF(COUNTIFS($L:$L,$L128,$B:$B,$B128,$W:$W,"&lt;"&amp;$W128)=0,"",_xlfn.MAXIFS($W:$W,$L:$L,$L128,$B:$B,$B128,$W:$W,"&lt;"&amp;$W128))))</f>
        <v/>
      </c>
      <c r="BD128" s="39" t="str">
        <f aca="false">IF($A128="","",IF($AC128="","",IF(OR($L128="",$AC128=0),0,MIN($AC128,ROUND(ROUND(1440*SUMPRODUCT(($L$2:INDEX($L:$L,COUNTA($C:$C))=$L128)*($B$2:INDEX($B:$B,COUNTA($C:$C))=$B128)*(ROW($L$2:INDEX($L:$L,COUNTA($C:$C)))&lt;&gt;ROW())*((((($W128+$BT$2:INDEX($BT:$BT,COUNTA($C:$C))-ABS($W128-$BT$2:INDEX($BT:$BT,COUNTA($C:$C))))/2)-(($U128+$BS$2:INDEX($BS:$BS,COUNTA($C:$C))+ABS($U128-$BS$2:INDEX($BS:$BS,COUNTA($C:$C))))/2))+ABS(((($W128+$BT$2:INDEX($BT:$BT,COUNTA($C:$C))-ABS($W128-$BT$2:INDEX($BT:$BT,COUNTA($C:$C))))/2)-(($U128+$BS$2:INDEX($BS:$BS,COUNTA($C:$C))+ABS($U128-$BS$2:INDEX($BS:$BS,COUNTA($C:$C))))/2))))/2)),4),0)))))</f>
        <v/>
      </c>
      <c r="BE128" s="39" t="str">
        <f aca="false">IF($A128="","",IF($AC128="","",ROUND(MIN($AC128-$BD128,N($R128)),0)))</f>
        <v/>
      </c>
      <c r="BF128" s="10" t="str">
        <f aca="false">IF($A128="","",IFERROR(VLOOKUP($C128,Dim_Fund!$A:$BD,56,0),""))</f>
        <v/>
      </c>
      <c r="BG128" s="10" t="str">
        <f aca="false">IF($A128="","",IFERROR(VLOOKUP($C128,Dim_Fund!$A:$BH,60,0),""))</f>
        <v/>
      </c>
      <c r="BH128" s="10" t="str">
        <f aca="false">IF($A128="","",IF($AI128&lt;&gt;"Yes","Not breached",IF($AM128="Yes","Pricing late",IF($BG128="Thin custody slack","Thin custody slack",IF($BF128="Yes","Broker-dependent","None of these")))))</f>
        <v/>
      </c>
      <c r="BI128" s="23" t="str">
        <f aca="false">IF($A128="","",IFERROR(IF(VLOOKUP($C128,Dim_Fund!$A:$AI,35,0)&gt;0,VLOOKUP($C128,Dim_Fund!$A:$AI,35,0),""),""))</f>
        <v/>
      </c>
      <c r="BJ128" s="10" t="str">
        <f aca="false">IF($A128="","",$C128&amp;IF($E128="Client","*",""))</f>
        <v/>
      </c>
      <c r="BK128" s="39" t="str">
        <f aca="false">IF($A128="","",IFERROR(ROUND(($Y128-$X128)*1440,0),""))</f>
        <v/>
      </c>
      <c r="BL128" s="39" t="str">
        <f aca="false">IF($A128="","",IF($AH128="","",-$AH128))</f>
        <v/>
      </c>
      <c r="BM128" s="46" t="str">
        <f aca="false">IF($A128="","",IF($AQ128="","",IF($AP128="",$AQ128,MIN($AP128,$AQ128))))</f>
        <v/>
      </c>
      <c r="BN128" s="46" t="str">
        <f aca="false">IF($A128="","",IF($BM128="","",ROUND(N($AC128)/60,4)))</f>
        <v/>
      </c>
      <c r="BO128" s="46" t="str">
        <f aca="false">IF($A128="","",IF(OR($BM128="",$AD128=""),"",ROUND($AD128/60,4)))</f>
        <v/>
      </c>
      <c r="BP128" s="46" t="str">
        <f aca="false">IF($A128="","",IF($BM128="","",ROUND(N($AE128)/60,4)))</f>
        <v/>
      </c>
      <c r="BQ128" s="46" t="str">
        <f aca="false">IF($A128="","",IF(OR($BM128="",$AF128=""),"",ROUND($AF128/60,4)))</f>
        <v/>
      </c>
      <c r="BR128" s="39" t="str">
        <f aca="false">IF($A128="","",IF($AC128="","",$AC128-$BD128-$BE128))</f>
        <v/>
      </c>
      <c r="BS128" s="45" t="str">
        <f aca="false">IF($A128="","",IF(AND(ISNUMBER($Z128),ISNUMBER($W128)),$Z128,0))</f>
        <v/>
      </c>
      <c r="BT128" s="45" t="str">
        <f aca="false">IF($A128="","",IF(ISNUMBER($W128),$W128,0))</f>
        <v/>
      </c>
      <c r="BU128" s="23" t="str">
        <f aca="false">IF($A128="","",IF(ISNUMBER($W128),ROUND(($W128-$B128)*24,4),""))</f>
        <v/>
      </c>
      <c r="BV128" s="23" t="str">
        <f aca="false">IF($A128="","",IF(ISNUMBER($X128),ROUND(($X128-$B128)*24,4),""))</f>
        <v/>
      </c>
      <c r="BW128" s="10" t="str">
        <f aca="false">IF($A128="","",IF(NOT(ISNUMBER($W128)),"Missing Calculated",IF(NOT(ISNUMBER($X128)),IF($E128="Client","Missing FA signed off","Missing Controlled"),IF($X128&lt;$W128,"End before start","OK"))))</f>
        <v/>
      </c>
      <c r="BX128" s="23" t="str">
        <f aca="false">IF($A128="","",IF(NOT(ISNUMBER($Z128)),"",ROUND((IF(ISNUMBER($U128),MIN($U128,$Z128),$Z128)-$B128)*24,4)))</f>
        <v/>
      </c>
      <c r="BY128" s="23" t="str">
        <f aca="false">IF($A128="","",IF(ISNUMBER($Z128),ROUND(($Z128-$B128)*24,4),""))</f>
        <v/>
      </c>
      <c r="BZ128" s="23" t="str">
        <f aca="false">IF($A128="","",IF(AND(ISNUMBER($W128),ISNUMBER($S128)),ROUND(($W128+$S128/1440-$B128)*24,4),""))</f>
        <v/>
      </c>
    </row>
    <row r="129" customFormat="false" ht="15" hidden="false" customHeight="true" outlineLevel="0" collapsed="false">
      <c r="A129" s="47"/>
      <c r="B129" s="47"/>
      <c r="D129" s="4" t="str">
        <f aca="false">IF($A129="","",$B129-$A129)</f>
        <v/>
      </c>
      <c r="E129" s="4" t="str">
        <f aca="false">IF($A129="","",IFERROR(VLOOKUP($C129,Dim_Fund!$A:$X,24,0),""))</f>
        <v/>
      </c>
      <c r="F129" s="37" t="str">
        <f aca="false">IF($A129="","",IF(COUNTIFS(Status_Log!$A:$A,$A129,Status_Log!$B:$B,$B129,Status_Log!$C:$C,$C129,Status_Log!$D:$D,"Changed to the status of Calculated")=0,"",_xlfn.MINIFS(Status_Log!$E:$E,Status_Log!$A:$A,$A129,Status_Log!$B:$B,$B129,Status_Log!$C:$C,$C129,Status_Log!$D:$D,"Changed to the status of Calculated")))</f>
        <v/>
      </c>
      <c r="G129" s="37" t="str">
        <f aca="false">IF($A129="","",IF(COUNTIFS(Status_Log!$A:$A,$A129,Status_Log!$B:$B,$B129,Status_Log!$C:$C,$C129,Status_Log!$D:$D,"Changed to the status of Controlled")=0,"",_xlfn.MAXIFS(Status_Log!$E:$E,Status_Log!$A:$A,$A129,Status_Log!$B:$B,$B129,Status_Log!$C:$C,$C129,Status_Log!$D:$D,"Changed to the status of Controlled")))</f>
        <v/>
      </c>
      <c r="H129" s="37" t="str">
        <f aca="false">IF($A129="","",IF(COUNTIFS(Status_Log!$A:$A,$A129,Status_Log!$B:$B,$B129,Status_Log!$C:$C,$C129,Status_Log!$D:$D,"Changed to the status of Fund accounting signed off")=0,"",_xlfn.MAXIFS(Status_Log!$E:$E,Status_Log!$A:$A,$A129,Status_Log!$B:$B,$B129,Status_Log!$C:$C,$C129,Status_Log!$D:$D,"Changed to the status of Fund accounting signed off")))</f>
        <v/>
      </c>
      <c r="I129" s="37" t="str">
        <f aca="false">IF($A129="","",IF(COUNTIFS(Status_Log!$A:$A,$A129,Status_Log!$B:$B,$B129,Status_Log!$C:$C,$C129,Status_Log!$D:$D,"Changed to the status of signed off")=0,"",_xlfn.MAXIFS(Status_Log!$E:$E,Status_Log!$A:$A,$A129,Status_Log!$B:$B,$B129,Status_Log!$C:$C,$C129,Status_Log!$D:$D,"Changed to the status of signed off")))</f>
        <v/>
      </c>
      <c r="J129" s="4" t="str">
        <f aca="false">IF($A129="","",COUNTIFS(Status_Log!$A:$A,$A129,Status_Log!$B:$B,$B129,Status_Log!$C:$C,$C129,Status_Log!$D:$D,"Changed to the status of Calculated"))</f>
        <v/>
      </c>
      <c r="K129" s="38" t="str">
        <f aca="false">IF($A129="","",IF(J129&lt;=1,0,ROUND((_xlfn.MAXIFS(Status_Log!$E:$E,Status_Log!$A:$A,$A129,Status_Log!$B:$B,$B129,Status_Log!$C:$C,$C129,Status_Log!$D:$D,"Changed to the status of Calculated")-F129)*1440,0)))</f>
        <v/>
      </c>
      <c r="L129" s="4" t="str">
        <f aca="false">IF($A129="","",IFERROR(INDEX(Status_Log!$F:$F,MATCH($A129&amp;"|"&amp;$B129&amp;"|"&amp;$C129&amp;"|Changed to the status of Calculated|"&amp;TEXT(_xlfn.MAXIFS(Status_Log!$E:$E,Status_Log!$A:$A,$A129,Status_Log!$B:$B,$B129,Status_Log!$C:$C,$C129,Status_Log!$D:$D,"Changed to the status of Calculated"),"0.000000"),Status_Log!$H:$H,0)),""))</f>
        <v/>
      </c>
      <c r="M129" s="4" t="str">
        <f aca="false">IF($A129="","",IF(E129="Client","n/a — no control step",IFERROR(INDEX(Status_Log!$F:$F,MATCH($A129&amp;"|"&amp;$B129&amp;"|"&amp;$C129&amp;"|Changed to the status of Controlled|"&amp;TEXT(_xlfn.MAXIFS(Status_Log!$E:$E,Status_Log!$A:$A,$A129,Status_Log!$B:$B,$B129,Status_Log!$C:$C,$C129,Status_Log!$D:$D,"Changed to the status of Controlled"),"0.000000"),Status_Log!$H:$H,0)),"")))</f>
        <v/>
      </c>
      <c r="N129" s="4" t="str">
        <f aca="false">IF($A129="","",IFERROR(VLOOKUP($C129,Dim_Fund!$A:$G,7,0),""))</f>
        <v/>
      </c>
      <c r="O129" s="4" t="str">
        <f aca="false">IF($A129="","",IF(L129=N129,"No","Yes"))</f>
        <v/>
      </c>
      <c r="P129" s="4" t="str">
        <f aca="false">IF($A129="","",IF(E129="Client","n/a",IF(L129=M129,"YES — four-eyes breach","No")))</f>
        <v/>
      </c>
      <c r="Q129" s="38" t="str">
        <f aca="false">IF($A129="","",IFERROR(VLOOKUP($C129,Dim_Fund!$A:$AB,28,0),""))</f>
        <v/>
      </c>
      <c r="R129" s="38" t="str">
        <f aca="false">IF($A129="","",IFERROR(VLOOKUP($C129,Dim_Fund!$A:$AC,29,0),""))</f>
        <v/>
      </c>
      <c r="S129" s="38" t="str">
        <f aca="false">IF($A129="","",IFERROR(VLOOKUP($C129,Dim_Fund!$A:$AD,30,0),""))</f>
        <v/>
      </c>
      <c r="T129" s="38" t="str">
        <f aca="false">IF($A129="","",IFERROR(VLOOKUP($C129,Dim_Fund!$A:$AL,38,0),""))</f>
        <v/>
      </c>
      <c r="U129" s="37" t="str">
        <f aca="false">IF($A129="","",IF(AL129="","",IFERROR(IF(COUNTIFS(Fact_Milestone!$A:$A,$B129,Fact_Milestone!$B:$B,AL129)=0,"",_xlfn.MAXIFS(Fact_Milestone!$C:$C,Fact_Milestone!$A:$A,$B129,Fact_Milestone!$B:$B,AL129)),"")))</f>
        <v/>
      </c>
      <c r="V129" s="37" t="str">
        <f aca="false">IF($A129="","",IFERROR(IF(VLOOKUP($C129,Dim_Fund!$A:$AI,35,0)&gt;0,$B129+VLOOKUP($C129,Dim_Fund!$A:$AI,35,0)/24,""),""))</f>
        <v/>
      </c>
      <c r="W129" s="37" t="str">
        <f aca="false">IF($A129="","",F129)</f>
        <v/>
      </c>
      <c r="X129" s="37" t="str">
        <f aca="false">IF($A129="","",IF(E129="Client",H129,G129))</f>
        <v/>
      </c>
      <c r="Y129" s="37" t="str">
        <f aca="false">IF($A129="","",I129)</f>
        <v/>
      </c>
      <c r="Z129" s="37" t="str">
        <f aca="false">IF($A129="","",IFERROR(W129-R129/1440,""))</f>
        <v/>
      </c>
      <c r="AA129" s="38" t="str">
        <f aca="false">IF($A129="","",IF(OR(U129="",V129=""),"",ROUND((V129-U129)*1440,0)))</f>
        <v/>
      </c>
      <c r="AB129" s="38" t="str">
        <f aca="false">IF($A129="","",IF(U129="","",ROUND((W129-U129)*1440,0)))</f>
        <v/>
      </c>
      <c r="AC129" s="38" t="str">
        <f aca="false">IF($A129="","",IF(AB129="","",MAX(0,AB129)))</f>
        <v/>
      </c>
      <c r="AD129" s="38" t="str">
        <f aca="false">IF($A129="","",IFERROR(ROUND((X129-W129)*1440,0),""))</f>
        <v/>
      </c>
      <c r="AE129" s="38" t="str">
        <f aca="false">IF($A129="","",IF(E129="Client","n/a",IFERROR(ROUND((H129-G129)*1440,0),"")))</f>
        <v/>
      </c>
      <c r="AF129" s="38" t="str">
        <f aca="false">IF($A129="","",IFERROR(ROUND((Y129-H129)*1440,0),""))</f>
        <v/>
      </c>
      <c r="AG129" s="38" t="str">
        <f aca="false">IF($A129="","",IFERROR(ROUND((H129-F129)*1440,0),""))</f>
        <v/>
      </c>
      <c r="AH129" s="38" t="str">
        <f aca="false">IF($A129="","",IFERROR(ROUND((Y129-V129)*1440,0),""))</f>
        <v/>
      </c>
      <c r="AI129" s="4" t="str">
        <f aca="false">IF($A129="","",IF(AH129="","",IF(AH129&gt;0,"Yes","No")))</f>
        <v/>
      </c>
      <c r="AJ129" s="4" t="str">
        <f aca="false">IF($A129="","",IF(AI129&lt;&gt;"Yes","On time",IF(N(AC129)&gt;=MAX(N(AF129),N(K129)),"Wait for analyst",IF(N(AF129)&gt;=N(K129),"External sign-off","Rework"))))</f>
        <v/>
      </c>
      <c r="AK129" s="4" t="str">
        <f aca="false">IF($A129="","",IF(OR(F129="",Y129="",ISNA(MATCH(L129,Dim_Analyst!$A:$A,0))),"CHECK","OK"))</f>
        <v/>
      </c>
      <c r="AL129" s="4" t="str">
        <f aca="false">IF($A129="","",IFERROR(VLOOKUP($C129,Dim_Fund!$A:$U,21,0),""))</f>
        <v/>
      </c>
      <c r="AM129" s="4" t="str">
        <f aca="false">IF($A129="","",IF($U129="","",IF($U129&gt;$B129+IFERROR(VLOOKUP($C129,Dim_Fund!$A:$AH,34,0),0)/24,"Yes","No")))</f>
        <v/>
      </c>
      <c r="AN129" s="22" t="str">
        <f aca="false">IF($A129="","",IFERROR(VLOOKUP($C129,Dim_Fund!$A:$AH,34,0),""))</f>
        <v/>
      </c>
      <c r="AO129" s="22" t="str">
        <f aca="false">IF($A129="","",IF($AL129="","",IFERROR(FLOOR(IF(COUNTIFS(Fact_Milestone!$A:$A,$B129,Fact_Milestone!$B:$B,$AL129,Fact_Milestone!$F:$F,"&gt;0")&gt;0,_xlfn.MINIFS(Fact_Milestone!$F:$F,Fact_Milestone!$A:$A,$B129,Fact_Milestone!$B:$B,$AL129,Fact_Milestone!$F:$F,"&gt;0"),VLOOKUP($AL129,Dim_TOP!$A:$E,5,0)),0.5),"")))</f>
        <v/>
      </c>
      <c r="AP129" s="22" t="str">
        <f aca="false">IF($A129="","",IF($U129="","",ROUND(($U129-INT($U129))*24,4)))</f>
        <v/>
      </c>
      <c r="AQ129" s="22" t="str">
        <f aca="false">IF($A129="","",IF($W129="","",ROUND(($W129-INT($W129))*24,4)))</f>
        <v/>
      </c>
      <c r="AR129" s="22" t="str">
        <f aca="false">IF($A129="","",IF($X129="","",ROUND(($X129-INT($X129))*24,4)))</f>
        <v/>
      </c>
      <c r="AS129" s="38" t="str">
        <f aca="false">IF($A129="","",IF(OR($AN129="",$V129="",$S129="",$T129=""),"",ROUND(($V129-($B129+$AN129/24))*1440-$S129-$T129,0)))</f>
        <v/>
      </c>
      <c r="AT129" s="38" t="str">
        <f aca="false">IF($A129="","",IF(OR($AN129="",$U129=""),"",ROUND(($U129-($B129+$AN129/24))*1440,0)))</f>
        <v/>
      </c>
      <c r="AU129" s="38" t="str">
        <f aca="false">IF($A129="","",IF(OR($AD129="",$S129=""),"",ROUND($AD129-$S129,0)))</f>
        <v/>
      </c>
      <c r="AV129" s="38" t="str">
        <f aca="false">IF($A129="","",N($AE129))</f>
        <v/>
      </c>
      <c r="AW129" s="38" t="str">
        <f aca="false">IF($A129="","",IF(OR($AF129="",$T129=""),"",$AF129-$T129))</f>
        <v/>
      </c>
      <c r="AX129" s="38" t="str">
        <f aca="false">IF($A129="","",IF(COUNT($AT129,$AB129,$AU129,$AW129,$AS129,$AH129)&lt;6,"",ROUND($AT129+$AB129+$AU129+$AV129+$AW129-$AS129-$AH129,0)))</f>
        <v/>
      </c>
      <c r="AY129" s="4" t="str">
        <f aca="false">IF($A129="","",IF($AX129="","No",IF(ABS($AX129)&lt;=2,"Yes","No")))</f>
        <v/>
      </c>
      <c r="AZ129" s="4" t="str">
        <f aca="false">IF($A129="","",IF($AI129&lt;&gt;"Yes","n/a",IF(OR($AA129="",$S129="",$T129=""),"Unknown",IF($AA129&lt;$S129+$T129,"Lost on arrival","Lost after arrival"))))</f>
        <v/>
      </c>
      <c r="BA129" s="10" t="str">
        <f aca="false">IF($A129="","",IFERROR(VLOOKUP($C129,Dim_Fund!$A:$D,4,0),""))</f>
        <v/>
      </c>
      <c r="BB129" s="10" t="str">
        <f aca="false">IF($A129="","",IF($AL129="","",IF(COUNTIFS(Fact_Milestone!$A:$A,$B129,Fact_Milestone!$B:$B,$AL129,Fact_Milestone!$I:$I,"No")&gt;0,"No",IF(COUNTIFS(Fact_Milestone!$A:$A,$B129,Fact_Milestone!$B:$B,$AL129,Fact_Milestone!$I:$I,"Yes")&gt;0,"Yes",""))))</f>
        <v/>
      </c>
      <c r="BC129" s="45" t="str">
        <f aca="false">IF($A129="","",IF(OR($L129="",$W129=""),"",IF(COUNTIFS($L:$L,$L129,$B:$B,$B129,$W:$W,"&lt;"&amp;$W129)=0,"",_xlfn.MAXIFS($W:$W,$L:$L,$L129,$B:$B,$B129,$W:$W,"&lt;"&amp;$W129))))</f>
        <v/>
      </c>
      <c r="BD129" s="39" t="str">
        <f aca="false">IF($A129="","",IF($AC129="","",IF(OR($L129="",$AC129=0),0,MIN($AC129,ROUND(ROUND(1440*SUMPRODUCT(($L$2:INDEX($L:$L,COUNTA($C:$C))=$L129)*($B$2:INDEX($B:$B,COUNTA($C:$C))=$B129)*(ROW($L$2:INDEX($L:$L,COUNTA($C:$C)))&lt;&gt;ROW())*((((($W129+$BT$2:INDEX($BT:$BT,COUNTA($C:$C))-ABS($W129-$BT$2:INDEX($BT:$BT,COUNTA($C:$C))))/2)-(($U129+$BS$2:INDEX($BS:$BS,COUNTA($C:$C))+ABS($U129-$BS$2:INDEX($BS:$BS,COUNTA($C:$C))))/2))+ABS(((($W129+$BT$2:INDEX($BT:$BT,COUNTA($C:$C))-ABS($W129-$BT$2:INDEX($BT:$BT,COUNTA($C:$C))))/2)-(($U129+$BS$2:INDEX($BS:$BS,COUNTA($C:$C))+ABS($U129-$BS$2:INDEX($BS:$BS,COUNTA($C:$C))))/2))))/2)),4),0)))))</f>
        <v/>
      </c>
      <c r="BE129" s="39" t="str">
        <f aca="false">IF($A129="","",IF($AC129="","",ROUND(MIN($AC129-$BD129,N($R129)),0)))</f>
        <v/>
      </c>
      <c r="BF129" s="10" t="str">
        <f aca="false">IF($A129="","",IFERROR(VLOOKUP($C129,Dim_Fund!$A:$BD,56,0),""))</f>
        <v/>
      </c>
      <c r="BG129" s="10" t="str">
        <f aca="false">IF($A129="","",IFERROR(VLOOKUP($C129,Dim_Fund!$A:$BH,60,0),""))</f>
        <v/>
      </c>
      <c r="BH129" s="10" t="str">
        <f aca="false">IF($A129="","",IF($AI129&lt;&gt;"Yes","Not breached",IF($AM129="Yes","Pricing late",IF($BG129="Thin custody slack","Thin custody slack",IF($BF129="Yes","Broker-dependent","None of these")))))</f>
        <v/>
      </c>
      <c r="BI129" s="23" t="str">
        <f aca="false">IF($A129="","",IFERROR(IF(VLOOKUP($C129,Dim_Fund!$A:$AI,35,0)&gt;0,VLOOKUP($C129,Dim_Fund!$A:$AI,35,0),""),""))</f>
        <v/>
      </c>
      <c r="BJ129" s="10" t="str">
        <f aca="false">IF($A129="","",$C129&amp;IF($E129="Client","*",""))</f>
        <v/>
      </c>
      <c r="BK129" s="39" t="str">
        <f aca="false">IF($A129="","",IFERROR(ROUND(($Y129-$X129)*1440,0),""))</f>
        <v/>
      </c>
      <c r="BL129" s="39" t="str">
        <f aca="false">IF($A129="","",IF($AH129="","",-$AH129))</f>
        <v/>
      </c>
      <c r="BM129" s="46" t="str">
        <f aca="false">IF($A129="","",IF($AQ129="","",IF($AP129="",$AQ129,MIN($AP129,$AQ129))))</f>
        <v/>
      </c>
      <c r="BN129" s="46" t="str">
        <f aca="false">IF($A129="","",IF($BM129="","",ROUND(N($AC129)/60,4)))</f>
        <v/>
      </c>
      <c r="BO129" s="46" t="str">
        <f aca="false">IF($A129="","",IF(OR($BM129="",$AD129=""),"",ROUND($AD129/60,4)))</f>
        <v/>
      </c>
      <c r="BP129" s="46" t="str">
        <f aca="false">IF($A129="","",IF($BM129="","",ROUND(N($AE129)/60,4)))</f>
        <v/>
      </c>
      <c r="BQ129" s="46" t="str">
        <f aca="false">IF($A129="","",IF(OR($BM129="",$AF129=""),"",ROUND($AF129/60,4)))</f>
        <v/>
      </c>
      <c r="BR129" s="39" t="str">
        <f aca="false">IF($A129="","",IF($AC129="","",$AC129-$BD129-$BE129))</f>
        <v/>
      </c>
      <c r="BS129" s="45" t="str">
        <f aca="false">IF($A129="","",IF(AND(ISNUMBER($Z129),ISNUMBER($W129)),$Z129,0))</f>
        <v/>
      </c>
      <c r="BT129" s="45" t="str">
        <f aca="false">IF($A129="","",IF(ISNUMBER($W129),$W129,0))</f>
        <v/>
      </c>
      <c r="BU129" s="23" t="str">
        <f aca="false">IF($A129="","",IF(ISNUMBER($W129),ROUND(($W129-$B129)*24,4),""))</f>
        <v/>
      </c>
      <c r="BV129" s="23" t="str">
        <f aca="false">IF($A129="","",IF(ISNUMBER($X129),ROUND(($X129-$B129)*24,4),""))</f>
        <v/>
      </c>
      <c r="BW129" s="10" t="str">
        <f aca="false">IF($A129="","",IF(NOT(ISNUMBER($W129)),"Missing Calculated",IF(NOT(ISNUMBER($X129)),IF($E129="Client","Missing FA signed off","Missing Controlled"),IF($X129&lt;$W129,"End before start","OK"))))</f>
        <v/>
      </c>
      <c r="BX129" s="23" t="str">
        <f aca="false">IF($A129="","",IF(NOT(ISNUMBER($Z129)),"",ROUND((IF(ISNUMBER($U129),MIN($U129,$Z129),$Z129)-$B129)*24,4)))</f>
        <v/>
      </c>
      <c r="BY129" s="23" t="str">
        <f aca="false">IF($A129="","",IF(ISNUMBER($Z129),ROUND(($Z129-$B129)*24,4),""))</f>
        <v/>
      </c>
      <c r="BZ129" s="23" t="str">
        <f aca="false">IF($A129="","",IF(AND(ISNUMBER($W129),ISNUMBER($S129)),ROUND(($W129+$S129/1440-$B129)*24,4),""))</f>
        <v/>
      </c>
    </row>
    <row r="130" customFormat="false" ht="15" hidden="false" customHeight="true" outlineLevel="0" collapsed="false">
      <c r="A130" s="47"/>
      <c r="B130" s="47"/>
      <c r="D130" s="4" t="str">
        <f aca="false">IF($A130="","",$B130-$A130)</f>
        <v/>
      </c>
      <c r="E130" s="4" t="str">
        <f aca="false">IF($A130="","",IFERROR(VLOOKUP($C130,Dim_Fund!$A:$X,24,0),""))</f>
        <v/>
      </c>
      <c r="F130" s="37" t="str">
        <f aca="false">IF($A130="","",IF(COUNTIFS(Status_Log!$A:$A,$A130,Status_Log!$B:$B,$B130,Status_Log!$C:$C,$C130,Status_Log!$D:$D,"Changed to the status of Calculated")=0,"",_xlfn.MINIFS(Status_Log!$E:$E,Status_Log!$A:$A,$A130,Status_Log!$B:$B,$B130,Status_Log!$C:$C,$C130,Status_Log!$D:$D,"Changed to the status of Calculated")))</f>
        <v/>
      </c>
      <c r="G130" s="37" t="str">
        <f aca="false">IF($A130="","",IF(COUNTIFS(Status_Log!$A:$A,$A130,Status_Log!$B:$B,$B130,Status_Log!$C:$C,$C130,Status_Log!$D:$D,"Changed to the status of Controlled")=0,"",_xlfn.MAXIFS(Status_Log!$E:$E,Status_Log!$A:$A,$A130,Status_Log!$B:$B,$B130,Status_Log!$C:$C,$C130,Status_Log!$D:$D,"Changed to the status of Controlled")))</f>
        <v/>
      </c>
      <c r="H130" s="37" t="str">
        <f aca="false">IF($A130="","",IF(COUNTIFS(Status_Log!$A:$A,$A130,Status_Log!$B:$B,$B130,Status_Log!$C:$C,$C130,Status_Log!$D:$D,"Changed to the status of Fund accounting signed off")=0,"",_xlfn.MAXIFS(Status_Log!$E:$E,Status_Log!$A:$A,$A130,Status_Log!$B:$B,$B130,Status_Log!$C:$C,$C130,Status_Log!$D:$D,"Changed to the status of Fund accounting signed off")))</f>
        <v/>
      </c>
      <c r="I130" s="37" t="str">
        <f aca="false">IF($A130="","",IF(COUNTIFS(Status_Log!$A:$A,$A130,Status_Log!$B:$B,$B130,Status_Log!$C:$C,$C130,Status_Log!$D:$D,"Changed to the status of signed off")=0,"",_xlfn.MAXIFS(Status_Log!$E:$E,Status_Log!$A:$A,$A130,Status_Log!$B:$B,$B130,Status_Log!$C:$C,$C130,Status_Log!$D:$D,"Changed to the status of signed off")))</f>
        <v/>
      </c>
      <c r="J130" s="4" t="str">
        <f aca="false">IF($A130="","",COUNTIFS(Status_Log!$A:$A,$A130,Status_Log!$B:$B,$B130,Status_Log!$C:$C,$C130,Status_Log!$D:$D,"Changed to the status of Calculated"))</f>
        <v/>
      </c>
      <c r="K130" s="38" t="str">
        <f aca="false">IF($A130="","",IF(J130&lt;=1,0,ROUND((_xlfn.MAXIFS(Status_Log!$E:$E,Status_Log!$A:$A,$A130,Status_Log!$B:$B,$B130,Status_Log!$C:$C,$C130,Status_Log!$D:$D,"Changed to the status of Calculated")-F130)*1440,0)))</f>
        <v/>
      </c>
      <c r="L130" s="4" t="str">
        <f aca="false">IF($A130="","",IFERROR(INDEX(Status_Log!$F:$F,MATCH($A130&amp;"|"&amp;$B130&amp;"|"&amp;$C130&amp;"|Changed to the status of Calculated|"&amp;TEXT(_xlfn.MAXIFS(Status_Log!$E:$E,Status_Log!$A:$A,$A130,Status_Log!$B:$B,$B130,Status_Log!$C:$C,$C130,Status_Log!$D:$D,"Changed to the status of Calculated"),"0.000000"),Status_Log!$H:$H,0)),""))</f>
        <v/>
      </c>
      <c r="M130" s="4" t="str">
        <f aca="false">IF($A130="","",IF(E130="Client","n/a — no control step",IFERROR(INDEX(Status_Log!$F:$F,MATCH($A130&amp;"|"&amp;$B130&amp;"|"&amp;$C130&amp;"|Changed to the status of Controlled|"&amp;TEXT(_xlfn.MAXIFS(Status_Log!$E:$E,Status_Log!$A:$A,$A130,Status_Log!$B:$B,$B130,Status_Log!$C:$C,$C130,Status_Log!$D:$D,"Changed to the status of Controlled"),"0.000000"),Status_Log!$H:$H,0)),"")))</f>
        <v/>
      </c>
      <c r="N130" s="4" t="str">
        <f aca="false">IF($A130="","",IFERROR(VLOOKUP($C130,Dim_Fund!$A:$G,7,0),""))</f>
        <v/>
      </c>
      <c r="O130" s="4" t="str">
        <f aca="false">IF($A130="","",IF(L130=N130,"No","Yes"))</f>
        <v/>
      </c>
      <c r="P130" s="4" t="str">
        <f aca="false">IF($A130="","",IF(E130="Client","n/a",IF(L130=M130,"YES — four-eyes breach","No")))</f>
        <v/>
      </c>
      <c r="Q130" s="38" t="str">
        <f aca="false">IF($A130="","",IFERROR(VLOOKUP($C130,Dim_Fund!$A:$AB,28,0),""))</f>
        <v/>
      </c>
      <c r="R130" s="38" t="str">
        <f aca="false">IF($A130="","",IFERROR(VLOOKUP($C130,Dim_Fund!$A:$AC,29,0),""))</f>
        <v/>
      </c>
      <c r="S130" s="38" t="str">
        <f aca="false">IF($A130="","",IFERROR(VLOOKUP($C130,Dim_Fund!$A:$AD,30,0),""))</f>
        <v/>
      </c>
      <c r="T130" s="38" t="str">
        <f aca="false">IF($A130="","",IFERROR(VLOOKUP($C130,Dim_Fund!$A:$AL,38,0),""))</f>
        <v/>
      </c>
      <c r="U130" s="37" t="str">
        <f aca="false">IF($A130="","",IF(AL130="","",IFERROR(IF(COUNTIFS(Fact_Milestone!$A:$A,$B130,Fact_Milestone!$B:$B,AL130)=0,"",_xlfn.MAXIFS(Fact_Milestone!$C:$C,Fact_Milestone!$A:$A,$B130,Fact_Milestone!$B:$B,AL130)),"")))</f>
        <v/>
      </c>
      <c r="V130" s="37" t="str">
        <f aca="false">IF($A130="","",IFERROR(IF(VLOOKUP($C130,Dim_Fund!$A:$AI,35,0)&gt;0,$B130+VLOOKUP($C130,Dim_Fund!$A:$AI,35,0)/24,""),""))</f>
        <v/>
      </c>
      <c r="W130" s="37" t="str">
        <f aca="false">IF($A130="","",F130)</f>
        <v/>
      </c>
      <c r="X130" s="37" t="str">
        <f aca="false">IF($A130="","",IF(E130="Client",H130,G130))</f>
        <v/>
      </c>
      <c r="Y130" s="37" t="str">
        <f aca="false">IF($A130="","",I130)</f>
        <v/>
      </c>
      <c r="Z130" s="37" t="str">
        <f aca="false">IF($A130="","",IFERROR(W130-R130/1440,""))</f>
        <v/>
      </c>
      <c r="AA130" s="38" t="str">
        <f aca="false">IF($A130="","",IF(OR(U130="",V130=""),"",ROUND((V130-U130)*1440,0)))</f>
        <v/>
      </c>
      <c r="AB130" s="38" t="str">
        <f aca="false">IF($A130="","",IF(U130="","",ROUND((W130-U130)*1440,0)))</f>
        <v/>
      </c>
      <c r="AC130" s="38" t="str">
        <f aca="false">IF($A130="","",IF(AB130="","",MAX(0,AB130)))</f>
        <v/>
      </c>
      <c r="AD130" s="38" t="str">
        <f aca="false">IF($A130="","",IFERROR(ROUND((X130-W130)*1440,0),""))</f>
        <v/>
      </c>
      <c r="AE130" s="38" t="str">
        <f aca="false">IF($A130="","",IF(E130="Client","n/a",IFERROR(ROUND((H130-G130)*1440,0),"")))</f>
        <v/>
      </c>
      <c r="AF130" s="38" t="str">
        <f aca="false">IF($A130="","",IFERROR(ROUND((Y130-H130)*1440,0),""))</f>
        <v/>
      </c>
      <c r="AG130" s="38" t="str">
        <f aca="false">IF($A130="","",IFERROR(ROUND((H130-F130)*1440,0),""))</f>
        <v/>
      </c>
      <c r="AH130" s="38" t="str">
        <f aca="false">IF($A130="","",IFERROR(ROUND((Y130-V130)*1440,0),""))</f>
        <v/>
      </c>
      <c r="AI130" s="4" t="str">
        <f aca="false">IF($A130="","",IF(AH130="","",IF(AH130&gt;0,"Yes","No")))</f>
        <v/>
      </c>
      <c r="AJ130" s="4" t="str">
        <f aca="false">IF($A130="","",IF(AI130&lt;&gt;"Yes","On time",IF(N(AC130)&gt;=MAX(N(AF130),N(K130)),"Wait for analyst",IF(N(AF130)&gt;=N(K130),"External sign-off","Rework"))))</f>
        <v/>
      </c>
      <c r="AK130" s="4" t="str">
        <f aca="false">IF($A130="","",IF(OR(F130="",Y130="",ISNA(MATCH(L130,Dim_Analyst!$A:$A,0))),"CHECK","OK"))</f>
        <v/>
      </c>
      <c r="AL130" s="4" t="str">
        <f aca="false">IF($A130="","",IFERROR(VLOOKUP($C130,Dim_Fund!$A:$U,21,0),""))</f>
        <v/>
      </c>
      <c r="AM130" s="4" t="str">
        <f aca="false">IF($A130="","",IF($U130="","",IF($U130&gt;$B130+IFERROR(VLOOKUP($C130,Dim_Fund!$A:$AH,34,0),0)/24,"Yes","No")))</f>
        <v/>
      </c>
      <c r="AN130" s="22" t="str">
        <f aca="false">IF($A130="","",IFERROR(VLOOKUP($C130,Dim_Fund!$A:$AH,34,0),""))</f>
        <v/>
      </c>
      <c r="AO130" s="22" t="str">
        <f aca="false">IF($A130="","",IF($AL130="","",IFERROR(FLOOR(IF(COUNTIFS(Fact_Milestone!$A:$A,$B130,Fact_Milestone!$B:$B,$AL130,Fact_Milestone!$F:$F,"&gt;0")&gt;0,_xlfn.MINIFS(Fact_Milestone!$F:$F,Fact_Milestone!$A:$A,$B130,Fact_Milestone!$B:$B,$AL130,Fact_Milestone!$F:$F,"&gt;0"),VLOOKUP($AL130,Dim_TOP!$A:$E,5,0)),0.5),"")))</f>
        <v/>
      </c>
      <c r="AP130" s="22" t="str">
        <f aca="false">IF($A130="","",IF($U130="","",ROUND(($U130-INT($U130))*24,4)))</f>
        <v/>
      </c>
      <c r="AQ130" s="22" t="str">
        <f aca="false">IF($A130="","",IF($W130="","",ROUND(($W130-INT($W130))*24,4)))</f>
        <v/>
      </c>
      <c r="AR130" s="22" t="str">
        <f aca="false">IF($A130="","",IF($X130="","",ROUND(($X130-INT($X130))*24,4)))</f>
        <v/>
      </c>
      <c r="AS130" s="38" t="str">
        <f aca="false">IF($A130="","",IF(OR($AN130="",$V130="",$S130="",$T130=""),"",ROUND(($V130-($B130+$AN130/24))*1440-$S130-$T130,0)))</f>
        <v/>
      </c>
      <c r="AT130" s="38" t="str">
        <f aca="false">IF($A130="","",IF(OR($AN130="",$U130=""),"",ROUND(($U130-($B130+$AN130/24))*1440,0)))</f>
        <v/>
      </c>
      <c r="AU130" s="38" t="str">
        <f aca="false">IF($A130="","",IF(OR($AD130="",$S130=""),"",ROUND($AD130-$S130,0)))</f>
        <v/>
      </c>
      <c r="AV130" s="38" t="str">
        <f aca="false">IF($A130="","",N($AE130))</f>
        <v/>
      </c>
      <c r="AW130" s="38" t="str">
        <f aca="false">IF($A130="","",IF(OR($AF130="",$T130=""),"",$AF130-$T130))</f>
        <v/>
      </c>
      <c r="AX130" s="38" t="str">
        <f aca="false">IF($A130="","",IF(COUNT($AT130,$AB130,$AU130,$AW130,$AS130,$AH130)&lt;6,"",ROUND($AT130+$AB130+$AU130+$AV130+$AW130-$AS130-$AH130,0)))</f>
        <v/>
      </c>
      <c r="AY130" s="4" t="str">
        <f aca="false">IF($A130="","",IF($AX130="","No",IF(ABS($AX130)&lt;=2,"Yes","No")))</f>
        <v/>
      </c>
      <c r="AZ130" s="4" t="str">
        <f aca="false">IF($A130="","",IF($AI130&lt;&gt;"Yes","n/a",IF(OR($AA130="",$S130="",$T130=""),"Unknown",IF($AA130&lt;$S130+$T130,"Lost on arrival","Lost after arrival"))))</f>
        <v/>
      </c>
      <c r="BA130" s="10" t="str">
        <f aca="false">IF($A130="","",IFERROR(VLOOKUP($C130,Dim_Fund!$A:$D,4,0),""))</f>
        <v/>
      </c>
      <c r="BB130" s="10" t="str">
        <f aca="false">IF($A130="","",IF($AL130="","",IF(COUNTIFS(Fact_Milestone!$A:$A,$B130,Fact_Milestone!$B:$B,$AL130,Fact_Milestone!$I:$I,"No")&gt;0,"No",IF(COUNTIFS(Fact_Milestone!$A:$A,$B130,Fact_Milestone!$B:$B,$AL130,Fact_Milestone!$I:$I,"Yes")&gt;0,"Yes",""))))</f>
        <v/>
      </c>
      <c r="BC130" s="45" t="str">
        <f aca="false">IF($A130="","",IF(OR($L130="",$W130=""),"",IF(COUNTIFS($L:$L,$L130,$B:$B,$B130,$W:$W,"&lt;"&amp;$W130)=0,"",_xlfn.MAXIFS($W:$W,$L:$L,$L130,$B:$B,$B130,$W:$W,"&lt;"&amp;$W130))))</f>
        <v/>
      </c>
      <c r="BD130" s="39" t="str">
        <f aca="false">IF($A130="","",IF($AC130="","",IF(OR($L130="",$AC130=0),0,MIN($AC130,ROUND(ROUND(1440*SUMPRODUCT(($L$2:INDEX($L:$L,COUNTA($C:$C))=$L130)*($B$2:INDEX($B:$B,COUNTA($C:$C))=$B130)*(ROW($L$2:INDEX($L:$L,COUNTA($C:$C)))&lt;&gt;ROW())*((((($W130+$BT$2:INDEX($BT:$BT,COUNTA($C:$C))-ABS($W130-$BT$2:INDEX($BT:$BT,COUNTA($C:$C))))/2)-(($U130+$BS$2:INDEX($BS:$BS,COUNTA($C:$C))+ABS($U130-$BS$2:INDEX($BS:$BS,COUNTA($C:$C))))/2))+ABS(((($W130+$BT$2:INDEX($BT:$BT,COUNTA($C:$C))-ABS($W130-$BT$2:INDEX($BT:$BT,COUNTA($C:$C))))/2)-(($U130+$BS$2:INDEX($BS:$BS,COUNTA($C:$C))+ABS($U130-$BS$2:INDEX($BS:$BS,COUNTA($C:$C))))/2))))/2)),4),0)))))</f>
        <v/>
      </c>
      <c r="BE130" s="39" t="str">
        <f aca="false">IF($A130="","",IF($AC130="","",ROUND(MIN($AC130-$BD130,N($R130)),0)))</f>
        <v/>
      </c>
      <c r="BF130" s="10" t="str">
        <f aca="false">IF($A130="","",IFERROR(VLOOKUP($C130,Dim_Fund!$A:$BD,56,0),""))</f>
        <v/>
      </c>
      <c r="BG130" s="10" t="str">
        <f aca="false">IF($A130="","",IFERROR(VLOOKUP($C130,Dim_Fund!$A:$BH,60,0),""))</f>
        <v/>
      </c>
      <c r="BH130" s="10" t="str">
        <f aca="false">IF($A130="","",IF($AI130&lt;&gt;"Yes","Not breached",IF($AM130="Yes","Pricing late",IF($BG130="Thin custody slack","Thin custody slack",IF($BF130="Yes","Broker-dependent","None of these")))))</f>
        <v/>
      </c>
      <c r="BI130" s="23" t="str">
        <f aca="false">IF($A130="","",IFERROR(IF(VLOOKUP($C130,Dim_Fund!$A:$AI,35,0)&gt;0,VLOOKUP($C130,Dim_Fund!$A:$AI,35,0),""),""))</f>
        <v/>
      </c>
      <c r="BJ130" s="10" t="str">
        <f aca="false">IF($A130="","",$C130&amp;IF($E130="Client","*",""))</f>
        <v/>
      </c>
      <c r="BK130" s="39" t="str">
        <f aca="false">IF($A130="","",IFERROR(ROUND(($Y130-$X130)*1440,0),""))</f>
        <v/>
      </c>
      <c r="BL130" s="39" t="str">
        <f aca="false">IF($A130="","",IF($AH130="","",-$AH130))</f>
        <v/>
      </c>
      <c r="BM130" s="46" t="str">
        <f aca="false">IF($A130="","",IF($AQ130="","",IF($AP130="",$AQ130,MIN($AP130,$AQ130))))</f>
        <v/>
      </c>
      <c r="BN130" s="46" t="str">
        <f aca="false">IF($A130="","",IF($BM130="","",ROUND(N($AC130)/60,4)))</f>
        <v/>
      </c>
      <c r="BO130" s="46" t="str">
        <f aca="false">IF($A130="","",IF(OR($BM130="",$AD130=""),"",ROUND($AD130/60,4)))</f>
        <v/>
      </c>
      <c r="BP130" s="46" t="str">
        <f aca="false">IF($A130="","",IF($BM130="","",ROUND(N($AE130)/60,4)))</f>
        <v/>
      </c>
      <c r="BQ130" s="46" t="str">
        <f aca="false">IF($A130="","",IF(OR($BM130="",$AF130=""),"",ROUND($AF130/60,4)))</f>
        <v/>
      </c>
      <c r="BR130" s="39" t="str">
        <f aca="false">IF($A130="","",IF($AC130="","",$AC130-$BD130-$BE130))</f>
        <v/>
      </c>
      <c r="BS130" s="45" t="str">
        <f aca="false">IF($A130="","",IF(AND(ISNUMBER($Z130),ISNUMBER($W130)),$Z130,0))</f>
        <v/>
      </c>
      <c r="BT130" s="45" t="str">
        <f aca="false">IF($A130="","",IF(ISNUMBER($W130),$W130,0))</f>
        <v/>
      </c>
      <c r="BU130" s="23" t="str">
        <f aca="false">IF($A130="","",IF(ISNUMBER($W130),ROUND(($W130-$B130)*24,4),""))</f>
        <v/>
      </c>
      <c r="BV130" s="23" t="str">
        <f aca="false">IF($A130="","",IF(ISNUMBER($X130),ROUND(($X130-$B130)*24,4),""))</f>
        <v/>
      </c>
      <c r="BW130" s="10" t="str">
        <f aca="false">IF($A130="","",IF(NOT(ISNUMBER($W130)),"Missing Calculated",IF(NOT(ISNUMBER($X130)),IF($E130="Client","Missing FA signed off","Missing Controlled"),IF($X130&lt;$W130,"End before start","OK"))))</f>
        <v/>
      </c>
      <c r="BX130" s="23" t="str">
        <f aca="false">IF($A130="","",IF(NOT(ISNUMBER($Z130)),"",ROUND((IF(ISNUMBER($U130),MIN($U130,$Z130),$Z130)-$B130)*24,4)))</f>
        <v/>
      </c>
      <c r="BY130" s="23" t="str">
        <f aca="false">IF($A130="","",IF(ISNUMBER($Z130),ROUND(($Z130-$B130)*24,4),""))</f>
        <v/>
      </c>
      <c r="BZ130" s="23" t="str">
        <f aca="false">IF($A130="","",IF(AND(ISNUMBER($W130),ISNUMBER($S130)),ROUND(($W130+$S130/1440-$B130)*24,4),""))</f>
        <v/>
      </c>
    </row>
    <row r="131" customFormat="false" ht="15" hidden="false" customHeight="true" outlineLevel="0" collapsed="false">
      <c r="A131" s="47"/>
      <c r="B131" s="47"/>
      <c r="D131" s="4" t="str">
        <f aca="false">IF($A131="","",$B131-$A131)</f>
        <v/>
      </c>
      <c r="E131" s="4" t="str">
        <f aca="false">IF($A131="","",IFERROR(VLOOKUP($C131,Dim_Fund!$A:$X,24,0),""))</f>
        <v/>
      </c>
      <c r="F131" s="37" t="str">
        <f aca="false">IF($A131="","",IF(COUNTIFS(Status_Log!$A:$A,$A131,Status_Log!$B:$B,$B131,Status_Log!$C:$C,$C131,Status_Log!$D:$D,"Changed to the status of Calculated")=0,"",_xlfn.MINIFS(Status_Log!$E:$E,Status_Log!$A:$A,$A131,Status_Log!$B:$B,$B131,Status_Log!$C:$C,$C131,Status_Log!$D:$D,"Changed to the status of Calculated")))</f>
        <v/>
      </c>
      <c r="G131" s="37" t="str">
        <f aca="false">IF($A131="","",IF(COUNTIFS(Status_Log!$A:$A,$A131,Status_Log!$B:$B,$B131,Status_Log!$C:$C,$C131,Status_Log!$D:$D,"Changed to the status of Controlled")=0,"",_xlfn.MAXIFS(Status_Log!$E:$E,Status_Log!$A:$A,$A131,Status_Log!$B:$B,$B131,Status_Log!$C:$C,$C131,Status_Log!$D:$D,"Changed to the status of Controlled")))</f>
        <v/>
      </c>
      <c r="H131" s="37" t="str">
        <f aca="false">IF($A131="","",IF(COUNTIFS(Status_Log!$A:$A,$A131,Status_Log!$B:$B,$B131,Status_Log!$C:$C,$C131,Status_Log!$D:$D,"Changed to the status of Fund accounting signed off")=0,"",_xlfn.MAXIFS(Status_Log!$E:$E,Status_Log!$A:$A,$A131,Status_Log!$B:$B,$B131,Status_Log!$C:$C,$C131,Status_Log!$D:$D,"Changed to the status of Fund accounting signed off")))</f>
        <v/>
      </c>
      <c r="I131" s="37" t="str">
        <f aca="false">IF($A131="","",IF(COUNTIFS(Status_Log!$A:$A,$A131,Status_Log!$B:$B,$B131,Status_Log!$C:$C,$C131,Status_Log!$D:$D,"Changed to the status of signed off")=0,"",_xlfn.MAXIFS(Status_Log!$E:$E,Status_Log!$A:$A,$A131,Status_Log!$B:$B,$B131,Status_Log!$C:$C,$C131,Status_Log!$D:$D,"Changed to the status of signed off")))</f>
        <v/>
      </c>
      <c r="J131" s="4" t="str">
        <f aca="false">IF($A131="","",COUNTIFS(Status_Log!$A:$A,$A131,Status_Log!$B:$B,$B131,Status_Log!$C:$C,$C131,Status_Log!$D:$D,"Changed to the status of Calculated"))</f>
        <v/>
      </c>
      <c r="K131" s="38" t="str">
        <f aca="false">IF($A131="","",IF(J131&lt;=1,0,ROUND((_xlfn.MAXIFS(Status_Log!$E:$E,Status_Log!$A:$A,$A131,Status_Log!$B:$B,$B131,Status_Log!$C:$C,$C131,Status_Log!$D:$D,"Changed to the status of Calculated")-F131)*1440,0)))</f>
        <v/>
      </c>
      <c r="L131" s="4" t="str">
        <f aca="false">IF($A131="","",IFERROR(INDEX(Status_Log!$F:$F,MATCH($A131&amp;"|"&amp;$B131&amp;"|"&amp;$C131&amp;"|Changed to the status of Calculated|"&amp;TEXT(_xlfn.MAXIFS(Status_Log!$E:$E,Status_Log!$A:$A,$A131,Status_Log!$B:$B,$B131,Status_Log!$C:$C,$C131,Status_Log!$D:$D,"Changed to the status of Calculated"),"0.000000"),Status_Log!$H:$H,0)),""))</f>
        <v/>
      </c>
      <c r="M131" s="4" t="str">
        <f aca="false">IF($A131="","",IF(E131="Client","n/a — no control step",IFERROR(INDEX(Status_Log!$F:$F,MATCH($A131&amp;"|"&amp;$B131&amp;"|"&amp;$C131&amp;"|Changed to the status of Controlled|"&amp;TEXT(_xlfn.MAXIFS(Status_Log!$E:$E,Status_Log!$A:$A,$A131,Status_Log!$B:$B,$B131,Status_Log!$C:$C,$C131,Status_Log!$D:$D,"Changed to the status of Controlled"),"0.000000"),Status_Log!$H:$H,0)),"")))</f>
        <v/>
      </c>
      <c r="N131" s="4" t="str">
        <f aca="false">IF($A131="","",IFERROR(VLOOKUP($C131,Dim_Fund!$A:$G,7,0),""))</f>
        <v/>
      </c>
      <c r="O131" s="4" t="str">
        <f aca="false">IF($A131="","",IF(L131=N131,"No","Yes"))</f>
        <v/>
      </c>
      <c r="P131" s="4" t="str">
        <f aca="false">IF($A131="","",IF(E131="Client","n/a",IF(L131=M131,"YES — four-eyes breach","No")))</f>
        <v/>
      </c>
      <c r="Q131" s="38" t="str">
        <f aca="false">IF($A131="","",IFERROR(VLOOKUP($C131,Dim_Fund!$A:$AB,28,0),""))</f>
        <v/>
      </c>
      <c r="R131" s="38" t="str">
        <f aca="false">IF($A131="","",IFERROR(VLOOKUP($C131,Dim_Fund!$A:$AC,29,0),""))</f>
        <v/>
      </c>
      <c r="S131" s="38" t="str">
        <f aca="false">IF($A131="","",IFERROR(VLOOKUP($C131,Dim_Fund!$A:$AD,30,0),""))</f>
        <v/>
      </c>
      <c r="T131" s="38" t="str">
        <f aca="false">IF($A131="","",IFERROR(VLOOKUP($C131,Dim_Fund!$A:$AL,38,0),""))</f>
        <v/>
      </c>
      <c r="U131" s="37" t="str">
        <f aca="false">IF($A131="","",IF(AL131="","",IFERROR(IF(COUNTIFS(Fact_Milestone!$A:$A,$B131,Fact_Milestone!$B:$B,AL131)=0,"",_xlfn.MAXIFS(Fact_Milestone!$C:$C,Fact_Milestone!$A:$A,$B131,Fact_Milestone!$B:$B,AL131)),"")))</f>
        <v/>
      </c>
      <c r="V131" s="37" t="str">
        <f aca="false">IF($A131="","",IFERROR(IF(VLOOKUP($C131,Dim_Fund!$A:$AI,35,0)&gt;0,$B131+VLOOKUP($C131,Dim_Fund!$A:$AI,35,0)/24,""),""))</f>
        <v/>
      </c>
      <c r="W131" s="37" t="str">
        <f aca="false">IF($A131="","",F131)</f>
        <v/>
      </c>
      <c r="X131" s="37" t="str">
        <f aca="false">IF($A131="","",IF(E131="Client",H131,G131))</f>
        <v/>
      </c>
      <c r="Y131" s="37" t="str">
        <f aca="false">IF($A131="","",I131)</f>
        <v/>
      </c>
      <c r="Z131" s="37" t="str">
        <f aca="false">IF($A131="","",IFERROR(W131-R131/1440,""))</f>
        <v/>
      </c>
      <c r="AA131" s="38" t="str">
        <f aca="false">IF($A131="","",IF(OR(U131="",V131=""),"",ROUND((V131-U131)*1440,0)))</f>
        <v/>
      </c>
      <c r="AB131" s="38" t="str">
        <f aca="false">IF($A131="","",IF(U131="","",ROUND((W131-U131)*1440,0)))</f>
        <v/>
      </c>
      <c r="AC131" s="38" t="str">
        <f aca="false">IF($A131="","",IF(AB131="","",MAX(0,AB131)))</f>
        <v/>
      </c>
      <c r="AD131" s="38" t="str">
        <f aca="false">IF($A131="","",IFERROR(ROUND((X131-W131)*1440,0),""))</f>
        <v/>
      </c>
      <c r="AE131" s="38" t="str">
        <f aca="false">IF($A131="","",IF(E131="Client","n/a",IFERROR(ROUND((H131-G131)*1440,0),"")))</f>
        <v/>
      </c>
      <c r="AF131" s="38" t="str">
        <f aca="false">IF($A131="","",IFERROR(ROUND((Y131-H131)*1440,0),""))</f>
        <v/>
      </c>
      <c r="AG131" s="38" t="str">
        <f aca="false">IF($A131="","",IFERROR(ROUND((H131-F131)*1440,0),""))</f>
        <v/>
      </c>
      <c r="AH131" s="38" t="str">
        <f aca="false">IF($A131="","",IFERROR(ROUND((Y131-V131)*1440,0),""))</f>
        <v/>
      </c>
      <c r="AI131" s="4" t="str">
        <f aca="false">IF($A131="","",IF(AH131="","",IF(AH131&gt;0,"Yes","No")))</f>
        <v/>
      </c>
      <c r="AJ131" s="4" t="str">
        <f aca="false">IF($A131="","",IF(AI131&lt;&gt;"Yes","On time",IF(N(AC131)&gt;=MAX(N(AF131),N(K131)),"Wait for analyst",IF(N(AF131)&gt;=N(K131),"External sign-off","Rework"))))</f>
        <v/>
      </c>
      <c r="AK131" s="4" t="str">
        <f aca="false">IF($A131="","",IF(OR(F131="",Y131="",ISNA(MATCH(L131,Dim_Analyst!$A:$A,0))),"CHECK","OK"))</f>
        <v/>
      </c>
      <c r="AL131" s="4" t="str">
        <f aca="false">IF($A131="","",IFERROR(VLOOKUP($C131,Dim_Fund!$A:$U,21,0),""))</f>
        <v/>
      </c>
      <c r="AM131" s="4" t="str">
        <f aca="false">IF($A131="","",IF($U131="","",IF($U131&gt;$B131+IFERROR(VLOOKUP($C131,Dim_Fund!$A:$AH,34,0),0)/24,"Yes","No")))</f>
        <v/>
      </c>
      <c r="AN131" s="22" t="str">
        <f aca="false">IF($A131="","",IFERROR(VLOOKUP($C131,Dim_Fund!$A:$AH,34,0),""))</f>
        <v/>
      </c>
      <c r="AO131" s="22" t="str">
        <f aca="false">IF($A131="","",IF($AL131="","",IFERROR(FLOOR(IF(COUNTIFS(Fact_Milestone!$A:$A,$B131,Fact_Milestone!$B:$B,$AL131,Fact_Milestone!$F:$F,"&gt;0")&gt;0,_xlfn.MINIFS(Fact_Milestone!$F:$F,Fact_Milestone!$A:$A,$B131,Fact_Milestone!$B:$B,$AL131,Fact_Milestone!$F:$F,"&gt;0"),VLOOKUP($AL131,Dim_TOP!$A:$E,5,0)),0.5),"")))</f>
        <v/>
      </c>
      <c r="AP131" s="22" t="str">
        <f aca="false">IF($A131="","",IF($U131="","",ROUND(($U131-INT($U131))*24,4)))</f>
        <v/>
      </c>
      <c r="AQ131" s="22" t="str">
        <f aca="false">IF($A131="","",IF($W131="","",ROUND(($W131-INT($W131))*24,4)))</f>
        <v/>
      </c>
      <c r="AR131" s="22" t="str">
        <f aca="false">IF($A131="","",IF($X131="","",ROUND(($X131-INT($X131))*24,4)))</f>
        <v/>
      </c>
      <c r="AS131" s="38" t="str">
        <f aca="false">IF($A131="","",IF(OR($AN131="",$V131="",$S131="",$T131=""),"",ROUND(($V131-($B131+$AN131/24))*1440-$S131-$T131,0)))</f>
        <v/>
      </c>
      <c r="AT131" s="38" t="str">
        <f aca="false">IF($A131="","",IF(OR($AN131="",$U131=""),"",ROUND(($U131-($B131+$AN131/24))*1440,0)))</f>
        <v/>
      </c>
      <c r="AU131" s="38" t="str">
        <f aca="false">IF($A131="","",IF(OR($AD131="",$S131=""),"",ROUND($AD131-$S131,0)))</f>
        <v/>
      </c>
      <c r="AV131" s="38" t="str">
        <f aca="false">IF($A131="","",N($AE131))</f>
        <v/>
      </c>
      <c r="AW131" s="38" t="str">
        <f aca="false">IF($A131="","",IF(OR($AF131="",$T131=""),"",$AF131-$T131))</f>
        <v/>
      </c>
      <c r="AX131" s="38" t="str">
        <f aca="false">IF($A131="","",IF(COUNT($AT131,$AB131,$AU131,$AW131,$AS131,$AH131)&lt;6,"",ROUND($AT131+$AB131+$AU131+$AV131+$AW131-$AS131-$AH131,0)))</f>
        <v/>
      </c>
      <c r="AY131" s="4" t="str">
        <f aca="false">IF($A131="","",IF($AX131="","No",IF(ABS($AX131)&lt;=2,"Yes","No")))</f>
        <v/>
      </c>
      <c r="AZ131" s="4" t="str">
        <f aca="false">IF($A131="","",IF($AI131&lt;&gt;"Yes","n/a",IF(OR($AA131="",$S131="",$T131=""),"Unknown",IF($AA131&lt;$S131+$T131,"Lost on arrival","Lost after arrival"))))</f>
        <v/>
      </c>
      <c r="BA131" s="10" t="str">
        <f aca="false">IF($A131="","",IFERROR(VLOOKUP($C131,Dim_Fund!$A:$D,4,0),""))</f>
        <v/>
      </c>
      <c r="BB131" s="10" t="str">
        <f aca="false">IF($A131="","",IF($AL131="","",IF(COUNTIFS(Fact_Milestone!$A:$A,$B131,Fact_Milestone!$B:$B,$AL131,Fact_Milestone!$I:$I,"No")&gt;0,"No",IF(COUNTIFS(Fact_Milestone!$A:$A,$B131,Fact_Milestone!$B:$B,$AL131,Fact_Milestone!$I:$I,"Yes")&gt;0,"Yes",""))))</f>
        <v/>
      </c>
      <c r="BC131" s="45" t="str">
        <f aca="false">IF($A131="","",IF(OR($L131="",$W131=""),"",IF(COUNTIFS($L:$L,$L131,$B:$B,$B131,$W:$W,"&lt;"&amp;$W131)=0,"",_xlfn.MAXIFS($W:$W,$L:$L,$L131,$B:$B,$B131,$W:$W,"&lt;"&amp;$W131))))</f>
        <v/>
      </c>
      <c r="BD131" s="39" t="str">
        <f aca="false">IF($A131="","",IF($AC131="","",IF(OR($L131="",$AC131=0),0,MIN($AC131,ROUND(ROUND(1440*SUMPRODUCT(($L$2:INDEX($L:$L,COUNTA($C:$C))=$L131)*($B$2:INDEX($B:$B,COUNTA($C:$C))=$B131)*(ROW($L$2:INDEX($L:$L,COUNTA($C:$C)))&lt;&gt;ROW())*((((($W131+$BT$2:INDEX($BT:$BT,COUNTA($C:$C))-ABS($W131-$BT$2:INDEX($BT:$BT,COUNTA($C:$C))))/2)-(($U131+$BS$2:INDEX($BS:$BS,COUNTA($C:$C))+ABS($U131-$BS$2:INDEX($BS:$BS,COUNTA($C:$C))))/2))+ABS(((($W131+$BT$2:INDEX($BT:$BT,COUNTA($C:$C))-ABS($W131-$BT$2:INDEX($BT:$BT,COUNTA($C:$C))))/2)-(($U131+$BS$2:INDEX($BS:$BS,COUNTA($C:$C))+ABS($U131-$BS$2:INDEX($BS:$BS,COUNTA($C:$C))))/2))))/2)),4),0)))))</f>
        <v/>
      </c>
      <c r="BE131" s="39" t="str">
        <f aca="false">IF($A131="","",IF($AC131="","",ROUND(MIN($AC131-$BD131,N($R131)),0)))</f>
        <v/>
      </c>
      <c r="BF131" s="10" t="str">
        <f aca="false">IF($A131="","",IFERROR(VLOOKUP($C131,Dim_Fund!$A:$BD,56,0),""))</f>
        <v/>
      </c>
      <c r="BG131" s="10" t="str">
        <f aca="false">IF($A131="","",IFERROR(VLOOKUP($C131,Dim_Fund!$A:$BH,60,0),""))</f>
        <v/>
      </c>
      <c r="BH131" s="10" t="str">
        <f aca="false">IF($A131="","",IF($AI131&lt;&gt;"Yes","Not breached",IF($AM131="Yes","Pricing late",IF($BG131="Thin custody slack","Thin custody slack",IF($BF131="Yes","Broker-dependent","None of these")))))</f>
        <v/>
      </c>
      <c r="BI131" s="23" t="str">
        <f aca="false">IF($A131="","",IFERROR(IF(VLOOKUP($C131,Dim_Fund!$A:$AI,35,0)&gt;0,VLOOKUP($C131,Dim_Fund!$A:$AI,35,0),""),""))</f>
        <v/>
      </c>
      <c r="BJ131" s="10" t="str">
        <f aca="false">IF($A131="","",$C131&amp;IF($E131="Client","*",""))</f>
        <v/>
      </c>
      <c r="BK131" s="39" t="str">
        <f aca="false">IF($A131="","",IFERROR(ROUND(($Y131-$X131)*1440,0),""))</f>
        <v/>
      </c>
      <c r="BL131" s="39" t="str">
        <f aca="false">IF($A131="","",IF($AH131="","",-$AH131))</f>
        <v/>
      </c>
      <c r="BM131" s="46" t="str">
        <f aca="false">IF($A131="","",IF($AQ131="","",IF($AP131="",$AQ131,MIN($AP131,$AQ131))))</f>
        <v/>
      </c>
      <c r="BN131" s="46" t="str">
        <f aca="false">IF($A131="","",IF($BM131="","",ROUND(N($AC131)/60,4)))</f>
        <v/>
      </c>
      <c r="BO131" s="46" t="str">
        <f aca="false">IF($A131="","",IF(OR($BM131="",$AD131=""),"",ROUND($AD131/60,4)))</f>
        <v/>
      </c>
      <c r="BP131" s="46" t="str">
        <f aca="false">IF($A131="","",IF($BM131="","",ROUND(N($AE131)/60,4)))</f>
        <v/>
      </c>
      <c r="BQ131" s="46" t="str">
        <f aca="false">IF($A131="","",IF(OR($BM131="",$AF131=""),"",ROUND($AF131/60,4)))</f>
        <v/>
      </c>
      <c r="BR131" s="39" t="str">
        <f aca="false">IF($A131="","",IF($AC131="","",$AC131-$BD131-$BE131))</f>
        <v/>
      </c>
      <c r="BS131" s="45" t="str">
        <f aca="false">IF($A131="","",IF(AND(ISNUMBER($Z131),ISNUMBER($W131)),$Z131,0))</f>
        <v/>
      </c>
      <c r="BT131" s="45" t="str">
        <f aca="false">IF($A131="","",IF(ISNUMBER($W131),$W131,0))</f>
        <v/>
      </c>
      <c r="BU131" s="23" t="str">
        <f aca="false">IF($A131="","",IF(ISNUMBER($W131),ROUND(($W131-$B131)*24,4),""))</f>
        <v/>
      </c>
      <c r="BV131" s="23" t="str">
        <f aca="false">IF($A131="","",IF(ISNUMBER($X131),ROUND(($X131-$B131)*24,4),""))</f>
        <v/>
      </c>
      <c r="BW131" s="10" t="str">
        <f aca="false">IF($A131="","",IF(NOT(ISNUMBER($W131)),"Missing Calculated",IF(NOT(ISNUMBER($X131)),IF($E131="Client","Missing FA signed off","Missing Controlled"),IF($X131&lt;$W131,"End before start","OK"))))</f>
        <v/>
      </c>
      <c r="BX131" s="23" t="str">
        <f aca="false">IF($A131="","",IF(NOT(ISNUMBER($Z131)),"",ROUND((IF(ISNUMBER($U131),MIN($U131,$Z131),$Z131)-$B131)*24,4)))</f>
        <v/>
      </c>
      <c r="BY131" s="23" t="str">
        <f aca="false">IF($A131="","",IF(ISNUMBER($Z131),ROUND(($Z131-$B131)*24,4),""))</f>
        <v/>
      </c>
      <c r="BZ131" s="23" t="str">
        <f aca="false">IF($A131="","",IF(AND(ISNUMBER($W131),ISNUMBER($S131)),ROUND(($W131+$S131/1440-$B131)*24,4),""))</f>
        <v/>
      </c>
    </row>
    <row r="132" customFormat="false" ht="15" hidden="false" customHeight="true" outlineLevel="0" collapsed="false">
      <c r="A132" s="47"/>
      <c r="B132" s="47"/>
      <c r="D132" s="4" t="str">
        <f aca="false">IF($A132="","",$B132-$A132)</f>
        <v/>
      </c>
      <c r="E132" s="4" t="str">
        <f aca="false">IF($A132="","",IFERROR(VLOOKUP($C132,Dim_Fund!$A:$X,24,0),""))</f>
        <v/>
      </c>
      <c r="F132" s="37" t="str">
        <f aca="false">IF($A132="","",IF(COUNTIFS(Status_Log!$A:$A,$A132,Status_Log!$B:$B,$B132,Status_Log!$C:$C,$C132,Status_Log!$D:$D,"Changed to the status of Calculated")=0,"",_xlfn.MINIFS(Status_Log!$E:$E,Status_Log!$A:$A,$A132,Status_Log!$B:$B,$B132,Status_Log!$C:$C,$C132,Status_Log!$D:$D,"Changed to the status of Calculated")))</f>
        <v/>
      </c>
      <c r="G132" s="37" t="str">
        <f aca="false">IF($A132="","",IF(COUNTIFS(Status_Log!$A:$A,$A132,Status_Log!$B:$B,$B132,Status_Log!$C:$C,$C132,Status_Log!$D:$D,"Changed to the status of Controlled")=0,"",_xlfn.MAXIFS(Status_Log!$E:$E,Status_Log!$A:$A,$A132,Status_Log!$B:$B,$B132,Status_Log!$C:$C,$C132,Status_Log!$D:$D,"Changed to the status of Controlled")))</f>
        <v/>
      </c>
      <c r="H132" s="37" t="str">
        <f aca="false">IF($A132="","",IF(COUNTIFS(Status_Log!$A:$A,$A132,Status_Log!$B:$B,$B132,Status_Log!$C:$C,$C132,Status_Log!$D:$D,"Changed to the status of Fund accounting signed off")=0,"",_xlfn.MAXIFS(Status_Log!$E:$E,Status_Log!$A:$A,$A132,Status_Log!$B:$B,$B132,Status_Log!$C:$C,$C132,Status_Log!$D:$D,"Changed to the status of Fund accounting signed off")))</f>
        <v/>
      </c>
      <c r="I132" s="37" t="str">
        <f aca="false">IF($A132="","",IF(COUNTIFS(Status_Log!$A:$A,$A132,Status_Log!$B:$B,$B132,Status_Log!$C:$C,$C132,Status_Log!$D:$D,"Changed to the status of signed off")=0,"",_xlfn.MAXIFS(Status_Log!$E:$E,Status_Log!$A:$A,$A132,Status_Log!$B:$B,$B132,Status_Log!$C:$C,$C132,Status_Log!$D:$D,"Changed to the status of signed off")))</f>
        <v/>
      </c>
      <c r="J132" s="4" t="str">
        <f aca="false">IF($A132="","",COUNTIFS(Status_Log!$A:$A,$A132,Status_Log!$B:$B,$B132,Status_Log!$C:$C,$C132,Status_Log!$D:$D,"Changed to the status of Calculated"))</f>
        <v/>
      </c>
      <c r="K132" s="38" t="str">
        <f aca="false">IF($A132="","",IF(J132&lt;=1,0,ROUND((_xlfn.MAXIFS(Status_Log!$E:$E,Status_Log!$A:$A,$A132,Status_Log!$B:$B,$B132,Status_Log!$C:$C,$C132,Status_Log!$D:$D,"Changed to the status of Calculated")-F132)*1440,0)))</f>
        <v/>
      </c>
      <c r="L132" s="4" t="str">
        <f aca="false">IF($A132="","",IFERROR(INDEX(Status_Log!$F:$F,MATCH($A132&amp;"|"&amp;$B132&amp;"|"&amp;$C132&amp;"|Changed to the status of Calculated|"&amp;TEXT(_xlfn.MAXIFS(Status_Log!$E:$E,Status_Log!$A:$A,$A132,Status_Log!$B:$B,$B132,Status_Log!$C:$C,$C132,Status_Log!$D:$D,"Changed to the status of Calculated"),"0.000000"),Status_Log!$H:$H,0)),""))</f>
        <v/>
      </c>
      <c r="M132" s="4" t="str">
        <f aca="false">IF($A132="","",IF(E132="Client","n/a — no control step",IFERROR(INDEX(Status_Log!$F:$F,MATCH($A132&amp;"|"&amp;$B132&amp;"|"&amp;$C132&amp;"|Changed to the status of Controlled|"&amp;TEXT(_xlfn.MAXIFS(Status_Log!$E:$E,Status_Log!$A:$A,$A132,Status_Log!$B:$B,$B132,Status_Log!$C:$C,$C132,Status_Log!$D:$D,"Changed to the status of Controlled"),"0.000000"),Status_Log!$H:$H,0)),"")))</f>
        <v/>
      </c>
      <c r="N132" s="4" t="str">
        <f aca="false">IF($A132="","",IFERROR(VLOOKUP($C132,Dim_Fund!$A:$G,7,0),""))</f>
        <v/>
      </c>
      <c r="O132" s="4" t="str">
        <f aca="false">IF($A132="","",IF(L132=N132,"No","Yes"))</f>
        <v/>
      </c>
      <c r="P132" s="4" t="str">
        <f aca="false">IF($A132="","",IF(E132="Client","n/a",IF(L132=M132,"YES — four-eyes breach","No")))</f>
        <v/>
      </c>
      <c r="Q132" s="38" t="str">
        <f aca="false">IF($A132="","",IFERROR(VLOOKUP($C132,Dim_Fund!$A:$AB,28,0),""))</f>
        <v/>
      </c>
      <c r="R132" s="38" t="str">
        <f aca="false">IF($A132="","",IFERROR(VLOOKUP($C132,Dim_Fund!$A:$AC,29,0),""))</f>
        <v/>
      </c>
      <c r="S132" s="38" t="str">
        <f aca="false">IF($A132="","",IFERROR(VLOOKUP($C132,Dim_Fund!$A:$AD,30,0),""))</f>
        <v/>
      </c>
      <c r="T132" s="38" t="str">
        <f aca="false">IF($A132="","",IFERROR(VLOOKUP($C132,Dim_Fund!$A:$AL,38,0),""))</f>
        <v/>
      </c>
      <c r="U132" s="37" t="str">
        <f aca="false">IF($A132="","",IF(AL132="","",IFERROR(IF(COUNTIFS(Fact_Milestone!$A:$A,$B132,Fact_Milestone!$B:$B,AL132)=0,"",_xlfn.MAXIFS(Fact_Milestone!$C:$C,Fact_Milestone!$A:$A,$B132,Fact_Milestone!$B:$B,AL132)),"")))</f>
        <v/>
      </c>
      <c r="V132" s="37" t="str">
        <f aca="false">IF($A132="","",IFERROR(IF(VLOOKUP($C132,Dim_Fund!$A:$AI,35,0)&gt;0,$B132+VLOOKUP($C132,Dim_Fund!$A:$AI,35,0)/24,""),""))</f>
        <v/>
      </c>
      <c r="W132" s="37" t="str">
        <f aca="false">IF($A132="","",F132)</f>
        <v/>
      </c>
      <c r="X132" s="37" t="str">
        <f aca="false">IF($A132="","",IF(E132="Client",H132,G132))</f>
        <v/>
      </c>
      <c r="Y132" s="37" t="str">
        <f aca="false">IF($A132="","",I132)</f>
        <v/>
      </c>
      <c r="Z132" s="37" t="str">
        <f aca="false">IF($A132="","",IFERROR(W132-R132/1440,""))</f>
        <v/>
      </c>
      <c r="AA132" s="38" t="str">
        <f aca="false">IF($A132="","",IF(OR(U132="",V132=""),"",ROUND((V132-U132)*1440,0)))</f>
        <v/>
      </c>
      <c r="AB132" s="38" t="str">
        <f aca="false">IF($A132="","",IF(U132="","",ROUND((W132-U132)*1440,0)))</f>
        <v/>
      </c>
      <c r="AC132" s="38" t="str">
        <f aca="false">IF($A132="","",IF(AB132="","",MAX(0,AB132)))</f>
        <v/>
      </c>
      <c r="AD132" s="38" t="str">
        <f aca="false">IF($A132="","",IFERROR(ROUND((X132-W132)*1440,0),""))</f>
        <v/>
      </c>
      <c r="AE132" s="38" t="str">
        <f aca="false">IF($A132="","",IF(E132="Client","n/a",IFERROR(ROUND((H132-G132)*1440,0),"")))</f>
        <v/>
      </c>
      <c r="AF132" s="38" t="str">
        <f aca="false">IF($A132="","",IFERROR(ROUND((Y132-H132)*1440,0),""))</f>
        <v/>
      </c>
      <c r="AG132" s="38" t="str">
        <f aca="false">IF($A132="","",IFERROR(ROUND((H132-F132)*1440,0),""))</f>
        <v/>
      </c>
      <c r="AH132" s="38" t="str">
        <f aca="false">IF($A132="","",IFERROR(ROUND((Y132-V132)*1440,0),""))</f>
        <v/>
      </c>
      <c r="AI132" s="4" t="str">
        <f aca="false">IF($A132="","",IF(AH132="","",IF(AH132&gt;0,"Yes","No")))</f>
        <v/>
      </c>
      <c r="AJ132" s="4" t="str">
        <f aca="false">IF($A132="","",IF(AI132&lt;&gt;"Yes","On time",IF(N(AC132)&gt;=MAX(N(AF132),N(K132)),"Wait for analyst",IF(N(AF132)&gt;=N(K132),"External sign-off","Rework"))))</f>
        <v/>
      </c>
      <c r="AK132" s="4" t="str">
        <f aca="false">IF($A132="","",IF(OR(F132="",Y132="",ISNA(MATCH(L132,Dim_Analyst!$A:$A,0))),"CHECK","OK"))</f>
        <v/>
      </c>
      <c r="AL132" s="4" t="str">
        <f aca="false">IF($A132="","",IFERROR(VLOOKUP($C132,Dim_Fund!$A:$U,21,0),""))</f>
        <v/>
      </c>
      <c r="AM132" s="4" t="str">
        <f aca="false">IF($A132="","",IF($U132="","",IF($U132&gt;$B132+IFERROR(VLOOKUP($C132,Dim_Fund!$A:$AH,34,0),0)/24,"Yes","No")))</f>
        <v/>
      </c>
      <c r="AN132" s="22" t="str">
        <f aca="false">IF($A132="","",IFERROR(VLOOKUP($C132,Dim_Fund!$A:$AH,34,0),""))</f>
        <v/>
      </c>
      <c r="AO132" s="22" t="str">
        <f aca="false">IF($A132="","",IF($AL132="","",IFERROR(FLOOR(IF(COUNTIFS(Fact_Milestone!$A:$A,$B132,Fact_Milestone!$B:$B,$AL132,Fact_Milestone!$F:$F,"&gt;0")&gt;0,_xlfn.MINIFS(Fact_Milestone!$F:$F,Fact_Milestone!$A:$A,$B132,Fact_Milestone!$B:$B,$AL132,Fact_Milestone!$F:$F,"&gt;0"),VLOOKUP($AL132,Dim_TOP!$A:$E,5,0)),0.5),"")))</f>
        <v/>
      </c>
      <c r="AP132" s="22" t="str">
        <f aca="false">IF($A132="","",IF($U132="","",ROUND(($U132-INT($U132))*24,4)))</f>
        <v/>
      </c>
      <c r="AQ132" s="22" t="str">
        <f aca="false">IF($A132="","",IF($W132="","",ROUND(($W132-INT($W132))*24,4)))</f>
        <v/>
      </c>
      <c r="AR132" s="22" t="str">
        <f aca="false">IF($A132="","",IF($X132="","",ROUND(($X132-INT($X132))*24,4)))</f>
        <v/>
      </c>
      <c r="AS132" s="38" t="str">
        <f aca="false">IF($A132="","",IF(OR($AN132="",$V132="",$S132="",$T132=""),"",ROUND(($V132-($B132+$AN132/24))*1440-$S132-$T132,0)))</f>
        <v/>
      </c>
      <c r="AT132" s="38" t="str">
        <f aca="false">IF($A132="","",IF(OR($AN132="",$U132=""),"",ROUND(($U132-($B132+$AN132/24))*1440,0)))</f>
        <v/>
      </c>
      <c r="AU132" s="38" t="str">
        <f aca="false">IF($A132="","",IF(OR($AD132="",$S132=""),"",ROUND($AD132-$S132,0)))</f>
        <v/>
      </c>
      <c r="AV132" s="38" t="str">
        <f aca="false">IF($A132="","",N($AE132))</f>
        <v/>
      </c>
      <c r="AW132" s="38" t="str">
        <f aca="false">IF($A132="","",IF(OR($AF132="",$T132=""),"",$AF132-$T132))</f>
        <v/>
      </c>
      <c r="AX132" s="38" t="str">
        <f aca="false">IF($A132="","",IF(COUNT($AT132,$AB132,$AU132,$AW132,$AS132,$AH132)&lt;6,"",ROUND($AT132+$AB132+$AU132+$AV132+$AW132-$AS132-$AH132,0)))</f>
        <v/>
      </c>
      <c r="AY132" s="4" t="str">
        <f aca="false">IF($A132="","",IF($AX132="","No",IF(ABS($AX132)&lt;=2,"Yes","No")))</f>
        <v/>
      </c>
      <c r="AZ132" s="4" t="str">
        <f aca="false">IF($A132="","",IF($AI132&lt;&gt;"Yes","n/a",IF(OR($AA132="",$S132="",$T132=""),"Unknown",IF($AA132&lt;$S132+$T132,"Lost on arrival","Lost after arrival"))))</f>
        <v/>
      </c>
      <c r="BA132" s="10" t="str">
        <f aca="false">IF($A132="","",IFERROR(VLOOKUP($C132,Dim_Fund!$A:$D,4,0),""))</f>
        <v/>
      </c>
      <c r="BB132" s="10" t="str">
        <f aca="false">IF($A132="","",IF($AL132="","",IF(COUNTIFS(Fact_Milestone!$A:$A,$B132,Fact_Milestone!$B:$B,$AL132,Fact_Milestone!$I:$I,"No")&gt;0,"No",IF(COUNTIFS(Fact_Milestone!$A:$A,$B132,Fact_Milestone!$B:$B,$AL132,Fact_Milestone!$I:$I,"Yes")&gt;0,"Yes",""))))</f>
        <v/>
      </c>
      <c r="BC132" s="45" t="str">
        <f aca="false">IF($A132="","",IF(OR($L132="",$W132=""),"",IF(COUNTIFS($L:$L,$L132,$B:$B,$B132,$W:$W,"&lt;"&amp;$W132)=0,"",_xlfn.MAXIFS($W:$W,$L:$L,$L132,$B:$B,$B132,$W:$W,"&lt;"&amp;$W132))))</f>
        <v/>
      </c>
      <c r="BD132" s="39" t="str">
        <f aca="false">IF($A132="","",IF($AC132="","",IF(OR($L132="",$AC132=0),0,MIN($AC132,ROUND(ROUND(1440*SUMPRODUCT(($L$2:INDEX($L:$L,COUNTA($C:$C))=$L132)*($B$2:INDEX($B:$B,COUNTA($C:$C))=$B132)*(ROW($L$2:INDEX($L:$L,COUNTA($C:$C)))&lt;&gt;ROW())*((((($W132+$BT$2:INDEX($BT:$BT,COUNTA($C:$C))-ABS($W132-$BT$2:INDEX($BT:$BT,COUNTA($C:$C))))/2)-(($U132+$BS$2:INDEX($BS:$BS,COUNTA($C:$C))+ABS($U132-$BS$2:INDEX($BS:$BS,COUNTA($C:$C))))/2))+ABS(((($W132+$BT$2:INDEX($BT:$BT,COUNTA($C:$C))-ABS($W132-$BT$2:INDEX($BT:$BT,COUNTA($C:$C))))/2)-(($U132+$BS$2:INDEX($BS:$BS,COUNTA($C:$C))+ABS($U132-$BS$2:INDEX($BS:$BS,COUNTA($C:$C))))/2))))/2)),4),0)))))</f>
        <v/>
      </c>
      <c r="BE132" s="39" t="str">
        <f aca="false">IF($A132="","",IF($AC132="","",ROUND(MIN($AC132-$BD132,N($R132)),0)))</f>
        <v/>
      </c>
      <c r="BF132" s="10" t="str">
        <f aca="false">IF($A132="","",IFERROR(VLOOKUP($C132,Dim_Fund!$A:$BD,56,0),""))</f>
        <v/>
      </c>
      <c r="BG132" s="10" t="str">
        <f aca="false">IF($A132="","",IFERROR(VLOOKUP($C132,Dim_Fund!$A:$BH,60,0),""))</f>
        <v/>
      </c>
      <c r="BH132" s="10" t="str">
        <f aca="false">IF($A132="","",IF($AI132&lt;&gt;"Yes","Not breached",IF($AM132="Yes","Pricing late",IF($BG132="Thin custody slack","Thin custody slack",IF($BF132="Yes","Broker-dependent","None of these")))))</f>
        <v/>
      </c>
      <c r="BI132" s="23" t="str">
        <f aca="false">IF($A132="","",IFERROR(IF(VLOOKUP($C132,Dim_Fund!$A:$AI,35,0)&gt;0,VLOOKUP($C132,Dim_Fund!$A:$AI,35,0),""),""))</f>
        <v/>
      </c>
      <c r="BJ132" s="10" t="str">
        <f aca="false">IF($A132="","",$C132&amp;IF($E132="Client","*",""))</f>
        <v/>
      </c>
      <c r="BK132" s="39" t="str">
        <f aca="false">IF($A132="","",IFERROR(ROUND(($Y132-$X132)*1440,0),""))</f>
        <v/>
      </c>
      <c r="BL132" s="39" t="str">
        <f aca="false">IF($A132="","",IF($AH132="","",-$AH132))</f>
        <v/>
      </c>
      <c r="BM132" s="46" t="str">
        <f aca="false">IF($A132="","",IF($AQ132="","",IF($AP132="",$AQ132,MIN($AP132,$AQ132))))</f>
        <v/>
      </c>
      <c r="BN132" s="46" t="str">
        <f aca="false">IF($A132="","",IF($BM132="","",ROUND(N($AC132)/60,4)))</f>
        <v/>
      </c>
      <c r="BO132" s="46" t="str">
        <f aca="false">IF($A132="","",IF(OR($BM132="",$AD132=""),"",ROUND($AD132/60,4)))</f>
        <v/>
      </c>
      <c r="BP132" s="46" t="str">
        <f aca="false">IF($A132="","",IF($BM132="","",ROUND(N($AE132)/60,4)))</f>
        <v/>
      </c>
      <c r="BQ132" s="46" t="str">
        <f aca="false">IF($A132="","",IF(OR($BM132="",$AF132=""),"",ROUND($AF132/60,4)))</f>
        <v/>
      </c>
      <c r="BR132" s="39" t="str">
        <f aca="false">IF($A132="","",IF($AC132="","",$AC132-$BD132-$BE132))</f>
        <v/>
      </c>
      <c r="BS132" s="45" t="str">
        <f aca="false">IF($A132="","",IF(AND(ISNUMBER($Z132),ISNUMBER($W132)),$Z132,0))</f>
        <v/>
      </c>
      <c r="BT132" s="45" t="str">
        <f aca="false">IF($A132="","",IF(ISNUMBER($W132),$W132,0))</f>
        <v/>
      </c>
      <c r="BU132" s="23" t="str">
        <f aca="false">IF($A132="","",IF(ISNUMBER($W132),ROUND(($W132-$B132)*24,4),""))</f>
        <v/>
      </c>
      <c r="BV132" s="23" t="str">
        <f aca="false">IF($A132="","",IF(ISNUMBER($X132),ROUND(($X132-$B132)*24,4),""))</f>
        <v/>
      </c>
      <c r="BW132" s="10" t="str">
        <f aca="false">IF($A132="","",IF(NOT(ISNUMBER($W132)),"Missing Calculated",IF(NOT(ISNUMBER($X132)),IF($E132="Client","Missing FA signed off","Missing Controlled"),IF($X132&lt;$W132,"End before start","OK"))))</f>
        <v/>
      </c>
      <c r="BX132" s="23" t="str">
        <f aca="false">IF($A132="","",IF(NOT(ISNUMBER($Z132)),"",ROUND((IF(ISNUMBER($U132),MIN($U132,$Z132),$Z132)-$B132)*24,4)))</f>
        <v/>
      </c>
      <c r="BY132" s="23" t="str">
        <f aca="false">IF($A132="","",IF(ISNUMBER($Z132),ROUND(($Z132-$B132)*24,4),""))</f>
        <v/>
      </c>
      <c r="BZ132" s="23" t="str">
        <f aca="false">IF($A132="","",IF(AND(ISNUMBER($W132),ISNUMBER($S132)),ROUND(($W132+$S132/1440-$B132)*24,4),""))</f>
        <v/>
      </c>
    </row>
    <row r="133" customFormat="false" ht="15" hidden="false" customHeight="true" outlineLevel="0" collapsed="false">
      <c r="A133" s="47"/>
      <c r="B133" s="47"/>
      <c r="D133" s="4" t="str">
        <f aca="false">IF($A133="","",$B133-$A133)</f>
        <v/>
      </c>
      <c r="E133" s="4" t="str">
        <f aca="false">IF($A133="","",IFERROR(VLOOKUP($C133,Dim_Fund!$A:$X,24,0),""))</f>
        <v/>
      </c>
      <c r="F133" s="37" t="str">
        <f aca="false">IF($A133="","",IF(COUNTIFS(Status_Log!$A:$A,$A133,Status_Log!$B:$B,$B133,Status_Log!$C:$C,$C133,Status_Log!$D:$D,"Changed to the status of Calculated")=0,"",_xlfn.MINIFS(Status_Log!$E:$E,Status_Log!$A:$A,$A133,Status_Log!$B:$B,$B133,Status_Log!$C:$C,$C133,Status_Log!$D:$D,"Changed to the status of Calculated")))</f>
        <v/>
      </c>
      <c r="G133" s="37" t="str">
        <f aca="false">IF($A133="","",IF(COUNTIFS(Status_Log!$A:$A,$A133,Status_Log!$B:$B,$B133,Status_Log!$C:$C,$C133,Status_Log!$D:$D,"Changed to the status of Controlled")=0,"",_xlfn.MAXIFS(Status_Log!$E:$E,Status_Log!$A:$A,$A133,Status_Log!$B:$B,$B133,Status_Log!$C:$C,$C133,Status_Log!$D:$D,"Changed to the status of Controlled")))</f>
        <v/>
      </c>
      <c r="H133" s="37" t="str">
        <f aca="false">IF($A133="","",IF(COUNTIFS(Status_Log!$A:$A,$A133,Status_Log!$B:$B,$B133,Status_Log!$C:$C,$C133,Status_Log!$D:$D,"Changed to the status of Fund accounting signed off")=0,"",_xlfn.MAXIFS(Status_Log!$E:$E,Status_Log!$A:$A,$A133,Status_Log!$B:$B,$B133,Status_Log!$C:$C,$C133,Status_Log!$D:$D,"Changed to the status of Fund accounting signed off")))</f>
        <v/>
      </c>
      <c r="I133" s="37" t="str">
        <f aca="false">IF($A133="","",IF(COUNTIFS(Status_Log!$A:$A,$A133,Status_Log!$B:$B,$B133,Status_Log!$C:$C,$C133,Status_Log!$D:$D,"Changed to the status of signed off")=0,"",_xlfn.MAXIFS(Status_Log!$E:$E,Status_Log!$A:$A,$A133,Status_Log!$B:$B,$B133,Status_Log!$C:$C,$C133,Status_Log!$D:$D,"Changed to the status of signed off")))</f>
        <v/>
      </c>
      <c r="J133" s="4" t="str">
        <f aca="false">IF($A133="","",COUNTIFS(Status_Log!$A:$A,$A133,Status_Log!$B:$B,$B133,Status_Log!$C:$C,$C133,Status_Log!$D:$D,"Changed to the status of Calculated"))</f>
        <v/>
      </c>
      <c r="K133" s="38" t="str">
        <f aca="false">IF($A133="","",IF(J133&lt;=1,0,ROUND((_xlfn.MAXIFS(Status_Log!$E:$E,Status_Log!$A:$A,$A133,Status_Log!$B:$B,$B133,Status_Log!$C:$C,$C133,Status_Log!$D:$D,"Changed to the status of Calculated")-F133)*1440,0)))</f>
        <v/>
      </c>
      <c r="L133" s="4" t="str">
        <f aca="false">IF($A133="","",IFERROR(INDEX(Status_Log!$F:$F,MATCH($A133&amp;"|"&amp;$B133&amp;"|"&amp;$C133&amp;"|Changed to the status of Calculated|"&amp;TEXT(_xlfn.MAXIFS(Status_Log!$E:$E,Status_Log!$A:$A,$A133,Status_Log!$B:$B,$B133,Status_Log!$C:$C,$C133,Status_Log!$D:$D,"Changed to the status of Calculated"),"0.000000"),Status_Log!$H:$H,0)),""))</f>
        <v/>
      </c>
      <c r="M133" s="4" t="str">
        <f aca="false">IF($A133="","",IF(E133="Client","n/a — no control step",IFERROR(INDEX(Status_Log!$F:$F,MATCH($A133&amp;"|"&amp;$B133&amp;"|"&amp;$C133&amp;"|Changed to the status of Controlled|"&amp;TEXT(_xlfn.MAXIFS(Status_Log!$E:$E,Status_Log!$A:$A,$A133,Status_Log!$B:$B,$B133,Status_Log!$C:$C,$C133,Status_Log!$D:$D,"Changed to the status of Controlled"),"0.000000"),Status_Log!$H:$H,0)),"")))</f>
        <v/>
      </c>
      <c r="N133" s="4" t="str">
        <f aca="false">IF($A133="","",IFERROR(VLOOKUP($C133,Dim_Fund!$A:$G,7,0),""))</f>
        <v/>
      </c>
      <c r="O133" s="4" t="str">
        <f aca="false">IF($A133="","",IF(L133=N133,"No","Yes"))</f>
        <v/>
      </c>
      <c r="P133" s="4" t="str">
        <f aca="false">IF($A133="","",IF(E133="Client","n/a",IF(L133=M133,"YES — four-eyes breach","No")))</f>
        <v/>
      </c>
      <c r="Q133" s="38" t="str">
        <f aca="false">IF($A133="","",IFERROR(VLOOKUP($C133,Dim_Fund!$A:$AB,28,0),""))</f>
        <v/>
      </c>
      <c r="R133" s="38" t="str">
        <f aca="false">IF($A133="","",IFERROR(VLOOKUP($C133,Dim_Fund!$A:$AC,29,0),""))</f>
        <v/>
      </c>
      <c r="S133" s="38" t="str">
        <f aca="false">IF($A133="","",IFERROR(VLOOKUP($C133,Dim_Fund!$A:$AD,30,0),""))</f>
        <v/>
      </c>
      <c r="T133" s="38" t="str">
        <f aca="false">IF($A133="","",IFERROR(VLOOKUP($C133,Dim_Fund!$A:$AL,38,0),""))</f>
        <v/>
      </c>
      <c r="U133" s="37" t="str">
        <f aca="false">IF($A133="","",IF(AL133="","",IFERROR(IF(COUNTIFS(Fact_Milestone!$A:$A,$B133,Fact_Milestone!$B:$B,AL133)=0,"",_xlfn.MAXIFS(Fact_Milestone!$C:$C,Fact_Milestone!$A:$A,$B133,Fact_Milestone!$B:$B,AL133)),"")))</f>
        <v/>
      </c>
      <c r="V133" s="37" t="str">
        <f aca="false">IF($A133="","",IFERROR(IF(VLOOKUP($C133,Dim_Fund!$A:$AI,35,0)&gt;0,$B133+VLOOKUP($C133,Dim_Fund!$A:$AI,35,0)/24,""),""))</f>
        <v/>
      </c>
      <c r="W133" s="37" t="str">
        <f aca="false">IF($A133="","",F133)</f>
        <v/>
      </c>
      <c r="X133" s="37" t="str">
        <f aca="false">IF($A133="","",IF(E133="Client",H133,G133))</f>
        <v/>
      </c>
      <c r="Y133" s="37" t="str">
        <f aca="false">IF($A133="","",I133)</f>
        <v/>
      </c>
      <c r="Z133" s="37" t="str">
        <f aca="false">IF($A133="","",IFERROR(W133-R133/1440,""))</f>
        <v/>
      </c>
      <c r="AA133" s="38" t="str">
        <f aca="false">IF($A133="","",IF(OR(U133="",V133=""),"",ROUND((V133-U133)*1440,0)))</f>
        <v/>
      </c>
      <c r="AB133" s="38" t="str">
        <f aca="false">IF($A133="","",IF(U133="","",ROUND((W133-U133)*1440,0)))</f>
        <v/>
      </c>
      <c r="AC133" s="38" t="str">
        <f aca="false">IF($A133="","",IF(AB133="","",MAX(0,AB133)))</f>
        <v/>
      </c>
      <c r="AD133" s="38" t="str">
        <f aca="false">IF($A133="","",IFERROR(ROUND((X133-W133)*1440,0),""))</f>
        <v/>
      </c>
      <c r="AE133" s="38" t="str">
        <f aca="false">IF($A133="","",IF(E133="Client","n/a",IFERROR(ROUND((H133-G133)*1440,0),"")))</f>
        <v/>
      </c>
      <c r="AF133" s="38" t="str">
        <f aca="false">IF($A133="","",IFERROR(ROUND((Y133-H133)*1440,0),""))</f>
        <v/>
      </c>
      <c r="AG133" s="38" t="str">
        <f aca="false">IF($A133="","",IFERROR(ROUND((H133-F133)*1440,0),""))</f>
        <v/>
      </c>
      <c r="AH133" s="38" t="str">
        <f aca="false">IF($A133="","",IFERROR(ROUND((Y133-V133)*1440,0),""))</f>
        <v/>
      </c>
      <c r="AI133" s="4" t="str">
        <f aca="false">IF($A133="","",IF(AH133="","",IF(AH133&gt;0,"Yes","No")))</f>
        <v/>
      </c>
      <c r="AJ133" s="4" t="str">
        <f aca="false">IF($A133="","",IF(AI133&lt;&gt;"Yes","On time",IF(N(AC133)&gt;=MAX(N(AF133),N(K133)),"Wait for analyst",IF(N(AF133)&gt;=N(K133),"External sign-off","Rework"))))</f>
        <v/>
      </c>
      <c r="AK133" s="4" t="str">
        <f aca="false">IF($A133="","",IF(OR(F133="",Y133="",ISNA(MATCH(L133,Dim_Analyst!$A:$A,0))),"CHECK","OK"))</f>
        <v/>
      </c>
      <c r="AL133" s="4" t="str">
        <f aca="false">IF($A133="","",IFERROR(VLOOKUP($C133,Dim_Fund!$A:$U,21,0),""))</f>
        <v/>
      </c>
      <c r="AM133" s="4" t="str">
        <f aca="false">IF($A133="","",IF($U133="","",IF($U133&gt;$B133+IFERROR(VLOOKUP($C133,Dim_Fund!$A:$AH,34,0),0)/24,"Yes","No")))</f>
        <v/>
      </c>
      <c r="AN133" s="22" t="str">
        <f aca="false">IF($A133="","",IFERROR(VLOOKUP($C133,Dim_Fund!$A:$AH,34,0),""))</f>
        <v/>
      </c>
      <c r="AO133" s="22" t="str">
        <f aca="false">IF($A133="","",IF($AL133="","",IFERROR(FLOOR(IF(COUNTIFS(Fact_Milestone!$A:$A,$B133,Fact_Milestone!$B:$B,$AL133,Fact_Milestone!$F:$F,"&gt;0")&gt;0,_xlfn.MINIFS(Fact_Milestone!$F:$F,Fact_Milestone!$A:$A,$B133,Fact_Milestone!$B:$B,$AL133,Fact_Milestone!$F:$F,"&gt;0"),VLOOKUP($AL133,Dim_TOP!$A:$E,5,0)),0.5),"")))</f>
        <v/>
      </c>
      <c r="AP133" s="22" t="str">
        <f aca="false">IF($A133="","",IF($U133="","",ROUND(($U133-INT($U133))*24,4)))</f>
        <v/>
      </c>
      <c r="AQ133" s="22" t="str">
        <f aca="false">IF($A133="","",IF($W133="","",ROUND(($W133-INT($W133))*24,4)))</f>
        <v/>
      </c>
      <c r="AR133" s="22" t="str">
        <f aca="false">IF($A133="","",IF($X133="","",ROUND(($X133-INT($X133))*24,4)))</f>
        <v/>
      </c>
      <c r="AS133" s="38" t="str">
        <f aca="false">IF($A133="","",IF(OR($AN133="",$V133="",$S133="",$T133=""),"",ROUND(($V133-($B133+$AN133/24))*1440-$S133-$T133,0)))</f>
        <v/>
      </c>
      <c r="AT133" s="38" t="str">
        <f aca="false">IF($A133="","",IF(OR($AN133="",$U133=""),"",ROUND(($U133-($B133+$AN133/24))*1440,0)))</f>
        <v/>
      </c>
      <c r="AU133" s="38" t="str">
        <f aca="false">IF($A133="","",IF(OR($AD133="",$S133=""),"",ROUND($AD133-$S133,0)))</f>
        <v/>
      </c>
      <c r="AV133" s="38" t="str">
        <f aca="false">IF($A133="","",N($AE133))</f>
        <v/>
      </c>
      <c r="AW133" s="38" t="str">
        <f aca="false">IF($A133="","",IF(OR($AF133="",$T133=""),"",$AF133-$T133))</f>
        <v/>
      </c>
      <c r="AX133" s="38" t="str">
        <f aca="false">IF($A133="","",IF(COUNT($AT133,$AB133,$AU133,$AW133,$AS133,$AH133)&lt;6,"",ROUND($AT133+$AB133+$AU133+$AV133+$AW133-$AS133-$AH133,0)))</f>
        <v/>
      </c>
      <c r="AY133" s="4" t="str">
        <f aca="false">IF($A133="","",IF($AX133="","No",IF(ABS($AX133)&lt;=2,"Yes","No")))</f>
        <v/>
      </c>
      <c r="AZ133" s="4" t="str">
        <f aca="false">IF($A133="","",IF($AI133&lt;&gt;"Yes","n/a",IF(OR($AA133="",$S133="",$T133=""),"Unknown",IF($AA133&lt;$S133+$T133,"Lost on arrival","Lost after arrival"))))</f>
        <v/>
      </c>
      <c r="BA133" s="10" t="str">
        <f aca="false">IF($A133="","",IFERROR(VLOOKUP($C133,Dim_Fund!$A:$D,4,0),""))</f>
        <v/>
      </c>
      <c r="BB133" s="10" t="str">
        <f aca="false">IF($A133="","",IF($AL133="","",IF(COUNTIFS(Fact_Milestone!$A:$A,$B133,Fact_Milestone!$B:$B,$AL133,Fact_Milestone!$I:$I,"No")&gt;0,"No",IF(COUNTIFS(Fact_Milestone!$A:$A,$B133,Fact_Milestone!$B:$B,$AL133,Fact_Milestone!$I:$I,"Yes")&gt;0,"Yes",""))))</f>
        <v/>
      </c>
      <c r="BC133" s="45" t="str">
        <f aca="false">IF($A133="","",IF(OR($L133="",$W133=""),"",IF(COUNTIFS($L:$L,$L133,$B:$B,$B133,$W:$W,"&lt;"&amp;$W133)=0,"",_xlfn.MAXIFS($W:$W,$L:$L,$L133,$B:$B,$B133,$W:$W,"&lt;"&amp;$W133))))</f>
        <v/>
      </c>
      <c r="BD133" s="39" t="str">
        <f aca="false">IF($A133="","",IF($AC133="","",IF(OR($L133="",$AC133=0),0,MIN($AC133,ROUND(ROUND(1440*SUMPRODUCT(($L$2:INDEX($L:$L,COUNTA($C:$C))=$L133)*($B$2:INDEX($B:$B,COUNTA($C:$C))=$B133)*(ROW($L$2:INDEX($L:$L,COUNTA($C:$C)))&lt;&gt;ROW())*((((($W133+$BT$2:INDEX($BT:$BT,COUNTA($C:$C))-ABS($W133-$BT$2:INDEX($BT:$BT,COUNTA($C:$C))))/2)-(($U133+$BS$2:INDEX($BS:$BS,COUNTA($C:$C))+ABS($U133-$BS$2:INDEX($BS:$BS,COUNTA($C:$C))))/2))+ABS(((($W133+$BT$2:INDEX($BT:$BT,COUNTA($C:$C))-ABS($W133-$BT$2:INDEX($BT:$BT,COUNTA($C:$C))))/2)-(($U133+$BS$2:INDEX($BS:$BS,COUNTA($C:$C))+ABS($U133-$BS$2:INDEX($BS:$BS,COUNTA($C:$C))))/2))))/2)),4),0)))))</f>
        <v/>
      </c>
      <c r="BE133" s="39" t="str">
        <f aca="false">IF($A133="","",IF($AC133="","",ROUND(MIN($AC133-$BD133,N($R133)),0)))</f>
        <v/>
      </c>
      <c r="BF133" s="10" t="str">
        <f aca="false">IF($A133="","",IFERROR(VLOOKUP($C133,Dim_Fund!$A:$BD,56,0),""))</f>
        <v/>
      </c>
      <c r="BG133" s="10" t="str">
        <f aca="false">IF($A133="","",IFERROR(VLOOKUP($C133,Dim_Fund!$A:$BH,60,0),""))</f>
        <v/>
      </c>
      <c r="BH133" s="10" t="str">
        <f aca="false">IF($A133="","",IF($AI133&lt;&gt;"Yes","Not breached",IF($AM133="Yes","Pricing late",IF($BG133="Thin custody slack","Thin custody slack",IF($BF133="Yes","Broker-dependent","None of these")))))</f>
        <v/>
      </c>
      <c r="BI133" s="23" t="str">
        <f aca="false">IF($A133="","",IFERROR(IF(VLOOKUP($C133,Dim_Fund!$A:$AI,35,0)&gt;0,VLOOKUP($C133,Dim_Fund!$A:$AI,35,0),""),""))</f>
        <v/>
      </c>
      <c r="BJ133" s="10" t="str">
        <f aca="false">IF($A133="","",$C133&amp;IF($E133="Client","*",""))</f>
        <v/>
      </c>
      <c r="BK133" s="39" t="str">
        <f aca="false">IF($A133="","",IFERROR(ROUND(($Y133-$X133)*1440,0),""))</f>
        <v/>
      </c>
      <c r="BL133" s="39" t="str">
        <f aca="false">IF($A133="","",IF($AH133="","",-$AH133))</f>
        <v/>
      </c>
      <c r="BM133" s="46" t="str">
        <f aca="false">IF($A133="","",IF($AQ133="","",IF($AP133="",$AQ133,MIN($AP133,$AQ133))))</f>
        <v/>
      </c>
      <c r="BN133" s="46" t="str">
        <f aca="false">IF($A133="","",IF($BM133="","",ROUND(N($AC133)/60,4)))</f>
        <v/>
      </c>
      <c r="BO133" s="46" t="str">
        <f aca="false">IF($A133="","",IF(OR($BM133="",$AD133=""),"",ROUND($AD133/60,4)))</f>
        <v/>
      </c>
      <c r="BP133" s="46" t="str">
        <f aca="false">IF($A133="","",IF($BM133="","",ROUND(N($AE133)/60,4)))</f>
        <v/>
      </c>
      <c r="BQ133" s="46" t="str">
        <f aca="false">IF($A133="","",IF(OR($BM133="",$AF133=""),"",ROUND($AF133/60,4)))</f>
        <v/>
      </c>
      <c r="BR133" s="39" t="str">
        <f aca="false">IF($A133="","",IF($AC133="","",$AC133-$BD133-$BE133))</f>
        <v/>
      </c>
      <c r="BS133" s="45" t="str">
        <f aca="false">IF($A133="","",IF(AND(ISNUMBER($Z133),ISNUMBER($W133)),$Z133,0))</f>
        <v/>
      </c>
      <c r="BT133" s="45" t="str">
        <f aca="false">IF($A133="","",IF(ISNUMBER($W133),$W133,0))</f>
        <v/>
      </c>
      <c r="BU133" s="23" t="str">
        <f aca="false">IF($A133="","",IF(ISNUMBER($W133),ROUND(($W133-$B133)*24,4),""))</f>
        <v/>
      </c>
      <c r="BV133" s="23" t="str">
        <f aca="false">IF($A133="","",IF(ISNUMBER($X133),ROUND(($X133-$B133)*24,4),""))</f>
        <v/>
      </c>
      <c r="BW133" s="10" t="str">
        <f aca="false">IF($A133="","",IF(NOT(ISNUMBER($W133)),"Missing Calculated",IF(NOT(ISNUMBER($X133)),IF($E133="Client","Missing FA signed off","Missing Controlled"),IF($X133&lt;$W133,"End before start","OK"))))</f>
        <v/>
      </c>
      <c r="BX133" s="23" t="str">
        <f aca="false">IF($A133="","",IF(NOT(ISNUMBER($Z133)),"",ROUND((IF(ISNUMBER($U133),MIN($U133,$Z133),$Z133)-$B133)*24,4)))</f>
        <v/>
      </c>
      <c r="BY133" s="23" t="str">
        <f aca="false">IF($A133="","",IF(ISNUMBER($Z133),ROUND(($Z133-$B133)*24,4),""))</f>
        <v/>
      </c>
      <c r="BZ133" s="23" t="str">
        <f aca="false">IF($A133="","",IF(AND(ISNUMBER($W133),ISNUMBER($S133)),ROUND(($W133+$S133/1440-$B133)*24,4),""))</f>
        <v/>
      </c>
    </row>
    <row r="134" customFormat="false" ht="15" hidden="false" customHeight="true" outlineLevel="0" collapsed="false">
      <c r="A134" s="47"/>
      <c r="B134" s="47"/>
      <c r="D134" s="4" t="str">
        <f aca="false">IF($A134="","",$B134-$A134)</f>
        <v/>
      </c>
      <c r="E134" s="4" t="str">
        <f aca="false">IF($A134="","",IFERROR(VLOOKUP($C134,Dim_Fund!$A:$X,24,0),""))</f>
        <v/>
      </c>
      <c r="F134" s="37" t="str">
        <f aca="false">IF($A134="","",IF(COUNTIFS(Status_Log!$A:$A,$A134,Status_Log!$B:$B,$B134,Status_Log!$C:$C,$C134,Status_Log!$D:$D,"Changed to the status of Calculated")=0,"",_xlfn.MINIFS(Status_Log!$E:$E,Status_Log!$A:$A,$A134,Status_Log!$B:$B,$B134,Status_Log!$C:$C,$C134,Status_Log!$D:$D,"Changed to the status of Calculated")))</f>
        <v/>
      </c>
      <c r="G134" s="37" t="str">
        <f aca="false">IF($A134="","",IF(COUNTIFS(Status_Log!$A:$A,$A134,Status_Log!$B:$B,$B134,Status_Log!$C:$C,$C134,Status_Log!$D:$D,"Changed to the status of Controlled")=0,"",_xlfn.MAXIFS(Status_Log!$E:$E,Status_Log!$A:$A,$A134,Status_Log!$B:$B,$B134,Status_Log!$C:$C,$C134,Status_Log!$D:$D,"Changed to the status of Controlled")))</f>
        <v/>
      </c>
      <c r="H134" s="37" t="str">
        <f aca="false">IF($A134="","",IF(COUNTIFS(Status_Log!$A:$A,$A134,Status_Log!$B:$B,$B134,Status_Log!$C:$C,$C134,Status_Log!$D:$D,"Changed to the status of Fund accounting signed off")=0,"",_xlfn.MAXIFS(Status_Log!$E:$E,Status_Log!$A:$A,$A134,Status_Log!$B:$B,$B134,Status_Log!$C:$C,$C134,Status_Log!$D:$D,"Changed to the status of Fund accounting signed off")))</f>
        <v/>
      </c>
      <c r="I134" s="37" t="str">
        <f aca="false">IF($A134="","",IF(COUNTIFS(Status_Log!$A:$A,$A134,Status_Log!$B:$B,$B134,Status_Log!$C:$C,$C134,Status_Log!$D:$D,"Changed to the status of signed off")=0,"",_xlfn.MAXIFS(Status_Log!$E:$E,Status_Log!$A:$A,$A134,Status_Log!$B:$B,$B134,Status_Log!$C:$C,$C134,Status_Log!$D:$D,"Changed to the status of signed off")))</f>
        <v/>
      </c>
      <c r="J134" s="4" t="str">
        <f aca="false">IF($A134="","",COUNTIFS(Status_Log!$A:$A,$A134,Status_Log!$B:$B,$B134,Status_Log!$C:$C,$C134,Status_Log!$D:$D,"Changed to the status of Calculated"))</f>
        <v/>
      </c>
      <c r="K134" s="38" t="str">
        <f aca="false">IF($A134="","",IF(J134&lt;=1,0,ROUND((_xlfn.MAXIFS(Status_Log!$E:$E,Status_Log!$A:$A,$A134,Status_Log!$B:$B,$B134,Status_Log!$C:$C,$C134,Status_Log!$D:$D,"Changed to the status of Calculated")-F134)*1440,0)))</f>
        <v/>
      </c>
      <c r="L134" s="4" t="str">
        <f aca="false">IF($A134="","",IFERROR(INDEX(Status_Log!$F:$F,MATCH($A134&amp;"|"&amp;$B134&amp;"|"&amp;$C134&amp;"|Changed to the status of Calculated|"&amp;TEXT(_xlfn.MAXIFS(Status_Log!$E:$E,Status_Log!$A:$A,$A134,Status_Log!$B:$B,$B134,Status_Log!$C:$C,$C134,Status_Log!$D:$D,"Changed to the status of Calculated"),"0.000000"),Status_Log!$H:$H,0)),""))</f>
        <v/>
      </c>
      <c r="M134" s="4" t="str">
        <f aca="false">IF($A134="","",IF(E134="Client","n/a — no control step",IFERROR(INDEX(Status_Log!$F:$F,MATCH($A134&amp;"|"&amp;$B134&amp;"|"&amp;$C134&amp;"|Changed to the status of Controlled|"&amp;TEXT(_xlfn.MAXIFS(Status_Log!$E:$E,Status_Log!$A:$A,$A134,Status_Log!$B:$B,$B134,Status_Log!$C:$C,$C134,Status_Log!$D:$D,"Changed to the status of Controlled"),"0.000000"),Status_Log!$H:$H,0)),"")))</f>
        <v/>
      </c>
      <c r="N134" s="4" t="str">
        <f aca="false">IF($A134="","",IFERROR(VLOOKUP($C134,Dim_Fund!$A:$G,7,0),""))</f>
        <v/>
      </c>
      <c r="O134" s="4" t="str">
        <f aca="false">IF($A134="","",IF(L134=N134,"No","Yes"))</f>
        <v/>
      </c>
      <c r="P134" s="4" t="str">
        <f aca="false">IF($A134="","",IF(E134="Client","n/a",IF(L134=M134,"YES — four-eyes breach","No")))</f>
        <v/>
      </c>
      <c r="Q134" s="38" t="str">
        <f aca="false">IF($A134="","",IFERROR(VLOOKUP($C134,Dim_Fund!$A:$AB,28,0),""))</f>
        <v/>
      </c>
      <c r="R134" s="38" t="str">
        <f aca="false">IF($A134="","",IFERROR(VLOOKUP($C134,Dim_Fund!$A:$AC,29,0),""))</f>
        <v/>
      </c>
      <c r="S134" s="38" t="str">
        <f aca="false">IF($A134="","",IFERROR(VLOOKUP($C134,Dim_Fund!$A:$AD,30,0),""))</f>
        <v/>
      </c>
      <c r="T134" s="38" t="str">
        <f aca="false">IF($A134="","",IFERROR(VLOOKUP($C134,Dim_Fund!$A:$AL,38,0),""))</f>
        <v/>
      </c>
      <c r="U134" s="37" t="str">
        <f aca="false">IF($A134="","",IF(AL134="","",IFERROR(IF(COUNTIFS(Fact_Milestone!$A:$A,$B134,Fact_Milestone!$B:$B,AL134)=0,"",_xlfn.MAXIFS(Fact_Milestone!$C:$C,Fact_Milestone!$A:$A,$B134,Fact_Milestone!$B:$B,AL134)),"")))</f>
        <v/>
      </c>
      <c r="V134" s="37" t="str">
        <f aca="false">IF($A134="","",IFERROR(IF(VLOOKUP($C134,Dim_Fund!$A:$AI,35,0)&gt;0,$B134+VLOOKUP($C134,Dim_Fund!$A:$AI,35,0)/24,""),""))</f>
        <v/>
      </c>
      <c r="W134" s="37" t="str">
        <f aca="false">IF($A134="","",F134)</f>
        <v/>
      </c>
      <c r="X134" s="37" t="str">
        <f aca="false">IF($A134="","",IF(E134="Client",H134,G134))</f>
        <v/>
      </c>
      <c r="Y134" s="37" t="str">
        <f aca="false">IF($A134="","",I134)</f>
        <v/>
      </c>
      <c r="Z134" s="37" t="str">
        <f aca="false">IF($A134="","",IFERROR(W134-R134/1440,""))</f>
        <v/>
      </c>
      <c r="AA134" s="38" t="str">
        <f aca="false">IF($A134="","",IF(OR(U134="",V134=""),"",ROUND((V134-U134)*1440,0)))</f>
        <v/>
      </c>
      <c r="AB134" s="38" t="str">
        <f aca="false">IF($A134="","",IF(U134="","",ROUND((W134-U134)*1440,0)))</f>
        <v/>
      </c>
      <c r="AC134" s="38" t="str">
        <f aca="false">IF($A134="","",IF(AB134="","",MAX(0,AB134)))</f>
        <v/>
      </c>
      <c r="AD134" s="38" t="str">
        <f aca="false">IF($A134="","",IFERROR(ROUND((X134-W134)*1440,0),""))</f>
        <v/>
      </c>
      <c r="AE134" s="38" t="str">
        <f aca="false">IF($A134="","",IF(E134="Client","n/a",IFERROR(ROUND((H134-G134)*1440,0),"")))</f>
        <v/>
      </c>
      <c r="AF134" s="38" t="str">
        <f aca="false">IF($A134="","",IFERROR(ROUND((Y134-H134)*1440,0),""))</f>
        <v/>
      </c>
      <c r="AG134" s="38" t="str">
        <f aca="false">IF($A134="","",IFERROR(ROUND((H134-F134)*1440,0),""))</f>
        <v/>
      </c>
      <c r="AH134" s="38" t="str">
        <f aca="false">IF($A134="","",IFERROR(ROUND((Y134-V134)*1440,0),""))</f>
        <v/>
      </c>
      <c r="AI134" s="4" t="str">
        <f aca="false">IF($A134="","",IF(AH134="","",IF(AH134&gt;0,"Yes","No")))</f>
        <v/>
      </c>
      <c r="AJ134" s="4" t="str">
        <f aca="false">IF($A134="","",IF(AI134&lt;&gt;"Yes","On time",IF(N(AC134)&gt;=MAX(N(AF134),N(K134)),"Wait for analyst",IF(N(AF134)&gt;=N(K134),"External sign-off","Rework"))))</f>
        <v/>
      </c>
      <c r="AK134" s="4" t="str">
        <f aca="false">IF($A134="","",IF(OR(F134="",Y134="",ISNA(MATCH(L134,Dim_Analyst!$A:$A,0))),"CHECK","OK"))</f>
        <v/>
      </c>
      <c r="AL134" s="4" t="str">
        <f aca="false">IF($A134="","",IFERROR(VLOOKUP($C134,Dim_Fund!$A:$U,21,0),""))</f>
        <v/>
      </c>
      <c r="AM134" s="4" t="str">
        <f aca="false">IF($A134="","",IF($U134="","",IF($U134&gt;$B134+IFERROR(VLOOKUP($C134,Dim_Fund!$A:$AH,34,0),0)/24,"Yes","No")))</f>
        <v/>
      </c>
      <c r="AN134" s="22" t="str">
        <f aca="false">IF($A134="","",IFERROR(VLOOKUP($C134,Dim_Fund!$A:$AH,34,0),""))</f>
        <v/>
      </c>
      <c r="AO134" s="22" t="str">
        <f aca="false">IF($A134="","",IF($AL134="","",IFERROR(FLOOR(IF(COUNTIFS(Fact_Milestone!$A:$A,$B134,Fact_Milestone!$B:$B,$AL134,Fact_Milestone!$F:$F,"&gt;0")&gt;0,_xlfn.MINIFS(Fact_Milestone!$F:$F,Fact_Milestone!$A:$A,$B134,Fact_Milestone!$B:$B,$AL134,Fact_Milestone!$F:$F,"&gt;0"),VLOOKUP($AL134,Dim_TOP!$A:$E,5,0)),0.5),"")))</f>
        <v/>
      </c>
      <c r="AP134" s="22" t="str">
        <f aca="false">IF($A134="","",IF($U134="","",ROUND(($U134-INT($U134))*24,4)))</f>
        <v/>
      </c>
      <c r="AQ134" s="22" t="str">
        <f aca="false">IF($A134="","",IF($W134="","",ROUND(($W134-INT($W134))*24,4)))</f>
        <v/>
      </c>
      <c r="AR134" s="22" t="str">
        <f aca="false">IF($A134="","",IF($X134="","",ROUND(($X134-INT($X134))*24,4)))</f>
        <v/>
      </c>
      <c r="AS134" s="38" t="str">
        <f aca="false">IF($A134="","",IF(OR($AN134="",$V134="",$S134="",$T134=""),"",ROUND(($V134-($B134+$AN134/24))*1440-$S134-$T134,0)))</f>
        <v/>
      </c>
      <c r="AT134" s="38" t="str">
        <f aca="false">IF($A134="","",IF(OR($AN134="",$U134=""),"",ROUND(($U134-($B134+$AN134/24))*1440,0)))</f>
        <v/>
      </c>
      <c r="AU134" s="38" t="str">
        <f aca="false">IF($A134="","",IF(OR($AD134="",$S134=""),"",ROUND($AD134-$S134,0)))</f>
        <v/>
      </c>
      <c r="AV134" s="38" t="str">
        <f aca="false">IF($A134="","",N($AE134))</f>
        <v/>
      </c>
      <c r="AW134" s="38" t="str">
        <f aca="false">IF($A134="","",IF(OR($AF134="",$T134=""),"",$AF134-$T134))</f>
        <v/>
      </c>
      <c r="AX134" s="38" t="str">
        <f aca="false">IF($A134="","",IF(COUNT($AT134,$AB134,$AU134,$AW134,$AS134,$AH134)&lt;6,"",ROUND($AT134+$AB134+$AU134+$AV134+$AW134-$AS134-$AH134,0)))</f>
        <v/>
      </c>
      <c r="AY134" s="4" t="str">
        <f aca="false">IF($A134="","",IF($AX134="","No",IF(ABS($AX134)&lt;=2,"Yes","No")))</f>
        <v/>
      </c>
      <c r="AZ134" s="4" t="str">
        <f aca="false">IF($A134="","",IF($AI134&lt;&gt;"Yes","n/a",IF(OR($AA134="",$S134="",$T134=""),"Unknown",IF($AA134&lt;$S134+$T134,"Lost on arrival","Lost after arrival"))))</f>
        <v/>
      </c>
      <c r="BA134" s="10" t="str">
        <f aca="false">IF($A134="","",IFERROR(VLOOKUP($C134,Dim_Fund!$A:$D,4,0),""))</f>
        <v/>
      </c>
      <c r="BB134" s="10" t="str">
        <f aca="false">IF($A134="","",IF($AL134="","",IF(COUNTIFS(Fact_Milestone!$A:$A,$B134,Fact_Milestone!$B:$B,$AL134,Fact_Milestone!$I:$I,"No")&gt;0,"No",IF(COUNTIFS(Fact_Milestone!$A:$A,$B134,Fact_Milestone!$B:$B,$AL134,Fact_Milestone!$I:$I,"Yes")&gt;0,"Yes",""))))</f>
        <v/>
      </c>
      <c r="BC134" s="45" t="str">
        <f aca="false">IF($A134="","",IF(OR($L134="",$W134=""),"",IF(COUNTIFS($L:$L,$L134,$B:$B,$B134,$W:$W,"&lt;"&amp;$W134)=0,"",_xlfn.MAXIFS($W:$W,$L:$L,$L134,$B:$B,$B134,$W:$W,"&lt;"&amp;$W134))))</f>
        <v/>
      </c>
      <c r="BD134" s="39" t="str">
        <f aca="false">IF($A134="","",IF($AC134="","",IF(OR($L134="",$AC134=0),0,MIN($AC134,ROUND(ROUND(1440*SUMPRODUCT(($L$2:INDEX($L:$L,COUNTA($C:$C))=$L134)*($B$2:INDEX($B:$B,COUNTA($C:$C))=$B134)*(ROW($L$2:INDEX($L:$L,COUNTA($C:$C)))&lt;&gt;ROW())*((((($W134+$BT$2:INDEX($BT:$BT,COUNTA($C:$C))-ABS($W134-$BT$2:INDEX($BT:$BT,COUNTA($C:$C))))/2)-(($U134+$BS$2:INDEX($BS:$BS,COUNTA($C:$C))+ABS($U134-$BS$2:INDEX($BS:$BS,COUNTA($C:$C))))/2))+ABS(((($W134+$BT$2:INDEX($BT:$BT,COUNTA($C:$C))-ABS($W134-$BT$2:INDEX($BT:$BT,COUNTA($C:$C))))/2)-(($U134+$BS$2:INDEX($BS:$BS,COUNTA($C:$C))+ABS($U134-$BS$2:INDEX($BS:$BS,COUNTA($C:$C))))/2))))/2)),4),0)))))</f>
        <v/>
      </c>
      <c r="BE134" s="39" t="str">
        <f aca="false">IF($A134="","",IF($AC134="","",ROUND(MIN($AC134-$BD134,N($R134)),0)))</f>
        <v/>
      </c>
      <c r="BF134" s="10" t="str">
        <f aca="false">IF($A134="","",IFERROR(VLOOKUP($C134,Dim_Fund!$A:$BD,56,0),""))</f>
        <v/>
      </c>
      <c r="BG134" s="10" t="str">
        <f aca="false">IF($A134="","",IFERROR(VLOOKUP($C134,Dim_Fund!$A:$BH,60,0),""))</f>
        <v/>
      </c>
      <c r="BH134" s="10" t="str">
        <f aca="false">IF($A134="","",IF($AI134&lt;&gt;"Yes","Not breached",IF($AM134="Yes","Pricing late",IF($BG134="Thin custody slack","Thin custody slack",IF($BF134="Yes","Broker-dependent","None of these")))))</f>
        <v/>
      </c>
      <c r="BI134" s="23" t="str">
        <f aca="false">IF($A134="","",IFERROR(IF(VLOOKUP($C134,Dim_Fund!$A:$AI,35,0)&gt;0,VLOOKUP($C134,Dim_Fund!$A:$AI,35,0),""),""))</f>
        <v/>
      </c>
      <c r="BJ134" s="10" t="str">
        <f aca="false">IF($A134="","",$C134&amp;IF($E134="Client","*",""))</f>
        <v/>
      </c>
      <c r="BK134" s="39" t="str">
        <f aca="false">IF($A134="","",IFERROR(ROUND(($Y134-$X134)*1440,0),""))</f>
        <v/>
      </c>
      <c r="BL134" s="39" t="str">
        <f aca="false">IF($A134="","",IF($AH134="","",-$AH134))</f>
        <v/>
      </c>
      <c r="BM134" s="46" t="str">
        <f aca="false">IF($A134="","",IF($AQ134="","",IF($AP134="",$AQ134,MIN($AP134,$AQ134))))</f>
        <v/>
      </c>
      <c r="BN134" s="46" t="str">
        <f aca="false">IF($A134="","",IF($BM134="","",ROUND(N($AC134)/60,4)))</f>
        <v/>
      </c>
      <c r="BO134" s="46" t="str">
        <f aca="false">IF($A134="","",IF(OR($BM134="",$AD134=""),"",ROUND($AD134/60,4)))</f>
        <v/>
      </c>
      <c r="BP134" s="46" t="str">
        <f aca="false">IF($A134="","",IF($BM134="","",ROUND(N($AE134)/60,4)))</f>
        <v/>
      </c>
      <c r="BQ134" s="46" t="str">
        <f aca="false">IF($A134="","",IF(OR($BM134="",$AF134=""),"",ROUND($AF134/60,4)))</f>
        <v/>
      </c>
      <c r="BR134" s="39" t="str">
        <f aca="false">IF($A134="","",IF($AC134="","",$AC134-$BD134-$BE134))</f>
        <v/>
      </c>
      <c r="BS134" s="45" t="str">
        <f aca="false">IF($A134="","",IF(AND(ISNUMBER($Z134),ISNUMBER($W134)),$Z134,0))</f>
        <v/>
      </c>
      <c r="BT134" s="45" t="str">
        <f aca="false">IF($A134="","",IF(ISNUMBER($W134),$W134,0))</f>
        <v/>
      </c>
      <c r="BU134" s="23" t="str">
        <f aca="false">IF($A134="","",IF(ISNUMBER($W134),ROUND(($W134-$B134)*24,4),""))</f>
        <v/>
      </c>
      <c r="BV134" s="23" t="str">
        <f aca="false">IF($A134="","",IF(ISNUMBER($X134),ROUND(($X134-$B134)*24,4),""))</f>
        <v/>
      </c>
      <c r="BW134" s="10" t="str">
        <f aca="false">IF($A134="","",IF(NOT(ISNUMBER($W134)),"Missing Calculated",IF(NOT(ISNUMBER($X134)),IF($E134="Client","Missing FA signed off","Missing Controlled"),IF($X134&lt;$W134,"End before start","OK"))))</f>
        <v/>
      </c>
      <c r="BX134" s="23" t="str">
        <f aca="false">IF($A134="","",IF(NOT(ISNUMBER($Z134)),"",ROUND((IF(ISNUMBER($U134),MIN($U134,$Z134),$Z134)-$B134)*24,4)))</f>
        <v/>
      </c>
      <c r="BY134" s="23" t="str">
        <f aca="false">IF($A134="","",IF(ISNUMBER($Z134),ROUND(($Z134-$B134)*24,4),""))</f>
        <v/>
      </c>
      <c r="BZ134" s="23" t="str">
        <f aca="false">IF($A134="","",IF(AND(ISNUMBER($W134),ISNUMBER($S134)),ROUND(($W134+$S134/1440-$B134)*24,4),""))</f>
        <v/>
      </c>
    </row>
    <row r="135" customFormat="false" ht="15" hidden="false" customHeight="true" outlineLevel="0" collapsed="false">
      <c r="A135" s="47"/>
      <c r="B135" s="47"/>
      <c r="D135" s="4" t="str">
        <f aca="false">IF($A135="","",$B135-$A135)</f>
        <v/>
      </c>
      <c r="E135" s="4" t="str">
        <f aca="false">IF($A135="","",IFERROR(VLOOKUP($C135,Dim_Fund!$A:$X,24,0),""))</f>
        <v/>
      </c>
      <c r="F135" s="37" t="str">
        <f aca="false">IF($A135="","",IF(COUNTIFS(Status_Log!$A:$A,$A135,Status_Log!$B:$B,$B135,Status_Log!$C:$C,$C135,Status_Log!$D:$D,"Changed to the status of Calculated")=0,"",_xlfn.MINIFS(Status_Log!$E:$E,Status_Log!$A:$A,$A135,Status_Log!$B:$B,$B135,Status_Log!$C:$C,$C135,Status_Log!$D:$D,"Changed to the status of Calculated")))</f>
        <v/>
      </c>
      <c r="G135" s="37" t="str">
        <f aca="false">IF($A135="","",IF(COUNTIFS(Status_Log!$A:$A,$A135,Status_Log!$B:$B,$B135,Status_Log!$C:$C,$C135,Status_Log!$D:$D,"Changed to the status of Controlled")=0,"",_xlfn.MAXIFS(Status_Log!$E:$E,Status_Log!$A:$A,$A135,Status_Log!$B:$B,$B135,Status_Log!$C:$C,$C135,Status_Log!$D:$D,"Changed to the status of Controlled")))</f>
        <v/>
      </c>
      <c r="H135" s="37" t="str">
        <f aca="false">IF($A135="","",IF(COUNTIFS(Status_Log!$A:$A,$A135,Status_Log!$B:$B,$B135,Status_Log!$C:$C,$C135,Status_Log!$D:$D,"Changed to the status of Fund accounting signed off")=0,"",_xlfn.MAXIFS(Status_Log!$E:$E,Status_Log!$A:$A,$A135,Status_Log!$B:$B,$B135,Status_Log!$C:$C,$C135,Status_Log!$D:$D,"Changed to the status of Fund accounting signed off")))</f>
        <v/>
      </c>
      <c r="I135" s="37" t="str">
        <f aca="false">IF($A135="","",IF(COUNTIFS(Status_Log!$A:$A,$A135,Status_Log!$B:$B,$B135,Status_Log!$C:$C,$C135,Status_Log!$D:$D,"Changed to the status of signed off")=0,"",_xlfn.MAXIFS(Status_Log!$E:$E,Status_Log!$A:$A,$A135,Status_Log!$B:$B,$B135,Status_Log!$C:$C,$C135,Status_Log!$D:$D,"Changed to the status of signed off")))</f>
        <v/>
      </c>
      <c r="J135" s="4" t="str">
        <f aca="false">IF($A135="","",COUNTIFS(Status_Log!$A:$A,$A135,Status_Log!$B:$B,$B135,Status_Log!$C:$C,$C135,Status_Log!$D:$D,"Changed to the status of Calculated"))</f>
        <v/>
      </c>
      <c r="K135" s="38" t="str">
        <f aca="false">IF($A135="","",IF(J135&lt;=1,0,ROUND((_xlfn.MAXIFS(Status_Log!$E:$E,Status_Log!$A:$A,$A135,Status_Log!$B:$B,$B135,Status_Log!$C:$C,$C135,Status_Log!$D:$D,"Changed to the status of Calculated")-F135)*1440,0)))</f>
        <v/>
      </c>
      <c r="L135" s="4" t="str">
        <f aca="false">IF($A135="","",IFERROR(INDEX(Status_Log!$F:$F,MATCH($A135&amp;"|"&amp;$B135&amp;"|"&amp;$C135&amp;"|Changed to the status of Calculated|"&amp;TEXT(_xlfn.MAXIFS(Status_Log!$E:$E,Status_Log!$A:$A,$A135,Status_Log!$B:$B,$B135,Status_Log!$C:$C,$C135,Status_Log!$D:$D,"Changed to the status of Calculated"),"0.000000"),Status_Log!$H:$H,0)),""))</f>
        <v/>
      </c>
      <c r="M135" s="4" t="str">
        <f aca="false">IF($A135="","",IF(E135="Client","n/a — no control step",IFERROR(INDEX(Status_Log!$F:$F,MATCH($A135&amp;"|"&amp;$B135&amp;"|"&amp;$C135&amp;"|Changed to the status of Controlled|"&amp;TEXT(_xlfn.MAXIFS(Status_Log!$E:$E,Status_Log!$A:$A,$A135,Status_Log!$B:$B,$B135,Status_Log!$C:$C,$C135,Status_Log!$D:$D,"Changed to the status of Controlled"),"0.000000"),Status_Log!$H:$H,0)),"")))</f>
        <v/>
      </c>
      <c r="N135" s="4" t="str">
        <f aca="false">IF($A135="","",IFERROR(VLOOKUP($C135,Dim_Fund!$A:$G,7,0),""))</f>
        <v/>
      </c>
      <c r="O135" s="4" t="str">
        <f aca="false">IF($A135="","",IF(L135=N135,"No","Yes"))</f>
        <v/>
      </c>
      <c r="P135" s="4" t="str">
        <f aca="false">IF($A135="","",IF(E135="Client","n/a",IF(L135=M135,"YES — four-eyes breach","No")))</f>
        <v/>
      </c>
      <c r="Q135" s="38" t="str">
        <f aca="false">IF($A135="","",IFERROR(VLOOKUP($C135,Dim_Fund!$A:$AB,28,0),""))</f>
        <v/>
      </c>
      <c r="R135" s="38" t="str">
        <f aca="false">IF($A135="","",IFERROR(VLOOKUP($C135,Dim_Fund!$A:$AC,29,0),""))</f>
        <v/>
      </c>
      <c r="S135" s="38" t="str">
        <f aca="false">IF($A135="","",IFERROR(VLOOKUP($C135,Dim_Fund!$A:$AD,30,0),""))</f>
        <v/>
      </c>
      <c r="T135" s="38" t="str">
        <f aca="false">IF($A135="","",IFERROR(VLOOKUP($C135,Dim_Fund!$A:$AL,38,0),""))</f>
        <v/>
      </c>
      <c r="U135" s="37" t="str">
        <f aca="false">IF($A135="","",IF(AL135="","",IFERROR(IF(COUNTIFS(Fact_Milestone!$A:$A,$B135,Fact_Milestone!$B:$B,AL135)=0,"",_xlfn.MAXIFS(Fact_Milestone!$C:$C,Fact_Milestone!$A:$A,$B135,Fact_Milestone!$B:$B,AL135)),"")))</f>
        <v/>
      </c>
      <c r="V135" s="37" t="str">
        <f aca="false">IF($A135="","",IFERROR(IF(VLOOKUP($C135,Dim_Fund!$A:$AI,35,0)&gt;0,$B135+VLOOKUP($C135,Dim_Fund!$A:$AI,35,0)/24,""),""))</f>
        <v/>
      </c>
      <c r="W135" s="37" t="str">
        <f aca="false">IF($A135="","",F135)</f>
        <v/>
      </c>
      <c r="X135" s="37" t="str">
        <f aca="false">IF($A135="","",IF(E135="Client",H135,G135))</f>
        <v/>
      </c>
      <c r="Y135" s="37" t="str">
        <f aca="false">IF($A135="","",I135)</f>
        <v/>
      </c>
      <c r="Z135" s="37" t="str">
        <f aca="false">IF($A135="","",IFERROR(W135-R135/1440,""))</f>
        <v/>
      </c>
      <c r="AA135" s="38" t="str">
        <f aca="false">IF($A135="","",IF(OR(U135="",V135=""),"",ROUND((V135-U135)*1440,0)))</f>
        <v/>
      </c>
      <c r="AB135" s="38" t="str">
        <f aca="false">IF($A135="","",IF(U135="","",ROUND((W135-U135)*1440,0)))</f>
        <v/>
      </c>
      <c r="AC135" s="38" t="str">
        <f aca="false">IF($A135="","",IF(AB135="","",MAX(0,AB135)))</f>
        <v/>
      </c>
      <c r="AD135" s="38" t="str">
        <f aca="false">IF($A135="","",IFERROR(ROUND((X135-W135)*1440,0),""))</f>
        <v/>
      </c>
      <c r="AE135" s="38" t="str">
        <f aca="false">IF($A135="","",IF(E135="Client","n/a",IFERROR(ROUND((H135-G135)*1440,0),"")))</f>
        <v/>
      </c>
      <c r="AF135" s="38" t="str">
        <f aca="false">IF($A135="","",IFERROR(ROUND((Y135-H135)*1440,0),""))</f>
        <v/>
      </c>
      <c r="AG135" s="38" t="str">
        <f aca="false">IF($A135="","",IFERROR(ROUND((H135-F135)*1440,0),""))</f>
        <v/>
      </c>
      <c r="AH135" s="38" t="str">
        <f aca="false">IF($A135="","",IFERROR(ROUND((Y135-V135)*1440,0),""))</f>
        <v/>
      </c>
      <c r="AI135" s="4" t="str">
        <f aca="false">IF($A135="","",IF(AH135="","",IF(AH135&gt;0,"Yes","No")))</f>
        <v/>
      </c>
      <c r="AJ135" s="4" t="str">
        <f aca="false">IF($A135="","",IF(AI135&lt;&gt;"Yes","On time",IF(N(AC135)&gt;=MAX(N(AF135),N(K135)),"Wait for analyst",IF(N(AF135)&gt;=N(K135),"External sign-off","Rework"))))</f>
        <v/>
      </c>
      <c r="AK135" s="4" t="str">
        <f aca="false">IF($A135="","",IF(OR(F135="",Y135="",ISNA(MATCH(L135,Dim_Analyst!$A:$A,0))),"CHECK","OK"))</f>
        <v/>
      </c>
      <c r="AL135" s="4" t="str">
        <f aca="false">IF($A135="","",IFERROR(VLOOKUP($C135,Dim_Fund!$A:$U,21,0),""))</f>
        <v/>
      </c>
      <c r="AM135" s="4" t="str">
        <f aca="false">IF($A135="","",IF($U135="","",IF($U135&gt;$B135+IFERROR(VLOOKUP($C135,Dim_Fund!$A:$AH,34,0),0)/24,"Yes","No")))</f>
        <v/>
      </c>
      <c r="AN135" s="22" t="str">
        <f aca="false">IF($A135="","",IFERROR(VLOOKUP($C135,Dim_Fund!$A:$AH,34,0),""))</f>
        <v/>
      </c>
      <c r="AO135" s="22" t="str">
        <f aca="false">IF($A135="","",IF($AL135="","",IFERROR(FLOOR(IF(COUNTIFS(Fact_Milestone!$A:$A,$B135,Fact_Milestone!$B:$B,$AL135,Fact_Milestone!$F:$F,"&gt;0")&gt;0,_xlfn.MINIFS(Fact_Milestone!$F:$F,Fact_Milestone!$A:$A,$B135,Fact_Milestone!$B:$B,$AL135,Fact_Milestone!$F:$F,"&gt;0"),VLOOKUP($AL135,Dim_TOP!$A:$E,5,0)),0.5),"")))</f>
        <v/>
      </c>
      <c r="AP135" s="22" t="str">
        <f aca="false">IF($A135="","",IF($U135="","",ROUND(($U135-INT($U135))*24,4)))</f>
        <v/>
      </c>
      <c r="AQ135" s="22" t="str">
        <f aca="false">IF($A135="","",IF($W135="","",ROUND(($W135-INT($W135))*24,4)))</f>
        <v/>
      </c>
      <c r="AR135" s="22" t="str">
        <f aca="false">IF($A135="","",IF($X135="","",ROUND(($X135-INT($X135))*24,4)))</f>
        <v/>
      </c>
      <c r="AS135" s="38" t="str">
        <f aca="false">IF($A135="","",IF(OR($AN135="",$V135="",$S135="",$T135=""),"",ROUND(($V135-($B135+$AN135/24))*1440-$S135-$T135,0)))</f>
        <v/>
      </c>
      <c r="AT135" s="38" t="str">
        <f aca="false">IF($A135="","",IF(OR($AN135="",$U135=""),"",ROUND(($U135-($B135+$AN135/24))*1440,0)))</f>
        <v/>
      </c>
      <c r="AU135" s="38" t="str">
        <f aca="false">IF($A135="","",IF(OR($AD135="",$S135=""),"",ROUND($AD135-$S135,0)))</f>
        <v/>
      </c>
      <c r="AV135" s="38" t="str">
        <f aca="false">IF($A135="","",N($AE135))</f>
        <v/>
      </c>
      <c r="AW135" s="38" t="str">
        <f aca="false">IF($A135="","",IF(OR($AF135="",$T135=""),"",$AF135-$T135))</f>
        <v/>
      </c>
      <c r="AX135" s="38" t="str">
        <f aca="false">IF($A135="","",IF(COUNT($AT135,$AB135,$AU135,$AW135,$AS135,$AH135)&lt;6,"",ROUND($AT135+$AB135+$AU135+$AV135+$AW135-$AS135-$AH135,0)))</f>
        <v/>
      </c>
      <c r="AY135" s="4" t="str">
        <f aca="false">IF($A135="","",IF($AX135="","No",IF(ABS($AX135)&lt;=2,"Yes","No")))</f>
        <v/>
      </c>
      <c r="AZ135" s="4" t="str">
        <f aca="false">IF($A135="","",IF($AI135&lt;&gt;"Yes","n/a",IF(OR($AA135="",$S135="",$T135=""),"Unknown",IF($AA135&lt;$S135+$T135,"Lost on arrival","Lost after arrival"))))</f>
        <v/>
      </c>
      <c r="BA135" s="10" t="str">
        <f aca="false">IF($A135="","",IFERROR(VLOOKUP($C135,Dim_Fund!$A:$D,4,0),""))</f>
        <v/>
      </c>
      <c r="BB135" s="10" t="str">
        <f aca="false">IF($A135="","",IF($AL135="","",IF(COUNTIFS(Fact_Milestone!$A:$A,$B135,Fact_Milestone!$B:$B,$AL135,Fact_Milestone!$I:$I,"No")&gt;0,"No",IF(COUNTIFS(Fact_Milestone!$A:$A,$B135,Fact_Milestone!$B:$B,$AL135,Fact_Milestone!$I:$I,"Yes")&gt;0,"Yes",""))))</f>
        <v/>
      </c>
      <c r="BC135" s="45" t="str">
        <f aca="false">IF($A135="","",IF(OR($L135="",$W135=""),"",IF(COUNTIFS($L:$L,$L135,$B:$B,$B135,$W:$W,"&lt;"&amp;$W135)=0,"",_xlfn.MAXIFS($W:$W,$L:$L,$L135,$B:$B,$B135,$W:$W,"&lt;"&amp;$W135))))</f>
        <v/>
      </c>
      <c r="BD135" s="39" t="str">
        <f aca="false">IF($A135="","",IF($AC135="","",IF(OR($L135="",$AC135=0),0,MIN($AC135,ROUND(ROUND(1440*SUMPRODUCT(($L$2:INDEX($L:$L,COUNTA($C:$C))=$L135)*($B$2:INDEX($B:$B,COUNTA($C:$C))=$B135)*(ROW($L$2:INDEX($L:$L,COUNTA($C:$C)))&lt;&gt;ROW())*((((($W135+$BT$2:INDEX($BT:$BT,COUNTA($C:$C))-ABS($W135-$BT$2:INDEX($BT:$BT,COUNTA($C:$C))))/2)-(($U135+$BS$2:INDEX($BS:$BS,COUNTA($C:$C))+ABS($U135-$BS$2:INDEX($BS:$BS,COUNTA($C:$C))))/2))+ABS(((($W135+$BT$2:INDEX($BT:$BT,COUNTA($C:$C))-ABS($W135-$BT$2:INDEX($BT:$BT,COUNTA($C:$C))))/2)-(($U135+$BS$2:INDEX($BS:$BS,COUNTA($C:$C))+ABS($U135-$BS$2:INDEX($BS:$BS,COUNTA($C:$C))))/2))))/2)),4),0)))))</f>
        <v/>
      </c>
      <c r="BE135" s="39" t="str">
        <f aca="false">IF($A135="","",IF($AC135="","",ROUND(MIN($AC135-$BD135,N($R135)),0)))</f>
        <v/>
      </c>
      <c r="BF135" s="10" t="str">
        <f aca="false">IF($A135="","",IFERROR(VLOOKUP($C135,Dim_Fund!$A:$BD,56,0),""))</f>
        <v/>
      </c>
      <c r="BG135" s="10" t="str">
        <f aca="false">IF($A135="","",IFERROR(VLOOKUP($C135,Dim_Fund!$A:$BH,60,0),""))</f>
        <v/>
      </c>
      <c r="BH135" s="10" t="str">
        <f aca="false">IF($A135="","",IF($AI135&lt;&gt;"Yes","Not breached",IF($AM135="Yes","Pricing late",IF($BG135="Thin custody slack","Thin custody slack",IF($BF135="Yes","Broker-dependent","None of these")))))</f>
        <v/>
      </c>
      <c r="BI135" s="23" t="str">
        <f aca="false">IF($A135="","",IFERROR(IF(VLOOKUP($C135,Dim_Fund!$A:$AI,35,0)&gt;0,VLOOKUP($C135,Dim_Fund!$A:$AI,35,0),""),""))</f>
        <v/>
      </c>
      <c r="BJ135" s="10" t="str">
        <f aca="false">IF($A135="","",$C135&amp;IF($E135="Client","*",""))</f>
        <v/>
      </c>
      <c r="BK135" s="39" t="str">
        <f aca="false">IF($A135="","",IFERROR(ROUND(($Y135-$X135)*1440,0),""))</f>
        <v/>
      </c>
      <c r="BL135" s="39" t="str">
        <f aca="false">IF($A135="","",IF($AH135="","",-$AH135))</f>
        <v/>
      </c>
      <c r="BM135" s="46" t="str">
        <f aca="false">IF($A135="","",IF($AQ135="","",IF($AP135="",$AQ135,MIN($AP135,$AQ135))))</f>
        <v/>
      </c>
      <c r="BN135" s="46" t="str">
        <f aca="false">IF($A135="","",IF($BM135="","",ROUND(N($AC135)/60,4)))</f>
        <v/>
      </c>
      <c r="BO135" s="46" t="str">
        <f aca="false">IF($A135="","",IF(OR($BM135="",$AD135=""),"",ROUND($AD135/60,4)))</f>
        <v/>
      </c>
      <c r="BP135" s="46" t="str">
        <f aca="false">IF($A135="","",IF($BM135="","",ROUND(N($AE135)/60,4)))</f>
        <v/>
      </c>
      <c r="BQ135" s="46" t="str">
        <f aca="false">IF($A135="","",IF(OR($BM135="",$AF135=""),"",ROUND($AF135/60,4)))</f>
        <v/>
      </c>
      <c r="BR135" s="39" t="str">
        <f aca="false">IF($A135="","",IF($AC135="","",$AC135-$BD135-$BE135))</f>
        <v/>
      </c>
      <c r="BS135" s="45" t="str">
        <f aca="false">IF($A135="","",IF(AND(ISNUMBER($Z135),ISNUMBER($W135)),$Z135,0))</f>
        <v/>
      </c>
      <c r="BT135" s="45" t="str">
        <f aca="false">IF($A135="","",IF(ISNUMBER($W135),$W135,0))</f>
        <v/>
      </c>
      <c r="BU135" s="23" t="str">
        <f aca="false">IF($A135="","",IF(ISNUMBER($W135),ROUND(($W135-$B135)*24,4),""))</f>
        <v/>
      </c>
      <c r="BV135" s="23" t="str">
        <f aca="false">IF($A135="","",IF(ISNUMBER($X135),ROUND(($X135-$B135)*24,4),""))</f>
        <v/>
      </c>
      <c r="BW135" s="10" t="str">
        <f aca="false">IF($A135="","",IF(NOT(ISNUMBER($W135)),"Missing Calculated",IF(NOT(ISNUMBER($X135)),IF($E135="Client","Missing FA signed off","Missing Controlled"),IF($X135&lt;$W135,"End before start","OK"))))</f>
        <v/>
      </c>
      <c r="BX135" s="23" t="str">
        <f aca="false">IF($A135="","",IF(NOT(ISNUMBER($Z135)),"",ROUND((IF(ISNUMBER($U135),MIN($U135,$Z135),$Z135)-$B135)*24,4)))</f>
        <v/>
      </c>
      <c r="BY135" s="23" t="str">
        <f aca="false">IF($A135="","",IF(ISNUMBER($Z135),ROUND(($Z135-$B135)*24,4),""))</f>
        <v/>
      </c>
      <c r="BZ135" s="23" t="str">
        <f aca="false">IF($A135="","",IF(AND(ISNUMBER($W135),ISNUMBER($S135)),ROUND(($W135+$S135/1440-$B135)*24,4),""))</f>
        <v/>
      </c>
    </row>
    <row r="136" customFormat="false" ht="15" hidden="false" customHeight="true" outlineLevel="0" collapsed="false">
      <c r="A136" s="47"/>
      <c r="B136" s="47"/>
      <c r="D136" s="4" t="str">
        <f aca="false">IF($A136="","",$B136-$A136)</f>
        <v/>
      </c>
      <c r="E136" s="4" t="str">
        <f aca="false">IF($A136="","",IFERROR(VLOOKUP($C136,Dim_Fund!$A:$X,24,0),""))</f>
        <v/>
      </c>
      <c r="F136" s="37" t="str">
        <f aca="false">IF($A136="","",IF(COUNTIFS(Status_Log!$A:$A,$A136,Status_Log!$B:$B,$B136,Status_Log!$C:$C,$C136,Status_Log!$D:$D,"Changed to the status of Calculated")=0,"",_xlfn.MINIFS(Status_Log!$E:$E,Status_Log!$A:$A,$A136,Status_Log!$B:$B,$B136,Status_Log!$C:$C,$C136,Status_Log!$D:$D,"Changed to the status of Calculated")))</f>
        <v/>
      </c>
      <c r="G136" s="37" t="str">
        <f aca="false">IF($A136="","",IF(COUNTIFS(Status_Log!$A:$A,$A136,Status_Log!$B:$B,$B136,Status_Log!$C:$C,$C136,Status_Log!$D:$D,"Changed to the status of Controlled")=0,"",_xlfn.MAXIFS(Status_Log!$E:$E,Status_Log!$A:$A,$A136,Status_Log!$B:$B,$B136,Status_Log!$C:$C,$C136,Status_Log!$D:$D,"Changed to the status of Controlled")))</f>
        <v/>
      </c>
      <c r="H136" s="37" t="str">
        <f aca="false">IF($A136="","",IF(COUNTIFS(Status_Log!$A:$A,$A136,Status_Log!$B:$B,$B136,Status_Log!$C:$C,$C136,Status_Log!$D:$D,"Changed to the status of Fund accounting signed off")=0,"",_xlfn.MAXIFS(Status_Log!$E:$E,Status_Log!$A:$A,$A136,Status_Log!$B:$B,$B136,Status_Log!$C:$C,$C136,Status_Log!$D:$D,"Changed to the status of Fund accounting signed off")))</f>
        <v/>
      </c>
      <c r="I136" s="37" t="str">
        <f aca="false">IF($A136="","",IF(COUNTIFS(Status_Log!$A:$A,$A136,Status_Log!$B:$B,$B136,Status_Log!$C:$C,$C136,Status_Log!$D:$D,"Changed to the status of signed off")=0,"",_xlfn.MAXIFS(Status_Log!$E:$E,Status_Log!$A:$A,$A136,Status_Log!$B:$B,$B136,Status_Log!$C:$C,$C136,Status_Log!$D:$D,"Changed to the status of signed off")))</f>
        <v/>
      </c>
      <c r="J136" s="4" t="str">
        <f aca="false">IF($A136="","",COUNTIFS(Status_Log!$A:$A,$A136,Status_Log!$B:$B,$B136,Status_Log!$C:$C,$C136,Status_Log!$D:$D,"Changed to the status of Calculated"))</f>
        <v/>
      </c>
      <c r="K136" s="38" t="str">
        <f aca="false">IF($A136="","",IF(J136&lt;=1,0,ROUND((_xlfn.MAXIFS(Status_Log!$E:$E,Status_Log!$A:$A,$A136,Status_Log!$B:$B,$B136,Status_Log!$C:$C,$C136,Status_Log!$D:$D,"Changed to the status of Calculated")-F136)*1440,0)))</f>
        <v/>
      </c>
      <c r="L136" s="4" t="str">
        <f aca="false">IF($A136="","",IFERROR(INDEX(Status_Log!$F:$F,MATCH($A136&amp;"|"&amp;$B136&amp;"|"&amp;$C136&amp;"|Changed to the status of Calculated|"&amp;TEXT(_xlfn.MAXIFS(Status_Log!$E:$E,Status_Log!$A:$A,$A136,Status_Log!$B:$B,$B136,Status_Log!$C:$C,$C136,Status_Log!$D:$D,"Changed to the status of Calculated"),"0.000000"),Status_Log!$H:$H,0)),""))</f>
        <v/>
      </c>
      <c r="M136" s="4" t="str">
        <f aca="false">IF($A136="","",IF(E136="Client","n/a — no control step",IFERROR(INDEX(Status_Log!$F:$F,MATCH($A136&amp;"|"&amp;$B136&amp;"|"&amp;$C136&amp;"|Changed to the status of Controlled|"&amp;TEXT(_xlfn.MAXIFS(Status_Log!$E:$E,Status_Log!$A:$A,$A136,Status_Log!$B:$B,$B136,Status_Log!$C:$C,$C136,Status_Log!$D:$D,"Changed to the status of Controlled"),"0.000000"),Status_Log!$H:$H,0)),"")))</f>
        <v/>
      </c>
      <c r="N136" s="4" t="str">
        <f aca="false">IF($A136="","",IFERROR(VLOOKUP($C136,Dim_Fund!$A:$G,7,0),""))</f>
        <v/>
      </c>
      <c r="O136" s="4" t="str">
        <f aca="false">IF($A136="","",IF(L136=N136,"No","Yes"))</f>
        <v/>
      </c>
      <c r="P136" s="4" t="str">
        <f aca="false">IF($A136="","",IF(E136="Client","n/a",IF(L136=M136,"YES — four-eyes breach","No")))</f>
        <v/>
      </c>
      <c r="Q136" s="38" t="str">
        <f aca="false">IF($A136="","",IFERROR(VLOOKUP($C136,Dim_Fund!$A:$AB,28,0),""))</f>
        <v/>
      </c>
      <c r="R136" s="38" t="str">
        <f aca="false">IF($A136="","",IFERROR(VLOOKUP($C136,Dim_Fund!$A:$AC,29,0),""))</f>
        <v/>
      </c>
      <c r="S136" s="38" t="str">
        <f aca="false">IF($A136="","",IFERROR(VLOOKUP($C136,Dim_Fund!$A:$AD,30,0),""))</f>
        <v/>
      </c>
      <c r="T136" s="38" t="str">
        <f aca="false">IF($A136="","",IFERROR(VLOOKUP($C136,Dim_Fund!$A:$AL,38,0),""))</f>
        <v/>
      </c>
      <c r="U136" s="37" t="str">
        <f aca="false">IF($A136="","",IF(AL136="","",IFERROR(IF(COUNTIFS(Fact_Milestone!$A:$A,$B136,Fact_Milestone!$B:$B,AL136)=0,"",_xlfn.MAXIFS(Fact_Milestone!$C:$C,Fact_Milestone!$A:$A,$B136,Fact_Milestone!$B:$B,AL136)),"")))</f>
        <v/>
      </c>
      <c r="V136" s="37" t="str">
        <f aca="false">IF($A136="","",IFERROR(IF(VLOOKUP($C136,Dim_Fund!$A:$AI,35,0)&gt;0,$B136+VLOOKUP($C136,Dim_Fund!$A:$AI,35,0)/24,""),""))</f>
        <v/>
      </c>
      <c r="W136" s="37" t="str">
        <f aca="false">IF($A136="","",F136)</f>
        <v/>
      </c>
      <c r="X136" s="37" t="str">
        <f aca="false">IF($A136="","",IF(E136="Client",H136,G136))</f>
        <v/>
      </c>
      <c r="Y136" s="37" t="str">
        <f aca="false">IF($A136="","",I136)</f>
        <v/>
      </c>
      <c r="Z136" s="37" t="str">
        <f aca="false">IF($A136="","",IFERROR(W136-R136/1440,""))</f>
        <v/>
      </c>
      <c r="AA136" s="38" t="str">
        <f aca="false">IF($A136="","",IF(OR(U136="",V136=""),"",ROUND((V136-U136)*1440,0)))</f>
        <v/>
      </c>
      <c r="AB136" s="38" t="str">
        <f aca="false">IF($A136="","",IF(U136="","",ROUND((W136-U136)*1440,0)))</f>
        <v/>
      </c>
      <c r="AC136" s="38" t="str">
        <f aca="false">IF($A136="","",IF(AB136="","",MAX(0,AB136)))</f>
        <v/>
      </c>
      <c r="AD136" s="38" t="str">
        <f aca="false">IF($A136="","",IFERROR(ROUND((X136-W136)*1440,0),""))</f>
        <v/>
      </c>
      <c r="AE136" s="38" t="str">
        <f aca="false">IF($A136="","",IF(E136="Client","n/a",IFERROR(ROUND((H136-G136)*1440,0),"")))</f>
        <v/>
      </c>
      <c r="AF136" s="38" t="str">
        <f aca="false">IF($A136="","",IFERROR(ROUND((Y136-H136)*1440,0),""))</f>
        <v/>
      </c>
      <c r="AG136" s="38" t="str">
        <f aca="false">IF($A136="","",IFERROR(ROUND((H136-F136)*1440,0),""))</f>
        <v/>
      </c>
      <c r="AH136" s="38" t="str">
        <f aca="false">IF($A136="","",IFERROR(ROUND((Y136-V136)*1440,0),""))</f>
        <v/>
      </c>
      <c r="AI136" s="4" t="str">
        <f aca="false">IF($A136="","",IF(AH136="","",IF(AH136&gt;0,"Yes","No")))</f>
        <v/>
      </c>
      <c r="AJ136" s="4" t="str">
        <f aca="false">IF($A136="","",IF(AI136&lt;&gt;"Yes","On time",IF(N(AC136)&gt;=MAX(N(AF136),N(K136)),"Wait for analyst",IF(N(AF136)&gt;=N(K136),"External sign-off","Rework"))))</f>
        <v/>
      </c>
      <c r="AK136" s="4" t="str">
        <f aca="false">IF($A136="","",IF(OR(F136="",Y136="",ISNA(MATCH(L136,Dim_Analyst!$A:$A,0))),"CHECK","OK"))</f>
        <v/>
      </c>
      <c r="AL136" s="4" t="str">
        <f aca="false">IF($A136="","",IFERROR(VLOOKUP($C136,Dim_Fund!$A:$U,21,0),""))</f>
        <v/>
      </c>
      <c r="AM136" s="4" t="str">
        <f aca="false">IF($A136="","",IF($U136="","",IF($U136&gt;$B136+IFERROR(VLOOKUP($C136,Dim_Fund!$A:$AH,34,0),0)/24,"Yes","No")))</f>
        <v/>
      </c>
      <c r="AN136" s="22" t="str">
        <f aca="false">IF($A136="","",IFERROR(VLOOKUP($C136,Dim_Fund!$A:$AH,34,0),""))</f>
        <v/>
      </c>
      <c r="AO136" s="22" t="str">
        <f aca="false">IF($A136="","",IF($AL136="","",IFERROR(FLOOR(IF(COUNTIFS(Fact_Milestone!$A:$A,$B136,Fact_Milestone!$B:$B,$AL136,Fact_Milestone!$F:$F,"&gt;0")&gt;0,_xlfn.MINIFS(Fact_Milestone!$F:$F,Fact_Milestone!$A:$A,$B136,Fact_Milestone!$B:$B,$AL136,Fact_Milestone!$F:$F,"&gt;0"),VLOOKUP($AL136,Dim_TOP!$A:$E,5,0)),0.5),"")))</f>
        <v/>
      </c>
      <c r="AP136" s="22" t="str">
        <f aca="false">IF($A136="","",IF($U136="","",ROUND(($U136-INT($U136))*24,4)))</f>
        <v/>
      </c>
      <c r="AQ136" s="22" t="str">
        <f aca="false">IF($A136="","",IF($W136="","",ROUND(($W136-INT($W136))*24,4)))</f>
        <v/>
      </c>
      <c r="AR136" s="22" t="str">
        <f aca="false">IF($A136="","",IF($X136="","",ROUND(($X136-INT($X136))*24,4)))</f>
        <v/>
      </c>
      <c r="AS136" s="38" t="str">
        <f aca="false">IF($A136="","",IF(OR($AN136="",$V136="",$S136="",$T136=""),"",ROUND(($V136-($B136+$AN136/24))*1440-$S136-$T136,0)))</f>
        <v/>
      </c>
      <c r="AT136" s="38" t="str">
        <f aca="false">IF($A136="","",IF(OR($AN136="",$U136=""),"",ROUND(($U136-($B136+$AN136/24))*1440,0)))</f>
        <v/>
      </c>
      <c r="AU136" s="38" t="str">
        <f aca="false">IF($A136="","",IF(OR($AD136="",$S136=""),"",ROUND($AD136-$S136,0)))</f>
        <v/>
      </c>
      <c r="AV136" s="38" t="str">
        <f aca="false">IF($A136="","",N($AE136))</f>
        <v/>
      </c>
      <c r="AW136" s="38" t="str">
        <f aca="false">IF($A136="","",IF(OR($AF136="",$T136=""),"",$AF136-$T136))</f>
        <v/>
      </c>
      <c r="AX136" s="38" t="str">
        <f aca="false">IF($A136="","",IF(COUNT($AT136,$AB136,$AU136,$AW136,$AS136,$AH136)&lt;6,"",ROUND($AT136+$AB136+$AU136+$AV136+$AW136-$AS136-$AH136,0)))</f>
        <v/>
      </c>
      <c r="AY136" s="4" t="str">
        <f aca="false">IF($A136="","",IF($AX136="","No",IF(ABS($AX136)&lt;=2,"Yes","No")))</f>
        <v/>
      </c>
      <c r="AZ136" s="4" t="str">
        <f aca="false">IF($A136="","",IF($AI136&lt;&gt;"Yes","n/a",IF(OR($AA136="",$S136="",$T136=""),"Unknown",IF($AA136&lt;$S136+$T136,"Lost on arrival","Lost after arrival"))))</f>
        <v/>
      </c>
      <c r="BA136" s="10" t="str">
        <f aca="false">IF($A136="","",IFERROR(VLOOKUP($C136,Dim_Fund!$A:$D,4,0),""))</f>
        <v/>
      </c>
      <c r="BB136" s="10" t="str">
        <f aca="false">IF($A136="","",IF($AL136="","",IF(COUNTIFS(Fact_Milestone!$A:$A,$B136,Fact_Milestone!$B:$B,$AL136,Fact_Milestone!$I:$I,"No")&gt;0,"No",IF(COUNTIFS(Fact_Milestone!$A:$A,$B136,Fact_Milestone!$B:$B,$AL136,Fact_Milestone!$I:$I,"Yes")&gt;0,"Yes",""))))</f>
        <v/>
      </c>
      <c r="BC136" s="45" t="str">
        <f aca="false">IF($A136="","",IF(OR($L136="",$W136=""),"",IF(COUNTIFS($L:$L,$L136,$B:$B,$B136,$W:$W,"&lt;"&amp;$W136)=0,"",_xlfn.MAXIFS($W:$W,$L:$L,$L136,$B:$B,$B136,$W:$W,"&lt;"&amp;$W136))))</f>
        <v/>
      </c>
      <c r="BD136" s="39" t="str">
        <f aca="false">IF($A136="","",IF($AC136="","",IF(OR($L136="",$AC136=0),0,MIN($AC136,ROUND(ROUND(1440*SUMPRODUCT(($L$2:INDEX($L:$L,COUNTA($C:$C))=$L136)*($B$2:INDEX($B:$B,COUNTA($C:$C))=$B136)*(ROW($L$2:INDEX($L:$L,COUNTA($C:$C)))&lt;&gt;ROW())*((((($W136+$BT$2:INDEX($BT:$BT,COUNTA($C:$C))-ABS($W136-$BT$2:INDEX($BT:$BT,COUNTA($C:$C))))/2)-(($U136+$BS$2:INDEX($BS:$BS,COUNTA($C:$C))+ABS($U136-$BS$2:INDEX($BS:$BS,COUNTA($C:$C))))/2))+ABS(((($W136+$BT$2:INDEX($BT:$BT,COUNTA($C:$C))-ABS($W136-$BT$2:INDEX($BT:$BT,COUNTA($C:$C))))/2)-(($U136+$BS$2:INDEX($BS:$BS,COUNTA($C:$C))+ABS($U136-$BS$2:INDEX($BS:$BS,COUNTA($C:$C))))/2))))/2)),4),0)))))</f>
        <v/>
      </c>
      <c r="BE136" s="39" t="str">
        <f aca="false">IF($A136="","",IF($AC136="","",ROUND(MIN($AC136-$BD136,N($R136)),0)))</f>
        <v/>
      </c>
      <c r="BF136" s="10" t="str">
        <f aca="false">IF($A136="","",IFERROR(VLOOKUP($C136,Dim_Fund!$A:$BD,56,0),""))</f>
        <v/>
      </c>
      <c r="BG136" s="10" t="str">
        <f aca="false">IF($A136="","",IFERROR(VLOOKUP($C136,Dim_Fund!$A:$BH,60,0),""))</f>
        <v/>
      </c>
      <c r="BH136" s="10" t="str">
        <f aca="false">IF($A136="","",IF($AI136&lt;&gt;"Yes","Not breached",IF($AM136="Yes","Pricing late",IF($BG136="Thin custody slack","Thin custody slack",IF($BF136="Yes","Broker-dependent","None of these")))))</f>
        <v/>
      </c>
      <c r="BI136" s="23" t="str">
        <f aca="false">IF($A136="","",IFERROR(IF(VLOOKUP($C136,Dim_Fund!$A:$AI,35,0)&gt;0,VLOOKUP($C136,Dim_Fund!$A:$AI,35,0),""),""))</f>
        <v/>
      </c>
      <c r="BJ136" s="10" t="str">
        <f aca="false">IF($A136="","",$C136&amp;IF($E136="Client","*",""))</f>
        <v/>
      </c>
      <c r="BK136" s="39" t="str">
        <f aca="false">IF($A136="","",IFERROR(ROUND(($Y136-$X136)*1440,0),""))</f>
        <v/>
      </c>
      <c r="BL136" s="39" t="str">
        <f aca="false">IF($A136="","",IF($AH136="","",-$AH136))</f>
        <v/>
      </c>
      <c r="BM136" s="46" t="str">
        <f aca="false">IF($A136="","",IF($AQ136="","",IF($AP136="",$AQ136,MIN($AP136,$AQ136))))</f>
        <v/>
      </c>
      <c r="BN136" s="46" t="str">
        <f aca="false">IF($A136="","",IF($BM136="","",ROUND(N($AC136)/60,4)))</f>
        <v/>
      </c>
      <c r="BO136" s="46" t="str">
        <f aca="false">IF($A136="","",IF(OR($BM136="",$AD136=""),"",ROUND($AD136/60,4)))</f>
        <v/>
      </c>
      <c r="BP136" s="46" t="str">
        <f aca="false">IF($A136="","",IF($BM136="","",ROUND(N($AE136)/60,4)))</f>
        <v/>
      </c>
      <c r="BQ136" s="46" t="str">
        <f aca="false">IF($A136="","",IF(OR($BM136="",$AF136=""),"",ROUND($AF136/60,4)))</f>
        <v/>
      </c>
      <c r="BR136" s="39" t="str">
        <f aca="false">IF($A136="","",IF($AC136="","",$AC136-$BD136-$BE136))</f>
        <v/>
      </c>
      <c r="BS136" s="45" t="str">
        <f aca="false">IF($A136="","",IF(AND(ISNUMBER($Z136),ISNUMBER($W136)),$Z136,0))</f>
        <v/>
      </c>
      <c r="BT136" s="45" t="str">
        <f aca="false">IF($A136="","",IF(ISNUMBER($W136),$W136,0))</f>
        <v/>
      </c>
      <c r="BU136" s="23" t="str">
        <f aca="false">IF($A136="","",IF(ISNUMBER($W136),ROUND(($W136-$B136)*24,4),""))</f>
        <v/>
      </c>
      <c r="BV136" s="23" t="str">
        <f aca="false">IF($A136="","",IF(ISNUMBER($X136),ROUND(($X136-$B136)*24,4),""))</f>
        <v/>
      </c>
      <c r="BW136" s="10" t="str">
        <f aca="false">IF($A136="","",IF(NOT(ISNUMBER($W136)),"Missing Calculated",IF(NOT(ISNUMBER($X136)),IF($E136="Client","Missing FA signed off","Missing Controlled"),IF($X136&lt;$W136,"End before start","OK"))))</f>
        <v/>
      </c>
      <c r="BX136" s="23" t="str">
        <f aca="false">IF($A136="","",IF(NOT(ISNUMBER($Z136)),"",ROUND((IF(ISNUMBER($U136),MIN($U136,$Z136),$Z136)-$B136)*24,4)))</f>
        <v/>
      </c>
      <c r="BY136" s="23" t="str">
        <f aca="false">IF($A136="","",IF(ISNUMBER($Z136),ROUND(($Z136-$B136)*24,4),""))</f>
        <v/>
      </c>
      <c r="BZ136" s="23" t="str">
        <f aca="false">IF($A136="","",IF(AND(ISNUMBER($W136),ISNUMBER($S136)),ROUND(($W136+$S136/1440-$B136)*24,4),""))</f>
        <v/>
      </c>
    </row>
    <row r="137" customFormat="false" ht="15" hidden="false" customHeight="true" outlineLevel="0" collapsed="false">
      <c r="A137" s="47"/>
      <c r="B137" s="47"/>
      <c r="D137" s="4" t="str">
        <f aca="false">IF($A137="","",$B137-$A137)</f>
        <v/>
      </c>
      <c r="E137" s="4" t="str">
        <f aca="false">IF($A137="","",IFERROR(VLOOKUP($C137,Dim_Fund!$A:$X,24,0),""))</f>
        <v/>
      </c>
      <c r="F137" s="37" t="str">
        <f aca="false">IF($A137="","",IF(COUNTIFS(Status_Log!$A:$A,$A137,Status_Log!$B:$B,$B137,Status_Log!$C:$C,$C137,Status_Log!$D:$D,"Changed to the status of Calculated")=0,"",_xlfn.MINIFS(Status_Log!$E:$E,Status_Log!$A:$A,$A137,Status_Log!$B:$B,$B137,Status_Log!$C:$C,$C137,Status_Log!$D:$D,"Changed to the status of Calculated")))</f>
        <v/>
      </c>
      <c r="G137" s="37" t="str">
        <f aca="false">IF($A137="","",IF(COUNTIFS(Status_Log!$A:$A,$A137,Status_Log!$B:$B,$B137,Status_Log!$C:$C,$C137,Status_Log!$D:$D,"Changed to the status of Controlled")=0,"",_xlfn.MAXIFS(Status_Log!$E:$E,Status_Log!$A:$A,$A137,Status_Log!$B:$B,$B137,Status_Log!$C:$C,$C137,Status_Log!$D:$D,"Changed to the status of Controlled")))</f>
        <v/>
      </c>
      <c r="H137" s="37" t="str">
        <f aca="false">IF($A137="","",IF(COUNTIFS(Status_Log!$A:$A,$A137,Status_Log!$B:$B,$B137,Status_Log!$C:$C,$C137,Status_Log!$D:$D,"Changed to the status of Fund accounting signed off")=0,"",_xlfn.MAXIFS(Status_Log!$E:$E,Status_Log!$A:$A,$A137,Status_Log!$B:$B,$B137,Status_Log!$C:$C,$C137,Status_Log!$D:$D,"Changed to the status of Fund accounting signed off")))</f>
        <v/>
      </c>
      <c r="I137" s="37" t="str">
        <f aca="false">IF($A137="","",IF(COUNTIFS(Status_Log!$A:$A,$A137,Status_Log!$B:$B,$B137,Status_Log!$C:$C,$C137,Status_Log!$D:$D,"Changed to the status of signed off")=0,"",_xlfn.MAXIFS(Status_Log!$E:$E,Status_Log!$A:$A,$A137,Status_Log!$B:$B,$B137,Status_Log!$C:$C,$C137,Status_Log!$D:$D,"Changed to the status of signed off")))</f>
        <v/>
      </c>
      <c r="J137" s="4" t="str">
        <f aca="false">IF($A137="","",COUNTIFS(Status_Log!$A:$A,$A137,Status_Log!$B:$B,$B137,Status_Log!$C:$C,$C137,Status_Log!$D:$D,"Changed to the status of Calculated"))</f>
        <v/>
      </c>
      <c r="K137" s="38" t="str">
        <f aca="false">IF($A137="","",IF(J137&lt;=1,0,ROUND((_xlfn.MAXIFS(Status_Log!$E:$E,Status_Log!$A:$A,$A137,Status_Log!$B:$B,$B137,Status_Log!$C:$C,$C137,Status_Log!$D:$D,"Changed to the status of Calculated")-F137)*1440,0)))</f>
        <v/>
      </c>
      <c r="L137" s="4" t="str">
        <f aca="false">IF($A137="","",IFERROR(INDEX(Status_Log!$F:$F,MATCH($A137&amp;"|"&amp;$B137&amp;"|"&amp;$C137&amp;"|Changed to the status of Calculated|"&amp;TEXT(_xlfn.MAXIFS(Status_Log!$E:$E,Status_Log!$A:$A,$A137,Status_Log!$B:$B,$B137,Status_Log!$C:$C,$C137,Status_Log!$D:$D,"Changed to the status of Calculated"),"0.000000"),Status_Log!$H:$H,0)),""))</f>
        <v/>
      </c>
      <c r="M137" s="4" t="str">
        <f aca="false">IF($A137="","",IF(E137="Client","n/a — no control step",IFERROR(INDEX(Status_Log!$F:$F,MATCH($A137&amp;"|"&amp;$B137&amp;"|"&amp;$C137&amp;"|Changed to the status of Controlled|"&amp;TEXT(_xlfn.MAXIFS(Status_Log!$E:$E,Status_Log!$A:$A,$A137,Status_Log!$B:$B,$B137,Status_Log!$C:$C,$C137,Status_Log!$D:$D,"Changed to the status of Controlled"),"0.000000"),Status_Log!$H:$H,0)),"")))</f>
        <v/>
      </c>
      <c r="N137" s="4" t="str">
        <f aca="false">IF($A137="","",IFERROR(VLOOKUP($C137,Dim_Fund!$A:$G,7,0),""))</f>
        <v/>
      </c>
      <c r="O137" s="4" t="str">
        <f aca="false">IF($A137="","",IF(L137=N137,"No","Yes"))</f>
        <v/>
      </c>
      <c r="P137" s="4" t="str">
        <f aca="false">IF($A137="","",IF(E137="Client","n/a",IF(L137=M137,"YES — four-eyes breach","No")))</f>
        <v/>
      </c>
      <c r="Q137" s="38" t="str">
        <f aca="false">IF($A137="","",IFERROR(VLOOKUP($C137,Dim_Fund!$A:$AB,28,0),""))</f>
        <v/>
      </c>
      <c r="R137" s="38" t="str">
        <f aca="false">IF($A137="","",IFERROR(VLOOKUP($C137,Dim_Fund!$A:$AC,29,0),""))</f>
        <v/>
      </c>
      <c r="S137" s="38" t="str">
        <f aca="false">IF($A137="","",IFERROR(VLOOKUP($C137,Dim_Fund!$A:$AD,30,0),""))</f>
        <v/>
      </c>
      <c r="T137" s="38" t="str">
        <f aca="false">IF($A137="","",IFERROR(VLOOKUP($C137,Dim_Fund!$A:$AL,38,0),""))</f>
        <v/>
      </c>
      <c r="U137" s="37" t="str">
        <f aca="false">IF($A137="","",IF(AL137="","",IFERROR(IF(COUNTIFS(Fact_Milestone!$A:$A,$B137,Fact_Milestone!$B:$B,AL137)=0,"",_xlfn.MAXIFS(Fact_Milestone!$C:$C,Fact_Milestone!$A:$A,$B137,Fact_Milestone!$B:$B,AL137)),"")))</f>
        <v/>
      </c>
      <c r="V137" s="37" t="str">
        <f aca="false">IF($A137="","",IFERROR(IF(VLOOKUP($C137,Dim_Fund!$A:$AI,35,0)&gt;0,$B137+VLOOKUP($C137,Dim_Fund!$A:$AI,35,0)/24,""),""))</f>
        <v/>
      </c>
      <c r="W137" s="37" t="str">
        <f aca="false">IF($A137="","",F137)</f>
        <v/>
      </c>
      <c r="X137" s="37" t="str">
        <f aca="false">IF($A137="","",IF(E137="Client",H137,G137))</f>
        <v/>
      </c>
      <c r="Y137" s="37" t="str">
        <f aca="false">IF($A137="","",I137)</f>
        <v/>
      </c>
      <c r="Z137" s="37" t="str">
        <f aca="false">IF($A137="","",IFERROR(W137-R137/1440,""))</f>
        <v/>
      </c>
      <c r="AA137" s="38" t="str">
        <f aca="false">IF($A137="","",IF(OR(U137="",V137=""),"",ROUND((V137-U137)*1440,0)))</f>
        <v/>
      </c>
      <c r="AB137" s="38" t="str">
        <f aca="false">IF($A137="","",IF(U137="","",ROUND((W137-U137)*1440,0)))</f>
        <v/>
      </c>
      <c r="AC137" s="38" t="str">
        <f aca="false">IF($A137="","",IF(AB137="","",MAX(0,AB137)))</f>
        <v/>
      </c>
      <c r="AD137" s="38" t="str">
        <f aca="false">IF($A137="","",IFERROR(ROUND((X137-W137)*1440,0),""))</f>
        <v/>
      </c>
      <c r="AE137" s="38" t="str">
        <f aca="false">IF($A137="","",IF(E137="Client","n/a",IFERROR(ROUND((H137-G137)*1440,0),"")))</f>
        <v/>
      </c>
      <c r="AF137" s="38" t="str">
        <f aca="false">IF($A137="","",IFERROR(ROUND((Y137-H137)*1440,0),""))</f>
        <v/>
      </c>
      <c r="AG137" s="38" t="str">
        <f aca="false">IF($A137="","",IFERROR(ROUND((H137-F137)*1440,0),""))</f>
        <v/>
      </c>
      <c r="AH137" s="38" t="str">
        <f aca="false">IF($A137="","",IFERROR(ROUND((Y137-V137)*1440,0),""))</f>
        <v/>
      </c>
      <c r="AI137" s="4" t="str">
        <f aca="false">IF($A137="","",IF(AH137="","",IF(AH137&gt;0,"Yes","No")))</f>
        <v/>
      </c>
      <c r="AJ137" s="4" t="str">
        <f aca="false">IF($A137="","",IF(AI137&lt;&gt;"Yes","On time",IF(N(AC137)&gt;=MAX(N(AF137),N(K137)),"Wait for analyst",IF(N(AF137)&gt;=N(K137),"External sign-off","Rework"))))</f>
        <v/>
      </c>
      <c r="AK137" s="4" t="str">
        <f aca="false">IF($A137="","",IF(OR(F137="",Y137="",ISNA(MATCH(L137,Dim_Analyst!$A:$A,0))),"CHECK","OK"))</f>
        <v/>
      </c>
      <c r="AL137" s="4" t="str">
        <f aca="false">IF($A137="","",IFERROR(VLOOKUP($C137,Dim_Fund!$A:$U,21,0),""))</f>
        <v/>
      </c>
      <c r="AM137" s="4" t="str">
        <f aca="false">IF($A137="","",IF($U137="","",IF($U137&gt;$B137+IFERROR(VLOOKUP($C137,Dim_Fund!$A:$AH,34,0),0)/24,"Yes","No")))</f>
        <v/>
      </c>
      <c r="AN137" s="22" t="str">
        <f aca="false">IF($A137="","",IFERROR(VLOOKUP($C137,Dim_Fund!$A:$AH,34,0),""))</f>
        <v/>
      </c>
      <c r="AO137" s="22" t="str">
        <f aca="false">IF($A137="","",IF($AL137="","",IFERROR(FLOOR(IF(COUNTIFS(Fact_Milestone!$A:$A,$B137,Fact_Milestone!$B:$B,$AL137,Fact_Milestone!$F:$F,"&gt;0")&gt;0,_xlfn.MINIFS(Fact_Milestone!$F:$F,Fact_Milestone!$A:$A,$B137,Fact_Milestone!$B:$B,$AL137,Fact_Milestone!$F:$F,"&gt;0"),VLOOKUP($AL137,Dim_TOP!$A:$E,5,0)),0.5),"")))</f>
        <v/>
      </c>
      <c r="AP137" s="22" t="str">
        <f aca="false">IF($A137="","",IF($U137="","",ROUND(($U137-INT($U137))*24,4)))</f>
        <v/>
      </c>
      <c r="AQ137" s="22" t="str">
        <f aca="false">IF($A137="","",IF($W137="","",ROUND(($W137-INT($W137))*24,4)))</f>
        <v/>
      </c>
      <c r="AR137" s="22" t="str">
        <f aca="false">IF($A137="","",IF($X137="","",ROUND(($X137-INT($X137))*24,4)))</f>
        <v/>
      </c>
      <c r="AS137" s="38" t="str">
        <f aca="false">IF($A137="","",IF(OR($AN137="",$V137="",$S137="",$T137=""),"",ROUND(($V137-($B137+$AN137/24))*1440-$S137-$T137,0)))</f>
        <v/>
      </c>
      <c r="AT137" s="38" t="str">
        <f aca="false">IF($A137="","",IF(OR($AN137="",$U137=""),"",ROUND(($U137-($B137+$AN137/24))*1440,0)))</f>
        <v/>
      </c>
      <c r="AU137" s="38" t="str">
        <f aca="false">IF($A137="","",IF(OR($AD137="",$S137=""),"",ROUND($AD137-$S137,0)))</f>
        <v/>
      </c>
      <c r="AV137" s="38" t="str">
        <f aca="false">IF($A137="","",N($AE137))</f>
        <v/>
      </c>
      <c r="AW137" s="38" t="str">
        <f aca="false">IF($A137="","",IF(OR($AF137="",$T137=""),"",$AF137-$T137))</f>
        <v/>
      </c>
      <c r="AX137" s="38" t="str">
        <f aca="false">IF($A137="","",IF(COUNT($AT137,$AB137,$AU137,$AW137,$AS137,$AH137)&lt;6,"",ROUND($AT137+$AB137+$AU137+$AV137+$AW137-$AS137-$AH137,0)))</f>
        <v/>
      </c>
      <c r="AY137" s="4" t="str">
        <f aca="false">IF($A137="","",IF($AX137="","No",IF(ABS($AX137)&lt;=2,"Yes","No")))</f>
        <v/>
      </c>
      <c r="AZ137" s="4" t="str">
        <f aca="false">IF($A137="","",IF($AI137&lt;&gt;"Yes","n/a",IF(OR($AA137="",$S137="",$T137=""),"Unknown",IF($AA137&lt;$S137+$T137,"Lost on arrival","Lost after arrival"))))</f>
        <v/>
      </c>
      <c r="BA137" s="10" t="str">
        <f aca="false">IF($A137="","",IFERROR(VLOOKUP($C137,Dim_Fund!$A:$D,4,0),""))</f>
        <v/>
      </c>
      <c r="BB137" s="10" t="str">
        <f aca="false">IF($A137="","",IF($AL137="","",IF(COUNTIFS(Fact_Milestone!$A:$A,$B137,Fact_Milestone!$B:$B,$AL137,Fact_Milestone!$I:$I,"No")&gt;0,"No",IF(COUNTIFS(Fact_Milestone!$A:$A,$B137,Fact_Milestone!$B:$B,$AL137,Fact_Milestone!$I:$I,"Yes")&gt;0,"Yes",""))))</f>
        <v/>
      </c>
      <c r="BC137" s="45" t="str">
        <f aca="false">IF($A137="","",IF(OR($L137="",$W137=""),"",IF(COUNTIFS($L:$L,$L137,$B:$B,$B137,$W:$W,"&lt;"&amp;$W137)=0,"",_xlfn.MAXIFS($W:$W,$L:$L,$L137,$B:$B,$B137,$W:$W,"&lt;"&amp;$W137))))</f>
        <v/>
      </c>
      <c r="BD137" s="39" t="str">
        <f aca="false">IF($A137="","",IF($AC137="","",IF(OR($L137="",$AC137=0),0,MIN($AC137,ROUND(ROUND(1440*SUMPRODUCT(($L$2:INDEX($L:$L,COUNTA($C:$C))=$L137)*($B$2:INDEX($B:$B,COUNTA($C:$C))=$B137)*(ROW($L$2:INDEX($L:$L,COUNTA($C:$C)))&lt;&gt;ROW())*((((($W137+$BT$2:INDEX($BT:$BT,COUNTA($C:$C))-ABS($W137-$BT$2:INDEX($BT:$BT,COUNTA($C:$C))))/2)-(($U137+$BS$2:INDEX($BS:$BS,COUNTA($C:$C))+ABS($U137-$BS$2:INDEX($BS:$BS,COUNTA($C:$C))))/2))+ABS(((($W137+$BT$2:INDEX($BT:$BT,COUNTA($C:$C))-ABS($W137-$BT$2:INDEX($BT:$BT,COUNTA($C:$C))))/2)-(($U137+$BS$2:INDEX($BS:$BS,COUNTA($C:$C))+ABS($U137-$BS$2:INDEX($BS:$BS,COUNTA($C:$C))))/2))))/2)),4),0)))))</f>
        <v/>
      </c>
      <c r="BE137" s="39" t="str">
        <f aca="false">IF($A137="","",IF($AC137="","",ROUND(MIN($AC137-$BD137,N($R137)),0)))</f>
        <v/>
      </c>
      <c r="BF137" s="10" t="str">
        <f aca="false">IF($A137="","",IFERROR(VLOOKUP($C137,Dim_Fund!$A:$BD,56,0),""))</f>
        <v/>
      </c>
      <c r="BG137" s="10" t="str">
        <f aca="false">IF($A137="","",IFERROR(VLOOKUP($C137,Dim_Fund!$A:$BH,60,0),""))</f>
        <v/>
      </c>
      <c r="BH137" s="10" t="str">
        <f aca="false">IF($A137="","",IF($AI137&lt;&gt;"Yes","Not breached",IF($AM137="Yes","Pricing late",IF($BG137="Thin custody slack","Thin custody slack",IF($BF137="Yes","Broker-dependent","None of these")))))</f>
        <v/>
      </c>
      <c r="BI137" s="23" t="str">
        <f aca="false">IF($A137="","",IFERROR(IF(VLOOKUP($C137,Dim_Fund!$A:$AI,35,0)&gt;0,VLOOKUP($C137,Dim_Fund!$A:$AI,35,0),""),""))</f>
        <v/>
      </c>
      <c r="BJ137" s="10" t="str">
        <f aca="false">IF($A137="","",$C137&amp;IF($E137="Client","*",""))</f>
        <v/>
      </c>
      <c r="BK137" s="39" t="str">
        <f aca="false">IF($A137="","",IFERROR(ROUND(($Y137-$X137)*1440,0),""))</f>
        <v/>
      </c>
      <c r="BL137" s="39" t="str">
        <f aca="false">IF($A137="","",IF($AH137="","",-$AH137))</f>
        <v/>
      </c>
      <c r="BM137" s="46" t="str">
        <f aca="false">IF($A137="","",IF($AQ137="","",IF($AP137="",$AQ137,MIN($AP137,$AQ137))))</f>
        <v/>
      </c>
      <c r="BN137" s="46" t="str">
        <f aca="false">IF($A137="","",IF($BM137="","",ROUND(N($AC137)/60,4)))</f>
        <v/>
      </c>
      <c r="BO137" s="46" t="str">
        <f aca="false">IF($A137="","",IF(OR($BM137="",$AD137=""),"",ROUND($AD137/60,4)))</f>
        <v/>
      </c>
      <c r="BP137" s="46" t="str">
        <f aca="false">IF($A137="","",IF($BM137="","",ROUND(N($AE137)/60,4)))</f>
        <v/>
      </c>
      <c r="BQ137" s="46" t="str">
        <f aca="false">IF($A137="","",IF(OR($BM137="",$AF137=""),"",ROUND($AF137/60,4)))</f>
        <v/>
      </c>
      <c r="BR137" s="39" t="str">
        <f aca="false">IF($A137="","",IF($AC137="","",$AC137-$BD137-$BE137))</f>
        <v/>
      </c>
      <c r="BS137" s="45" t="str">
        <f aca="false">IF($A137="","",IF(AND(ISNUMBER($Z137),ISNUMBER($W137)),$Z137,0))</f>
        <v/>
      </c>
      <c r="BT137" s="45" t="str">
        <f aca="false">IF($A137="","",IF(ISNUMBER($W137),$W137,0))</f>
        <v/>
      </c>
      <c r="BU137" s="23" t="str">
        <f aca="false">IF($A137="","",IF(ISNUMBER($W137),ROUND(($W137-$B137)*24,4),""))</f>
        <v/>
      </c>
      <c r="BV137" s="23" t="str">
        <f aca="false">IF($A137="","",IF(ISNUMBER($X137),ROUND(($X137-$B137)*24,4),""))</f>
        <v/>
      </c>
      <c r="BW137" s="10" t="str">
        <f aca="false">IF($A137="","",IF(NOT(ISNUMBER($W137)),"Missing Calculated",IF(NOT(ISNUMBER($X137)),IF($E137="Client","Missing FA signed off","Missing Controlled"),IF($X137&lt;$W137,"End before start","OK"))))</f>
        <v/>
      </c>
      <c r="BX137" s="23" t="str">
        <f aca="false">IF($A137="","",IF(NOT(ISNUMBER($Z137)),"",ROUND((IF(ISNUMBER($U137),MIN($U137,$Z137),$Z137)-$B137)*24,4)))</f>
        <v/>
      </c>
      <c r="BY137" s="23" t="str">
        <f aca="false">IF($A137="","",IF(ISNUMBER($Z137),ROUND(($Z137-$B137)*24,4),""))</f>
        <v/>
      </c>
      <c r="BZ137" s="23" t="str">
        <f aca="false">IF($A137="","",IF(AND(ISNUMBER($W137),ISNUMBER($S137)),ROUND(($W137+$S137/1440-$B137)*24,4),""))</f>
        <v/>
      </c>
    </row>
    <row r="138" customFormat="false" ht="15" hidden="false" customHeight="true" outlineLevel="0" collapsed="false">
      <c r="A138" s="47"/>
      <c r="B138" s="47"/>
      <c r="D138" s="4" t="str">
        <f aca="false">IF($A138="","",$B138-$A138)</f>
        <v/>
      </c>
      <c r="E138" s="4" t="str">
        <f aca="false">IF($A138="","",IFERROR(VLOOKUP($C138,Dim_Fund!$A:$X,24,0),""))</f>
        <v/>
      </c>
      <c r="F138" s="37" t="str">
        <f aca="false">IF($A138="","",IF(COUNTIFS(Status_Log!$A:$A,$A138,Status_Log!$B:$B,$B138,Status_Log!$C:$C,$C138,Status_Log!$D:$D,"Changed to the status of Calculated")=0,"",_xlfn.MINIFS(Status_Log!$E:$E,Status_Log!$A:$A,$A138,Status_Log!$B:$B,$B138,Status_Log!$C:$C,$C138,Status_Log!$D:$D,"Changed to the status of Calculated")))</f>
        <v/>
      </c>
      <c r="G138" s="37" t="str">
        <f aca="false">IF($A138="","",IF(COUNTIFS(Status_Log!$A:$A,$A138,Status_Log!$B:$B,$B138,Status_Log!$C:$C,$C138,Status_Log!$D:$D,"Changed to the status of Controlled")=0,"",_xlfn.MAXIFS(Status_Log!$E:$E,Status_Log!$A:$A,$A138,Status_Log!$B:$B,$B138,Status_Log!$C:$C,$C138,Status_Log!$D:$D,"Changed to the status of Controlled")))</f>
        <v/>
      </c>
      <c r="H138" s="37" t="str">
        <f aca="false">IF($A138="","",IF(COUNTIFS(Status_Log!$A:$A,$A138,Status_Log!$B:$B,$B138,Status_Log!$C:$C,$C138,Status_Log!$D:$D,"Changed to the status of Fund accounting signed off")=0,"",_xlfn.MAXIFS(Status_Log!$E:$E,Status_Log!$A:$A,$A138,Status_Log!$B:$B,$B138,Status_Log!$C:$C,$C138,Status_Log!$D:$D,"Changed to the status of Fund accounting signed off")))</f>
        <v/>
      </c>
      <c r="I138" s="37" t="str">
        <f aca="false">IF($A138="","",IF(COUNTIFS(Status_Log!$A:$A,$A138,Status_Log!$B:$B,$B138,Status_Log!$C:$C,$C138,Status_Log!$D:$D,"Changed to the status of signed off")=0,"",_xlfn.MAXIFS(Status_Log!$E:$E,Status_Log!$A:$A,$A138,Status_Log!$B:$B,$B138,Status_Log!$C:$C,$C138,Status_Log!$D:$D,"Changed to the status of signed off")))</f>
        <v/>
      </c>
      <c r="J138" s="4" t="str">
        <f aca="false">IF($A138="","",COUNTIFS(Status_Log!$A:$A,$A138,Status_Log!$B:$B,$B138,Status_Log!$C:$C,$C138,Status_Log!$D:$D,"Changed to the status of Calculated"))</f>
        <v/>
      </c>
      <c r="K138" s="38" t="str">
        <f aca="false">IF($A138="","",IF(J138&lt;=1,0,ROUND((_xlfn.MAXIFS(Status_Log!$E:$E,Status_Log!$A:$A,$A138,Status_Log!$B:$B,$B138,Status_Log!$C:$C,$C138,Status_Log!$D:$D,"Changed to the status of Calculated")-F138)*1440,0)))</f>
        <v/>
      </c>
      <c r="L138" s="4" t="str">
        <f aca="false">IF($A138="","",IFERROR(INDEX(Status_Log!$F:$F,MATCH($A138&amp;"|"&amp;$B138&amp;"|"&amp;$C138&amp;"|Changed to the status of Calculated|"&amp;TEXT(_xlfn.MAXIFS(Status_Log!$E:$E,Status_Log!$A:$A,$A138,Status_Log!$B:$B,$B138,Status_Log!$C:$C,$C138,Status_Log!$D:$D,"Changed to the status of Calculated"),"0.000000"),Status_Log!$H:$H,0)),""))</f>
        <v/>
      </c>
      <c r="M138" s="4" t="str">
        <f aca="false">IF($A138="","",IF(E138="Client","n/a — no control step",IFERROR(INDEX(Status_Log!$F:$F,MATCH($A138&amp;"|"&amp;$B138&amp;"|"&amp;$C138&amp;"|Changed to the status of Controlled|"&amp;TEXT(_xlfn.MAXIFS(Status_Log!$E:$E,Status_Log!$A:$A,$A138,Status_Log!$B:$B,$B138,Status_Log!$C:$C,$C138,Status_Log!$D:$D,"Changed to the status of Controlled"),"0.000000"),Status_Log!$H:$H,0)),"")))</f>
        <v/>
      </c>
      <c r="N138" s="4" t="str">
        <f aca="false">IF($A138="","",IFERROR(VLOOKUP($C138,Dim_Fund!$A:$G,7,0),""))</f>
        <v/>
      </c>
      <c r="O138" s="4" t="str">
        <f aca="false">IF($A138="","",IF(L138=N138,"No","Yes"))</f>
        <v/>
      </c>
      <c r="P138" s="4" t="str">
        <f aca="false">IF($A138="","",IF(E138="Client","n/a",IF(L138=M138,"YES — four-eyes breach","No")))</f>
        <v/>
      </c>
      <c r="Q138" s="38" t="str">
        <f aca="false">IF($A138="","",IFERROR(VLOOKUP($C138,Dim_Fund!$A:$AB,28,0),""))</f>
        <v/>
      </c>
      <c r="R138" s="38" t="str">
        <f aca="false">IF($A138="","",IFERROR(VLOOKUP($C138,Dim_Fund!$A:$AC,29,0),""))</f>
        <v/>
      </c>
      <c r="S138" s="38" t="str">
        <f aca="false">IF($A138="","",IFERROR(VLOOKUP($C138,Dim_Fund!$A:$AD,30,0),""))</f>
        <v/>
      </c>
      <c r="T138" s="38" t="str">
        <f aca="false">IF($A138="","",IFERROR(VLOOKUP($C138,Dim_Fund!$A:$AL,38,0),""))</f>
        <v/>
      </c>
      <c r="U138" s="37" t="str">
        <f aca="false">IF($A138="","",IF(AL138="","",IFERROR(IF(COUNTIFS(Fact_Milestone!$A:$A,$B138,Fact_Milestone!$B:$B,AL138)=0,"",_xlfn.MAXIFS(Fact_Milestone!$C:$C,Fact_Milestone!$A:$A,$B138,Fact_Milestone!$B:$B,AL138)),"")))</f>
        <v/>
      </c>
      <c r="V138" s="37" t="str">
        <f aca="false">IF($A138="","",IFERROR(IF(VLOOKUP($C138,Dim_Fund!$A:$AI,35,0)&gt;0,$B138+VLOOKUP($C138,Dim_Fund!$A:$AI,35,0)/24,""),""))</f>
        <v/>
      </c>
      <c r="W138" s="37" t="str">
        <f aca="false">IF($A138="","",F138)</f>
        <v/>
      </c>
      <c r="X138" s="37" t="str">
        <f aca="false">IF($A138="","",IF(E138="Client",H138,G138))</f>
        <v/>
      </c>
      <c r="Y138" s="37" t="str">
        <f aca="false">IF($A138="","",I138)</f>
        <v/>
      </c>
      <c r="Z138" s="37" t="str">
        <f aca="false">IF($A138="","",IFERROR(W138-R138/1440,""))</f>
        <v/>
      </c>
      <c r="AA138" s="38" t="str">
        <f aca="false">IF($A138="","",IF(OR(U138="",V138=""),"",ROUND((V138-U138)*1440,0)))</f>
        <v/>
      </c>
      <c r="AB138" s="38" t="str">
        <f aca="false">IF($A138="","",IF(U138="","",ROUND((W138-U138)*1440,0)))</f>
        <v/>
      </c>
      <c r="AC138" s="38" t="str">
        <f aca="false">IF($A138="","",IF(AB138="","",MAX(0,AB138)))</f>
        <v/>
      </c>
      <c r="AD138" s="38" t="str">
        <f aca="false">IF($A138="","",IFERROR(ROUND((X138-W138)*1440,0),""))</f>
        <v/>
      </c>
      <c r="AE138" s="38" t="str">
        <f aca="false">IF($A138="","",IF(E138="Client","n/a",IFERROR(ROUND((H138-G138)*1440,0),"")))</f>
        <v/>
      </c>
      <c r="AF138" s="38" t="str">
        <f aca="false">IF($A138="","",IFERROR(ROUND((Y138-H138)*1440,0),""))</f>
        <v/>
      </c>
      <c r="AG138" s="38" t="str">
        <f aca="false">IF($A138="","",IFERROR(ROUND((H138-F138)*1440,0),""))</f>
        <v/>
      </c>
      <c r="AH138" s="38" t="str">
        <f aca="false">IF($A138="","",IFERROR(ROUND((Y138-V138)*1440,0),""))</f>
        <v/>
      </c>
      <c r="AI138" s="4" t="str">
        <f aca="false">IF($A138="","",IF(AH138="","",IF(AH138&gt;0,"Yes","No")))</f>
        <v/>
      </c>
      <c r="AJ138" s="4" t="str">
        <f aca="false">IF($A138="","",IF(AI138&lt;&gt;"Yes","On time",IF(N(AC138)&gt;=MAX(N(AF138),N(K138)),"Wait for analyst",IF(N(AF138)&gt;=N(K138),"External sign-off","Rework"))))</f>
        <v/>
      </c>
      <c r="AK138" s="4" t="str">
        <f aca="false">IF($A138="","",IF(OR(F138="",Y138="",ISNA(MATCH(L138,Dim_Analyst!$A:$A,0))),"CHECK","OK"))</f>
        <v/>
      </c>
      <c r="AL138" s="4" t="str">
        <f aca="false">IF($A138="","",IFERROR(VLOOKUP($C138,Dim_Fund!$A:$U,21,0),""))</f>
        <v/>
      </c>
      <c r="AM138" s="4" t="str">
        <f aca="false">IF($A138="","",IF($U138="","",IF($U138&gt;$B138+IFERROR(VLOOKUP($C138,Dim_Fund!$A:$AH,34,0),0)/24,"Yes","No")))</f>
        <v/>
      </c>
      <c r="AN138" s="22" t="str">
        <f aca="false">IF($A138="","",IFERROR(VLOOKUP($C138,Dim_Fund!$A:$AH,34,0),""))</f>
        <v/>
      </c>
      <c r="AO138" s="22" t="str">
        <f aca="false">IF($A138="","",IF($AL138="","",IFERROR(FLOOR(IF(COUNTIFS(Fact_Milestone!$A:$A,$B138,Fact_Milestone!$B:$B,$AL138,Fact_Milestone!$F:$F,"&gt;0")&gt;0,_xlfn.MINIFS(Fact_Milestone!$F:$F,Fact_Milestone!$A:$A,$B138,Fact_Milestone!$B:$B,$AL138,Fact_Milestone!$F:$F,"&gt;0"),VLOOKUP($AL138,Dim_TOP!$A:$E,5,0)),0.5),"")))</f>
        <v/>
      </c>
      <c r="AP138" s="22" t="str">
        <f aca="false">IF($A138="","",IF($U138="","",ROUND(($U138-INT($U138))*24,4)))</f>
        <v/>
      </c>
      <c r="AQ138" s="22" t="str">
        <f aca="false">IF($A138="","",IF($W138="","",ROUND(($W138-INT($W138))*24,4)))</f>
        <v/>
      </c>
      <c r="AR138" s="22" t="str">
        <f aca="false">IF($A138="","",IF($X138="","",ROUND(($X138-INT($X138))*24,4)))</f>
        <v/>
      </c>
      <c r="AS138" s="38" t="str">
        <f aca="false">IF($A138="","",IF(OR($AN138="",$V138="",$S138="",$T138=""),"",ROUND(($V138-($B138+$AN138/24))*1440-$S138-$T138,0)))</f>
        <v/>
      </c>
      <c r="AT138" s="38" t="str">
        <f aca="false">IF($A138="","",IF(OR($AN138="",$U138=""),"",ROUND(($U138-($B138+$AN138/24))*1440,0)))</f>
        <v/>
      </c>
      <c r="AU138" s="38" t="str">
        <f aca="false">IF($A138="","",IF(OR($AD138="",$S138=""),"",ROUND($AD138-$S138,0)))</f>
        <v/>
      </c>
      <c r="AV138" s="38" t="str">
        <f aca="false">IF($A138="","",N($AE138))</f>
        <v/>
      </c>
      <c r="AW138" s="38" t="str">
        <f aca="false">IF($A138="","",IF(OR($AF138="",$T138=""),"",$AF138-$T138))</f>
        <v/>
      </c>
      <c r="AX138" s="38" t="str">
        <f aca="false">IF($A138="","",IF(COUNT($AT138,$AB138,$AU138,$AW138,$AS138,$AH138)&lt;6,"",ROUND($AT138+$AB138+$AU138+$AV138+$AW138-$AS138-$AH138,0)))</f>
        <v/>
      </c>
      <c r="AY138" s="4" t="str">
        <f aca="false">IF($A138="","",IF($AX138="","No",IF(ABS($AX138)&lt;=2,"Yes","No")))</f>
        <v/>
      </c>
      <c r="AZ138" s="4" t="str">
        <f aca="false">IF($A138="","",IF($AI138&lt;&gt;"Yes","n/a",IF(OR($AA138="",$S138="",$T138=""),"Unknown",IF($AA138&lt;$S138+$T138,"Lost on arrival","Lost after arrival"))))</f>
        <v/>
      </c>
      <c r="BA138" s="10" t="str">
        <f aca="false">IF($A138="","",IFERROR(VLOOKUP($C138,Dim_Fund!$A:$D,4,0),""))</f>
        <v/>
      </c>
      <c r="BB138" s="10" t="str">
        <f aca="false">IF($A138="","",IF($AL138="","",IF(COUNTIFS(Fact_Milestone!$A:$A,$B138,Fact_Milestone!$B:$B,$AL138,Fact_Milestone!$I:$I,"No")&gt;0,"No",IF(COUNTIFS(Fact_Milestone!$A:$A,$B138,Fact_Milestone!$B:$B,$AL138,Fact_Milestone!$I:$I,"Yes")&gt;0,"Yes",""))))</f>
        <v/>
      </c>
      <c r="BC138" s="45" t="str">
        <f aca="false">IF($A138="","",IF(OR($L138="",$W138=""),"",IF(COUNTIFS($L:$L,$L138,$B:$B,$B138,$W:$W,"&lt;"&amp;$W138)=0,"",_xlfn.MAXIFS($W:$W,$L:$L,$L138,$B:$B,$B138,$W:$W,"&lt;"&amp;$W138))))</f>
        <v/>
      </c>
      <c r="BD138" s="39" t="str">
        <f aca="false">IF($A138="","",IF($AC138="","",IF(OR($L138="",$AC138=0),0,MIN($AC138,ROUND(ROUND(1440*SUMPRODUCT(($L$2:INDEX($L:$L,COUNTA($C:$C))=$L138)*($B$2:INDEX($B:$B,COUNTA($C:$C))=$B138)*(ROW($L$2:INDEX($L:$L,COUNTA($C:$C)))&lt;&gt;ROW())*((((($W138+$BT$2:INDEX($BT:$BT,COUNTA($C:$C))-ABS($W138-$BT$2:INDEX($BT:$BT,COUNTA($C:$C))))/2)-(($U138+$BS$2:INDEX($BS:$BS,COUNTA($C:$C))+ABS($U138-$BS$2:INDEX($BS:$BS,COUNTA($C:$C))))/2))+ABS(((($W138+$BT$2:INDEX($BT:$BT,COUNTA($C:$C))-ABS($W138-$BT$2:INDEX($BT:$BT,COUNTA($C:$C))))/2)-(($U138+$BS$2:INDEX($BS:$BS,COUNTA($C:$C))+ABS($U138-$BS$2:INDEX($BS:$BS,COUNTA($C:$C))))/2))))/2)),4),0)))))</f>
        <v/>
      </c>
      <c r="BE138" s="39" t="str">
        <f aca="false">IF($A138="","",IF($AC138="","",ROUND(MIN($AC138-$BD138,N($R138)),0)))</f>
        <v/>
      </c>
      <c r="BF138" s="10" t="str">
        <f aca="false">IF($A138="","",IFERROR(VLOOKUP($C138,Dim_Fund!$A:$BD,56,0),""))</f>
        <v/>
      </c>
      <c r="BG138" s="10" t="str">
        <f aca="false">IF($A138="","",IFERROR(VLOOKUP($C138,Dim_Fund!$A:$BH,60,0),""))</f>
        <v/>
      </c>
      <c r="BH138" s="10" t="str">
        <f aca="false">IF($A138="","",IF($AI138&lt;&gt;"Yes","Not breached",IF($AM138="Yes","Pricing late",IF($BG138="Thin custody slack","Thin custody slack",IF($BF138="Yes","Broker-dependent","None of these")))))</f>
        <v/>
      </c>
      <c r="BI138" s="23" t="str">
        <f aca="false">IF($A138="","",IFERROR(IF(VLOOKUP($C138,Dim_Fund!$A:$AI,35,0)&gt;0,VLOOKUP($C138,Dim_Fund!$A:$AI,35,0),""),""))</f>
        <v/>
      </c>
      <c r="BJ138" s="10" t="str">
        <f aca="false">IF($A138="","",$C138&amp;IF($E138="Client","*",""))</f>
        <v/>
      </c>
      <c r="BK138" s="39" t="str">
        <f aca="false">IF($A138="","",IFERROR(ROUND(($Y138-$X138)*1440,0),""))</f>
        <v/>
      </c>
      <c r="BL138" s="39" t="str">
        <f aca="false">IF($A138="","",IF($AH138="","",-$AH138))</f>
        <v/>
      </c>
      <c r="BM138" s="46" t="str">
        <f aca="false">IF($A138="","",IF($AQ138="","",IF($AP138="",$AQ138,MIN($AP138,$AQ138))))</f>
        <v/>
      </c>
      <c r="BN138" s="46" t="str">
        <f aca="false">IF($A138="","",IF($BM138="","",ROUND(N($AC138)/60,4)))</f>
        <v/>
      </c>
      <c r="BO138" s="46" t="str">
        <f aca="false">IF($A138="","",IF(OR($BM138="",$AD138=""),"",ROUND($AD138/60,4)))</f>
        <v/>
      </c>
      <c r="BP138" s="46" t="str">
        <f aca="false">IF($A138="","",IF($BM138="","",ROUND(N($AE138)/60,4)))</f>
        <v/>
      </c>
      <c r="BQ138" s="46" t="str">
        <f aca="false">IF($A138="","",IF(OR($BM138="",$AF138=""),"",ROUND($AF138/60,4)))</f>
        <v/>
      </c>
      <c r="BR138" s="39" t="str">
        <f aca="false">IF($A138="","",IF($AC138="","",$AC138-$BD138-$BE138))</f>
        <v/>
      </c>
      <c r="BS138" s="45" t="str">
        <f aca="false">IF($A138="","",IF(AND(ISNUMBER($Z138),ISNUMBER($W138)),$Z138,0))</f>
        <v/>
      </c>
      <c r="BT138" s="45" t="str">
        <f aca="false">IF($A138="","",IF(ISNUMBER($W138),$W138,0))</f>
        <v/>
      </c>
      <c r="BU138" s="23" t="str">
        <f aca="false">IF($A138="","",IF(ISNUMBER($W138),ROUND(($W138-$B138)*24,4),""))</f>
        <v/>
      </c>
      <c r="BV138" s="23" t="str">
        <f aca="false">IF($A138="","",IF(ISNUMBER($X138),ROUND(($X138-$B138)*24,4),""))</f>
        <v/>
      </c>
      <c r="BW138" s="10" t="str">
        <f aca="false">IF($A138="","",IF(NOT(ISNUMBER($W138)),"Missing Calculated",IF(NOT(ISNUMBER($X138)),IF($E138="Client","Missing FA signed off","Missing Controlled"),IF($X138&lt;$W138,"End before start","OK"))))</f>
        <v/>
      </c>
      <c r="BX138" s="23" t="str">
        <f aca="false">IF($A138="","",IF(NOT(ISNUMBER($Z138)),"",ROUND((IF(ISNUMBER($U138),MIN($U138,$Z138),$Z138)-$B138)*24,4)))</f>
        <v/>
      </c>
      <c r="BY138" s="23" t="str">
        <f aca="false">IF($A138="","",IF(ISNUMBER($Z138),ROUND(($Z138-$B138)*24,4),""))</f>
        <v/>
      </c>
      <c r="BZ138" s="23" t="str">
        <f aca="false">IF($A138="","",IF(AND(ISNUMBER($W138),ISNUMBER($S138)),ROUND(($W138+$S138/1440-$B138)*24,4),""))</f>
        <v/>
      </c>
    </row>
    <row r="139" customFormat="false" ht="15" hidden="false" customHeight="true" outlineLevel="0" collapsed="false">
      <c r="A139" s="47"/>
      <c r="B139" s="47"/>
      <c r="D139" s="4" t="str">
        <f aca="false">IF($A139="","",$B139-$A139)</f>
        <v/>
      </c>
      <c r="E139" s="4" t="str">
        <f aca="false">IF($A139="","",IFERROR(VLOOKUP($C139,Dim_Fund!$A:$X,24,0),""))</f>
        <v/>
      </c>
      <c r="F139" s="37" t="str">
        <f aca="false">IF($A139="","",IF(COUNTIFS(Status_Log!$A:$A,$A139,Status_Log!$B:$B,$B139,Status_Log!$C:$C,$C139,Status_Log!$D:$D,"Changed to the status of Calculated")=0,"",_xlfn.MINIFS(Status_Log!$E:$E,Status_Log!$A:$A,$A139,Status_Log!$B:$B,$B139,Status_Log!$C:$C,$C139,Status_Log!$D:$D,"Changed to the status of Calculated")))</f>
        <v/>
      </c>
      <c r="G139" s="37" t="str">
        <f aca="false">IF($A139="","",IF(COUNTIFS(Status_Log!$A:$A,$A139,Status_Log!$B:$B,$B139,Status_Log!$C:$C,$C139,Status_Log!$D:$D,"Changed to the status of Controlled")=0,"",_xlfn.MAXIFS(Status_Log!$E:$E,Status_Log!$A:$A,$A139,Status_Log!$B:$B,$B139,Status_Log!$C:$C,$C139,Status_Log!$D:$D,"Changed to the status of Controlled")))</f>
        <v/>
      </c>
      <c r="H139" s="37" t="str">
        <f aca="false">IF($A139="","",IF(COUNTIFS(Status_Log!$A:$A,$A139,Status_Log!$B:$B,$B139,Status_Log!$C:$C,$C139,Status_Log!$D:$D,"Changed to the status of Fund accounting signed off")=0,"",_xlfn.MAXIFS(Status_Log!$E:$E,Status_Log!$A:$A,$A139,Status_Log!$B:$B,$B139,Status_Log!$C:$C,$C139,Status_Log!$D:$D,"Changed to the status of Fund accounting signed off")))</f>
        <v/>
      </c>
      <c r="I139" s="37" t="str">
        <f aca="false">IF($A139="","",IF(COUNTIFS(Status_Log!$A:$A,$A139,Status_Log!$B:$B,$B139,Status_Log!$C:$C,$C139,Status_Log!$D:$D,"Changed to the status of signed off")=0,"",_xlfn.MAXIFS(Status_Log!$E:$E,Status_Log!$A:$A,$A139,Status_Log!$B:$B,$B139,Status_Log!$C:$C,$C139,Status_Log!$D:$D,"Changed to the status of signed off")))</f>
        <v/>
      </c>
      <c r="J139" s="4" t="str">
        <f aca="false">IF($A139="","",COUNTIFS(Status_Log!$A:$A,$A139,Status_Log!$B:$B,$B139,Status_Log!$C:$C,$C139,Status_Log!$D:$D,"Changed to the status of Calculated"))</f>
        <v/>
      </c>
      <c r="K139" s="38" t="str">
        <f aca="false">IF($A139="","",IF(J139&lt;=1,0,ROUND((_xlfn.MAXIFS(Status_Log!$E:$E,Status_Log!$A:$A,$A139,Status_Log!$B:$B,$B139,Status_Log!$C:$C,$C139,Status_Log!$D:$D,"Changed to the status of Calculated")-F139)*1440,0)))</f>
        <v/>
      </c>
      <c r="L139" s="4" t="str">
        <f aca="false">IF($A139="","",IFERROR(INDEX(Status_Log!$F:$F,MATCH($A139&amp;"|"&amp;$B139&amp;"|"&amp;$C139&amp;"|Changed to the status of Calculated|"&amp;TEXT(_xlfn.MAXIFS(Status_Log!$E:$E,Status_Log!$A:$A,$A139,Status_Log!$B:$B,$B139,Status_Log!$C:$C,$C139,Status_Log!$D:$D,"Changed to the status of Calculated"),"0.000000"),Status_Log!$H:$H,0)),""))</f>
        <v/>
      </c>
      <c r="M139" s="4" t="str">
        <f aca="false">IF($A139="","",IF(E139="Client","n/a — no control step",IFERROR(INDEX(Status_Log!$F:$F,MATCH($A139&amp;"|"&amp;$B139&amp;"|"&amp;$C139&amp;"|Changed to the status of Controlled|"&amp;TEXT(_xlfn.MAXIFS(Status_Log!$E:$E,Status_Log!$A:$A,$A139,Status_Log!$B:$B,$B139,Status_Log!$C:$C,$C139,Status_Log!$D:$D,"Changed to the status of Controlled"),"0.000000"),Status_Log!$H:$H,0)),"")))</f>
        <v/>
      </c>
      <c r="N139" s="4" t="str">
        <f aca="false">IF($A139="","",IFERROR(VLOOKUP($C139,Dim_Fund!$A:$G,7,0),""))</f>
        <v/>
      </c>
      <c r="O139" s="4" t="str">
        <f aca="false">IF($A139="","",IF(L139=N139,"No","Yes"))</f>
        <v/>
      </c>
      <c r="P139" s="4" t="str">
        <f aca="false">IF($A139="","",IF(E139="Client","n/a",IF(L139=M139,"YES — four-eyes breach","No")))</f>
        <v/>
      </c>
      <c r="Q139" s="38" t="str">
        <f aca="false">IF($A139="","",IFERROR(VLOOKUP($C139,Dim_Fund!$A:$AB,28,0),""))</f>
        <v/>
      </c>
      <c r="R139" s="38" t="str">
        <f aca="false">IF($A139="","",IFERROR(VLOOKUP($C139,Dim_Fund!$A:$AC,29,0),""))</f>
        <v/>
      </c>
      <c r="S139" s="38" t="str">
        <f aca="false">IF($A139="","",IFERROR(VLOOKUP($C139,Dim_Fund!$A:$AD,30,0),""))</f>
        <v/>
      </c>
      <c r="T139" s="38" t="str">
        <f aca="false">IF($A139="","",IFERROR(VLOOKUP($C139,Dim_Fund!$A:$AL,38,0),""))</f>
        <v/>
      </c>
      <c r="U139" s="37" t="str">
        <f aca="false">IF($A139="","",IF(AL139="","",IFERROR(IF(COUNTIFS(Fact_Milestone!$A:$A,$B139,Fact_Milestone!$B:$B,AL139)=0,"",_xlfn.MAXIFS(Fact_Milestone!$C:$C,Fact_Milestone!$A:$A,$B139,Fact_Milestone!$B:$B,AL139)),"")))</f>
        <v/>
      </c>
      <c r="V139" s="37" t="str">
        <f aca="false">IF($A139="","",IFERROR(IF(VLOOKUP($C139,Dim_Fund!$A:$AI,35,0)&gt;0,$B139+VLOOKUP($C139,Dim_Fund!$A:$AI,35,0)/24,""),""))</f>
        <v/>
      </c>
      <c r="W139" s="37" t="str">
        <f aca="false">IF($A139="","",F139)</f>
        <v/>
      </c>
      <c r="X139" s="37" t="str">
        <f aca="false">IF($A139="","",IF(E139="Client",H139,G139))</f>
        <v/>
      </c>
      <c r="Y139" s="37" t="str">
        <f aca="false">IF($A139="","",I139)</f>
        <v/>
      </c>
      <c r="Z139" s="37" t="str">
        <f aca="false">IF($A139="","",IFERROR(W139-R139/1440,""))</f>
        <v/>
      </c>
      <c r="AA139" s="38" t="str">
        <f aca="false">IF($A139="","",IF(OR(U139="",V139=""),"",ROUND((V139-U139)*1440,0)))</f>
        <v/>
      </c>
      <c r="AB139" s="38" t="str">
        <f aca="false">IF($A139="","",IF(U139="","",ROUND((W139-U139)*1440,0)))</f>
        <v/>
      </c>
      <c r="AC139" s="38" t="str">
        <f aca="false">IF($A139="","",IF(AB139="","",MAX(0,AB139)))</f>
        <v/>
      </c>
      <c r="AD139" s="38" t="str">
        <f aca="false">IF($A139="","",IFERROR(ROUND((X139-W139)*1440,0),""))</f>
        <v/>
      </c>
      <c r="AE139" s="38" t="str">
        <f aca="false">IF($A139="","",IF(E139="Client","n/a",IFERROR(ROUND((H139-G139)*1440,0),"")))</f>
        <v/>
      </c>
      <c r="AF139" s="38" t="str">
        <f aca="false">IF($A139="","",IFERROR(ROUND((Y139-H139)*1440,0),""))</f>
        <v/>
      </c>
      <c r="AG139" s="38" t="str">
        <f aca="false">IF($A139="","",IFERROR(ROUND((H139-F139)*1440,0),""))</f>
        <v/>
      </c>
      <c r="AH139" s="38" t="str">
        <f aca="false">IF($A139="","",IFERROR(ROUND((Y139-V139)*1440,0),""))</f>
        <v/>
      </c>
      <c r="AI139" s="4" t="str">
        <f aca="false">IF($A139="","",IF(AH139="","",IF(AH139&gt;0,"Yes","No")))</f>
        <v/>
      </c>
      <c r="AJ139" s="4" t="str">
        <f aca="false">IF($A139="","",IF(AI139&lt;&gt;"Yes","On time",IF(N(AC139)&gt;=MAX(N(AF139),N(K139)),"Wait for analyst",IF(N(AF139)&gt;=N(K139),"External sign-off","Rework"))))</f>
        <v/>
      </c>
      <c r="AK139" s="4" t="str">
        <f aca="false">IF($A139="","",IF(OR(F139="",Y139="",ISNA(MATCH(L139,Dim_Analyst!$A:$A,0))),"CHECK","OK"))</f>
        <v/>
      </c>
      <c r="AL139" s="4" t="str">
        <f aca="false">IF($A139="","",IFERROR(VLOOKUP($C139,Dim_Fund!$A:$U,21,0),""))</f>
        <v/>
      </c>
      <c r="AM139" s="4" t="str">
        <f aca="false">IF($A139="","",IF($U139="","",IF($U139&gt;$B139+IFERROR(VLOOKUP($C139,Dim_Fund!$A:$AH,34,0),0)/24,"Yes","No")))</f>
        <v/>
      </c>
      <c r="AN139" s="22" t="str">
        <f aca="false">IF($A139="","",IFERROR(VLOOKUP($C139,Dim_Fund!$A:$AH,34,0),""))</f>
        <v/>
      </c>
      <c r="AO139" s="22" t="str">
        <f aca="false">IF($A139="","",IF($AL139="","",IFERROR(FLOOR(IF(COUNTIFS(Fact_Milestone!$A:$A,$B139,Fact_Milestone!$B:$B,$AL139,Fact_Milestone!$F:$F,"&gt;0")&gt;0,_xlfn.MINIFS(Fact_Milestone!$F:$F,Fact_Milestone!$A:$A,$B139,Fact_Milestone!$B:$B,$AL139,Fact_Milestone!$F:$F,"&gt;0"),VLOOKUP($AL139,Dim_TOP!$A:$E,5,0)),0.5),"")))</f>
        <v/>
      </c>
      <c r="AP139" s="22" t="str">
        <f aca="false">IF($A139="","",IF($U139="","",ROUND(($U139-INT($U139))*24,4)))</f>
        <v/>
      </c>
      <c r="AQ139" s="22" t="str">
        <f aca="false">IF($A139="","",IF($W139="","",ROUND(($W139-INT($W139))*24,4)))</f>
        <v/>
      </c>
      <c r="AR139" s="22" t="str">
        <f aca="false">IF($A139="","",IF($X139="","",ROUND(($X139-INT($X139))*24,4)))</f>
        <v/>
      </c>
      <c r="AS139" s="38" t="str">
        <f aca="false">IF($A139="","",IF(OR($AN139="",$V139="",$S139="",$T139=""),"",ROUND(($V139-($B139+$AN139/24))*1440-$S139-$T139,0)))</f>
        <v/>
      </c>
      <c r="AT139" s="38" t="str">
        <f aca="false">IF($A139="","",IF(OR($AN139="",$U139=""),"",ROUND(($U139-($B139+$AN139/24))*1440,0)))</f>
        <v/>
      </c>
      <c r="AU139" s="38" t="str">
        <f aca="false">IF($A139="","",IF(OR($AD139="",$S139=""),"",ROUND($AD139-$S139,0)))</f>
        <v/>
      </c>
      <c r="AV139" s="38" t="str">
        <f aca="false">IF($A139="","",N($AE139))</f>
        <v/>
      </c>
      <c r="AW139" s="38" t="str">
        <f aca="false">IF($A139="","",IF(OR($AF139="",$T139=""),"",$AF139-$T139))</f>
        <v/>
      </c>
      <c r="AX139" s="38" t="str">
        <f aca="false">IF($A139="","",IF(COUNT($AT139,$AB139,$AU139,$AW139,$AS139,$AH139)&lt;6,"",ROUND($AT139+$AB139+$AU139+$AV139+$AW139-$AS139-$AH139,0)))</f>
        <v/>
      </c>
      <c r="AY139" s="4" t="str">
        <f aca="false">IF($A139="","",IF($AX139="","No",IF(ABS($AX139)&lt;=2,"Yes","No")))</f>
        <v/>
      </c>
      <c r="AZ139" s="4" t="str">
        <f aca="false">IF($A139="","",IF($AI139&lt;&gt;"Yes","n/a",IF(OR($AA139="",$S139="",$T139=""),"Unknown",IF($AA139&lt;$S139+$T139,"Lost on arrival","Lost after arrival"))))</f>
        <v/>
      </c>
      <c r="BA139" s="10" t="str">
        <f aca="false">IF($A139="","",IFERROR(VLOOKUP($C139,Dim_Fund!$A:$D,4,0),""))</f>
        <v/>
      </c>
      <c r="BB139" s="10" t="str">
        <f aca="false">IF($A139="","",IF($AL139="","",IF(COUNTIFS(Fact_Milestone!$A:$A,$B139,Fact_Milestone!$B:$B,$AL139,Fact_Milestone!$I:$I,"No")&gt;0,"No",IF(COUNTIFS(Fact_Milestone!$A:$A,$B139,Fact_Milestone!$B:$B,$AL139,Fact_Milestone!$I:$I,"Yes")&gt;0,"Yes",""))))</f>
        <v/>
      </c>
      <c r="BC139" s="45" t="str">
        <f aca="false">IF($A139="","",IF(OR($L139="",$W139=""),"",IF(COUNTIFS($L:$L,$L139,$B:$B,$B139,$W:$W,"&lt;"&amp;$W139)=0,"",_xlfn.MAXIFS($W:$W,$L:$L,$L139,$B:$B,$B139,$W:$W,"&lt;"&amp;$W139))))</f>
        <v/>
      </c>
      <c r="BD139" s="39" t="str">
        <f aca="false">IF($A139="","",IF($AC139="","",IF(OR($L139="",$AC139=0),0,MIN($AC139,ROUND(ROUND(1440*SUMPRODUCT(($L$2:INDEX($L:$L,COUNTA($C:$C))=$L139)*($B$2:INDEX($B:$B,COUNTA($C:$C))=$B139)*(ROW($L$2:INDEX($L:$L,COUNTA($C:$C)))&lt;&gt;ROW())*((((($W139+$BT$2:INDEX($BT:$BT,COUNTA($C:$C))-ABS($W139-$BT$2:INDEX($BT:$BT,COUNTA($C:$C))))/2)-(($U139+$BS$2:INDEX($BS:$BS,COUNTA($C:$C))+ABS($U139-$BS$2:INDEX($BS:$BS,COUNTA($C:$C))))/2))+ABS(((($W139+$BT$2:INDEX($BT:$BT,COUNTA($C:$C))-ABS($W139-$BT$2:INDEX($BT:$BT,COUNTA($C:$C))))/2)-(($U139+$BS$2:INDEX($BS:$BS,COUNTA($C:$C))+ABS($U139-$BS$2:INDEX($BS:$BS,COUNTA($C:$C))))/2))))/2)),4),0)))))</f>
        <v/>
      </c>
      <c r="BE139" s="39" t="str">
        <f aca="false">IF($A139="","",IF($AC139="","",ROUND(MIN($AC139-$BD139,N($R139)),0)))</f>
        <v/>
      </c>
      <c r="BF139" s="10" t="str">
        <f aca="false">IF($A139="","",IFERROR(VLOOKUP($C139,Dim_Fund!$A:$BD,56,0),""))</f>
        <v/>
      </c>
      <c r="BG139" s="10" t="str">
        <f aca="false">IF($A139="","",IFERROR(VLOOKUP($C139,Dim_Fund!$A:$BH,60,0),""))</f>
        <v/>
      </c>
      <c r="BH139" s="10" t="str">
        <f aca="false">IF($A139="","",IF($AI139&lt;&gt;"Yes","Not breached",IF($AM139="Yes","Pricing late",IF($BG139="Thin custody slack","Thin custody slack",IF($BF139="Yes","Broker-dependent","None of these")))))</f>
        <v/>
      </c>
      <c r="BI139" s="23" t="str">
        <f aca="false">IF($A139="","",IFERROR(IF(VLOOKUP($C139,Dim_Fund!$A:$AI,35,0)&gt;0,VLOOKUP($C139,Dim_Fund!$A:$AI,35,0),""),""))</f>
        <v/>
      </c>
      <c r="BJ139" s="10" t="str">
        <f aca="false">IF($A139="","",$C139&amp;IF($E139="Client","*",""))</f>
        <v/>
      </c>
      <c r="BK139" s="39" t="str">
        <f aca="false">IF($A139="","",IFERROR(ROUND(($Y139-$X139)*1440,0),""))</f>
        <v/>
      </c>
      <c r="BL139" s="39" t="str">
        <f aca="false">IF($A139="","",IF($AH139="","",-$AH139))</f>
        <v/>
      </c>
      <c r="BM139" s="46" t="str">
        <f aca="false">IF($A139="","",IF($AQ139="","",IF($AP139="",$AQ139,MIN($AP139,$AQ139))))</f>
        <v/>
      </c>
      <c r="BN139" s="46" t="str">
        <f aca="false">IF($A139="","",IF($BM139="","",ROUND(N($AC139)/60,4)))</f>
        <v/>
      </c>
      <c r="BO139" s="46" t="str">
        <f aca="false">IF($A139="","",IF(OR($BM139="",$AD139=""),"",ROUND($AD139/60,4)))</f>
        <v/>
      </c>
      <c r="BP139" s="46" t="str">
        <f aca="false">IF($A139="","",IF($BM139="","",ROUND(N($AE139)/60,4)))</f>
        <v/>
      </c>
      <c r="BQ139" s="46" t="str">
        <f aca="false">IF($A139="","",IF(OR($BM139="",$AF139=""),"",ROUND($AF139/60,4)))</f>
        <v/>
      </c>
      <c r="BR139" s="39" t="str">
        <f aca="false">IF($A139="","",IF($AC139="","",$AC139-$BD139-$BE139))</f>
        <v/>
      </c>
      <c r="BS139" s="45" t="str">
        <f aca="false">IF($A139="","",IF(AND(ISNUMBER($Z139),ISNUMBER($W139)),$Z139,0))</f>
        <v/>
      </c>
      <c r="BT139" s="45" t="str">
        <f aca="false">IF($A139="","",IF(ISNUMBER($W139),$W139,0))</f>
        <v/>
      </c>
      <c r="BU139" s="23" t="str">
        <f aca="false">IF($A139="","",IF(ISNUMBER($W139),ROUND(($W139-$B139)*24,4),""))</f>
        <v/>
      </c>
      <c r="BV139" s="23" t="str">
        <f aca="false">IF($A139="","",IF(ISNUMBER($X139),ROUND(($X139-$B139)*24,4),""))</f>
        <v/>
      </c>
      <c r="BW139" s="10" t="str">
        <f aca="false">IF($A139="","",IF(NOT(ISNUMBER($W139)),"Missing Calculated",IF(NOT(ISNUMBER($X139)),IF($E139="Client","Missing FA signed off","Missing Controlled"),IF($X139&lt;$W139,"End before start","OK"))))</f>
        <v/>
      </c>
      <c r="BX139" s="23" t="str">
        <f aca="false">IF($A139="","",IF(NOT(ISNUMBER($Z139)),"",ROUND((IF(ISNUMBER($U139),MIN($U139,$Z139),$Z139)-$B139)*24,4)))</f>
        <v/>
      </c>
      <c r="BY139" s="23" t="str">
        <f aca="false">IF($A139="","",IF(ISNUMBER($Z139),ROUND(($Z139-$B139)*24,4),""))</f>
        <v/>
      </c>
      <c r="BZ139" s="23" t="str">
        <f aca="false">IF($A139="","",IF(AND(ISNUMBER($W139),ISNUMBER($S139)),ROUND(($W139+$S139/1440-$B139)*24,4),""))</f>
        <v/>
      </c>
    </row>
    <row r="140" customFormat="false" ht="15" hidden="false" customHeight="true" outlineLevel="0" collapsed="false">
      <c r="A140" s="47"/>
      <c r="B140" s="47"/>
      <c r="D140" s="4" t="str">
        <f aca="false">IF($A140="","",$B140-$A140)</f>
        <v/>
      </c>
      <c r="E140" s="4" t="str">
        <f aca="false">IF($A140="","",IFERROR(VLOOKUP($C140,Dim_Fund!$A:$X,24,0),""))</f>
        <v/>
      </c>
      <c r="F140" s="37" t="str">
        <f aca="false">IF($A140="","",IF(COUNTIFS(Status_Log!$A:$A,$A140,Status_Log!$B:$B,$B140,Status_Log!$C:$C,$C140,Status_Log!$D:$D,"Changed to the status of Calculated")=0,"",_xlfn.MINIFS(Status_Log!$E:$E,Status_Log!$A:$A,$A140,Status_Log!$B:$B,$B140,Status_Log!$C:$C,$C140,Status_Log!$D:$D,"Changed to the status of Calculated")))</f>
        <v/>
      </c>
      <c r="G140" s="37" t="str">
        <f aca="false">IF($A140="","",IF(COUNTIFS(Status_Log!$A:$A,$A140,Status_Log!$B:$B,$B140,Status_Log!$C:$C,$C140,Status_Log!$D:$D,"Changed to the status of Controlled")=0,"",_xlfn.MAXIFS(Status_Log!$E:$E,Status_Log!$A:$A,$A140,Status_Log!$B:$B,$B140,Status_Log!$C:$C,$C140,Status_Log!$D:$D,"Changed to the status of Controlled")))</f>
        <v/>
      </c>
      <c r="H140" s="37" t="str">
        <f aca="false">IF($A140="","",IF(COUNTIFS(Status_Log!$A:$A,$A140,Status_Log!$B:$B,$B140,Status_Log!$C:$C,$C140,Status_Log!$D:$D,"Changed to the status of Fund accounting signed off")=0,"",_xlfn.MAXIFS(Status_Log!$E:$E,Status_Log!$A:$A,$A140,Status_Log!$B:$B,$B140,Status_Log!$C:$C,$C140,Status_Log!$D:$D,"Changed to the status of Fund accounting signed off")))</f>
        <v/>
      </c>
      <c r="I140" s="37" t="str">
        <f aca="false">IF($A140="","",IF(COUNTIFS(Status_Log!$A:$A,$A140,Status_Log!$B:$B,$B140,Status_Log!$C:$C,$C140,Status_Log!$D:$D,"Changed to the status of signed off")=0,"",_xlfn.MAXIFS(Status_Log!$E:$E,Status_Log!$A:$A,$A140,Status_Log!$B:$B,$B140,Status_Log!$C:$C,$C140,Status_Log!$D:$D,"Changed to the status of signed off")))</f>
        <v/>
      </c>
      <c r="J140" s="4" t="str">
        <f aca="false">IF($A140="","",COUNTIFS(Status_Log!$A:$A,$A140,Status_Log!$B:$B,$B140,Status_Log!$C:$C,$C140,Status_Log!$D:$D,"Changed to the status of Calculated"))</f>
        <v/>
      </c>
      <c r="K140" s="38" t="str">
        <f aca="false">IF($A140="","",IF(J140&lt;=1,0,ROUND((_xlfn.MAXIFS(Status_Log!$E:$E,Status_Log!$A:$A,$A140,Status_Log!$B:$B,$B140,Status_Log!$C:$C,$C140,Status_Log!$D:$D,"Changed to the status of Calculated")-F140)*1440,0)))</f>
        <v/>
      </c>
      <c r="L140" s="4" t="str">
        <f aca="false">IF($A140="","",IFERROR(INDEX(Status_Log!$F:$F,MATCH($A140&amp;"|"&amp;$B140&amp;"|"&amp;$C140&amp;"|Changed to the status of Calculated|"&amp;TEXT(_xlfn.MAXIFS(Status_Log!$E:$E,Status_Log!$A:$A,$A140,Status_Log!$B:$B,$B140,Status_Log!$C:$C,$C140,Status_Log!$D:$D,"Changed to the status of Calculated"),"0.000000"),Status_Log!$H:$H,0)),""))</f>
        <v/>
      </c>
      <c r="M140" s="4" t="str">
        <f aca="false">IF($A140="","",IF(E140="Client","n/a — no control step",IFERROR(INDEX(Status_Log!$F:$F,MATCH($A140&amp;"|"&amp;$B140&amp;"|"&amp;$C140&amp;"|Changed to the status of Controlled|"&amp;TEXT(_xlfn.MAXIFS(Status_Log!$E:$E,Status_Log!$A:$A,$A140,Status_Log!$B:$B,$B140,Status_Log!$C:$C,$C140,Status_Log!$D:$D,"Changed to the status of Controlled"),"0.000000"),Status_Log!$H:$H,0)),"")))</f>
        <v/>
      </c>
      <c r="N140" s="4" t="str">
        <f aca="false">IF($A140="","",IFERROR(VLOOKUP($C140,Dim_Fund!$A:$G,7,0),""))</f>
        <v/>
      </c>
      <c r="O140" s="4" t="str">
        <f aca="false">IF($A140="","",IF(L140=N140,"No","Yes"))</f>
        <v/>
      </c>
      <c r="P140" s="4" t="str">
        <f aca="false">IF($A140="","",IF(E140="Client","n/a",IF(L140=M140,"YES — four-eyes breach","No")))</f>
        <v/>
      </c>
      <c r="Q140" s="38" t="str">
        <f aca="false">IF($A140="","",IFERROR(VLOOKUP($C140,Dim_Fund!$A:$AB,28,0),""))</f>
        <v/>
      </c>
      <c r="R140" s="38" t="str">
        <f aca="false">IF($A140="","",IFERROR(VLOOKUP($C140,Dim_Fund!$A:$AC,29,0),""))</f>
        <v/>
      </c>
      <c r="S140" s="38" t="str">
        <f aca="false">IF($A140="","",IFERROR(VLOOKUP($C140,Dim_Fund!$A:$AD,30,0),""))</f>
        <v/>
      </c>
      <c r="T140" s="38" t="str">
        <f aca="false">IF($A140="","",IFERROR(VLOOKUP($C140,Dim_Fund!$A:$AL,38,0),""))</f>
        <v/>
      </c>
      <c r="U140" s="37" t="str">
        <f aca="false">IF($A140="","",IF(AL140="","",IFERROR(IF(COUNTIFS(Fact_Milestone!$A:$A,$B140,Fact_Milestone!$B:$B,AL140)=0,"",_xlfn.MAXIFS(Fact_Milestone!$C:$C,Fact_Milestone!$A:$A,$B140,Fact_Milestone!$B:$B,AL140)),"")))</f>
        <v/>
      </c>
      <c r="V140" s="37" t="str">
        <f aca="false">IF($A140="","",IFERROR(IF(VLOOKUP($C140,Dim_Fund!$A:$AI,35,0)&gt;0,$B140+VLOOKUP($C140,Dim_Fund!$A:$AI,35,0)/24,""),""))</f>
        <v/>
      </c>
      <c r="W140" s="37" t="str">
        <f aca="false">IF($A140="","",F140)</f>
        <v/>
      </c>
      <c r="X140" s="37" t="str">
        <f aca="false">IF($A140="","",IF(E140="Client",H140,G140))</f>
        <v/>
      </c>
      <c r="Y140" s="37" t="str">
        <f aca="false">IF($A140="","",I140)</f>
        <v/>
      </c>
      <c r="Z140" s="37" t="str">
        <f aca="false">IF($A140="","",IFERROR(W140-R140/1440,""))</f>
        <v/>
      </c>
      <c r="AA140" s="38" t="str">
        <f aca="false">IF($A140="","",IF(OR(U140="",V140=""),"",ROUND((V140-U140)*1440,0)))</f>
        <v/>
      </c>
      <c r="AB140" s="38" t="str">
        <f aca="false">IF($A140="","",IF(U140="","",ROUND((W140-U140)*1440,0)))</f>
        <v/>
      </c>
      <c r="AC140" s="38" t="str">
        <f aca="false">IF($A140="","",IF(AB140="","",MAX(0,AB140)))</f>
        <v/>
      </c>
      <c r="AD140" s="38" t="str">
        <f aca="false">IF($A140="","",IFERROR(ROUND((X140-W140)*1440,0),""))</f>
        <v/>
      </c>
      <c r="AE140" s="38" t="str">
        <f aca="false">IF($A140="","",IF(E140="Client","n/a",IFERROR(ROUND((H140-G140)*1440,0),"")))</f>
        <v/>
      </c>
      <c r="AF140" s="38" t="str">
        <f aca="false">IF($A140="","",IFERROR(ROUND((Y140-H140)*1440,0),""))</f>
        <v/>
      </c>
      <c r="AG140" s="38" t="str">
        <f aca="false">IF($A140="","",IFERROR(ROUND((H140-F140)*1440,0),""))</f>
        <v/>
      </c>
      <c r="AH140" s="38" t="str">
        <f aca="false">IF($A140="","",IFERROR(ROUND((Y140-V140)*1440,0),""))</f>
        <v/>
      </c>
      <c r="AI140" s="4" t="str">
        <f aca="false">IF($A140="","",IF(AH140="","",IF(AH140&gt;0,"Yes","No")))</f>
        <v/>
      </c>
      <c r="AJ140" s="4" t="str">
        <f aca="false">IF($A140="","",IF(AI140&lt;&gt;"Yes","On time",IF(N(AC140)&gt;=MAX(N(AF140),N(K140)),"Wait for analyst",IF(N(AF140)&gt;=N(K140),"External sign-off","Rework"))))</f>
        <v/>
      </c>
      <c r="AK140" s="4" t="str">
        <f aca="false">IF($A140="","",IF(OR(F140="",Y140="",ISNA(MATCH(L140,Dim_Analyst!$A:$A,0))),"CHECK","OK"))</f>
        <v/>
      </c>
      <c r="AL140" s="4" t="str">
        <f aca="false">IF($A140="","",IFERROR(VLOOKUP($C140,Dim_Fund!$A:$U,21,0),""))</f>
        <v/>
      </c>
      <c r="AM140" s="4" t="str">
        <f aca="false">IF($A140="","",IF($U140="","",IF($U140&gt;$B140+IFERROR(VLOOKUP($C140,Dim_Fund!$A:$AH,34,0),0)/24,"Yes","No")))</f>
        <v/>
      </c>
      <c r="AN140" s="22" t="str">
        <f aca="false">IF($A140="","",IFERROR(VLOOKUP($C140,Dim_Fund!$A:$AH,34,0),""))</f>
        <v/>
      </c>
      <c r="AO140" s="22" t="str">
        <f aca="false">IF($A140="","",IF($AL140="","",IFERROR(FLOOR(IF(COUNTIFS(Fact_Milestone!$A:$A,$B140,Fact_Milestone!$B:$B,$AL140,Fact_Milestone!$F:$F,"&gt;0")&gt;0,_xlfn.MINIFS(Fact_Milestone!$F:$F,Fact_Milestone!$A:$A,$B140,Fact_Milestone!$B:$B,$AL140,Fact_Milestone!$F:$F,"&gt;0"),VLOOKUP($AL140,Dim_TOP!$A:$E,5,0)),0.5),"")))</f>
        <v/>
      </c>
      <c r="AP140" s="22" t="str">
        <f aca="false">IF($A140="","",IF($U140="","",ROUND(($U140-INT($U140))*24,4)))</f>
        <v/>
      </c>
      <c r="AQ140" s="22" t="str">
        <f aca="false">IF($A140="","",IF($W140="","",ROUND(($W140-INT($W140))*24,4)))</f>
        <v/>
      </c>
      <c r="AR140" s="22" t="str">
        <f aca="false">IF($A140="","",IF($X140="","",ROUND(($X140-INT($X140))*24,4)))</f>
        <v/>
      </c>
      <c r="AS140" s="38" t="str">
        <f aca="false">IF($A140="","",IF(OR($AN140="",$V140="",$S140="",$T140=""),"",ROUND(($V140-($B140+$AN140/24))*1440-$S140-$T140,0)))</f>
        <v/>
      </c>
      <c r="AT140" s="38" t="str">
        <f aca="false">IF($A140="","",IF(OR($AN140="",$U140=""),"",ROUND(($U140-($B140+$AN140/24))*1440,0)))</f>
        <v/>
      </c>
      <c r="AU140" s="38" t="str">
        <f aca="false">IF($A140="","",IF(OR($AD140="",$S140=""),"",ROUND($AD140-$S140,0)))</f>
        <v/>
      </c>
      <c r="AV140" s="38" t="str">
        <f aca="false">IF($A140="","",N($AE140))</f>
        <v/>
      </c>
      <c r="AW140" s="38" t="str">
        <f aca="false">IF($A140="","",IF(OR($AF140="",$T140=""),"",$AF140-$T140))</f>
        <v/>
      </c>
      <c r="AX140" s="38" t="str">
        <f aca="false">IF($A140="","",IF(COUNT($AT140,$AB140,$AU140,$AW140,$AS140,$AH140)&lt;6,"",ROUND($AT140+$AB140+$AU140+$AV140+$AW140-$AS140-$AH140,0)))</f>
        <v/>
      </c>
      <c r="AY140" s="4" t="str">
        <f aca="false">IF($A140="","",IF($AX140="","No",IF(ABS($AX140)&lt;=2,"Yes","No")))</f>
        <v/>
      </c>
      <c r="AZ140" s="4" t="str">
        <f aca="false">IF($A140="","",IF($AI140&lt;&gt;"Yes","n/a",IF(OR($AA140="",$S140="",$T140=""),"Unknown",IF($AA140&lt;$S140+$T140,"Lost on arrival","Lost after arrival"))))</f>
        <v/>
      </c>
      <c r="BA140" s="10" t="str">
        <f aca="false">IF($A140="","",IFERROR(VLOOKUP($C140,Dim_Fund!$A:$D,4,0),""))</f>
        <v/>
      </c>
      <c r="BB140" s="10" t="str">
        <f aca="false">IF($A140="","",IF($AL140="","",IF(COUNTIFS(Fact_Milestone!$A:$A,$B140,Fact_Milestone!$B:$B,$AL140,Fact_Milestone!$I:$I,"No")&gt;0,"No",IF(COUNTIFS(Fact_Milestone!$A:$A,$B140,Fact_Milestone!$B:$B,$AL140,Fact_Milestone!$I:$I,"Yes")&gt;0,"Yes",""))))</f>
        <v/>
      </c>
      <c r="BC140" s="45" t="str">
        <f aca="false">IF($A140="","",IF(OR($L140="",$W140=""),"",IF(COUNTIFS($L:$L,$L140,$B:$B,$B140,$W:$W,"&lt;"&amp;$W140)=0,"",_xlfn.MAXIFS($W:$W,$L:$L,$L140,$B:$B,$B140,$W:$W,"&lt;"&amp;$W140))))</f>
        <v/>
      </c>
      <c r="BD140" s="39" t="str">
        <f aca="false">IF($A140="","",IF($AC140="","",IF(OR($L140="",$AC140=0),0,MIN($AC140,ROUND(ROUND(1440*SUMPRODUCT(($L$2:INDEX($L:$L,COUNTA($C:$C))=$L140)*($B$2:INDEX($B:$B,COUNTA($C:$C))=$B140)*(ROW($L$2:INDEX($L:$L,COUNTA($C:$C)))&lt;&gt;ROW())*((((($W140+$BT$2:INDEX($BT:$BT,COUNTA($C:$C))-ABS($W140-$BT$2:INDEX($BT:$BT,COUNTA($C:$C))))/2)-(($U140+$BS$2:INDEX($BS:$BS,COUNTA($C:$C))+ABS($U140-$BS$2:INDEX($BS:$BS,COUNTA($C:$C))))/2))+ABS(((($W140+$BT$2:INDEX($BT:$BT,COUNTA($C:$C))-ABS($W140-$BT$2:INDEX($BT:$BT,COUNTA($C:$C))))/2)-(($U140+$BS$2:INDEX($BS:$BS,COUNTA($C:$C))+ABS($U140-$BS$2:INDEX($BS:$BS,COUNTA($C:$C))))/2))))/2)),4),0)))))</f>
        <v/>
      </c>
      <c r="BE140" s="39" t="str">
        <f aca="false">IF($A140="","",IF($AC140="","",ROUND(MIN($AC140-$BD140,N($R140)),0)))</f>
        <v/>
      </c>
      <c r="BF140" s="10" t="str">
        <f aca="false">IF($A140="","",IFERROR(VLOOKUP($C140,Dim_Fund!$A:$BD,56,0),""))</f>
        <v/>
      </c>
      <c r="BG140" s="10" t="str">
        <f aca="false">IF($A140="","",IFERROR(VLOOKUP($C140,Dim_Fund!$A:$BH,60,0),""))</f>
        <v/>
      </c>
      <c r="BH140" s="10" t="str">
        <f aca="false">IF($A140="","",IF($AI140&lt;&gt;"Yes","Not breached",IF($AM140="Yes","Pricing late",IF($BG140="Thin custody slack","Thin custody slack",IF($BF140="Yes","Broker-dependent","None of these")))))</f>
        <v/>
      </c>
      <c r="BI140" s="23" t="str">
        <f aca="false">IF($A140="","",IFERROR(IF(VLOOKUP($C140,Dim_Fund!$A:$AI,35,0)&gt;0,VLOOKUP($C140,Dim_Fund!$A:$AI,35,0),""),""))</f>
        <v/>
      </c>
      <c r="BJ140" s="10" t="str">
        <f aca="false">IF($A140="","",$C140&amp;IF($E140="Client","*",""))</f>
        <v/>
      </c>
      <c r="BK140" s="39" t="str">
        <f aca="false">IF($A140="","",IFERROR(ROUND(($Y140-$X140)*1440,0),""))</f>
        <v/>
      </c>
      <c r="BL140" s="39" t="str">
        <f aca="false">IF($A140="","",IF($AH140="","",-$AH140))</f>
        <v/>
      </c>
      <c r="BM140" s="46" t="str">
        <f aca="false">IF($A140="","",IF($AQ140="","",IF($AP140="",$AQ140,MIN($AP140,$AQ140))))</f>
        <v/>
      </c>
      <c r="BN140" s="46" t="str">
        <f aca="false">IF($A140="","",IF($BM140="","",ROUND(N($AC140)/60,4)))</f>
        <v/>
      </c>
      <c r="BO140" s="46" t="str">
        <f aca="false">IF($A140="","",IF(OR($BM140="",$AD140=""),"",ROUND($AD140/60,4)))</f>
        <v/>
      </c>
      <c r="BP140" s="46" t="str">
        <f aca="false">IF($A140="","",IF($BM140="","",ROUND(N($AE140)/60,4)))</f>
        <v/>
      </c>
      <c r="BQ140" s="46" t="str">
        <f aca="false">IF($A140="","",IF(OR($BM140="",$AF140=""),"",ROUND($AF140/60,4)))</f>
        <v/>
      </c>
      <c r="BR140" s="39" t="str">
        <f aca="false">IF($A140="","",IF($AC140="","",$AC140-$BD140-$BE140))</f>
        <v/>
      </c>
      <c r="BS140" s="45" t="str">
        <f aca="false">IF($A140="","",IF(AND(ISNUMBER($Z140),ISNUMBER($W140)),$Z140,0))</f>
        <v/>
      </c>
      <c r="BT140" s="45" t="str">
        <f aca="false">IF($A140="","",IF(ISNUMBER($W140),$W140,0))</f>
        <v/>
      </c>
      <c r="BU140" s="23" t="str">
        <f aca="false">IF($A140="","",IF(ISNUMBER($W140),ROUND(($W140-$B140)*24,4),""))</f>
        <v/>
      </c>
      <c r="BV140" s="23" t="str">
        <f aca="false">IF($A140="","",IF(ISNUMBER($X140),ROUND(($X140-$B140)*24,4),""))</f>
        <v/>
      </c>
      <c r="BW140" s="10" t="str">
        <f aca="false">IF($A140="","",IF(NOT(ISNUMBER($W140)),"Missing Calculated",IF(NOT(ISNUMBER($X140)),IF($E140="Client","Missing FA signed off","Missing Controlled"),IF($X140&lt;$W140,"End before start","OK"))))</f>
        <v/>
      </c>
      <c r="BX140" s="23" t="str">
        <f aca="false">IF($A140="","",IF(NOT(ISNUMBER($Z140)),"",ROUND((IF(ISNUMBER($U140),MIN($U140,$Z140),$Z140)-$B140)*24,4)))</f>
        <v/>
      </c>
      <c r="BY140" s="23" t="str">
        <f aca="false">IF($A140="","",IF(ISNUMBER($Z140),ROUND(($Z140-$B140)*24,4),""))</f>
        <v/>
      </c>
      <c r="BZ140" s="23" t="str">
        <f aca="false">IF($A140="","",IF(AND(ISNUMBER($W140),ISNUMBER($S140)),ROUND(($W140+$S140/1440-$B140)*24,4),""))</f>
        <v/>
      </c>
    </row>
    <row r="141" customFormat="false" ht="15" hidden="false" customHeight="true" outlineLevel="0" collapsed="false">
      <c r="A141" s="47"/>
      <c r="B141" s="47"/>
      <c r="D141" s="4" t="str">
        <f aca="false">IF($A141="","",$B141-$A141)</f>
        <v/>
      </c>
      <c r="E141" s="4" t="str">
        <f aca="false">IF($A141="","",IFERROR(VLOOKUP($C141,Dim_Fund!$A:$X,24,0),""))</f>
        <v/>
      </c>
      <c r="F141" s="37" t="str">
        <f aca="false">IF($A141="","",IF(COUNTIFS(Status_Log!$A:$A,$A141,Status_Log!$B:$B,$B141,Status_Log!$C:$C,$C141,Status_Log!$D:$D,"Changed to the status of Calculated")=0,"",_xlfn.MINIFS(Status_Log!$E:$E,Status_Log!$A:$A,$A141,Status_Log!$B:$B,$B141,Status_Log!$C:$C,$C141,Status_Log!$D:$D,"Changed to the status of Calculated")))</f>
        <v/>
      </c>
      <c r="G141" s="37" t="str">
        <f aca="false">IF($A141="","",IF(COUNTIFS(Status_Log!$A:$A,$A141,Status_Log!$B:$B,$B141,Status_Log!$C:$C,$C141,Status_Log!$D:$D,"Changed to the status of Controlled")=0,"",_xlfn.MAXIFS(Status_Log!$E:$E,Status_Log!$A:$A,$A141,Status_Log!$B:$B,$B141,Status_Log!$C:$C,$C141,Status_Log!$D:$D,"Changed to the status of Controlled")))</f>
        <v/>
      </c>
      <c r="H141" s="37" t="str">
        <f aca="false">IF($A141="","",IF(COUNTIFS(Status_Log!$A:$A,$A141,Status_Log!$B:$B,$B141,Status_Log!$C:$C,$C141,Status_Log!$D:$D,"Changed to the status of Fund accounting signed off")=0,"",_xlfn.MAXIFS(Status_Log!$E:$E,Status_Log!$A:$A,$A141,Status_Log!$B:$B,$B141,Status_Log!$C:$C,$C141,Status_Log!$D:$D,"Changed to the status of Fund accounting signed off")))</f>
        <v/>
      </c>
      <c r="I141" s="37" t="str">
        <f aca="false">IF($A141="","",IF(COUNTIFS(Status_Log!$A:$A,$A141,Status_Log!$B:$B,$B141,Status_Log!$C:$C,$C141,Status_Log!$D:$D,"Changed to the status of signed off")=0,"",_xlfn.MAXIFS(Status_Log!$E:$E,Status_Log!$A:$A,$A141,Status_Log!$B:$B,$B141,Status_Log!$C:$C,$C141,Status_Log!$D:$D,"Changed to the status of signed off")))</f>
        <v/>
      </c>
      <c r="J141" s="4" t="str">
        <f aca="false">IF($A141="","",COUNTIFS(Status_Log!$A:$A,$A141,Status_Log!$B:$B,$B141,Status_Log!$C:$C,$C141,Status_Log!$D:$D,"Changed to the status of Calculated"))</f>
        <v/>
      </c>
      <c r="K141" s="38" t="str">
        <f aca="false">IF($A141="","",IF(J141&lt;=1,0,ROUND((_xlfn.MAXIFS(Status_Log!$E:$E,Status_Log!$A:$A,$A141,Status_Log!$B:$B,$B141,Status_Log!$C:$C,$C141,Status_Log!$D:$D,"Changed to the status of Calculated")-F141)*1440,0)))</f>
        <v/>
      </c>
      <c r="L141" s="4" t="str">
        <f aca="false">IF($A141="","",IFERROR(INDEX(Status_Log!$F:$F,MATCH($A141&amp;"|"&amp;$B141&amp;"|"&amp;$C141&amp;"|Changed to the status of Calculated|"&amp;TEXT(_xlfn.MAXIFS(Status_Log!$E:$E,Status_Log!$A:$A,$A141,Status_Log!$B:$B,$B141,Status_Log!$C:$C,$C141,Status_Log!$D:$D,"Changed to the status of Calculated"),"0.000000"),Status_Log!$H:$H,0)),""))</f>
        <v/>
      </c>
      <c r="M141" s="4" t="str">
        <f aca="false">IF($A141="","",IF(E141="Client","n/a — no control step",IFERROR(INDEX(Status_Log!$F:$F,MATCH($A141&amp;"|"&amp;$B141&amp;"|"&amp;$C141&amp;"|Changed to the status of Controlled|"&amp;TEXT(_xlfn.MAXIFS(Status_Log!$E:$E,Status_Log!$A:$A,$A141,Status_Log!$B:$B,$B141,Status_Log!$C:$C,$C141,Status_Log!$D:$D,"Changed to the status of Controlled"),"0.000000"),Status_Log!$H:$H,0)),"")))</f>
        <v/>
      </c>
      <c r="N141" s="4" t="str">
        <f aca="false">IF($A141="","",IFERROR(VLOOKUP($C141,Dim_Fund!$A:$G,7,0),""))</f>
        <v/>
      </c>
      <c r="O141" s="4" t="str">
        <f aca="false">IF($A141="","",IF(L141=N141,"No","Yes"))</f>
        <v/>
      </c>
      <c r="P141" s="4" t="str">
        <f aca="false">IF($A141="","",IF(E141="Client","n/a",IF(L141=M141,"YES — four-eyes breach","No")))</f>
        <v/>
      </c>
      <c r="Q141" s="38" t="str">
        <f aca="false">IF($A141="","",IFERROR(VLOOKUP($C141,Dim_Fund!$A:$AB,28,0),""))</f>
        <v/>
      </c>
      <c r="R141" s="38" t="str">
        <f aca="false">IF($A141="","",IFERROR(VLOOKUP($C141,Dim_Fund!$A:$AC,29,0),""))</f>
        <v/>
      </c>
      <c r="S141" s="38" t="str">
        <f aca="false">IF($A141="","",IFERROR(VLOOKUP($C141,Dim_Fund!$A:$AD,30,0),""))</f>
        <v/>
      </c>
      <c r="T141" s="38" t="str">
        <f aca="false">IF($A141="","",IFERROR(VLOOKUP($C141,Dim_Fund!$A:$AL,38,0),""))</f>
        <v/>
      </c>
      <c r="U141" s="37" t="str">
        <f aca="false">IF($A141="","",IF(AL141="","",IFERROR(IF(COUNTIFS(Fact_Milestone!$A:$A,$B141,Fact_Milestone!$B:$B,AL141)=0,"",_xlfn.MAXIFS(Fact_Milestone!$C:$C,Fact_Milestone!$A:$A,$B141,Fact_Milestone!$B:$B,AL141)),"")))</f>
        <v/>
      </c>
      <c r="V141" s="37" t="str">
        <f aca="false">IF($A141="","",IFERROR(IF(VLOOKUP($C141,Dim_Fund!$A:$AI,35,0)&gt;0,$B141+VLOOKUP($C141,Dim_Fund!$A:$AI,35,0)/24,""),""))</f>
        <v/>
      </c>
      <c r="W141" s="37" t="str">
        <f aca="false">IF($A141="","",F141)</f>
        <v/>
      </c>
      <c r="X141" s="37" t="str">
        <f aca="false">IF($A141="","",IF(E141="Client",H141,G141))</f>
        <v/>
      </c>
      <c r="Y141" s="37" t="str">
        <f aca="false">IF($A141="","",I141)</f>
        <v/>
      </c>
      <c r="Z141" s="37" t="str">
        <f aca="false">IF($A141="","",IFERROR(W141-R141/1440,""))</f>
        <v/>
      </c>
      <c r="AA141" s="38" t="str">
        <f aca="false">IF($A141="","",IF(OR(U141="",V141=""),"",ROUND((V141-U141)*1440,0)))</f>
        <v/>
      </c>
      <c r="AB141" s="38" t="str">
        <f aca="false">IF($A141="","",IF(U141="","",ROUND((W141-U141)*1440,0)))</f>
        <v/>
      </c>
      <c r="AC141" s="38" t="str">
        <f aca="false">IF($A141="","",IF(AB141="","",MAX(0,AB141)))</f>
        <v/>
      </c>
      <c r="AD141" s="38" t="str">
        <f aca="false">IF($A141="","",IFERROR(ROUND((X141-W141)*1440,0),""))</f>
        <v/>
      </c>
      <c r="AE141" s="38" t="str">
        <f aca="false">IF($A141="","",IF(E141="Client","n/a",IFERROR(ROUND((H141-G141)*1440,0),"")))</f>
        <v/>
      </c>
      <c r="AF141" s="38" t="str">
        <f aca="false">IF($A141="","",IFERROR(ROUND((Y141-H141)*1440,0),""))</f>
        <v/>
      </c>
      <c r="AG141" s="38" t="str">
        <f aca="false">IF($A141="","",IFERROR(ROUND((H141-F141)*1440,0),""))</f>
        <v/>
      </c>
      <c r="AH141" s="38" t="str">
        <f aca="false">IF($A141="","",IFERROR(ROUND((Y141-V141)*1440,0),""))</f>
        <v/>
      </c>
      <c r="AI141" s="4" t="str">
        <f aca="false">IF($A141="","",IF(AH141="","",IF(AH141&gt;0,"Yes","No")))</f>
        <v/>
      </c>
      <c r="AJ141" s="4" t="str">
        <f aca="false">IF($A141="","",IF(AI141&lt;&gt;"Yes","On time",IF(N(AC141)&gt;=MAX(N(AF141),N(K141)),"Wait for analyst",IF(N(AF141)&gt;=N(K141),"External sign-off","Rework"))))</f>
        <v/>
      </c>
      <c r="AK141" s="4" t="str">
        <f aca="false">IF($A141="","",IF(OR(F141="",Y141="",ISNA(MATCH(L141,Dim_Analyst!$A:$A,0))),"CHECK","OK"))</f>
        <v/>
      </c>
      <c r="AL141" s="4" t="str">
        <f aca="false">IF($A141="","",IFERROR(VLOOKUP($C141,Dim_Fund!$A:$U,21,0),""))</f>
        <v/>
      </c>
      <c r="AM141" s="4" t="str">
        <f aca="false">IF($A141="","",IF($U141="","",IF($U141&gt;$B141+IFERROR(VLOOKUP($C141,Dim_Fund!$A:$AH,34,0),0)/24,"Yes","No")))</f>
        <v/>
      </c>
      <c r="AN141" s="22" t="str">
        <f aca="false">IF($A141="","",IFERROR(VLOOKUP($C141,Dim_Fund!$A:$AH,34,0),""))</f>
        <v/>
      </c>
      <c r="AO141" s="22" t="str">
        <f aca="false">IF($A141="","",IF($AL141="","",IFERROR(FLOOR(IF(COUNTIFS(Fact_Milestone!$A:$A,$B141,Fact_Milestone!$B:$B,$AL141,Fact_Milestone!$F:$F,"&gt;0")&gt;0,_xlfn.MINIFS(Fact_Milestone!$F:$F,Fact_Milestone!$A:$A,$B141,Fact_Milestone!$B:$B,$AL141,Fact_Milestone!$F:$F,"&gt;0"),VLOOKUP($AL141,Dim_TOP!$A:$E,5,0)),0.5),"")))</f>
        <v/>
      </c>
      <c r="AP141" s="22" t="str">
        <f aca="false">IF($A141="","",IF($U141="","",ROUND(($U141-INT($U141))*24,4)))</f>
        <v/>
      </c>
      <c r="AQ141" s="22" t="str">
        <f aca="false">IF($A141="","",IF($W141="","",ROUND(($W141-INT($W141))*24,4)))</f>
        <v/>
      </c>
      <c r="AR141" s="22" t="str">
        <f aca="false">IF($A141="","",IF($X141="","",ROUND(($X141-INT($X141))*24,4)))</f>
        <v/>
      </c>
      <c r="AS141" s="38" t="str">
        <f aca="false">IF($A141="","",IF(OR($AN141="",$V141="",$S141="",$T141=""),"",ROUND(($V141-($B141+$AN141/24))*1440-$S141-$T141,0)))</f>
        <v/>
      </c>
      <c r="AT141" s="38" t="str">
        <f aca="false">IF($A141="","",IF(OR($AN141="",$U141=""),"",ROUND(($U141-($B141+$AN141/24))*1440,0)))</f>
        <v/>
      </c>
      <c r="AU141" s="38" t="str">
        <f aca="false">IF($A141="","",IF(OR($AD141="",$S141=""),"",ROUND($AD141-$S141,0)))</f>
        <v/>
      </c>
      <c r="AV141" s="38" t="str">
        <f aca="false">IF($A141="","",N($AE141))</f>
        <v/>
      </c>
      <c r="AW141" s="38" t="str">
        <f aca="false">IF($A141="","",IF(OR($AF141="",$T141=""),"",$AF141-$T141))</f>
        <v/>
      </c>
      <c r="AX141" s="38" t="str">
        <f aca="false">IF($A141="","",IF(COUNT($AT141,$AB141,$AU141,$AW141,$AS141,$AH141)&lt;6,"",ROUND($AT141+$AB141+$AU141+$AV141+$AW141-$AS141-$AH141,0)))</f>
        <v/>
      </c>
      <c r="AY141" s="4" t="str">
        <f aca="false">IF($A141="","",IF($AX141="","No",IF(ABS($AX141)&lt;=2,"Yes","No")))</f>
        <v/>
      </c>
      <c r="AZ141" s="4" t="str">
        <f aca="false">IF($A141="","",IF($AI141&lt;&gt;"Yes","n/a",IF(OR($AA141="",$S141="",$T141=""),"Unknown",IF($AA141&lt;$S141+$T141,"Lost on arrival","Lost after arrival"))))</f>
        <v/>
      </c>
      <c r="BA141" s="10" t="str">
        <f aca="false">IF($A141="","",IFERROR(VLOOKUP($C141,Dim_Fund!$A:$D,4,0),""))</f>
        <v/>
      </c>
      <c r="BB141" s="10" t="str">
        <f aca="false">IF($A141="","",IF($AL141="","",IF(COUNTIFS(Fact_Milestone!$A:$A,$B141,Fact_Milestone!$B:$B,$AL141,Fact_Milestone!$I:$I,"No")&gt;0,"No",IF(COUNTIFS(Fact_Milestone!$A:$A,$B141,Fact_Milestone!$B:$B,$AL141,Fact_Milestone!$I:$I,"Yes")&gt;0,"Yes",""))))</f>
        <v/>
      </c>
      <c r="BC141" s="45" t="str">
        <f aca="false">IF($A141="","",IF(OR($L141="",$W141=""),"",IF(COUNTIFS($L:$L,$L141,$B:$B,$B141,$W:$W,"&lt;"&amp;$W141)=0,"",_xlfn.MAXIFS($W:$W,$L:$L,$L141,$B:$B,$B141,$W:$W,"&lt;"&amp;$W141))))</f>
        <v/>
      </c>
      <c r="BD141" s="39" t="str">
        <f aca="false">IF($A141="","",IF($AC141="","",IF(OR($L141="",$AC141=0),0,MIN($AC141,ROUND(ROUND(1440*SUMPRODUCT(($L$2:INDEX($L:$L,COUNTA($C:$C))=$L141)*($B$2:INDEX($B:$B,COUNTA($C:$C))=$B141)*(ROW($L$2:INDEX($L:$L,COUNTA($C:$C)))&lt;&gt;ROW())*((((($W141+$BT$2:INDEX($BT:$BT,COUNTA($C:$C))-ABS($W141-$BT$2:INDEX($BT:$BT,COUNTA($C:$C))))/2)-(($U141+$BS$2:INDEX($BS:$BS,COUNTA($C:$C))+ABS($U141-$BS$2:INDEX($BS:$BS,COUNTA($C:$C))))/2))+ABS(((($W141+$BT$2:INDEX($BT:$BT,COUNTA($C:$C))-ABS($W141-$BT$2:INDEX($BT:$BT,COUNTA($C:$C))))/2)-(($U141+$BS$2:INDEX($BS:$BS,COUNTA($C:$C))+ABS($U141-$BS$2:INDEX($BS:$BS,COUNTA($C:$C))))/2))))/2)),4),0)))))</f>
        <v/>
      </c>
      <c r="BE141" s="39" t="str">
        <f aca="false">IF($A141="","",IF($AC141="","",ROUND(MIN($AC141-$BD141,N($R141)),0)))</f>
        <v/>
      </c>
      <c r="BF141" s="10" t="str">
        <f aca="false">IF($A141="","",IFERROR(VLOOKUP($C141,Dim_Fund!$A:$BD,56,0),""))</f>
        <v/>
      </c>
      <c r="BG141" s="10" t="str">
        <f aca="false">IF($A141="","",IFERROR(VLOOKUP($C141,Dim_Fund!$A:$BH,60,0),""))</f>
        <v/>
      </c>
      <c r="BH141" s="10" t="str">
        <f aca="false">IF($A141="","",IF($AI141&lt;&gt;"Yes","Not breached",IF($AM141="Yes","Pricing late",IF($BG141="Thin custody slack","Thin custody slack",IF($BF141="Yes","Broker-dependent","None of these")))))</f>
        <v/>
      </c>
      <c r="BI141" s="23" t="str">
        <f aca="false">IF($A141="","",IFERROR(IF(VLOOKUP($C141,Dim_Fund!$A:$AI,35,0)&gt;0,VLOOKUP($C141,Dim_Fund!$A:$AI,35,0),""),""))</f>
        <v/>
      </c>
      <c r="BJ141" s="10" t="str">
        <f aca="false">IF($A141="","",$C141&amp;IF($E141="Client","*",""))</f>
        <v/>
      </c>
      <c r="BK141" s="39" t="str">
        <f aca="false">IF($A141="","",IFERROR(ROUND(($Y141-$X141)*1440,0),""))</f>
        <v/>
      </c>
      <c r="BL141" s="39" t="str">
        <f aca="false">IF($A141="","",IF($AH141="","",-$AH141))</f>
        <v/>
      </c>
      <c r="BM141" s="46" t="str">
        <f aca="false">IF($A141="","",IF($AQ141="","",IF($AP141="",$AQ141,MIN($AP141,$AQ141))))</f>
        <v/>
      </c>
      <c r="BN141" s="46" t="str">
        <f aca="false">IF($A141="","",IF($BM141="","",ROUND(N($AC141)/60,4)))</f>
        <v/>
      </c>
      <c r="BO141" s="46" t="str">
        <f aca="false">IF($A141="","",IF(OR($BM141="",$AD141=""),"",ROUND($AD141/60,4)))</f>
        <v/>
      </c>
      <c r="BP141" s="46" t="str">
        <f aca="false">IF($A141="","",IF($BM141="","",ROUND(N($AE141)/60,4)))</f>
        <v/>
      </c>
      <c r="BQ141" s="46" t="str">
        <f aca="false">IF($A141="","",IF(OR($BM141="",$AF141=""),"",ROUND($AF141/60,4)))</f>
        <v/>
      </c>
      <c r="BR141" s="39" t="str">
        <f aca="false">IF($A141="","",IF($AC141="","",$AC141-$BD141-$BE141))</f>
        <v/>
      </c>
      <c r="BS141" s="45" t="str">
        <f aca="false">IF($A141="","",IF(AND(ISNUMBER($Z141),ISNUMBER($W141)),$Z141,0))</f>
        <v/>
      </c>
      <c r="BT141" s="45" t="str">
        <f aca="false">IF($A141="","",IF(ISNUMBER($W141),$W141,0))</f>
        <v/>
      </c>
      <c r="BU141" s="23" t="str">
        <f aca="false">IF($A141="","",IF(ISNUMBER($W141),ROUND(($W141-$B141)*24,4),""))</f>
        <v/>
      </c>
      <c r="BV141" s="23" t="str">
        <f aca="false">IF($A141="","",IF(ISNUMBER($X141),ROUND(($X141-$B141)*24,4),""))</f>
        <v/>
      </c>
      <c r="BW141" s="10" t="str">
        <f aca="false">IF($A141="","",IF(NOT(ISNUMBER($W141)),"Missing Calculated",IF(NOT(ISNUMBER($X141)),IF($E141="Client","Missing FA signed off","Missing Controlled"),IF($X141&lt;$W141,"End before start","OK"))))</f>
        <v/>
      </c>
      <c r="BX141" s="23" t="str">
        <f aca="false">IF($A141="","",IF(NOT(ISNUMBER($Z141)),"",ROUND((IF(ISNUMBER($U141),MIN($U141,$Z141),$Z141)-$B141)*24,4)))</f>
        <v/>
      </c>
      <c r="BY141" s="23" t="str">
        <f aca="false">IF($A141="","",IF(ISNUMBER($Z141),ROUND(($Z141-$B141)*24,4),""))</f>
        <v/>
      </c>
      <c r="BZ141" s="23" t="str">
        <f aca="false">IF($A141="","",IF(AND(ISNUMBER($W141),ISNUMBER($S141)),ROUND(($W141+$S141/1440-$B141)*24,4),""))</f>
        <v/>
      </c>
    </row>
    <row r="142" customFormat="false" ht="15" hidden="false" customHeight="true" outlineLevel="0" collapsed="false">
      <c r="A142" s="47"/>
      <c r="B142" s="47"/>
      <c r="D142" s="4" t="str">
        <f aca="false">IF($A142="","",$B142-$A142)</f>
        <v/>
      </c>
      <c r="E142" s="4" t="str">
        <f aca="false">IF($A142="","",IFERROR(VLOOKUP($C142,Dim_Fund!$A:$X,24,0),""))</f>
        <v/>
      </c>
      <c r="F142" s="37" t="str">
        <f aca="false">IF($A142="","",IF(COUNTIFS(Status_Log!$A:$A,$A142,Status_Log!$B:$B,$B142,Status_Log!$C:$C,$C142,Status_Log!$D:$D,"Changed to the status of Calculated")=0,"",_xlfn.MINIFS(Status_Log!$E:$E,Status_Log!$A:$A,$A142,Status_Log!$B:$B,$B142,Status_Log!$C:$C,$C142,Status_Log!$D:$D,"Changed to the status of Calculated")))</f>
        <v/>
      </c>
      <c r="G142" s="37" t="str">
        <f aca="false">IF($A142="","",IF(COUNTIFS(Status_Log!$A:$A,$A142,Status_Log!$B:$B,$B142,Status_Log!$C:$C,$C142,Status_Log!$D:$D,"Changed to the status of Controlled")=0,"",_xlfn.MAXIFS(Status_Log!$E:$E,Status_Log!$A:$A,$A142,Status_Log!$B:$B,$B142,Status_Log!$C:$C,$C142,Status_Log!$D:$D,"Changed to the status of Controlled")))</f>
        <v/>
      </c>
      <c r="H142" s="37" t="str">
        <f aca="false">IF($A142="","",IF(COUNTIFS(Status_Log!$A:$A,$A142,Status_Log!$B:$B,$B142,Status_Log!$C:$C,$C142,Status_Log!$D:$D,"Changed to the status of Fund accounting signed off")=0,"",_xlfn.MAXIFS(Status_Log!$E:$E,Status_Log!$A:$A,$A142,Status_Log!$B:$B,$B142,Status_Log!$C:$C,$C142,Status_Log!$D:$D,"Changed to the status of Fund accounting signed off")))</f>
        <v/>
      </c>
      <c r="I142" s="37" t="str">
        <f aca="false">IF($A142="","",IF(COUNTIFS(Status_Log!$A:$A,$A142,Status_Log!$B:$B,$B142,Status_Log!$C:$C,$C142,Status_Log!$D:$D,"Changed to the status of signed off")=0,"",_xlfn.MAXIFS(Status_Log!$E:$E,Status_Log!$A:$A,$A142,Status_Log!$B:$B,$B142,Status_Log!$C:$C,$C142,Status_Log!$D:$D,"Changed to the status of signed off")))</f>
        <v/>
      </c>
      <c r="J142" s="4" t="str">
        <f aca="false">IF($A142="","",COUNTIFS(Status_Log!$A:$A,$A142,Status_Log!$B:$B,$B142,Status_Log!$C:$C,$C142,Status_Log!$D:$D,"Changed to the status of Calculated"))</f>
        <v/>
      </c>
      <c r="K142" s="38" t="str">
        <f aca="false">IF($A142="","",IF(J142&lt;=1,0,ROUND((_xlfn.MAXIFS(Status_Log!$E:$E,Status_Log!$A:$A,$A142,Status_Log!$B:$B,$B142,Status_Log!$C:$C,$C142,Status_Log!$D:$D,"Changed to the status of Calculated")-F142)*1440,0)))</f>
        <v/>
      </c>
      <c r="L142" s="4" t="str">
        <f aca="false">IF($A142="","",IFERROR(INDEX(Status_Log!$F:$F,MATCH($A142&amp;"|"&amp;$B142&amp;"|"&amp;$C142&amp;"|Changed to the status of Calculated|"&amp;TEXT(_xlfn.MAXIFS(Status_Log!$E:$E,Status_Log!$A:$A,$A142,Status_Log!$B:$B,$B142,Status_Log!$C:$C,$C142,Status_Log!$D:$D,"Changed to the status of Calculated"),"0.000000"),Status_Log!$H:$H,0)),""))</f>
        <v/>
      </c>
      <c r="M142" s="4" t="str">
        <f aca="false">IF($A142="","",IF(E142="Client","n/a — no control step",IFERROR(INDEX(Status_Log!$F:$F,MATCH($A142&amp;"|"&amp;$B142&amp;"|"&amp;$C142&amp;"|Changed to the status of Controlled|"&amp;TEXT(_xlfn.MAXIFS(Status_Log!$E:$E,Status_Log!$A:$A,$A142,Status_Log!$B:$B,$B142,Status_Log!$C:$C,$C142,Status_Log!$D:$D,"Changed to the status of Controlled"),"0.000000"),Status_Log!$H:$H,0)),"")))</f>
        <v/>
      </c>
      <c r="N142" s="4" t="str">
        <f aca="false">IF($A142="","",IFERROR(VLOOKUP($C142,Dim_Fund!$A:$G,7,0),""))</f>
        <v/>
      </c>
      <c r="O142" s="4" t="str">
        <f aca="false">IF($A142="","",IF(L142=N142,"No","Yes"))</f>
        <v/>
      </c>
      <c r="P142" s="4" t="str">
        <f aca="false">IF($A142="","",IF(E142="Client","n/a",IF(L142=M142,"YES — four-eyes breach","No")))</f>
        <v/>
      </c>
      <c r="Q142" s="38" t="str">
        <f aca="false">IF($A142="","",IFERROR(VLOOKUP($C142,Dim_Fund!$A:$AB,28,0),""))</f>
        <v/>
      </c>
      <c r="R142" s="38" t="str">
        <f aca="false">IF($A142="","",IFERROR(VLOOKUP($C142,Dim_Fund!$A:$AC,29,0),""))</f>
        <v/>
      </c>
      <c r="S142" s="38" t="str">
        <f aca="false">IF($A142="","",IFERROR(VLOOKUP($C142,Dim_Fund!$A:$AD,30,0),""))</f>
        <v/>
      </c>
      <c r="T142" s="38" t="str">
        <f aca="false">IF($A142="","",IFERROR(VLOOKUP($C142,Dim_Fund!$A:$AL,38,0),""))</f>
        <v/>
      </c>
      <c r="U142" s="37" t="str">
        <f aca="false">IF($A142="","",IF(AL142="","",IFERROR(IF(COUNTIFS(Fact_Milestone!$A:$A,$B142,Fact_Milestone!$B:$B,AL142)=0,"",_xlfn.MAXIFS(Fact_Milestone!$C:$C,Fact_Milestone!$A:$A,$B142,Fact_Milestone!$B:$B,AL142)),"")))</f>
        <v/>
      </c>
      <c r="V142" s="37" t="str">
        <f aca="false">IF($A142="","",IFERROR(IF(VLOOKUP($C142,Dim_Fund!$A:$AI,35,0)&gt;0,$B142+VLOOKUP($C142,Dim_Fund!$A:$AI,35,0)/24,""),""))</f>
        <v/>
      </c>
      <c r="W142" s="37" t="str">
        <f aca="false">IF($A142="","",F142)</f>
        <v/>
      </c>
      <c r="X142" s="37" t="str">
        <f aca="false">IF($A142="","",IF(E142="Client",H142,G142))</f>
        <v/>
      </c>
      <c r="Y142" s="37" t="str">
        <f aca="false">IF($A142="","",I142)</f>
        <v/>
      </c>
      <c r="Z142" s="37" t="str">
        <f aca="false">IF($A142="","",IFERROR(W142-R142/1440,""))</f>
        <v/>
      </c>
      <c r="AA142" s="38" t="str">
        <f aca="false">IF($A142="","",IF(OR(U142="",V142=""),"",ROUND((V142-U142)*1440,0)))</f>
        <v/>
      </c>
      <c r="AB142" s="38" t="str">
        <f aca="false">IF($A142="","",IF(U142="","",ROUND((W142-U142)*1440,0)))</f>
        <v/>
      </c>
      <c r="AC142" s="38" t="str">
        <f aca="false">IF($A142="","",IF(AB142="","",MAX(0,AB142)))</f>
        <v/>
      </c>
      <c r="AD142" s="38" t="str">
        <f aca="false">IF($A142="","",IFERROR(ROUND((X142-W142)*1440,0),""))</f>
        <v/>
      </c>
      <c r="AE142" s="38" t="str">
        <f aca="false">IF($A142="","",IF(E142="Client","n/a",IFERROR(ROUND((H142-G142)*1440,0),"")))</f>
        <v/>
      </c>
      <c r="AF142" s="38" t="str">
        <f aca="false">IF($A142="","",IFERROR(ROUND((Y142-H142)*1440,0),""))</f>
        <v/>
      </c>
      <c r="AG142" s="38" t="str">
        <f aca="false">IF($A142="","",IFERROR(ROUND((H142-F142)*1440,0),""))</f>
        <v/>
      </c>
      <c r="AH142" s="38" t="str">
        <f aca="false">IF($A142="","",IFERROR(ROUND((Y142-V142)*1440,0),""))</f>
        <v/>
      </c>
      <c r="AI142" s="4" t="str">
        <f aca="false">IF($A142="","",IF(AH142="","",IF(AH142&gt;0,"Yes","No")))</f>
        <v/>
      </c>
      <c r="AJ142" s="4" t="str">
        <f aca="false">IF($A142="","",IF(AI142&lt;&gt;"Yes","On time",IF(N(AC142)&gt;=MAX(N(AF142),N(K142)),"Wait for analyst",IF(N(AF142)&gt;=N(K142),"External sign-off","Rework"))))</f>
        <v/>
      </c>
      <c r="AK142" s="4" t="str">
        <f aca="false">IF($A142="","",IF(OR(F142="",Y142="",ISNA(MATCH(L142,Dim_Analyst!$A:$A,0))),"CHECK","OK"))</f>
        <v/>
      </c>
      <c r="AL142" s="4" t="str">
        <f aca="false">IF($A142="","",IFERROR(VLOOKUP($C142,Dim_Fund!$A:$U,21,0),""))</f>
        <v/>
      </c>
      <c r="AM142" s="4" t="str">
        <f aca="false">IF($A142="","",IF($U142="","",IF($U142&gt;$B142+IFERROR(VLOOKUP($C142,Dim_Fund!$A:$AH,34,0),0)/24,"Yes","No")))</f>
        <v/>
      </c>
      <c r="AN142" s="22" t="str">
        <f aca="false">IF($A142="","",IFERROR(VLOOKUP($C142,Dim_Fund!$A:$AH,34,0),""))</f>
        <v/>
      </c>
      <c r="AO142" s="22" t="str">
        <f aca="false">IF($A142="","",IF($AL142="","",IFERROR(FLOOR(IF(COUNTIFS(Fact_Milestone!$A:$A,$B142,Fact_Milestone!$B:$B,$AL142,Fact_Milestone!$F:$F,"&gt;0")&gt;0,_xlfn.MINIFS(Fact_Milestone!$F:$F,Fact_Milestone!$A:$A,$B142,Fact_Milestone!$B:$B,$AL142,Fact_Milestone!$F:$F,"&gt;0"),VLOOKUP($AL142,Dim_TOP!$A:$E,5,0)),0.5),"")))</f>
        <v/>
      </c>
      <c r="AP142" s="22" t="str">
        <f aca="false">IF($A142="","",IF($U142="","",ROUND(($U142-INT($U142))*24,4)))</f>
        <v/>
      </c>
      <c r="AQ142" s="22" t="str">
        <f aca="false">IF($A142="","",IF($W142="","",ROUND(($W142-INT($W142))*24,4)))</f>
        <v/>
      </c>
      <c r="AR142" s="22" t="str">
        <f aca="false">IF($A142="","",IF($X142="","",ROUND(($X142-INT($X142))*24,4)))</f>
        <v/>
      </c>
      <c r="AS142" s="38" t="str">
        <f aca="false">IF($A142="","",IF(OR($AN142="",$V142="",$S142="",$T142=""),"",ROUND(($V142-($B142+$AN142/24))*1440-$S142-$T142,0)))</f>
        <v/>
      </c>
      <c r="AT142" s="38" t="str">
        <f aca="false">IF($A142="","",IF(OR($AN142="",$U142=""),"",ROUND(($U142-($B142+$AN142/24))*1440,0)))</f>
        <v/>
      </c>
      <c r="AU142" s="38" t="str">
        <f aca="false">IF($A142="","",IF(OR($AD142="",$S142=""),"",ROUND($AD142-$S142,0)))</f>
        <v/>
      </c>
      <c r="AV142" s="38" t="str">
        <f aca="false">IF($A142="","",N($AE142))</f>
        <v/>
      </c>
      <c r="AW142" s="38" t="str">
        <f aca="false">IF($A142="","",IF(OR($AF142="",$T142=""),"",$AF142-$T142))</f>
        <v/>
      </c>
      <c r="AX142" s="38" t="str">
        <f aca="false">IF($A142="","",IF(COUNT($AT142,$AB142,$AU142,$AW142,$AS142,$AH142)&lt;6,"",ROUND($AT142+$AB142+$AU142+$AV142+$AW142-$AS142-$AH142,0)))</f>
        <v/>
      </c>
      <c r="AY142" s="4" t="str">
        <f aca="false">IF($A142="","",IF($AX142="","No",IF(ABS($AX142)&lt;=2,"Yes","No")))</f>
        <v/>
      </c>
      <c r="AZ142" s="4" t="str">
        <f aca="false">IF($A142="","",IF($AI142&lt;&gt;"Yes","n/a",IF(OR($AA142="",$S142="",$T142=""),"Unknown",IF($AA142&lt;$S142+$T142,"Lost on arrival","Lost after arrival"))))</f>
        <v/>
      </c>
      <c r="BA142" s="10" t="str">
        <f aca="false">IF($A142="","",IFERROR(VLOOKUP($C142,Dim_Fund!$A:$D,4,0),""))</f>
        <v/>
      </c>
      <c r="BB142" s="10" t="str">
        <f aca="false">IF($A142="","",IF($AL142="","",IF(COUNTIFS(Fact_Milestone!$A:$A,$B142,Fact_Milestone!$B:$B,$AL142,Fact_Milestone!$I:$I,"No")&gt;0,"No",IF(COUNTIFS(Fact_Milestone!$A:$A,$B142,Fact_Milestone!$B:$B,$AL142,Fact_Milestone!$I:$I,"Yes")&gt;0,"Yes",""))))</f>
        <v/>
      </c>
      <c r="BC142" s="45" t="str">
        <f aca="false">IF($A142="","",IF(OR($L142="",$W142=""),"",IF(COUNTIFS($L:$L,$L142,$B:$B,$B142,$W:$W,"&lt;"&amp;$W142)=0,"",_xlfn.MAXIFS($W:$W,$L:$L,$L142,$B:$B,$B142,$W:$W,"&lt;"&amp;$W142))))</f>
        <v/>
      </c>
      <c r="BD142" s="39" t="str">
        <f aca="false">IF($A142="","",IF($AC142="","",IF(OR($L142="",$AC142=0),0,MIN($AC142,ROUND(ROUND(1440*SUMPRODUCT(($L$2:INDEX($L:$L,COUNTA($C:$C))=$L142)*($B$2:INDEX($B:$B,COUNTA($C:$C))=$B142)*(ROW($L$2:INDEX($L:$L,COUNTA($C:$C)))&lt;&gt;ROW())*((((($W142+$BT$2:INDEX($BT:$BT,COUNTA($C:$C))-ABS($W142-$BT$2:INDEX($BT:$BT,COUNTA($C:$C))))/2)-(($U142+$BS$2:INDEX($BS:$BS,COUNTA($C:$C))+ABS($U142-$BS$2:INDEX($BS:$BS,COUNTA($C:$C))))/2))+ABS(((($W142+$BT$2:INDEX($BT:$BT,COUNTA($C:$C))-ABS($W142-$BT$2:INDEX($BT:$BT,COUNTA($C:$C))))/2)-(($U142+$BS$2:INDEX($BS:$BS,COUNTA($C:$C))+ABS($U142-$BS$2:INDEX($BS:$BS,COUNTA($C:$C))))/2))))/2)),4),0)))))</f>
        <v/>
      </c>
      <c r="BE142" s="39" t="str">
        <f aca="false">IF($A142="","",IF($AC142="","",ROUND(MIN($AC142-$BD142,N($R142)),0)))</f>
        <v/>
      </c>
      <c r="BF142" s="10" t="str">
        <f aca="false">IF($A142="","",IFERROR(VLOOKUP($C142,Dim_Fund!$A:$BD,56,0),""))</f>
        <v/>
      </c>
      <c r="BG142" s="10" t="str">
        <f aca="false">IF($A142="","",IFERROR(VLOOKUP($C142,Dim_Fund!$A:$BH,60,0),""))</f>
        <v/>
      </c>
      <c r="BH142" s="10" t="str">
        <f aca="false">IF($A142="","",IF($AI142&lt;&gt;"Yes","Not breached",IF($AM142="Yes","Pricing late",IF($BG142="Thin custody slack","Thin custody slack",IF($BF142="Yes","Broker-dependent","None of these")))))</f>
        <v/>
      </c>
      <c r="BI142" s="23" t="str">
        <f aca="false">IF($A142="","",IFERROR(IF(VLOOKUP($C142,Dim_Fund!$A:$AI,35,0)&gt;0,VLOOKUP($C142,Dim_Fund!$A:$AI,35,0),""),""))</f>
        <v/>
      </c>
      <c r="BJ142" s="10" t="str">
        <f aca="false">IF($A142="","",$C142&amp;IF($E142="Client","*",""))</f>
        <v/>
      </c>
      <c r="BK142" s="39" t="str">
        <f aca="false">IF($A142="","",IFERROR(ROUND(($Y142-$X142)*1440,0),""))</f>
        <v/>
      </c>
      <c r="BL142" s="39" t="str">
        <f aca="false">IF($A142="","",IF($AH142="","",-$AH142))</f>
        <v/>
      </c>
      <c r="BM142" s="46" t="str">
        <f aca="false">IF($A142="","",IF($AQ142="","",IF($AP142="",$AQ142,MIN($AP142,$AQ142))))</f>
        <v/>
      </c>
      <c r="BN142" s="46" t="str">
        <f aca="false">IF($A142="","",IF($BM142="","",ROUND(N($AC142)/60,4)))</f>
        <v/>
      </c>
      <c r="BO142" s="46" t="str">
        <f aca="false">IF($A142="","",IF(OR($BM142="",$AD142=""),"",ROUND($AD142/60,4)))</f>
        <v/>
      </c>
      <c r="BP142" s="46" t="str">
        <f aca="false">IF($A142="","",IF($BM142="","",ROUND(N($AE142)/60,4)))</f>
        <v/>
      </c>
      <c r="BQ142" s="46" t="str">
        <f aca="false">IF($A142="","",IF(OR($BM142="",$AF142=""),"",ROUND($AF142/60,4)))</f>
        <v/>
      </c>
      <c r="BR142" s="39" t="str">
        <f aca="false">IF($A142="","",IF($AC142="","",$AC142-$BD142-$BE142))</f>
        <v/>
      </c>
      <c r="BS142" s="45" t="str">
        <f aca="false">IF($A142="","",IF(AND(ISNUMBER($Z142),ISNUMBER($W142)),$Z142,0))</f>
        <v/>
      </c>
      <c r="BT142" s="45" t="str">
        <f aca="false">IF($A142="","",IF(ISNUMBER($W142),$W142,0))</f>
        <v/>
      </c>
      <c r="BU142" s="23" t="str">
        <f aca="false">IF($A142="","",IF(ISNUMBER($W142),ROUND(($W142-$B142)*24,4),""))</f>
        <v/>
      </c>
      <c r="BV142" s="23" t="str">
        <f aca="false">IF($A142="","",IF(ISNUMBER($X142),ROUND(($X142-$B142)*24,4),""))</f>
        <v/>
      </c>
      <c r="BW142" s="10" t="str">
        <f aca="false">IF($A142="","",IF(NOT(ISNUMBER($W142)),"Missing Calculated",IF(NOT(ISNUMBER($X142)),IF($E142="Client","Missing FA signed off","Missing Controlled"),IF($X142&lt;$W142,"End before start","OK"))))</f>
        <v/>
      </c>
      <c r="BX142" s="23" t="str">
        <f aca="false">IF($A142="","",IF(NOT(ISNUMBER($Z142)),"",ROUND((IF(ISNUMBER($U142),MIN($U142,$Z142),$Z142)-$B142)*24,4)))</f>
        <v/>
      </c>
      <c r="BY142" s="23" t="str">
        <f aca="false">IF($A142="","",IF(ISNUMBER($Z142),ROUND(($Z142-$B142)*24,4),""))</f>
        <v/>
      </c>
      <c r="BZ142" s="23" t="str">
        <f aca="false">IF($A142="","",IF(AND(ISNUMBER($W142),ISNUMBER($S142)),ROUND(($W142+$S142/1440-$B142)*24,4),""))</f>
        <v/>
      </c>
    </row>
    <row r="143" customFormat="false" ht="15" hidden="false" customHeight="true" outlineLevel="0" collapsed="false">
      <c r="A143" s="47"/>
      <c r="B143" s="47"/>
      <c r="D143" s="4" t="str">
        <f aca="false">IF($A143="","",$B143-$A143)</f>
        <v/>
      </c>
      <c r="E143" s="4" t="str">
        <f aca="false">IF($A143="","",IFERROR(VLOOKUP($C143,Dim_Fund!$A:$X,24,0),""))</f>
        <v/>
      </c>
      <c r="F143" s="37" t="str">
        <f aca="false">IF($A143="","",IF(COUNTIFS(Status_Log!$A:$A,$A143,Status_Log!$B:$B,$B143,Status_Log!$C:$C,$C143,Status_Log!$D:$D,"Changed to the status of Calculated")=0,"",_xlfn.MINIFS(Status_Log!$E:$E,Status_Log!$A:$A,$A143,Status_Log!$B:$B,$B143,Status_Log!$C:$C,$C143,Status_Log!$D:$D,"Changed to the status of Calculated")))</f>
        <v/>
      </c>
      <c r="G143" s="37" t="str">
        <f aca="false">IF($A143="","",IF(COUNTIFS(Status_Log!$A:$A,$A143,Status_Log!$B:$B,$B143,Status_Log!$C:$C,$C143,Status_Log!$D:$D,"Changed to the status of Controlled")=0,"",_xlfn.MAXIFS(Status_Log!$E:$E,Status_Log!$A:$A,$A143,Status_Log!$B:$B,$B143,Status_Log!$C:$C,$C143,Status_Log!$D:$D,"Changed to the status of Controlled")))</f>
        <v/>
      </c>
      <c r="H143" s="37" t="str">
        <f aca="false">IF($A143="","",IF(COUNTIFS(Status_Log!$A:$A,$A143,Status_Log!$B:$B,$B143,Status_Log!$C:$C,$C143,Status_Log!$D:$D,"Changed to the status of Fund accounting signed off")=0,"",_xlfn.MAXIFS(Status_Log!$E:$E,Status_Log!$A:$A,$A143,Status_Log!$B:$B,$B143,Status_Log!$C:$C,$C143,Status_Log!$D:$D,"Changed to the status of Fund accounting signed off")))</f>
        <v/>
      </c>
      <c r="I143" s="37" t="str">
        <f aca="false">IF($A143="","",IF(COUNTIFS(Status_Log!$A:$A,$A143,Status_Log!$B:$B,$B143,Status_Log!$C:$C,$C143,Status_Log!$D:$D,"Changed to the status of signed off")=0,"",_xlfn.MAXIFS(Status_Log!$E:$E,Status_Log!$A:$A,$A143,Status_Log!$B:$B,$B143,Status_Log!$C:$C,$C143,Status_Log!$D:$D,"Changed to the status of signed off")))</f>
        <v/>
      </c>
      <c r="J143" s="4" t="str">
        <f aca="false">IF($A143="","",COUNTIFS(Status_Log!$A:$A,$A143,Status_Log!$B:$B,$B143,Status_Log!$C:$C,$C143,Status_Log!$D:$D,"Changed to the status of Calculated"))</f>
        <v/>
      </c>
      <c r="K143" s="38" t="str">
        <f aca="false">IF($A143="","",IF(J143&lt;=1,0,ROUND((_xlfn.MAXIFS(Status_Log!$E:$E,Status_Log!$A:$A,$A143,Status_Log!$B:$B,$B143,Status_Log!$C:$C,$C143,Status_Log!$D:$D,"Changed to the status of Calculated")-F143)*1440,0)))</f>
        <v/>
      </c>
      <c r="L143" s="4" t="str">
        <f aca="false">IF($A143="","",IFERROR(INDEX(Status_Log!$F:$F,MATCH($A143&amp;"|"&amp;$B143&amp;"|"&amp;$C143&amp;"|Changed to the status of Calculated|"&amp;TEXT(_xlfn.MAXIFS(Status_Log!$E:$E,Status_Log!$A:$A,$A143,Status_Log!$B:$B,$B143,Status_Log!$C:$C,$C143,Status_Log!$D:$D,"Changed to the status of Calculated"),"0.000000"),Status_Log!$H:$H,0)),""))</f>
        <v/>
      </c>
      <c r="M143" s="4" t="str">
        <f aca="false">IF($A143="","",IF(E143="Client","n/a — no control step",IFERROR(INDEX(Status_Log!$F:$F,MATCH($A143&amp;"|"&amp;$B143&amp;"|"&amp;$C143&amp;"|Changed to the status of Controlled|"&amp;TEXT(_xlfn.MAXIFS(Status_Log!$E:$E,Status_Log!$A:$A,$A143,Status_Log!$B:$B,$B143,Status_Log!$C:$C,$C143,Status_Log!$D:$D,"Changed to the status of Controlled"),"0.000000"),Status_Log!$H:$H,0)),"")))</f>
        <v/>
      </c>
      <c r="N143" s="4" t="str">
        <f aca="false">IF($A143="","",IFERROR(VLOOKUP($C143,Dim_Fund!$A:$G,7,0),""))</f>
        <v/>
      </c>
      <c r="O143" s="4" t="str">
        <f aca="false">IF($A143="","",IF(L143=N143,"No","Yes"))</f>
        <v/>
      </c>
      <c r="P143" s="4" t="str">
        <f aca="false">IF($A143="","",IF(E143="Client","n/a",IF(L143=M143,"YES — four-eyes breach","No")))</f>
        <v/>
      </c>
      <c r="Q143" s="38" t="str">
        <f aca="false">IF($A143="","",IFERROR(VLOOKUP($C143,Dim_Fund!$A:$AB,28,0),""))</f>
        <v/>
      </c>
      <c r="R143" s="38" t="str">
        <f aca="false">IF($A143="","",IFERROR(VLOOKUP($C143,Dim_Fund!$A:$AC,29,0),""))</f>
        <v/>
      </c>
      <c r="S143" s="38" t="str">
        <f aca="false">IF($A143="","",IFERROR(VLOOKUP($C143,Dim_Fund!$A:$AD,30,0),""))</f>
        <v/>
      </c>
      <c r="T143" s="38" t="str">
        <f aca="false">IF($A143="","",IFERROR(VLOOKUP($C143,Dim_Fund!$A:$AL,38,0),""))</f>
        <v/>
      </c>
      <c r="U143" s="37" t="str">
        <f aca="false">IF($A143="","",IF(AL143="","",IFERROR(IF(COUNTIFS(Fact_Milestone!$A:$A,$B143,Fact_Milestone!$B:$B,AL143)=0,"",_xlfn.MAXIFS(Fact_Milestone!$C:$C,Fact_Milestone!$A:$A,$B143,Fact_Milestone!$B:$B,AL143)),"")))</f>
        <v/>
      </c>
      <c r="V143" s="37" t="str">
        <f aca="false">IF($A143="","",IFERROR(IF(VLOOKUP($C143,Dim_Fund!$A:$AI,35,0)&gt;0,$B143+VLOOKUP($C143,Dim_Fund!$A:$AI,35,0)/24,""),""))</f>
        <v/>
      </c>
      <c r="W143" s="37" t="str">
        <f aca="false">IF($A143="","",F143)</f>
        <v/>
      </c>
      <c r="X143" s="37" t="str">
        <f aca="false">IF($A143="","",IF(E143="Client",H143,G143))</f>
        <v/>
      </c>
      <c r="Y143" s="37" t="str">
        <f aca="false">IF($A143="","",I143)</f>
        <v/>
      </c>
      <c r="Z143" s="37" t="str">
        <f aca="false">IF($A143="","",IFERROR(W143-R143/1440,""))</f>
        <v/>
      </c>
      <c r="AA143" s="38" t="str">
        <f aca="false">IF($A143="","",IF(OR(U143="",V143=""),"",ROUND((V143-U143)*1440,0)))</f>
        <v/>
      </c>
      <c r="AB143" s="38" t="str">
        <f aca="false">IF($A143="","",IF(U143="","",ROUND((W143-U143)*1440,0)))</f>
        <v/>
      </c>
      <c r="AC143" s="38" t="str">
        <f aca="false">IF($A143="","",IF(AB143="","",MAX(0,AB143)))</f>
        <v/>
      </c>
      <c r="AD143" s="38" t="str">
        <f aca="false">IF($A143="","",IFERROR(ROUND((X143-W143)*1440,0),""))</f>
        <v/>
      </c>
      <c r="AE143" s="38" t="str">
        <f aca="false">IF($A143="","",IF(E143="Client","n/a",IFERROR(ROUND((H143-G143)*1440,0),"")))</f>
        <v/>
      </c>
      <c r="AF143" s="38" t="str">
        <f aca="false">IF($A143="","",IFERROR(ROUND((Y143-H143)*1440,0),""))</f>
        <v/>
      </c>
      <c r="AG143" s="38" t="str">
        <f aca="false">IF($A143="","",IFERROR(ROUND((H143-F143)*1440,0),""))</f>
        <v/>
      </c>
      <c r="AH143" s="38" t="str">
        <f aca="false">IF($A143="","",IFERROR(ROUND((Y143-V143)*1440,0),""))</f>
        <v/>
      </c>
      <c r="AI143" s="4" t="str">
        <f aca="false">IF($A143="","",IF(AH143="","",IF(AH143&gt;0,"Yes","No")))</f>
        <v/>
      </c>
      <c r="AJ143" s="4" t="str">
        <f aca="false">IF($A143="","",IF(AI143&lt;&gt;"Yes","On time",IF(N(AC143)&gt;=MAX(N(AF143),N(K143)),"Wait for analyst",IF(N(AF143)&gt;=N(K143),"External sign-off","Rework"))))</f>
        <v/>
      </c>
      <c r="AK143" s="4" t="str">
        <f aca="false">IF($A143="","",IF(OR(F143="",Y143="",ISNA(MATCH(L143,Dim_Analyst!$A:$A,0))),"CHECK","OK"))</f>
        <v/>
      </c>
      <c r="AL143" s="4" t="str">
        <f aca="false">IF($A143="","",IFERROR(VLOOKUP($C143,Dim_Fund!$A:$U,21,0),""))</f>
        <v/>
      </c>
      <c r="AM143" s="4" t="str">
        <f aca="false">IF($A143="","",IF($U143="","",IF($U143&gt;$B143+IFERROR(VLOOKUP($C143,Dim_Fund!$A:$AH,34,0),0)/24,"Yes","No")))</f>
        <v/>
      </c>
      <c r="AN143" s="22" t="str">
        <f aca="false">IF($A143="","",IFERROR(VLOOKUP($C143,Dim_Fund!$A:$AH,34,0),""))</f>
        <v/>
      </c>
      <c r="AO143" s="22" t="str">
        <f aca="false">IF($A143="","",IF($AL143="","",IFERROR(FLOOR(IF(COUNTIFS(Fact_Milestone!$A:$A,$B143,Fact_Milestone!$B:$B,$AL143,Fact_Milestone!$F:$F,"&gt;0")&gt;0,_xlfn.MINIFS(Fact_Milestone!$F:$F,Fact_Milestone!$A:$A,$B143,Fact_Milestone!$B:$B,$AL143,Fact_Milestone!$F:$F,"&gt;0"),VLOOKUP($AL143,Dim_TOP!$A:$E,5,0)),0.5),"")))</f>
        <v/>
      </c>
      <c r="AP143" s="22" t="str">
        <f aca="false">IF($A143="","",IF($U143="","",ROUND(($U143-INT($U143))*24,4)))</f>
        <v/>
      </c>
      <c r="AQ143" s="22" t="str">
        <f aca="false">IF($A143="","",IF($W143="","",ROUND(($W143-INT($W143))*24,4)))</f>
        <v/>
      </c>
      <c r="AR143" s="22" t="str">
        <f aca="false">IF($A143="","",IF($X143="","",ROUND(($X143-INT($X143))*24,4)))</f>
        <v/>
      </c>
      <c r="AS143" s="38" t="str">
        <f aca="false">IF($A143="","",IF(OR($AN143="",$V143="",$S143="",$T143=""),"",ROUND(($V143-($B143+$AN143/24))*1440-$S143-$T143,0)))</f>
        <v/>
      </c>
      <c r="AT143" s="38" t="str">
        <f aca="false">IF($A143="","",IF(OR($AN143="",$U143=""),"",ROUND(($U143-($B143+$AN143/24))*1440,0)))</f>
        <v/>
      </c>
      <c r="AU143" s="38" t="str">
        <f aca="false">IF($A143="","",IF(OR($AD143="",$S143=""),"",ROUND($AD143-$S143,0)))</f>
        <v/>
      </c>
      <c r="AV143" s="38" t="str">
        <f aca="false">IF($A143="","",N($AE143))</f>
        <v/>
      </c>
      <c r="AW143" s="38" t="str">
        <f aca="false">IF($A143="","",IF(OR($AF143="",$T143=""),"",$AF143-$T143))</f>
        <v/>
      </c>
      <c r="AX143" s="38" t="str">
        <f aca="false">IF($A143="","",IF(COUNT($AT143,$AB143,$AU143,$AW143,$AS143,$AH143)&lt;6,"",ROUND($AT143+$AB143+$AU143+$AV143+$AW143-$AS143-$AH143,0)))</f>
        <v/>
      </c>
      <c r="AY143" s="4" t="str">
        <f aca="false">IF($A143="","",IF($AX143="","No",IF(ABS($AX143)&lt;=2,"Yes","No")))</f>
        <v/>
      </c>
      <c r="AZ143" s="4" t="str">
        <f aca="false">IF($A143="","",IF($AI143&lt;&gt;"Yes","n/a",IF(OR($AA143="",$S143="",$T143=""),"Unknown",IF($AA143&lt;$S143+$T143,"Lost on arrival","Lost after arrival"))))</f>
        <v/>
      </c>
      <c r="BA143" s="10" t="str">
        <f aca="false">IF($A143="","",IFERROR(VLOOKUP($C143,Dim_Fund!$A:$D,4,0),""))</f>
        <v/>
      </c>
      <c r="BB143" s="10" t="str">
        <f aca="false">IF($A143="","",IF($AL143="","",IF(COUNTIFS(Fact_Milestone!$A:$A,$B143,Fact_Milestone!$B:$B,$AL143,Fact_Milestone!$I:$I,"No")&gt;0,"No",IF(COUNTIFS(Fact_Milestone!$A:$A,$B143,Fact_Milestone!$B:$B,$AL143,Fact_Milestone!$I:$I,"Yes")&gt;0,"Yes",""))))</f>
        <v/>
      </c>
      <c r="BC143" s="45" t="str">
        <f aca="false">IF($A143="","",IF(OR($L143="",$W143=""),"",IF(COUNTIFS($L:$L,$L143,$B:$B,$B143,$W:$W,"&lt;"&amp;$W143)=0,"",_xlfn.MAXIFS($W:$W,$L:$L,$L143,$B:$B,$B143,$W:$W,"&lt;"&amp;$W143))))</f>
        <v/>
      </c>
      <c r="BD143" s="39" t="str">
        <f aca="false">IF($A143="","",IF($AC143="","",IF(OR($L143="",$AC143=0),0,MIN($AC143,ROUND(ROUND(1440*SUMPRODUCT(($L$2:INDEX($L:$L,COUNTA($C:$C))=$L143)*($B$2:INDEX($B:$B,COUNTA($C:$C))=$B143)*(ROW($L$2:INDEX($L:$L,COUNTA($C:$C)))&lt;&gt;ROW())*((((($W143+$BT$2:INDEX($BT:$BT,COUNTA($C:$C))-ABS($W143-$BT$2:INDEX($BT:$BT,COUNTA($C:$C))))/2)-(($U143+$BS$2:INDEX($BS:$BS,COUNTA($C:$C))+ABS($U143-$BS$2:INDEX($BS:$BS,COUNTA($C:$C))))/2))+ABS(((($W143+$BT$2:INDEX($BT:$BT,COUNTA($C:$C))-ABS($W143-$BT$2:INDEX($BT:$BT,COUNTA($C:$C))))/2)-(($U143+$BS$2:INDEX($BS:$BS,COUNTA($C:$C))+ABS($U143-$BS$2:INDEX($BS:$BS,COUNTA($C:$C))))/2))))/2)),4),0)))))</f>
        <v/>
      </c>
      <c r="BE143" s="39" t="str">
        <f aca="false">IF($A143="","",IF($AC143="","",ROUND(MIN($AC143-$BD143,N($R143)),0)))</f>
        <v/>
      </c>
      <c r="BF143" s="10" t="str">
        <f aca="false">IF($A143="","",IFERROR(VLOOKUP($C143,Dim_Fund!$A:$BD,56,0),""))</f>
        <v/>
      </c>
      <c r="BG143" s="10" t="str">
        <f aca="false">IF($A143="","",IFERROR(VLOOKUP($C143,Dim_Fund!$A:$BH,60,0),""))</f>
        <v/>
      </c>
      <c r="BH143" s="10" t="str">
        <f aca="false">IF($A143="","",IF($AI143&lt;&gt;"Yes","Not breached",IF($AM143="Yes","Pricing late",IF($BG143="Thin custody slack","Thin custody slack",IF($BF143="Yes","Broker-dependent","None of these")))))</f>
        <v/>
      </c>
      <c r="BI143" s="23" t="str">
        <f aca="false">IF($A143="","",IFERROR(IF(VLOOKUP($C143,Dim_Fund!$A:$AI,35,0)&gt;0,VLOOKUP($C143,Dim_Fund!$A:$AI,35,0),""),""))</f>
        <v/>
      </c>
      <c r="BJ143" s="10" t="str">
        <f aca="false">IF($A143="","",$C143&amp;IF($E143="Client","*",""))</f>
        <v/>
      </c>
      <c r="BK143" s="39" t="str">
        <f aca="false">IF($A143="","",IFERROR(ROUND(($Y143-$X143)*1440,0),""))</f>
        <v/>
      </c>
      <c r="BL143" s="39" t="str">
        <f aca="false">IF($A143="","",IF($AH143="","",-$AH143))</f>
        <v/>
      </c>
      <c r="BM143" s="46" t="str">
        <f aca="false">IF($A143="","",IF($AQ143="","",IF($AP143="",$AQ143,MIN($AP143,$AQ143))))</f>
        <v/>
      </c>
      <c r="BN143" s="46" t="str">
        <f aca="false">IF($A143="","",IF($BM143="","",ROUND(N($AC143)/60,4)))</f>
        <v/>
      </c>
      <c r="BO143" s="46" t="str">
        <f aca="false">IF($A143="","",IF(OR($BM143="",$AD143=""),"",ROUND($AD143/60,4)))</f>
        <v/>
      </c>
      <c r="BP143" s="46" t="str">
        <f aca="false">IF($A143="","",IF($BM143="","",ROUND(N($AE143)/60,4)))</f>
        <v/>
      </c>
      <c r="BQ143" s="46" t="str">
        <f aca="false">IF($A143="","",IF(OR($BM143="",$AF143=""),"",ROUND($AF143/60,4)))</f>
        <v/>
      </c>
      <c r="BR143" s="39" t="str">
        <f aca="false">IF($A143="","",IF($AC143="","",$AC143-$BD143-$BE143))</f>
        <v/>
      </c>
      <c r="BS143" s="45" t="str">
        <f aca="false">IF($A143="","",IF(AND(ISNUMBER($Z143),ISNUMBER($W143)),$Z143,0))</f>
        <v/>
      </c>
      <c r="BT143" s="45" t="str">
        <f aca="false">IF($A143="","",IF(ISNUMBER($W143),$W143,0))</f>
        <v/>
      </c>
      <c r="BU143" s="23" t="str">
        <f aca="false">IF($A143="","",IF(ISNUMBER($W143),ROUND(($W143-$B143)*24,4),""))</f>
        <v/>
      </c>
      <c r="BV143" s="23" t="str">
        <f aca="false">IF($A143="","",IF(ISNUMBER($X143),ROUND(($X143-$B143)*24,4),""))</f>
        <v/>
      </c>
      <c r="BW143" s="10" t="str">
        <f aca="false">IF($A143="","",IF(NOT(ISNUMBER($W143)),"Missing Calculated",IF(NOT(ISNUMBER($X143)),IF($E143="Client","Missing FA signed off","Missing Controlled"),IF($X143&lt;$W143,"End before start","OK"))))</f>
        <v/>
      </c>
      <c r="BX143" s="23" t="str">
        <f aca="false">IF($A143="","",IF(NOT(ISNUMBER($Z143)),"",ROUND((IF(ISNUMBER($U143),MIN($U143,$Z143),$Z143)-$B143)*24,4)))</f>
        <v/>
      </c>
      <c r="BY143" s="23" t="str">
        <f aca="false">IF($A143="","",IF(ISNUMBER($Z143),ROUND(($Z143-$B143)*24,4),""))</f>
        <v/>
      </c>
      <c r="BZ143" s="23" t="str">
        <f aca="false">IF($A143="","",IF(AND(ISNUMBER($W143),ISNUMBER($S143)),ROUND(($W143+$S143/1440-$B143)*24,4),""))</f>
        <v/>
      </c>
    </row>
    <row r="144" customFormat="false" ht="15" hidden="false" customHeight="true" outlineLevel="0" collapsed="false">
      <c r="A144" s="47"/>
      <c r="B144" s="47"/>
      <c r="D144" s="4" t="str">
        <f aca="false">IF($A144="","",$B144-$A144)</f>
        <v/>
      </c>
      <c r="E144" s="4" t="str">
        <f aca="false">IF($A144="","",IFERROR(VLOOKUP($C144,Dim_Fund!$A:$X,24,0),""))</f>
        <v/>
      </c>
      <c r="F144" s="37" t="str">
        <f aca="false">IF($A144="","",IF(COUNTIFS(Status_Log!$A:$A,$A144,Status_Log!$B:$B,$B144,Status_Log!$C:$C,$C144,Status_Log!$D:$D,"Changed to the status of Calculated")=0,"",_xlfn.MINIFS(Status_Log!$E:$E,Status_Log!$A:$A,$A144,Status_Log!$B:$B,$B144,Status_Log!$C:$C,$C144,Status_Log!$D:$D,"Changed to the status of Calculated")))</f>
        <v/>
      </c>
      <c r="G144" s="37" t="str">
        <f aca="false">IF($A144="","",IF(COUNTIFS(Status_Log!$A:$A,$A144,Status_Log!$B:$B,$B144,Status_Log!$C:$C,$C144,Status_Log!$D:$D,"Changed to the status of Controlled")=0,"",_xlfn.MAXIFS(Status_Log!$E:$E,Status_Log!$A:$A,$A144,Status_Log!$B:$B,$B144,Status_Log!$C:$C,$C144,Status_Log!$D:$D,"Changed to the status of Controlled")))</f>
        <v/>
      </c>
      <c r="H144" s="37" t="str">
        <f aca="false">IF($A144="","",IF(COUNTIFS(Status_Log!$A:$A,$A144,Status_Log!$B:$B,$B144,Status_Log!$C:$C,$C144,Status_Log!$D:$D,"Changed to the status of Fund accounting signed off")=0,"",_xlfn.MAXIFS(Status_Log!$E:$E,Status_Log!$A:$A,$A144,Status_Log!$B:$B,$B144,Status_Log!$C:$C,$C144,Status_Log!$D:$D,"Changed to the status of Fund accounting signed off")))</f>
        <v/>
      </c>
      <c r="I144" s="37" t="str">
        <f aca="false">IF($A144="","",IF(COUNTIFS(Status_Log!$A:$A,$A144,Status_Log!$B:$B,$B144,Status_Log!$C:$C,$C144,Status_Log!$D:$D,"Changed to the status of signed off")=0,"",_xlfn.MAXIFS(Status_Log!$E:$E,Status_Log!$A:$A,$A144,Status_Log!$B:$B,$B144,Status_Log!$C:$C,$C144,Status_Log!$D:$D,"Changed to the status of signed off")))</f>
        <v/>
      </c>
      <c r="J144" s="4" t="str">
        <f aca="false">IF($A144="","",COUNTIFS(Status_Log!$A:$A,$A144,Status_Log!$B:$B,$B144,Status_Log!$C:$C,$C144,Status_Log!$D:$D,"Changed to the status of Calculated"))</f>
        <v/>
      </c>
      <c r="K144" s="38" t="str">
        <f aca="false">IF($A144="","",IF(J144&lt;=1,0,ROUND((_xlfn.MAXIFS(Status_Log!$E:$E,Status_Log!$A:$A,$A144,Status_Log!$B:$B,$B144,Status_Log!$C:$C,$C144,Status_Log!$D:$D,"Changed to the status of Calculated")-F144)*1440,0)))</f>
        <v/>
      </c>
      <c r="L144" s="4" t="str">
        <f aca="false">IF($A144="","",IFERROR(INDEX(Status_Log!$F:$F,MATCH($A144&amp;"|"&amp;$B144&amp;"|"&amp;$C144&amp;"|Changed to the status of Calculated|"&amp;TEXT(_xlfn.MAXIFS(Status_Log!$E:$E,Status_Log!$A:$A,$A144,Status_Log!$B:$B,$B144,Status_Log!$C:$C,$C144,Status_Log!$D:$D,"Changed to the status of Calculated"),"0.000000"),Status_Log!$H:$H,0)),""))</f>
        <v/>
      </c>
      <c r="M144" s="4" t="str">
        <f aca="false">IF($A144="","",IF(E144="Client","n/a — no control step",IFERROR(INDEX(Status_Log!$F:$F,MATCH($A144&amp;"|"&amp;$B144&amp;"|"&amp;$C144&amp;"|Changed to the status of Controlled|"&amp;TEXT(_xlfn.MAXIFS(Status_Log!$E:$E,Status_Log!$A:$A,$A144,Status_Log!$B:$B,$B144,Status_Log!$C:$C,$C144,Status_Log!$D:$D,"Changed to the status of Controlled"),"0.000000"),Status_Log!$H:$H,0)),"")))</f>
        <v/>
      </c>
      <c r="N144" s="4" t="str">
        <f aca="false">IF($A144="","",IFERROR(VLOOKUP($C144,Dim_Fund!$A:$G,7,0),""))</f>
        <v/>
      </c>
      <c r="O144" s="4" t="str">
        <f aca="false">IF($A144="","",IF(L144=N144,"No","Yes"))</f>
        <v/>
      </c>
      <c r="P144" s="4" t="str">
        <f aca="false">IF($A144="","",IF(E144="Client","n/a",IF(L144=M144,"YES — four-eyes breach","No")))</f>
        <v/>
      </c>
      <c r="Q144" s="38" t="str">
        <f aca="false">IF($A144="","",IFERROR(VLOOKUP($C144,Dim_Fund!$A:$AB,28,0),""))</f>
        <v/>
      </c>
      <c r="R144" s="38" t="str">
        <f aca="false">IF($A144="","",IFERROR(VLOOKUP($C144,Dim_Fund!$A:$AC,29,0),""))</f>
        <v/>
      </c>
      <c r="S144" s="38" t="str">
        <f aca="false">IF($A144="","",IFERROR(VLOOKUP($C144,Dim_Fund!$A:$AD,30,0),""))</f>
        <v/>
      </c>
      <c r="T144" s="38" t="str">
        <f aca="false">IF($A144="","",IFERROR(VLOOKUP($C144,Dim_Fund!$A:$AL,38,0),""))</f>
        <v/>
      </c>
      <c r="U144" s="37" t="str">
        <f aca="false">IF($A144="","",IF(AL144="","",IFERROR(IF(COUNTIFS(Fact_Milestone!$A:$A,$B144,Fact_Milestone!$B:$B,AL144)=0,"",_xlfn.MAXIFS(Fact_Milestone!$C:$C,Fact_Milestone!$A:$A,$B144,Fact_Milestone!$B:$B,AL144)),"")))</f>
        <v/>
      </c>
      <c r="V144" s="37" t="str">
        <f aca="false">IF($A144="","",IFERROR(IF(VLOOKUP($C144,Dim_Fund!$A:$AI,35,0)&gt;0,$B144+VLOOKUP($C144,Dim_Fund!$A:$AI,35,0)/24,""),""))</f>
        <v/>
      </c>
      <c r="W144" s="37" t="str">
        <f aca="false">IF($A144="","",F144)</f>
        <v/>
      </c>
      <c r="X144" s="37" t="str">
        <f aca="false">IF($A144="","",IF(E144="Client",H144,G144))</f>
        <v/>
      </c>
      <c r="Y144" s="37" t="str">
        <f aca="false">IF($A144="","",I144)</f>
        <v/>
      </c>
      <c r="Z144" s="37" t="str">
        <f aca="false">IF($A144="","",IFERROR(W144-R144/1440,""))</f>
        <v/>
      </c>
      <c r="AA144" s="38" t="str">
        <f aca="false">IF($A144="","",IF(OR(U144="",V144=""),"",ROUND((V144-U144)*1440,0)))</f>
        <v/>
      </c>
      <c r="AB144" s="38" t="str">
        <f aca="false">IF($A144="","",IF(U144="","",ROUND((W144-U144)*1440,0)))</f>
        <v/>
      </c>
      <c r="AC144" s="38" t="str">
        <f aca="false">IF($A144="","",IF(AB144="","",MAX(0,AB144)))</f>
        <v/>
      </c>
      <c r="AD144" s="38" t="str">
        <f aca="false">IF($A144="","",IFERROR(ROUND((X144-W144)*1440,0),""))</f>
        <v/>
      </c>
      <c r="AE144" s="38" t="str">
        <f aca="false">IF($A144="","",IF(E144="Client","n/a",IFERROR(ROUND((H144-G144)*1440,0),"")))</f>
        <v/>
      </c>
      <c r="AF144" s="38" t="str">
        <f aca="false">IF($A144="","",IFERROR(ROUND((Y144-H144)*1440,0),""))</f>
        <v/>
      </c>
      <c r="AG144" s="38" t="str">
        <f aca="false">IF($A144="","",IFERROR(ROUND((H144-F144)*1440,0),""))</f>
        <v/>
      </c>
      <c r="AH144" s="38" t="str">
        <f aca="false">IF($A144="","",IFERROR(ROUND((Y144-V144)*1440,0),""))</f>
        <v/>
      </c>
      <c r="AI144" s="4" t="str">
        <f aca="false">IF($A144="","",IF(AH144="","",IF(AH144&gt;0,"Yes","No")))</f>
        <v/>
      </c>
      <c r="AJ144" s="4" t="str">
        <f aca="false">IF($A144="","",IF(AI144&lt;&gt;"Yes","On time",IF(N(AC144)&gt;=MAX(N(AF144),N(K144)),"Wait for analyst",IF(N(AF144)&gt;=N(K144),"External sign-off","Rework"))))</f>
        <v/>
      </c>
      <c r="AK144" s="4" t="str">
        <f aca="false">IF($A144="","",IF(OR(F144="",Y144="",ISNA(MATCH(L144,Dim_Analyst!$A:$A,0))),"CHECK","OK"))</f>
        <v/>
      </c>
      <c r="AL144" s="4" t="str">
        <f aca="false">IF($A144="","",IFERROR(VLOOKUP($C144,Dim_Fund!$A:$U,21,0),""))</f>
        <v/>
      </c>
      <c r="AM144" s="4" t="str">
        <f aca="false">IF($A144="","",IF($U144="","",IF($U144&gt;$B144+IFERROR(VLOOKUP($C144,Dim_Fund!$A:$AH,34,0),0)/24,"Yes","No")))</f>
        <v/>
      </c>
      <c r="AN144" s="22" t="str">
        <f aca="false">IF($A144="","",IFERROR(VLOOKUP($C144,Dim_Fund!$A:$AH,34,0),""))</f>
        <v/>
      </c>
      <c r="AO144" s="22" t="str">
        <f aca="false">IF($A144="","",IF($AL144="","",IFERROR(FLOOR(IF(COUNTIFS(Fact_Milestone!$A:$A,$B144,Fact_Milestone!$B:$B,$AL144,Fact_Milestone!$F:$F,"&gt;0")&gt;0,_xlfn.MINIFS(Fact_Milestone!$F:$F,Fact_Milestone!$A:$A,$B144,Fact_Milestone!$B:$B,$AL144,Fact_Milestone!$F:$F,"&gt;0"),VLOOKUP($AL144,Dim_TOP!$A:$E,5,0)),0.5),"")))</f>
        <v/>
      </c>
      <c r="AP144" s="22" t="str">
        <f aca="false">IF($A144="","",IF($U144="","",ROUND(($U144-INT($U144))*24,4)))</f>
        <v/>
      </c>
      <c r="AQ144" s="22" t="str">
        <f aca="false">IF($A144="","",IF($W144="","",ROUND(($W144-INT($W144))*24,4)))</f>
        <v/>
      </c>
      <c r="AR144" s="22" t="str">
        <f aca="false">IF($A144="","",IF($X144="","",ROUND(($X144-INT($X144))*24,4)))</f>
        <v/>
      </c>
      <c r="AS144" s="38" t="str">
        <f aca="false">IF($A144="","",IF(OR($AN144="",$V144="",$S144="",$T144=""),"",ROUND(($V144-($B144+$AN144/24))*1440-$S144-$T144,0)))</f>
        <v/>
      </c>
      <c r="AT144" s="38" t="str">
        <f aca="false">IF($A144="","",IF(OR($AN144="",$U144=""),"",ROUND(($U144-($B144+$AN144/24))*1440,0)))</f>
        <v/>
      </c>
      <c r="AU144" s="38" t="str">
        <f aca="false">IF($A144="","",IF(OR($AD144="",$S144=""),"",ROUND($AD144-$S144,0)))</f>
        <v/>
      </c>
      <c r="AV144" s="38" t="str">
        <f aca="false">IF($A144="","",N($AE144))</f>
        <v/>
      </c>
      <c r="AW144" s="38" t="str">
        <f aca="false">IF($A144="","",IF(OR($AF144="",$T144=""),"",$AF144-$T144))</f>
        <v/>
      </c>
      <c r="AX144" s="38" t="str">
        <f aca="false">IF($A144="","",IF(COUNT($AT144,$AB144,$AU144,$AW144,$AS144,$AH144)&lt;6,"",ROUND($AT144+$AB144+$AU144+$AV144+$AW144-$AS144-$AH144,0)))</f>
        <v/>
      </c>
      <c r="AY144" s="4" t="str">
        <f aca="false">IF($A144="","",IF($AX144="","No",IF(ABS($AX144)&lt;=2,"Yes","No")))</f>
        <v/>
      </c>
      <c r="AZ144" s="4" t="str">
        <f aca="false">IF($A144="","",IF($AI144&lt;&gt;"Yes","n/a",IF(OR($AA144="",$S144="",$T144=""),"Unknown",IF($AA144&lt;$S144+$T144,"Lost on arrival","Lost after arrival"))))</f>
        <v/>
      </c>
      <c r="BA144" s="10" t="str">
        <f aca="false">IF($A144="","",IFERROR(VLOOKUP($C144,Dim_Fund!$A:$D,4,0),""))</f>
        <v/>
      </c>
      <c r="BB144" s="10" t="str">
        <f aca="false">IF($A144="","",IF($AL144="","",IF(COUNTIFS(Fact_Milestone!$A:$A,$B144,Fact_Milestone!$B:$B,$AL144,Fact_Milestone!$I:$I,"No")&gt;0,"No",IF(COUNTIFS(Fact_Milestone!$A:$A,$B144,Fact_Milestone!$B:$B,$AL144,Fact_Milestone!$I:$I,"Yes")&gt;0,"Yes",""))))</f>
        <v/>
      </c>
      <c r="BC144" s="45" t="str">
        <f aca="false">IF($A144="","",IF(OR($L144="",$W144=""),"",IF(COUNTIFS($L:$L,$L144,$B:$B,$B144,$W:$W,"&lt;"&amp;$W144)=0,"",_xlfn.MAXIFS($W:$W,$L:$L,$L144,$B:$B,$B144,$W:$W,"&lt;"&amp;$W144))))</f>
        <v/>
      </c>
      <c r="BD144" s="39" t="str">
        <f aca="false">IF($A144="","",IF($AC144="","",IF(OR($L144="",$AC144=0),0,MIN($AC144,ROUND(ROUND(1440*SUMPRODUCT(($L$2:INDEX($L:$L,COUNTA($C:$C))=$L144)*($B$2:INDEX($B:$B,COUNTA($C:$C))=$B144)*(ROW($L$2:INDEX($L:$L,COUNTA($C:$C)))&lt;&gt;ROW())*((((($W144+$BT$2:INDEX($BT:$BT,COUNTA($C:$C))-ABS($W144-$BT$2:INDEX($BT:$BT,COUNTA($C:$C))))/2)-(($U144+$BS$2:INDEX($BS:$BS,COUNTA($C:$C))+ABS($U144-$BS$2:INDEX($BS:$BS,COUNTA($C:$C))))/2))+ABS(((($W144+$BT$2:INDEX($BT:$BT,COUNTA($C:$C))-ABS($W144-$BT$2:INDEX($BT:$BT,COUNTA($C:$C))))/2)-(($U144+$BS$2:INDEX($BS:$BS,COUNTA($C:$C))+ABS($U144-$BS$2:INDEX($BS:$BS,COUNTA($C:$C))))/2))))/2)),4),0)))))</f>
        <v/>
      </c>
      <c r="BE144" s="39" t="str">
        <f aca="false">IF($A144="","",IF($AC144="","",ROUND(MIN($AC144-$BD144,N($R144)),0)))</f>
        <v/>
      </c>
      <c r="BF144" s="10" t="str">
        <f aca="false">IF($A144="","",IFERROR(VLOOKUP($C144,Dim_Fund!$A:$BD,56,0),""))</f>
        <v/>
      </c>
      <c r="BG144" s="10" t="str">
        <f aca="false">IF($A144="","",IFERROR(VLOOKUP($C144,Dim_Fund!$A:$BH,60,0),""))</f>
        <v/>
      </c>
      <c r="BH144" s="10" t="str">
        <f aca="false">IF($A144="","",IF($AI144&lt;&gt;"Yes","Not breached",IF($AM144="Yes","Pricing late",IF($BG144="Thin custody slack","Thin custody slack",IF($BF144="Yes","Broker-dependent","None of these")))))</f>
        <v/>
      </c>
      <c r="BI144" s="23" t="str">
        <f aca="false">IF($A144="","",IFERROR(IF(VLOOKUP($C144,Dim_Fund!$A:$AI,35,0)&gt;0,VLOOKUP($C144,Dim_Fund!$A:$AI,35,0),""),""))</f>
        <v/>
      </c>
      <c r="BJ144" s="10" t="str">
        <f aca="false">IF($A144="","",$C144&amp;IF($E144="Client","*",""))</f>
        <v/>
      </c>
      <c r="BK144" s="39" t="str">
        <f aca="false">IF($A144="","",IFERROR(ROUND(($Y144-$X144)*1440,0),""))</f>
        <v/>
      </c>
      <c r="BL144" s="39" t="str">
        <f aca="false">IF($A144="","",IF($AH144="","",-$AH144))</f>
        <v/>
      </c>
      <c r="BM144" s="46" t="str">
        <f aca="false">IF($A144="","",IF($AQ144="","",IF($AP144="",$AQ144,MIN($AP144,$AQ144))))</f>
        <v/>
      </c>
      <c r="BN144" s="46" t="str">
        <f aca="false">IF($A144="","",IF($BM144="","",ROUND(N($AC144)/60,4)))</f>
        <v/>
      </c>
      <c r="BO144" s="46" t="str">
        <f aca="false">IF($A144="","",IF(OR($BM144="",$AD144=""),"",ROUND($AD144/60,4)))</f>
        <v/>
      </c>
      <c r="BP144" s="46" t="str">
        <f aca="false">IF($A144="","",IF($BM144="","",ROUND(N($AE144)/60,4)))</f>
        <v/>
      </c>
      <c r="BQ144" s="46" t="str">
        <f aca="false">IF($A144="","",IF(OR($BM144="",$AF144=""),"",ROUND($AF144/60,4)))</f>
        <v/>
      </c>
      <c r="BR144" s="39" t="str">
        <f aca="false">IF($A144="","",IF($AC144="","",$AC144-$BD144-$BE144))</f>
        <v/>
      </c>
      <c r="BS144" s="45" t="str">
        <f aca="false">IF($A144="","",IF(AND(ISNUMBER($Z144),ISNUMBER($W144)),$Z144,0))</f>
        <v/>
      </c>
      <c r="BT144" s="45" t="str">
        <f aca="false">IF($A144="","",IF(ISNUMBER($W144),$W144,0))</f>
        <v/>
      </c>
      <c r="BU144" s="23" t="str">
        <f aca="false">IF($A144="","",IF(ISNUMBER($W144),ROUND(($W144-$B144)*24,4),""))</f>
        <v/>
      </c>
      <c r="BV144" s="23" t="str">
        <f aca="false">IF($A144="","",IF(ISNUMBER($X144),ROUND(($X144-$B144)*24,4),""))</f>
        <v/>
      </c>
      <c r="BW144" s="10" t="str">
        <f aca="false">IF($A144="","",IF(NOT(ISNUMBER($W144)),"Missing Calculated",IF(NOT(ISNUMBER($X144)),IF($E144="Client","Missing FA signed off","Missing Controlled"),IF($X144&lt;$W144,"End before start","OK"))))</f>
        <v/>
      </c>
      <c r="BX144" s="23" t="str">
        <f aca="false">IF($A144="","",IF(NOT(ISNUMBER($Z144)),"",ROUND((IF(ISNUMBER($U144),MIN($U144,$Z144),$Z144)-$B144)*24,4)))</f>
        <v/>
      </c>
      <c r="BY144" s="23" t="str">
        <f aca="false">IF($A144="","",IF(ISNUMBER($Z144),ROUND(($Z144-$B144)*24,4),""))</f>
        <v/>
      </c>
      <c r="BZ144" s="23" t="str">
        <f aca="false">IF($A144="","",IF(AND(ISNUMBER($W144),ISNUMBER($S144)),ROUND(($W144+$S144/1440-$B144)*24,4),""))</f>
        <v/>
      </c>
    </row>
    <row r="145" customFormat="false" ht="15" hidden="false" customHeight="true" outlineLevel="0" collapsed="false">
      <c r="A145" s="47"/>
      <c r="B145" s="47"/>
      <c r="D145" s="4" t="str">
        <f aca="false">IF($A145="","",$B145-$A145)</f>
        <v/>
      </c>
      <c r="E145" s="4" t="str">
        <f aca="false">IF($A145="","",IFERROR(VLOOKUP($C145,Dim_Fund!$A:$X,24,0),""))</f>
        <v/>
      </c>
      <c r="F145" s="37" t="str">
        <f aca="false">IF($A145="","",IF(COUNTIFS(Status_Log!$A:$A,$A145,Status_Log!$B:$B,$B145,Status_Log!$C:$C,$C145,Status_Log!$D:$D,"Changed to the status of Calculated")=0,"",_xlfn.MINIFS(Status_Log!$E:$E,Status_Log!$A:$A,$A145,Status_Log!$B:$B,$B145,Status_Log!$C:$C,$C145,Status_Log!$D:$D,"Changed to the status of Calculated")))</f>
        <v/>
      </c>
      <c r="G145" s="37" t="str">
        <f aca="false">IF($A145="","",IF(COUNTIFS(Status_Log!$A:$A,$A145,Status_Log!$B:$B,$B145,Status_Log!$C:$C,$C145,Status_Log!$D:$D,"Changed to the status of Controlled")=0,"",_xlfn.MAXIFS(Status_Log!$E:$E,Status_Log!$A:$A,$A145,Status_Log!$B:$B,$B145,Status_Log!$C:$C,$C145,Status_Log!$D:$D,"Changed to the status of Controlled")))</f>
        <v/>
      </c>
      <c r="H145" s="37" t="str">
        <f aca="false">IF($A145="","",IF(COUNTIFS(Status_Log!$A:$A,$A145,Status_Log!$B:$B,$B145,Status_Log!$C:$C,$C145,Status_Log!$D:$D,"Changed to the status of Fund accounting signed off")=0,"",_xlfn.MAXIFS(Status_Log!$E:$E,Status_Log!$A:$A,$A145,Status_Log!$B:$B,$B145,Status_Log!$C:$C,$C145,Status_Log!$D:$D,"Changed to the status of Fund accounting signed off")))</f>
        <v/>
      </c>
      <c r="I145" s="37" t="str">
        <f aca="false">IF($A145="","",IF(COUNTIFS(Status_Log!$A:$A,$A145,Status_Log!$B:$B,$B145,Status_Log!$C:$C,$C145,Status_Log!$D:$D,"Changed to the status of signed off")=0,"",_xlfn.MAXIFS(Status_Log!$E:$E,Status_Log!$A:$A,$A145,Status_Log!$B:$B,$B145,Status_Log!$C:$C,$C145,Status_Log!$D:$D,"Changed to the status of signed off")))</f>
        <v/>
      </c>
      <c r="J145" s="4" t="str">
        <f aca="false">IF($A145="","",COUNTIFS(Status_Log!$A:$A,$A145,Status_Log!$B:$B,$B145,Status_Log!$C:$C,$C145,Status_Log!$D:$D,"Changed to the status of Calculated"))</f>
        <v/>
      </c>
      <c r="K145" s="38" t="str">
        <f aca="false">IF($A145="","",IF(J145&lt;=1,0,ROUND((_xlfn.MAXIFS(Status_Log!$E:$E,Status_Log!$A:$A,$A145,Status_Log!$B:$B,$B145,Status_Log!$C:$C,$C145,Status_Log!$D:$D,"Changed to the status of Calculated")-F145)*1440,0)))</f>
        <v/>
      </c>
      <c r="L145" s="4" t="str">
        <f aca="false">IF($A145="","",IFERROR(INDEX(Status_Log!$F:$F,MATCH($A145&amp;"|"&amp;$B145&amp;"|"&amp;$C145&amp;"|Changed to the status of Calculated|"&amp;TEXT(_xlfn.MAXIFS(Status_Log!$E:$E,Status_Log!$A:$A,$A145,Status_Log!$B:$B,$B145,Status_Log!$C:$C,$C145,Status_Log!$D:$D,"Changed to the status of Calculated"),"0.000000"),Status_Log!$H:$H,0)),""))</f>
        <v/>
      </c>
      <c r="M145" s="4" t="str">
        <f aca="false">IF($A145="","",IF(E145="Client","n/a — no control step",IFERROR(INDEX(Status_Log!$F:$F,MATCH($A145&amp;"|"&amp;$B145&amp;"|"&amp;$C145&amp;"|Changed to the status of Controlled|"&amp;TEXT(_xlfn.MAXIFS(Status_Log!$E:$E,Status_Log!$A:$A,$A145,Status_Log!$B:$B,$B145,Status_Log!$C:$C,$C145,Status_Log!$D:$D,"Changed to the status of Controlled"),"0.000000"),Status_Log!$H:$H,0)),"")))</f>
        <v/>
      </c>
      <c r="N145" s="4" t="str">
        <f aca="false">IF($A145="","",IFERROR(VLOOKUP($C145,Dim_Fund!$A:$G,7,0),""))</f>
        <v/>
      </c>
      <c r="O145" s="4" t="str">
        <f aca="false">IF($A145="","",IF(L145=N145,"No","Yes"))</f>
        <v/>
      </c>
      <c r="P145" s="4" t="str">
        <f aca="false">IF($A145="","",IF(E145="Client","n/a",IF(L145=M145,"YES — four-eyes breach","No")))</f>
        <v/>
      </c>
      <c r="Q145" s="38" t="str">
        <f aca="false">IF($A145="","",IFERROR(VLOOKUP($C145,Dim_Fund!$A:$AB,28,0),""))</f>
        <v/>
      </c>
      <c r="R145" s="38" t="str">
        <f aca="false">IF($A145="","",IFERROR(VLOOKUP($C145,Dim_Fund!$A:$AC,29,0),""))</f>
        <v/>
      </c>
      <c r="S145" s="38" t="str">
        <f aca="false">IF($A145="","",IFERROR(VLOOKUP($C145,Dim_Fund!$A:$AD,30,0),""))</f>
        <v/>
      </c>
      <c r="T145" s="38" t="str">
        <f aca="false">IF($A145="","",IFERROR(VLOOKUP($C145,Dim_Fund!$A:$AL,38,0),""))</f>
        <v/>
      </c>
      <c r="U145" s="37" t="str">
        <f aca="false">IF($A145="","",IF(AL145="","",IFERROR(IF(COUNTIFS(Fact_Milestone!$A:$A,$B145,Fact_Milestone!$B:$B,AL145)=0,"",_xlfn.MAXIFS(Fact_Milestone!$C:$C,Fact_Milestone!$A:$A,$B145,Fact_Milestone!$B:$B,AL145)),"")))</f>
        <v/>
      </c>
      <c r="V145" s="37" t="str">
        <f aca="false">IF($A145="","",IFERROR(IF(VLOOKUP($C145,Dim_Fund!$A:$AI,35,0)&gt;0,$B145+VLOOKUP($C145,Dim_Fund!$A:$AI,35,0)/24,""),""))</f>
        <v/>
      </c>
      <c r="W145" s="37" t="str">
        <f aca="false">IF($A145="","",F145)</f>
        <v/>
      </c>
      <c r="X145" s="37" t="str">
        <f aca="false">IF($A145="","",IF(E145="Client",H145,G145))</f>
        <v/>
      </c>
      <c r="Y145" s="37" t="str">
        <f aca="false">IF($A145="","",I145)</f>
        <v/>
      </c>
      <c r="Z145" s="37" t="str">
        <f aca="false">IF($A145="","",IFERROR(W145-R145/1440,""))</f>
        <v/>
      </c>
      <c r="AA145" s="38" t="str">
        <f aca="false">IF($A145="","",IF(OR(U145="",V145=""),"",ROUND((V145-U145)*1440,0)))</f>
        <v/>
      </c>
      <c r="AB145" s="38" t="str">
        <f aca="false">IF($A145="","",IF(U145="","",ROUND((W145-U145)*1440,0)))</f>
        <v/>
      </c>
      <c r="AC145" s="38" t="str">
        <f aca="false">IF($A145="","",IF(AB145="","",MAX(0,AB145)))</f>
        <v/>
      </c>
      <c r="AD145" s="38" t="str">
        <f aca="false">IF($A145="","",IFERROR(ROUND((X145-W145)*1440,0),""))</f>
        <v/>
      </c>
      <c r="AE145" s="38" t="str">
        <f aca="false">IF($A145="","",IF(E145="Client","n/a",IFERROR(ROUND((H145-G145)*1440,0),"")))</f>
        <v/>
      </c>
      <c r="AF145" s="38" t="str">
        <f aca="false">IF($A145="","",IFERROR(ROUND((Y145-H145)*1440,0),""))</f>
        <v/>
      </c>
      <c r="AG145" s="38" t="str">
        <f aca="false">IF($A145="","",IFERROR(ROUND((H145-F145)*1440,0),""))</f>
        <v/>
      </c>
      <c r="AH145" s="38" t="str">
        <f aca="false">IF($A145="","",IFERROR(ROUND((Y145-V145)*1440,0),""))</f>
        <v/>
      </c>
      <c r="AI145" s="4" t="str">
        <f aca="false">IF($A145="","",IF(AH145="","",IF(AH145&gt;0,"Yes","No")))</f>
        <v/>
      </c>
      <c r="AJ145" s="4" t="str">
        <f aca="false">IF($A145="","",IF(AI145&lt;&gt;"Yes","On time",IF(N(AC145)&gt;=MAX(N(AF145),N(K145)),"Wait for analyst",IF(N(AF145)&gt;=N(K145),"External sign-off","Rework"))))</f>
        <v/>
      </c>
      <c r="AK145" s="4" t="str">
        <f aca="false">IF($A145="","",IF(OR(F145="",Y145="",ISNA(MATCH(L145,Dim_Analyst!$A:$A,0))),"CHECK","OK"))</f>
        <v/>
      </c>
      <c r="AL145" s="4" t="str">
        <f aca="false">IF($A145="","",IFERROR(VLOOKUP($C145,Dim_Fund!$A:$U,21,0),""))</f>
        <v/>
      </c>
      <c r="AM145" s="4" t="str">
        <f aca="false">IF($A145="","",IF($U145="","",IF($U145&gt;$B145+IFERROR(VLOOKUP($C145,Dim_Fund!$A:$AH,34,0),0)/24,"Yes","No")))</f>
        <v/>
      </c>
      <c r="AN145" s="22" t="str">
        <f aca="false">IF($A145="","",IFERROR(VLOOKUP($C145,Dim_Fund!$A:$AH,34,0),""))</f>
        <v/>
      </c>
      <c r="AO145" s="22" t="str">
        <f aca="false">IF($A145="","",IF($AL145="","",IFERROR(FLOOR(IF(COUNTIFS(Fact_Milestone!$A:$A,$B145,Fact_Milestone!$B:$B,$AL145,Fact_Milestone!$F:$F,"&gt;0")&gt;0,_xlfn.MINIFS(Fact_Milestone!$F:$F,Fact_Milestone!$A:$A,$B145,Fact_Milestone!$B:$B,$AL145,Fact_Milestone!$F:$F,"&gt;0"),VLOOKUP($AL145,Dim_TOP!$A:$E,5,0)),0.5),"")))</f>
        <v/>
      </c>
      <c r="AP145" s="22" t="str">
        <f aca="false">IF($A145="","",IF($U145="","",ROUND(($U145-INT($U145))*24,4)))</f>
        <v/>
      </c>
      <c r="AQ145" s="22" t="str">
        <f aca="false">IF($A145="","",IF($W145="","",ROUND(($W145-INT($W145))*24,4)))</f>
        <v/>
      </c>
      <c r="AR145" s="22" t="str">
        <f aca="false">IF($A145="","",IF($X145="","",ROUND(($X145-INT($X145))*24,4)))</f>
        <v/>
      </c>
      <c r="AS145" s="38" t="str">
        <f aca="false">IF($A145="","",IF(OR($AN145="",$V145="",$S145="",$T145=""),"",ROUND(($V145-($B145+$AN145/24))*1440-$S145-$T145,0)))</f>
        <v/>
      </c>
      <c r="AT145" s="38" t="str">
        <f aca="false">IF($A145="","",IF(OR($AN145="",$U145=""),"",ROUND(($U145-($B145+$AN145/24))*1440,0)))</f>
        <v/>
      </c>
      <c r="AU145" s="38" t="str">
        <f aca="false">IF($A145="","",IF(OR($AD145="",$S145=""),"",ROUND($AD145-$S145,0)))</f>
        <v/>
      </c>
      <c r="AV145" s="38" t="str">
        <f aca="false">IF($A145="","",N($AE145))</f>
        <v/>
      </c>
      <c r="AW145" s="38" t="str">
        <f aca="false">IF($A145="","",IF(OR($AF145="",$T145=""),"",$AF145-$T145))</f>
        <v/>
      </c>
      <c r="AX145" s="38" t="str">
        <f aca="false">IF($A145="","",IF(COUNT($AT145,$AB145,$AU145,$AW145,$AS145,$AH145)&lt;6,"",ROUND($AT145+$AB145+$AU145+$AV145+$AW145-$AS145-$AH145,0)))</f>
        <v/>
      </c>
      <c r="AY145" s="4" t="str">
        <f aca="false">IF($A145="","",IF($AX145="","No",IF(ABS($AX145)&lt;=2,"Yes","No")))</f>
        <v/>
      </c>
      <c r="AZ145" s="4" t="str">
        <f aca="false">IF($A145="","",IF($AI145&lt;&gt;"Yes","n/a",IF(OR($AA145="",$S145="",$T145=""),"Unknown",IF($AA145&lt;$S145+$T145,"Lost on arrival","Lost after arrival"))))</f>
        <v/>
      </c>
      <c r="BA145" s="10" t="str">
        <f aca="false">IF($A145="","",IFERROR(VLOOKUP($C145,Dim_Fund!$A:$D,4,0),""))</f>
        <v/>
      </c>
      <c r="BB145" s="10" t="str">
        <f aca="false">IF($A145="","",IF($AL145="","",IF(COUNTIFS(Fact_Milestone!$A:$A,$B145,Fact_Milestone!$B:$B,$AL145,Fact_Milestone!$I:$I,"No")&gt;0,"No",IF(COUNTIFS(Fact_Milestone!$A:$A,$B145,Fact_Milestone!$B:$B,$AL145,Fact_Milestone!$I:$I,"Yes")&gt;0,"Yes",""))))</f>
        <v/>
      </c>
      <c r="BC145" s="45" t="str">
        <f aca="false">IF($A145="","",IF(OR($L145="",$W145=""),"",IF(COUNTIFS($L:$L,$L145,$B:$B,$B145,$W:$W,"&lt;"&amp;$W145)=0,"",_xlfn.MAXIFS($W:$W,$L:$L,$L145,$B:$B,$B145,$W:$W,"&lt;"&amp;$W145))))</f>
        <v/>
      </c>
      <c r="BD145" s="39" t="str">
        <f aca="false">IF($A145="","",IF($AC145="","",IF(OR($L145="",$AC145=0),0,MIN($AC145,ROUND(ROUND(1440*SUMPRODUCT(($L$2:INDEX($L:$L,COUNTA($C:$C))=$L145)*($B$2:INDEX($B:$B,COUNTA($C:$C))=$B145)*(ROW($L$2:INDEX($L:$L,COUNTA($C:$C)))&lt;&gt;ROW())*((((($W145+$BT$2:INDEX($BT:$BT,COUNTA($C:$C))-ABS($W145-$BT$2:INDEX($BT:$BT,COUNTA($C:$C))))/2)-(($U145+$BS$2:INDEX($BS:$BS,COUNTA($C:$C))+ABS($U145-$BS$2:INDEX($BS:$BS,COUNTA($C:$C))))/2))+ABS(((($W145+$BT$2:INDEX($BT:$BT,COUNTA($C:$C))-ABS($W145-$BT$2:INDEX($BT:$BT,COUNTA($C:$C))))/2)-(($U145+$BS$2:INDEX($BS:$BS,COUNTA($C:$C))+ABS($U145-$BS$2:INDEX($BS:$BS,COUNTA($C:$C))))/2))))/2)),4),0)))))</f>
        <v/>
      </c>
      <c r="BE145" s="39" t="str">
        <f aca="false">IF($A145="","",IF($AC145="","",ROUND(MIN($AC145-$BD145,N($R145)),0)))</f>
        <v/>
      </c>
      <c r="BF145" s="10" t="str">
        <f aca="false">IF($A145="","",IFERROR(VLOOKUP($C145,Dim_Fund!$A:$BD,56,0),""))</f>
        <v/>
      </c>
      <c r="BG145" s="10" t="str">
        <f aca="false">IF($A145="","",IFERROR(VLOOKUP($C145,Dim_Fund!$A:$BH,60,0),""))</f>
        <v/>
      </c>
      <c r="BH145" s="10" t="str">
        <f aca="false">IF($A145="","",IF($AI145&lt;&gt;"Yes","Not breached",IF($AM145="Yes","Pricing late",IF($BG145="Thin custody slack","Thin custody slack",IF($BF145="Yes","Broker-dependent","None of these")))))</f>
        <v/>
      </c>
      <c r="BI145" s="23" t="str">
        <f aca="false">IF($A145="","",IFERROR(IF(VLOOKUP($C145,Dim_Fund!$A:$AI,35,0)&gt;0,VLOOKUP($C145,Dim_Fund!$A:$AI,35,0),""),""))</f>
        <v/>
      </c>
      <c r="BJ145" s="10" t="str">
        <f aca="false">IF($A145="","",$C145&amp;IF($E145="Client","*",""))</f>
        <v/>
      </c>
      <c r="BK145" s="39" t="str">
        <f aca="false">IF($A145="","",IFERROR(ROUND(($Y145-$X145)*1440,0),""))</f>
        <v/>
      </c>
      <c r="BL145" s="39" t="str">
        <f aca="false">IF($A145="","",IF($AH145="","",-$AH145))</f>
        <v/>
      </c>
      <c r="BM145" s="46" t="str">
        <f aca="false">IF($A145="","",IF($AQ145="","",IF($AP145="",$AQ145,MIN($AP145,$AQ145))))</f>
        <v/>
      </c>
      <c r="BN145" s="46" t="str">
        <f aca="false">IF($A145="","",IF($BM145="","",ROUND(N($AC145)/60,4)))</f>
        <v/>
      </c>
      <c r="BO145" s="46" t="str">
        <f aca="false">IF($A145="","",IF(OR($BM145="",$AD145=""),"",ROUND($AD145/60,4)))</f>
        <v/>
      </c>
      <c r="BP145" s="46" t="str">
        <f aca="false">IF($A145="","",IF($BM145="","",ROUND(N($AE145)/60,4)))</f>
        <v/>
      </c>
      <c r="BQ145" s="46" t="str">
        <f aca="false">IF($A145="","",IF(OR($BM145="",$AF145=""),"",ROUND($AF145/60,4)))</f>
        <v/>
      </c>
      <c r="BR145" s="39" t="str">
        <f aca="false">IF($A145="","",IF($AC145="","",$AC145-$BD145-$BE145))</f>
        <v/>
      </c>
      <c r="BS145" s="45" t="str">
        <f aca="false">IF($A145="","",IF(AND(ISNUMBER($Z145),ISNUMBER($W145)),$Z145,0))</f>
        <v/>
      </c>
      <c r="BT145" s="45" t="str">
        <f aca="false">IF($A145="","",IF(ISNUMBER($W145),$W145,0))</f>
        <v/>
      </c>
      <c r="BU145" s="23" t="str">
        <f aca="false">IF($A145="","",IF(ISNUMBER($W145),ROUND(($W145-$B145)*24,4),""))</f>
        <v/>
      </c>
      <c r="BV145" s="23" t="str">
        <f aca="false">IF($A145="","",IF(ISNUMBER($X145),ROUND(($X145-$B145)*24,4),""))</f>
        <v/>
      </c>
      <c r="BW145" s="10" t="str">
        <f aca="false">IF($A145="","",IF(NOT(ISNUMBER($W145)),"Missing Calculated",IF(NOT(ISNUMBER($X145)),IF($E145="Client","Missing FA signed off","Missing Controlled"),IF($X145&lt;$W145,"End before start","OK"))))</f>
        <v/>
      </c>
      <c r="BX145" s="23" t="str">
        <f aca="false">IF($A145="","",IF(NOT(ISNUMBER($Z145)),"",ROUND((IF(ISNUMBER($U145),MIN($U145,$Z145),$Z145)-$B145)*24,4)))</f>
        <v/>
      </c>
      <c r="BY145" s="23" t="str">
        <f aca="false">IF($A145="","",IF(ISNUMBER($Z145),ROUND(($Z145-$B145)*24,4),""))</f>
        <v/>
      </c>
      <c r="BZ145" s="23" t="str">
        <f aca="false">IF($A145="","",IF(AND(ISNUMBER($W145),ISNUMBER($S145)),ROUND(($W145+$S145/1440-$B145)*24,4),""))</f>
        <v/>
      </c>
    </row>
    <row r="146" customFormat="false" ht="15" hidden="false" customHeight="true" outlineLevel="0" collapsed="false">
      <c r="A146" s="47"/>
      <c r="B146" s="47"/>
      <c r="D146" s="4" t="str">
        <f aca="false">IF($A146="","",$B146-$A146)</f>
        <v/>
      </c>
      <c r="E146" s="4" t="str">
        <f aca="false">IF($A146="","",IFERROR(VLOOKUP($C146,Dim_Fund!$A:$X,24,0),""))</f>
        <v/>
      </c>
      <c r="F146" s="37" t="str">
        <f aca="false">IF($A146="","",IF(COUNTIFS(Status_Log!$A:$A,$A146,Status_Log!$B:$B,$B146,Status_Log!$C:$C,$C146,Status_Log!$D:$D,"Changed to the status of Calculated")=0,"",_xlfn.MINIFS(Status_Log!$E:$E,Status_Log!$A:$A,$A146,Status_Log!$B:$B,$B146,Status_Log!$C:$C,$C146,Status_Log!$D:$D,"Changed to the status of Calculated")))</f>
        <v/>
      </c>
      <c r="G146" s="37" t="str">
        <f aca="false">IF($A146="","",IF(COUNTIFS(Status_Log!$A:$A,$A146,Status_Log!$B:$B,$B146,Status_Log!$C:$C,$C146,Status_Log!$D:$D,"Changed to the status of Controlled")=0,"",_xlfn.MAXIFS(Status_Log!$E:$E,Status_Log!$A:$A,$A146,Status_Log!$B:$B,$B146,Status_Log!$C:$C,$C146,Status_Log!$D:$D,"Changed to the status of Controlled")))</f>
        <v/>
      </c>
      <c r="H146" s="37" t="str">
        <f aca="false">IF($A146="","",IF(COUNTIFS(Status_Log!$A:$A,$A146,Status_Log!$B:$B,$B146,Status_Log!$C:$C,$C146,Status_Log!$D:$D,"Changed to the status of Fund accounting signed off")=0,"",_xlfn.MAXIFS(Status_Log!$E:$E,Status_Log!$A:$A,$A146,Status_Log!$B:$B,$B146,Status_Log!$C:$C,$C146,Status_Log!$D:$D,"Changed to the status of Fund accounting signed off")))</f>
        <v/>
      </c>
      <c r="I146" s="37" t="str">
        <f aca="false">IF($A146="","",IF(COUNTIFS(Status_Log!$A:$A,$A146,Status_Log!$B:$B,$B146,Status_Log!$C:$C,$C146,Status_Log!$D:$D,"Changed to the status of signed off")=0,"",_xlfn.MAXIFS(Status_Log!$E:$E,Status_Log!$A:$A,$A146,Status_Log!$B:$B,$B146,Status_Log!$C:$C,$C146,Status_Log!$D:$D,"Changed to the status of signed off")))</f>
        <v/>
      </c>
      <c r="J146" s="4" t="str">
        <f aca="false">IF($A146="","",COUNTIFS(Status_Log!$A:$A,$A146,Status_Log!$B:$B,$B146,Status_Log!$C:$C,$C146,Status_Log!$D:$D,"Changed to the status of Calculated"))</f>
        <v/>
      </c>
      <c r="K146" s="38" t="str">
        <f aca="false">IF($A146="","",IF(J146&lt;=1,0,ROUND((_xlfn.MAXIFS(Status_Log!$E:$E,Status_Log!$A:$A,$A146,Status_Log!$B:$B,$B146,Status_Log!$C:$C,$C146,Status_Log!$D:$D,"Changed to the status of Calculated")-F146)*1440,0)))</f>
        <v/>
      </c>
      <c r="L146" s="4" t="str">
        <f aca="false">IF($A146="","",IFERROR(INDEX(Status_Log!$F:$F,MATCH($A146&amp;"|"&amp;$B146&amp;"|"&amp;$C146&amp;"|Changed to the status of Calculated|"&amp;TEXT(_xlfn.MAXIFS(Status_Log!$E:$E,Status_Log!$A:$A,$A146,Status_Log!$B:$B,$B146,Status_Log!$C:$C,$C146,Status_Log!$D:$D,"Changed to the status of Calculated"),"0.000000"),Status_Log!$H:$H,0)),""))</f>
        <v/>
      </c>
      <c r="M146" s="4" t="str">
        <f aca="false">IF($A146="","",IF(E146="Client","n/a — no control step",IFERROR(INDEX(Status_Log!$F:$F,MATCH($A146&amp;"|"&amp;$B146&amp;"|"&amp;$C146&amp;"|Changed to the status of Controlled|"&amp;TEXT(_xlfn.MAXIFS(Status_Log!$E:$E,Status_Log!$A:$A,$A146,Status_Log!$B:$B,$B146,Status_Log!$C:$C,$C146,Status_Log!$D:$D,"Changed to the status of Controlled"),"0.000000"),Status_Log!$H:$H,0)),"")))</f>
        <v/>
      </c>
      <c r="N146" s="4" t="str">
        <f aca="false">IF($A146="","",IFERROR(VLOOKUP($C146,Dim_Fund!$A:$G,7,0),""))</f>
        <v/>
      </c>
      <c r="O146" s="4" t="str">
        <f aca="false">IF($A146="","",IF(L146=N146,"No","Yes"))</f>
        <v/>
      </c>
      <c r="P146" s="4" t="str">
        <f aca="false">IF($A146="","",IF(E146="Client","n/a",IF(L146=M146,"YES — four-eyes breach","No")))</f>
        <v/>
      </c>
      <c r="Q146" s="38" t="str">
        <f aca="false">IF($A146="","",IFERROR(VLOOKUP($C146,Dim_Fund!$A:$AB,28,0),""))</f>
        <v/>
      </c>
      <c r="R146" s="38" t="str">
        <f aca="false">IF($A146="","",IFERROR(VLOOKUP($C146,Dim_Fund!$A:$AC,29,0),""))</f>
        <v/>
      </c>
      <c r="S146" s="38" t="str">
        <f aca="false">IF($A146="","",IFERROR(VLOOKUP($C146,Dim_Fund!$A:$AD,30,0),""))</f>
        <v/>
      </c>
      <c r="T146" s="38" t="str">
        <f aca="false">IF($A146="","",IFERROR(VLOOKUP($C146,Dim_Fund!$A:$AL,38,0),""))</f>
        <v/>
      </c>
      <c r="U146" s="37" t="str">
        <f aca="false">IF($A146="","",IF(AL146="","",IFERROR(IF(COUNTIFS(Fact_Milestone!$A:$A,$B146,Fact_Milestone!$B:$B,AL146)=0,"",_xlfn.MAXIFS(Fact_Milestone!$C:$C,Fact_Milestone!$A:$A,$B146,Fact_Milestone!$B:$B,AL146)),"")))</f>
        <v/>
      </c>
      <c r="V146" s="37" t="str">
        <f aca="false">IF($A146="","",IFERROR(IF(VLOOKUP($C146,Dim_Fund!$A:$AI,35,0)&gt;0,$B146+VLOOKUP($C146,Dim_Fund!$A:$AI,35,0)/24,""),""))</f>
        <v/>
      </c>
      <c r="W146" s="37" t="str">
        <f aca="false">IF($A146="","",F146)</f>
        <v/>
      </c>
      <c r="X146" s="37" t="str">
        <f aca="false">IF($A146="","",IF(E146="Client",H146,G146))</f>
        <v/>
      </c>
      <c r="Y146" s="37" t="str">
        <f aca="false">IF($A146="","",I146)</f>
        <v/>
      </c>
      <c r="Z146" s="37" t="str">
        <f aca="false">IF($A146="","",IFERROR(W146-R146/1440,""))</f>
        <v/>
      </c>
      <c r="AA146" s="38" t="str">
        <f aca="false">IF($A146="","",IF(OR(U146="",V146=""),"",ROUND((V146-U146)*1440,0)))</f>
        <v/>
      </c>
      <c r="AB146" s="38" t="str">
        <f aca="false">IF($A146="","",IF(U146="","",ROUND((W146-U146)*1440,0)))</f>
        <v/>
      </c>
      <c r="AC146" s="38" t="str">
        <f aca="false">IF($A146="","",IF(AB146="","",MAX(0,AB146)))</f>
        <v/>
      </c>
      <c r="AD146" s="38" t="str">
        <f aca="false">IF($A146="","",IFERROR(ROUND((X146-W146)*1440,0),""))</f>
        <v/>
      </c>
      <c r="AE146" s="38" t="str">
        <f aca="false">IF($A146="","",IF(E146="Client","n/a",IFERROR(ROUND((H146-G146)*1440,0),"")))</f>
        <v/>
      </c>
      <c r="AF146" s="38" t="str">
        <f aca="false">IF($A146="","",IFERROR(ROUND((Y146-H146)*1440,0),""))</f>
        <v/>
      </c>
      <c r="AG146" s="38" t="str">
        <f aca="false">IF($A146="","",IFERROR(ROUND((H146-F146)*1440,0),""))</f>
        <v/>
      </c>
      <c r="AH146" s="38" t="str">
        <f aca="false">IF($A146="","",IFERROR(ROUND((Y146-V146)*1440,0),""))</f>
        <v/>
      </c>
      <c r="AI146" s="4" t="str">
        <f aca="false">IF($A146="","",IF(AH146="","",IF(AH146&gt;0,"Yes","No")))</f>
        <v/>
      </c>
      <c r="AJ146" s="4" t="str">
        <f aca="false">IF($A146="","",IF(AI146&lt;&gt;"Yes","On time",IF(N(AC146)&gt;=MAX(N(AF146),N(K146)),"Wait for analyst",IF(N(AF146)&gt;=N(K146),"External sign-off","Rework"))))</f>
        <v/>
      </c>
      <c r="AK146" s="4" t="str">
        <f aca="false">IF($A146="","",IF(OR(F146="",Y146="",ISNA(MATCH(L146,Dim_Analyst!$A:$A,0))),"CHECK","OK"))</f>
        <v/>
      </c>
      <c r="AL146" s="4" t="str">
        <f aca="false">IF($A146="","",IFERROR(VLOOKUP($C146,Dim_Fund!$A:$U,21,0),""))</f>
        <v/>
      </c>
      <c r="AM146" s="4" t="str">
        <f aca="false">IF($A146="","",IF($U146="","",IF($U146&gt;$B146+IFERROR(VLOOKUP($C146,Dim_Fund!$A:$AH,34,0),0)/24,"Yes","No")))</f>
        <v/>
      </c>
      <c r="AN146" s="22" t="str">
        <f aca="false">IF($A146="","",IFERROR(VLOOKUP($C146,Dim_Fund!$A:$AH,34,0),""))</f>
        <v/>
      </c>
      <c r="AO146" s="22" t="str">
        <f aca="false">IF($A146="","",IF($AL146="","",IFERROR(FLOOR(IF(COUNTIFS(Fact_Milestone!$A:$A,$B146,Fact_Milestone!$B:$B,$AL146,Fact_Milestone!$F:$F,"&gt;0")&gt;0,_xlfn.MINIFS(Fact_Milestone!$F:$F,Fact_Milestone!$A:$A,$B146,Fact_Milestone!$B:$B,$AL146,Fact_Milestone!$F:$F,"&gt;0"),VLOOKUP($AL146,Dim_TOP!$A:$E,5,0)),0.5),"")))</f>
        <v/>
      </c>
      <c r="AP146" s="22" t="str">
        <f aca="false">IF($A146="","",IF($U146="","",ROUND(($U146-INT($U146))*24,4)))</f>
        <v/>
      </c>
      <c r="AQ146" s="22" t="str">
        <f aca="false">IF($A146="","",IF($W146="","",ROUND(($W146-INT($W146))*24,4)))</f>
        <v/>
      </c>
      <c r="AR146" s="22" t="str">
        <f aca="false">IF($A146="","",IF($X146="","",ROUND(($X146-INT($X146))*24,4)))</f>
        <v/>
      </c>
      <c r="AS146" s="38" t="str">
        <f aca="false">IF($A146="","",IF(OR($AN146="",$V146="",$S146="",$T146=""),"",ROUND(($V146-($B146+$AN146/24))*1440-$S146-$T146,0)))</f>
        <v/>
      </c>
      <c r="AT146" s="38" t="str">
        <f aca="false">IF($A146="","",IF(OR($AN146="",$U146=""),"",ROUND(($U146-($B146+$AN146/24))*1440,0)))</f>
        <v/>
      </c>
      <c r="AU146" s="38" t="str">
        <f aca="false">IF($A146="","",IF(OR($AD146="",$S146=""),"",ROUND($AD146-$S146,0)))</f>
        <v/>
      </c>
      <c r="AV146" s="38" t="str">
        <f aca="false">IF($A146="","",N($AE146))</f>
        <v/>
      </c>
      <c r="AW146" s="38" t="str">
        <f aca="false">IF($A146="","",IF(OR($AF146="",$T146=""),"",$AF146-$T146))</f>
        <v/>
      </c>
      <c r="AX146" s="38" t="str">
        <f aca="false">IF($A146="","",IF(COUNT($AT146,$AB146,$AU146,$AW146,$AS146,$AH146)&lt;6,"",ROUND($AT146+$AB146+$AU146+$AV146+$AW146-$AS146-$AH146,0)))</f>
        <v/>
      </c>
      <c r="AY146" s="4" t="str">
        <f aca="false">IF($A146="","",IF($AX146="","No",IF(ABS($AX146)&lt;=2,"Yes","No")))</f>
        <v/>
      </c>
      <c r="AZ146" s="4" t="str">
        <f aca="false">IF($A146="","",IF($AI146&lt;&gt;"Yes","n/a",IF(OR($AA146="",$S146="",$T146=""),"Unknown",IF($AA146&lt;$S146+$T146,"Lost on arrival","Lost after arrival"))))</f>
        <v/>
      </c>
      <c r="BA146" s="10" t="str">
        <f aca="false">IF($A146="","",IFERROR(VLOOKUP($C146,Dim_Fund!$A:$D,4,0),""))</f>
        <v/>
      </c>
      <c r="BB146" s="10" t="str">
        <f aca="false">IF($A146="","",IF($AL146="","",IF(COUNTIFS(Fact_Milestone!$A:$A,$B146,Fact_Milestone!$B:$B,$AL146,Fact_Milestone!$I:$I,"No")&gt;0,"No",IF(COUNTIFS(Fact_Milestone!$A:$A,$B146,Fact_Milestone!$B:$B,$AL146,Fact_Milestone!$I:$I,"Yes")&gt;0,"Yes",""))))</f>
        <v/>
      </c>
      <c r="BC146" s="45" t="str">
        <f aca="false">IF($A146="","",IF(OR($L146="",$W146=""),"",IF(COUNTIFS($L:$L,$L146,$B:$B,$B146,$W:$W,"&lt;"&amp;$W146)=0,"",_xlfn.MAXIFS($W:$W,$L:$L,$L146,$B:$B,$B146,$W:$W,"&lt;"&amp;$W146))))</f>
        <v/>
      </c>
      <c r="BD146" s="39" t="str">
        <f aca="false">IF($A146="","",IF($AC146="","",IF(OR($L146="",$AC146=0),0,MIN($AC146,ROUND(ROUND(1440*SUMPRODUCT(($L$2:INDEX($L:$L,COUNTA($C:$C))=$L146)*($B$2:INDEX($B:$B,COUNTA($C:$C))=$B146)*(ROW($L$2:INDEX($L:$L,COUNTA($C:$C)))&lt;&gt;ROW())*((((($W146+$BT$2:INDEX($BT:$BT,COUNTA($C:$C))-ABS($W146-$BT$2:INDEX($BT:$BT,COUNTA($C:$C))))/2)-(($U146+$BS$2:INDEX($BS:$BS,COUNTA($C:$C))+ABS($U146-$BS$2:INDEX($BS:$BS,COUNTA($C:$C))))/2))+ABS(((($W146+$BT$2:INDEX($BT:$BT,COUNTA($C:$C))-ABS($W146-$BT$2:INDEX($BT:$BT,COUNTA($C:$C))))/2)-(($U146+$BS$2:INDEX($BS:$BS,COUNTA($C:$C))+ABS($U146-$BS$2:INDEX($BS:$BS,COUNTA($C:$C))))/2))))/2)),4),0)))))</f>
        <v/>
      </c>
      <c r="BE146" s="39" t="str">
        <f aca="false">IF($A146="","",IF($AC146="","",ROUND(MIN($AC146-$BD146,N($R146)),0)))</f>
        <v/>
      </c>
      <c r="BF146" s="10" t="str">
        <f aca="false">IF($A146="","",IFERROR(VLOOKUP($C146,Dim_Fund!$A:$BD,56,0),""))</f>
        <v/>
      </c>
      <c r="BG146" s="10" t="str">
        <f aca="false">IF($A146="","",IFERROR(VLOOKUP($C146,Dim_Fund!$A:$BH,60,0),""))</f>
        <v/>
      </c>
      <c r="BH146" s="10" t="str">
        <f aca="false">IF($A146="","",IF($AI146&lt;&gt;"Yes","Not breached",IF($AM146="Yes","Pricing late",IF($BG146="Thin custody slack","Thin custody slack",IF($BF146="Yes","Broker-dependent","None of these")))))</f>
        <v/>
      </c>
      <c r="BI146" s="23" t="str">
        <f aca="false">IF($A146="","",IFERROR(IF(VLOOKUP($C146,Dim_Fund!$A:$AI,35,0)&gt;0,VLOOKUP($C146,Dim_Fund!$A:$AI,35,0),""),""))</f>
        <v/>
      </c>
      <c r="BJ146" s="10" t="str">
        <f aca="false">IF($A146="","",$C146&amp;IF($E146="Client","*",""))</f>
        <v/>
      </c>
      <c r="BK146" s="39" t="str">
        <f aca="false">IF($A146="","",IFERROR(ROUND(($Y146-$X146)*1440,0),""))</f>
        <v/>
      </c>
      <c r="BL146" s="39" t="str">
        <f aca="false">IF($A146="","",IF($AH146="","",-$AH146))</f>
        <v/>
      </c>
      <c r="BM146" s="46" t="str">
        <f aca="false">IF($A146="","",IF($AQ146="","",IF($AP146="",$AQ146,MIN($AP146,$AQ146))))</f>
        <v/>
      </c>
      <c r="BN146" s="46" t="str">
        <f aca="false">IF($A146="","",IF($BM146="","",ROUND(N($AC146)/60,4)))</f>
        <v/>
      </c>
      <c r="BO146" s="46" t="str">
        <f aca="false">IF($A146="","",IF(OR($BM146="",$AD146=""),"",ROUND($AD146/60,4)))</f>
        <v/>
      </c>
      <c r="BP146" s="46" t="str">
        <f aca="false">IF($A146="","",IF($BM146="","",ROUND(N($AE146)/60,4)))</f>
        <v/>
      </c>
      <c r="BQ146" s="46" t="str">
        <f aca="false">IF($A146="","",IF(OR($BM146="",$AF146=""),"",ROUND($AF146/60,4)))</f>
        <v/>
      </c>
      <c r="BR146" s="39" t="str">
        <f aca="false">IF($A146="","",IF($AC146="","",$AC146-$BD146-$BE146))</f>
        <v/>
      </c>
      <c r="BS146" s="45" t="str">
        <f aca="false">IF($A146="","",IF(AND(ISNUMBER($Z146),ISNUMBER($W146)),$Z146,0))</f>
        <v/>
      </c>
      <c r="BT146" s="45" t="str">
        <f aca="false">IF($A146="","",IF(ISNUMBER($W146),$W146,0))</f>
        <v/>
      </c>
      <c r="BU146" s="23" t="str">
        <f aca="false">IF($A146="","",IF(ISNUMBER($W146),ROUND(($W146-$B146)*24,4),""))</f>
        <v/>
      </c>
      <c r="BV146" s="23" t="str">
        <f aca="false">IF($A146="","",IF(ISNUMBER($X146),ROUND(($X146-$B146)*24,4),""))</f>
        <v/>
      </c>
      <c r="BW146" s="10" t="str">
        <f aca="false">IF($A146="","",IF(NOT(ISNUMBER($W146)),"Missing Calculated",IF(NOT(ISNUMBER($X146)),IF($E146="Client","Missing FA signed off","Missing Controlled"),IF($X146&lt;$W146,"End before start","OK"))))</f>
        <v/>
      </c>
      <c r="BX146" s="23" t="str">
        <f aca="false">IF($A146="","",IF(NOT(ISNUMBER($Z146)),"",ROUND((IF(ISNUMBER($U146),MIN($U146,$Z146),$Z146)-$B146)*24,4)))</f>
        <v/>
      </c>
      <c r="BY146" s="23" t="str">
        <f aca="false">IF($A146="","",IF(ISNUMBER($Z146),ROUND(($Z146-$B146)*24,4),""))</f>
        <v/>
      </c>
      <c r="BZ146" s="23" t="str">
        <f aca="false">IF($A146="","",IF(AND(ISNUMBER($W146),ISNUMBER($S146)),ROUND(($W146+$S146/1440-$B146)*24,4),""))</f>
        <v/>
      </c>
    </row>
    <row r="147" customFormat="false" ht="15" hidden="false" customHeight="true" outlineLevel="0" collapsed="false">
      <c r="A147" s="47"/>
      <c r="B147" s="47"/>
      <c r="D147" s="4" t="str">
        <f aca="false">IF($A147="","",$B147-$A147)</f>
        <v/>
      </c>
      <c r="E147" s="4" t="str">
        <f aca="false">IF($A147="","",IFERROR(VLOOKUP($C147,Dim_Fund!$A:$X,24,0),""))</f>
        <v/>
      </c>
      <c r="F147" s="37" t="str">
        <f aca="false">IF($A147="","",IF(COUNTIFS(Status_Log!$A:$A,$A147,Status_Log!$B:$B,$B147,Status_Log!$C:$C,$C147,Status_Log!$D:$D,"Changed to the status of Calculated")=0,"",_xlfn.MINIFS(Status_Log!$E:$E,Status_Log!$A:$A,$A147,Status_Log!$B:$B,$B147,Status_Log!$C:$C,$C147,Status_Log!$D:$D,"Changed to the status of Calculated")))</f>
        <v/>
      </c>
      <c r="G147" s="37" t="str">
        <f aca="false">IF($A147="","",IF(COUNTIFS(Status_Log!$A:$A,$A147,Status_Log!$B:$B,$B147,Status_Log!$C:$C,$C147,Status_Log!$D:$D,"Changed to the status of Controlled")=0,"",_xlfn.MAXIFS(Status_Log!$E:$E,Status_Log!$A:$A,$A147,Status_Log!$B:$B,$B147,Status_Log!$C:$C,$C147,Status_Log!$D:$D,"Changed to the status of Controlled")))</f>
        <v/>
      </c>
      <c r="H147" s="37" t="str">
        <f aca="false">IF($A147="","",IF(COUNTIFS(Status_Log!$A:$A,$A147,Status_Log!$B:$B,$B147,Status_Log!$C:$C,$C147,Status_Log!$D:$D,"Changed to the status of Fund accounting signed off")=0,"",_xlfn.MAXIFS(Status_Log!$E:$E,Status_Log!$A:$A,$A147,Status_Log!$B:$B,$B147,Status_Log!$C:$C,$C147,Status_Log!$D:$D,"Changed to the status of Fund accounting signed off")))</f>
        <v/>
      </c>
      <c r="I147" s="37" t="str">
        <f aca="false">IF($A147="","",IF(COUNTIFS(Status_Log!$A:$A,$A147,Status_Log!$B:$B,$B147,Status_Log!$C:$C,$C147,Status_Log!$D:$D,"Changed to the status of signed off")=0,"",_xlfn.MAXIFS(Status_Log!$E:$E,Status_Log!$A:$A,$A147,Status_Log!$B:$B,$B147,Status_Log!$C:$C,$C147,Status_Log!$D:$D,"Changed to the status of signed off")))</f>
        <v/>
      </c>
      <c r="J147" s="4" t="str">
        <f aca="false">IF($A147="","",COUNTIFS(Status_Log!$A:$A,$A147,Status_Log!$B:$B,$B147,Status_Log!$C:$C,$C147,Status_Log!$D:$D,"Changed to the status of Calculated"))</f>
        <v/>
      </c>
      <c r="K147" s="38" t="str">
        <f aca="false">IF($A147="","",IF(J147&lt;=1,0,ROUND((_xlfn.MAXIFS(Status_Log!$E:$E,Status_Log!$A:$A,$A147,Status_Log!$B:$B,$B147,Status_Log!$C:$C,$C147,Status_Log!$D:$D,"Changed to the status of Calculated")-F147)*1440,0)))</f>
        <v/>
      </c>
      <c r="L147" s="4" t="str">
        <f aca="false">IF($A147="","",IFERROR(INDEX(Status_Log!$F:$F,MATCH($A147&amp;"|"&amp;$B147&amp;"|"&amp;$C147&amp;"|Changed to the status of Calculated|"&amp;TEXT(_xlfn.MAXIFS(Status_Log!$E:$E,Status_Log!$A:$A,$A147,Status_Log!$B:$B,$B147,Status_Log!$C:$C,$C147,Status_Log!$D:$D,"Changed to the status of Calculated"),"0.000000"),Status_Log!$H:$H,0)),""))</f>
        <v/>
      </c>
      <c r="M147" s="4" t="str">
        <f aca="false">IF($A147="","",IF(E147="Client","n/a — no control step",IFERROR(INDEX(Status_Log!$F:$F,MATCH($A147&amp;"|"&amp;$B147&amp;"|"&amp;$C147&amp;"|Changed to the status of Controlled|"&amp;TEXT(_xlfn.MAXIFS(Status_Log!$E:$E,Status_Log!$A:$A,$A147,Status_Log!$B:$B,$B147,Status_Log!$C:$C,$C147,Status_Log!$D:$D,"Changed to the status of Controlled"),"0.000000"),Status_Log!$H:$H,0)),"")))</f>
        <v/>
      </c>
      <c r="N147" s="4" t="str">
        <f aca="false">IF($A147="","",IFERROR(VLOOKUP($C147,Dim_Fund!$A:$G,7,0),""))</f>
        <v/>
      </c>
      <c r="O147" s="4" t="str">
        <f aca="false">IF($A147="","",IF(L147=N147,"No","Yes"))</f>
        <v/>
      </c>
      <c r="P147" s="4" t="str">
        <f aca="false">IF($A147="","",IF(E147="Client","n/a",IF(L147=M147,"YES — four-eyes breach","No")))</f>
        <v/>
      </c>
      <c r="Q147" s="38" t="str">
        <f aca="false">IF($A147="","",IFERROR(VLOOKUP($C147,Dim_Fund!$A:$AB,28,0),""))</f>
        <v/>
      </c>
      <c r="R147" s="38" t="str">
        <f aca="false">IF($A147="","",IFERROR(VLOOKUP($C147,Dim_Fund!$A:$AC,29,0),""))</f>
        <v/>
      </c>
      <c r="S147" s="38" t="str">
        <f aca="false">IF($A147="","",IFERROR(VLOOKUP($C147,Dim_Fund!$A:$AD,30,0),""))</f>
        <v/>
      </c>
      <c r="T147" s="38" t="str">
        <f aca="false">IF($A147="","",IFERROR(VLOOKUP($C147,Dim_Fund!$A:$AL,38,0),""))</f>
        <v/>
      </c>
      <c r="U147" s="37" t="str">
        <f aca="false">IF($A147="","",IF(AL147="","",IFERROR(IF(COUNTIFS(Fact_Milestone!$A:$A,$B147,Fact_Milestone!$B:$B,AL147)=0,"",_xlfn.MAXIFS(Fact_Milestone!$C:$C,Fact_Milestone!$A:$A,$B147,Fact_Milestone!$B:$B,AL147)),"")))</f>
        <v/>
      </c>
      <c r="V147" s="37" t="str">
        <f aca="false">IF($A147="","",IFERROR(IF(VLOOKUP($C147,Dim_Fund!$A:$AI,35,0)&gt;0,$B147+VLOOKUP($C147,Dim_Fund!$A:$AI,35,0)/24,""),""))</f>
        <v/>
      </c>
      <c r="W147" s="37" t="str">
        <f aca="false">IF($A147="","",F147)</f>
        <v/>
      </c>
      <c r="X147" s="37" t="str">
        <f aca="false">IF($A147="","",IF(E147="Client",H147,G147))</f>
        <v/>
      </c>
      <c r="Y147" s="37" t="str">
        <f aca="false">IF($A147="","",I147)</f>
        <v/>
      </c>
      <c r="Z147" s="37" t="str">
        <f aca="false">IF($A147="","",IFERROR(W147-R147/1440,""))</f>
        <v/>
      </c>
      <c r="AA147" s="38" t="str">
        <f aca="false">IF($A147="","",IF(OR(U147="",V147=""),"",ROUND((V147-U147)*1440,0)))</f>
        <v/>
      </c>
      <c r="AB147" s="38" t="str">
        <f aca="false">IF($A147="","",IF(U147="","",ROUND((W147-U147)*1440,0)))</f>
        <v/>
      </c>
      <c r="AC147" s="38" t="str">
        <f aca="false">IF($A147="","",IF(AB147="","",MAX(0,AB147)))</f>
        <v/>
      </c>
      <c r="AD147" s="38" t="str">
        <f aca="false">IF($A147="","",IFERROR(ROUND((X147-W147)*1440,0),""))</f>
        <v/>
      </c>
      <c r="AE147" s="38" t="str">
        <f aca="false">IF($A147="","",IF(E147="Client","n/a",IFERROR(ROUND((H147-G147)*1440,0),"")))</f>
        <v/>
      </c>
      <c r="AF147" s="38" t="str">
        <f aca="false">IF($A147="","",IFERROR(ROUND((Y147-H147)*1440,0),""))</f>
        <v/>
      </c>
      <c r="AG147" s="38" t="str">
        <f aca="false">IF($A147="","",IFERROR(ROUND((H147-F147)*1440,0),""))</f>
        <v/>
      </c>
      <c r="AH147" s="38" t="str">
        <f aca="false">IF($A147="","",IFERROR(ROUND((Y147-V147)*1440,0),""))</f>
        <v/>
      </c>
      <c r="AI147" s="4" t="str">
        <f aca="false">IF($A147="","",IF(AH147="","",IF(AH147&gt;0,"Yes","No")))</f>
        <v/>
      </c>
      <c r="AJ147" s="4" t="str">
        <f aca="false">IF($A147="","",IF(AI147&lt;&gt;"Yes","On time",IF(N(AC147)&gt;=MAX(N(AF147),N(K147)),"Wait for analyst",IF(N(AF147)&gt;=N(K147),"External sign-off","Rework"))))</f>
        <v/>
      </c>
      <c r="AK147" s="4" t="str">
        <f aca="false">IF($A147="","",IF(OR(F147="",Y147="",ISNA(MATCH(L147,Dim_Analyst!$A:$A,0))),"CHECK","OK"))</f>
        <v/>
      </c>
      <c r="AL147" s="4" t="str">
        <f aca="false">IF($A147="","",IFERROR(VLOOKUP($C147,Dim_Fund!$A:$U,21,0),""))</f>
        <v/>
      </c>
      <c r="AM147" s="4" t="str">
        <f aca="false">IF($A147="","",IF($U147="","",IF($U147&gt;$B147+IFERROR(VLOOKUP($C147,Dim_Fund!$A:$AH,34,0),0)/24,"Yes","No")))</f>
        <v/>
      </c>
      <c r="AN147" s="22" t="str">
        <f aca="false">IF($A147="","",IFERROR(VLOOKUP($C147,Dim_Fund!$A:$AH,34,0),""))</f>
        <v/>
      </c>
      <c r="AO147" s="22" t="str">
        <f aca="false">IF($A147="","",IF($AL147="","",IFERROR(FLOOR(IF(COUNTIFS(Fact_Milestone!$A:$A,$B147,Fact_Milestone!$B:$B,$AL147,Fact_Milestone!$F:$F,"&gt;0")&gt;0,_xlfn.MINIFS(Fact_Milestone!$F:$F,Fact_Milestone!$A:$A,$B147,Fact_Milestone!$B:$B,$AL147,Fact_Milestone!$F:$F,"&gt;0"),VLOOKUP($AL147,Dim_TOP!$A:$E,5,0)),0.5),"")))</f>
        <v/>
      </c>
      <c r="AP147" s="22" t="str">
        <f aca="false">IF($A147="","",IF($U147="","",ROUND(($U147-INT($U147))*24,4)))</f>
        <v/>
      </c>
      <c r="AQ147" s="22" t="str">
        <f aca="false">IF($A147="","",IF($W147="","",ROUND(($W147-INT($W147))*24,4)))</f>
        <v/>
      </c>
      <c r="AR147" s="22" t="str">
        <f aca="false">IF($A147="","",IF($X147="","",ROUND(($X147-INT($X147))*24,4)))</f>
        <v/>
      </c>
      <c r="AS147" s="38" t="str">
        <f aca="false">IF($A147="","",IF(OR($AN147="",$V147="",$S147="",$T147=""),"",ROUND(($V147-($B147+$AN147/24))*1440-$S147-$T147,0)))</f>
        <v/>
      </c>
      <c r="AT147" s="38" t="str">
        <f aca="false">IF($A147="","",IF(OR($AN147="",$U147=""),"",ROUND(($U147-($B147+$AN147/24))*1440,0)))</f>
        <v/>
      </c>
      <c r="AU147" s="38" t="str">
        <f aca="false">IF($A147="","",IF(OR($AD147="",$S147=""),"",ROUND($AD147-$S147,0)))</f>
        <v/>
      </c>
      <c r="AV147" s="38" t="str">
        <f aca="false">IF($A147="","",N($AE147))</f>
        <v/>
      </c>
      <c r="AW147" s="38" t="str">
        <f aca="false">IF($A147="","",IF(OR($AF147="",$T147=""),"",$AF147-$T147))</f>
        <v/>
      </c>
      <c r="AX147" s="38" t="str">
        <f aca="false">IF($A147="","",IF(COUNT($AT147,$AB147,$AU147,$AW147,$AS147,$AH147)&lt;6,"",ROUND($AT147+$AB147+$AU147+$AV147+$AW147-$AS147-$AH147,0)))</f>
        <v/>
      </c>
      <c r="AY147" s="4" t="str">
        <f aca="false">IF($A147="","",IF($AX147="","No",IF(ABS($AX147)&lt;=2,"Yes","No")))</f>
        <v/>
      </c>
      <c r="AZ147" s="4" t="str">
        <f aca="false">IF($A147="","",IF($AI147&lt;&gt;"Yes","n/a",IF(OR($AA147="",$S147="",$T147=""),"Unknown",IF($AA147&lt;$S147+$T147,"Lost on arrival","Lost after arrival"))))</f>
        <v/>
      </c>
      <c r="BA147" s="10" t="str">
        <f aca="false">IF($A147="","",IFERROR(VLOOKUP($C147,Dim_Fund!$A:$D,4,0),""))</f>
        <v/>
      </c>
      <c r="BB147" s="10" t="str">
        <f aca="false">IF($A147="","",IF($AL147="","",IF(COUNTIFS(Fact_Milestone!$A:$A,$B147,Fact_Milestone!$B:$B,$AL147,Fact_Milestone!$I:$I,"No")&gt;0,"No",IF(COUNTIFS(Fact_Milestone!$A:$A,$B147,Fact_Milestone!$B:$B,$AL147,Fact_Milestone!$I:$I,"Yes")&gt;0,"Yes",""))))</f>
        <v/>
      </c>
      <c r="BC147" s="45" t="str">
        <f aca="false">IF($A147="","",IF(OR($L147="",$W147=""),"",IF(COUNTIFS($L:$L,$L147,$B:$B,$B147,$W:$W,"&lt;"&amp;$W147)=0,"",_xlfn.MAXIFS($W:$W,$L:$L,$L147,$B:$B,$B147,$W:$W,"&lt;"&amp;$W147))))</f>
        <v/>
      </c>
      <c r="BD147" s="39" t="str">
        <f aca="false">IF($A147="","",IF($AC147="","",IF(OR($L147="",$AC147=0),0,MIN($AC147,ROUND(ROUND(1440*SUMPRODUCT(($L$2:INDEX($L:$L,COUNTA($C:$C))=$L147)*($B$2:INDEX($B:$B,COUNTA($C:$C))=$B147)*(ROW($L$2:INDEX($L:$L,COUNTA($C:$C)))&lt;&gt;ROW())*((((($W147+$BT$2:INDEX($BT:$BT,COUNTA($C:$C))-ABS($W147-$BT$2:INDEX($BT:$BT,COUNTA($C:$C))))/2)-(($U147+$BS$2:INDEX($BS:$BS,COUNTA($C:$C))+ABS($U147-$BS$2:INDEX($BS:$BS,COUNTA($C:$C))))/2))+ABS(((($W147+$BT$2:INDEX($BT:$BT,COUNTA($C:$C))-ABS($W147-$BT$2:INDEX($BT:$BT,COUNTA($C:$C))))/2)-(($U147+$BS$2:INDEX($BS:$BS,COUNTA($C:$C))+ABS($U147-$BS$2:INDEX($BS:$BS,COUNTA($C:$C))))/2))))/2)),4),0)))))</f>
        <v/>
      </c>
      <c r="BE147" s="39" t="str">
        <f aca="false">IF($A147="","",IF($AC147="","",ROUND(MIN($AC147-$BD147,N($R147)),0)))</f>
        <v/>
      </c>
      <c r="BF147" s="10" t="str">
        <f aca="false">IF($A147="","",IFERROR(VLOOKUP($C147,Dim_Fund!$A:$BD,56,0),""))</f>
        <v/>
      </c>
      <c r="BG147" s="10" t="str">
        <f aca="false">IF($A147="","",IFERROR(VLOOKUP($C147,Dim_Fund!$A:$BH,60,0),""))</f>
        <v/>
      </c>
      <c r="BH147" s="10" t="str">
        <f aca="false">IF($A147="","",IF($AI147&lt;&gt;"Yes","Not breached",IF($AM147="Yes","Pricing late",IF($BG147="Thin custody slack","Thin custody slack",IF($BF147="Yes","Broker-dependent","None of these")))))</f>
        <v/>
      </c>
      <c r="BI147" s="23" t="str">
        <f aca="false">IF($A147="","",IFERROR(IF(VLOOKUP($C147,Dim_Fund!$A:$AI,35,0)&gt;0,VLOOKUP($C147,Dim_Fund!$A:$AI,35,0),""),""))</f>
        <v/>
      </c>
      <c r="BJ147" s="10" t="str">
        <f aca="false">IF($A147="","",$C147&amp;IF($E147="Client","*",""))</f>
        <v/>
      </c>
      <c r="BK147" s="39" t="str">
        <f aca="false">IF($A147="","",IFERROR(ROUND(($Y147-$X147)*1440,0),""))</f>
        <v/>
      </c>
      <c r="BL147" s="39" t="str">
        <f aca="false">IF($A147="","",IF($AH147="","",-$AH147))</f>
        <v/>
      </c>
      <c r="BM147" s="46" t="str">
        <f aca="false">IF($A147="","",IF($AQ147="","",IF($AP147="",$AQ147,MIN($AP147,$AQ147))))</f>
        <v/>
      </c>
      <c r="BN147" s="46" t="str">
        <f aca="false">IF($A147="","",IF($BM147="","",ROUND(N($AC147)/60,4)))</f>
        <v/>
      </c>
      <c r="BO147" s="46" t="str">
        <f aca="false">IF($A147="","",IF(OR($BM147="",$AD147=""),"",ROUND($AD147/60,4)))</f>
        <v/>
      </c>
      <c r="BP147" s="46" t="str">
        <f aca="false">IF($A147="","",IF($BM147="","",ROUND(N($AE147)/60,4)))</f>
        <v/>
      </c>
      <c r="BQ147" s="46" t="str">
        <f aca="false">IF($A147="","",IF(OR($BM147="",$AF147=""),"",ROUND($AF147/60,4)))</f>
        <v/>
      </c>
      <c r="BR147" s="39" t="str">
        <f aca="false">IF($A147="","",IF($AC147="","",$AC147-$BD147-$BE147))</f>
        <v/>
      </c>
      <c r="BS147" s="45" t="str">
        <f aca="false">IF($A147="","",IF(AND(ISNUMBER($Z147),ISNUMBER($W147)),$Z147,0))</f>
        <v/>
      </c>
      <c r="BT147" s="45" t="str">
        <f aca="false">IF($A147="","",IF(ISNUMBER($W147),$W147,0))</f>
        <v/>
      </c>
      <c r="BU147" s="23" t="str">
        <f aca="false">IF($A147="","",IF(ISNUMBER($W147),ROUND(($W147-$B147)*24,4),""))</f>
        <v/>
      </c>
      <c r="BV147" s="23" t="str">
        <f aca="false">IF($A147="","",IF(ISNUMBER($X147),ROUND(($X147-$B147)*24,4),""))</f>
        <v/>
      </c>
      <c r="BW147" s="10" t="str">
        <f aca="false">IF($A147="","",IF(NOT(ISNUMBER($W147)),"Missing Calculated",IF(NOT(ISNUMBER($X147)),IF($E147="Client","Missing FA signed off","Missing Controlled"),IF($X147&lt;$W147,"End before start","OK"))))</f>
        <v/>
      </c>
      <c r="BX147" s="23" t="str">
        <f aca="false">IF($A147="","",IF(NOT(ISNUMBER($Z147)),"",ROUND((IF(ISNUMBER($U147),MIN($U147,$Z147),$Z147)-$B147)*24,4)))</f>
        <v/>
      </c>
      <c r="BY147" s="23" t="str">
        <f aca="false">IF($A147="","",IF(ISNUMBER($Z147),ROUND(($Z147-$B147)*24,4),""))</f>
        <v/>
      </c>
      <c r="BZ147" s="23" t="str">
        <f aca="false">IF($A147="","",IF(AND(ISNUMBER($W147),ISNUMBER($S147)),ROUND(($W147+$S147/1440-$B147)*24,4),""))</f>
        <v/>
      </c>
    </row>
    <row r="148" customFormat="false" ht="15" hidden="false" customHeight="true" outlineLevel="0" collapsed="false">
      <c r="A148" s="47"/>
      <c r="B148" s="47"/>
      <c r="D148" s="4" t="str">
        <f aca="false">IF($A148="","",$B148-$A148)</f>
        <v/>
      </c>
      <c r="E148" s="4" t="str">
        <f aca="false">IF($A148="","",IFERROR(VLOOKUP($C148,Dim_Fund!$A:$X,24,0),""))</f>
        <v/>
      </c>
      <c r="F148" s="37" t="str">
        <f aca="false">IF($A148="","",IF(COUNTIFS(Status_Log!$A:$A,$A148,Status_Log!$B:$B,$B148,Status_Log!$C:$C,$C148,Status_Log!$D:$D,"Changed to the status of Calculated")=0,"",_xlfn.MINIFS(Status_Log!$E:$E,Status_Log!$A:$A,$A148,Status_Log!$B:$B,$B148,Status_Log!$C:$C,$C148,Status_Log!$D:$D,"Changed to the status of Calculated")))</f>
        <v/>
      </c>
      <c r="G148" s="37" t="str">
        <f aca="false">IF($A148="","",IF(COUNTIFS(Status_Log!$A:$A,$A148,Status_Log!$B:$B,$B148,Status_Log!$C:$C,$C148,Status_Log!$D:$D,"Changed to the status of Controlled")=0,"",_xlfn.MAXIFS(Status_Log!$E:$E,Status_Log!$A:$A,$A148,Status_Log!$B:$B,$B148,Status_Log!$C:$C,$C148,Status_Log!$D:$D,"Changed to the status of Controlled")))</f>
        <v/>
      </c>
      <c r="H148" s="37" t="str">
        <f aca="false">IF($A148="","",IF(COUNTIFS(Status_Log!$A:$A,$A148,Status_Log!$B:$B,$B148,Status_Log!$C:$C,$C148,Status_Log!$D:$D,"Changed to the status of Fund accounting signed off")=0,"",_xlfn.MAXIFS(Status_Log!$E:$E,Status_Log!$A:$A,$A148,Status_Log!$B:$B,$B148,Status_Log!$C:$C,$C148,Status_Log!$D:$D,"Changed to the status of Fund accounting signed off")))</f>
        <v/>
      </c>
      <c r="I148" s="37" t="str">
        <f aca="false">IF($A148="","",IF(COUNTIFS(Status_Log!$A:$A,$A148,Status_Log!$B:$B,$B148,Status_Log!$C:$C,$C148,Status_Log!$D:$D,"Changed to the status of signed off")=0,"",_xlfn.MAXIFS(Status_Log!$E:$E,Status_Log!$A:$A,$A148,Status_Log!$B:$B,$B148,Status_Log!$C:$C,$C148,Status_Log!$D:$D,"Changed to the status of signed off")))</f>
        <v/>
      </c>
      <c r="J148" s="4" t="str">
        <f aca="false">IF($A148="","",COUNTIFS(Status_Log!$A:$A,$A148,Status_Log!$B:$B,$B148,Status_Log!$C:$C,$C148,Status_Log!$D:$D,"Changed to the status of Calculated"))</f>
        <v/>
      </c>
      <c r="K148" s="38" t="str">
        <f aca="false">IF($A148="","",IF(J148&lt;=1,0,ROUND((_xlfn.MAXIFS(Status_Log!$E:$E,Status_Log!$A:$A,$A148,Status_Log!$B:$B,$B148,Status_Log!$C:$C,$C148,Status_Log!$D:$D,"Changed to the status of Calculated")-F148)*1440,0)))</f>
        <v/>
      </c>
      <c r="L148" s="4" t="str">
        <f aca="false">IF($A148="","",IFERROR(INDEX(Status_Log!$F:$F,MATCH($A148&amp;"|"&amp;$B148&amp;"|"&amp;$C148&amp;"|Changed to the status of Calculated|"&amp;TEXT(_xlfn.MAXIFS(Status_Log!$E:$E,Status_Log!$A:$A,$A148,Status_Log!$B:$B,$B148,Status_Log!$C:$C,$C148,Status_Log!$D:$D,"Changed to the status of Calculated"),"0.000000"),Status_Log!$H:$H,0)),""))</f>
        <v/>
      </c>
      <c r="M148" s="4" t="str">
        <f aca="false">IF($A148="","",IF(E148="Client","n/a — no control step",IFERROR(INDEX(Status_Log!$F:$F,MATCH($A148&amp;"|"&amp;$B148&amp;"|"&amp;$C148&amp;"|Changed to the status of Controlled|"&amp;TEXT(_xlfn.MAXIFS(Status_Log!$E:$E,Status_Log!$A:$A,$A148,Status_Log!$B:$B,$B148,Status_Log!$C:$C,$C148,Status_Log!$D:$D,"Changed to the status of Controlled"),"0.000000"),Status_Log!$H:$H,0)),"")))</f>
        <v/>
      </c>
      <c r="N148" s="4" t="str">
        <f aca="false">IF($A148="","",IFERROR(VLOOKUP($C148,Dim_Fund!$A:$G,7,0),""))</f>
        <v/>
      </c>
      <c r="O148" s="4" t="str">
        <f aca="false">IF($A148="","",IF(L148=N148,"No","Yes"))</f>
        <v/>
      </c>
      <c r="P148" s="4" t="str">
        <f aca="false">IF($A148="","",IF(E148="Client","n/a",IF(L148=M148,"YES — four-eyes breach","No")))</f>
        <v/>
      </c>
      <c r="Q148" s="38" t="str">
        <f aca="false">IF($A148="","",IFERROR(VLOOKUP($C148,Dim_Fund!$A:$AB,28,0),""))</f>
        <v/>
      </c>
      <c r="R148" s="38" t="str">
        <f aca="false">IF($A148="","",IFERROR(VLOOKUP($C148,Dim_Fund!$A:$AC,29,0),""))</f>
        <v/>
      </c>
      <c r="S148" s="38" t="str">
        <f aca="false">IF($A148="","",IFERROR(VLOOKUP($C148,Dim_Fund!$A:$AD,30,0),""))</f>
        <v/>
      </c>
      <c r="T148" s="38" t="str">
        <f aca="false">IF($A148="","",IFERROR(VLOOKUP($C148,Dim_Fund!$A:$AL,38,0),""))</f>
        <v/>
      </c>
      <c r="U148" s="37" t="str">
        <f aca="false">IF($A148="","",IF(AL148="","",IFERROR(IF(COUNTIFS(Fact_Milestone!$A:$A,$B148,Fact_Milestone!$B:$B,AL148)=0,"",_xlfn.MAXIFS(Fact_Milestone!$C:$C,Fact_Milestone!$A:$A,$B148,Fact_Milestone!$B:$B,AL148)),"")))</f>
        <v/>
      </c>
      <c r="V148" s="37" t="str">
        <f aca="false">IF($A148="","",IFERROR(IF(VLOOKUP($C148,Dim_Fund!$A:$AI,35,0)&gt;0,$B148+VLOOKUP($C148,Dim_Fund!$A:$AI,35,0)/24,""),""))</f>
        <v/>
      </c>
      <c r="W148" s="37" t="str">
        <f aca="false">IF($A148="","",F148)</f>
        <v/>
      </c>
      <c r="X148" s="37" t="str">
        <f aca="false">IF($A148="","",IF(E148="Client",H148,G148))</f>
        <v/>
      </c>
      <c r="Y148" s="37" t="str">
        <f aca="false">IF($A148="","",I148)</f>
        <v/>
      </c>
      <c r="Z148" s="37" t="str">
        <f aca="false">IF($A148="","",IFERROR(W148-R148/1440,""))</f>
        <v/>
      </c>
      <c r="AA148" s="38" t="str">
        <f aca="false">IF($A148="","",IF(OR(U148="",V148=""),"",ROUND((V148-U148)*1440,0)))</f>
        <v/>
      </c>
      <c r="AB148" s="38" t="str">
        <f aca="false">IF($A148="","",IF(U148="","",ROUND((W148-U148)*1440,0)))</f>
        <v/>
      </c>
      <c r="AC148" s="38" t="str">
        <f aca="false">IF($A148="","",IF(AB148="","",MAX(0,AB148)))</f>
        <v/>
      </c>
      <c r="AD148" s="38" t="str">
        <f aca="false">IF($A148="","",IFERROR(ROUND((X148-W148)*1440,0),""))</f>
        <v/>
      </c>
      <c r="AE148" s="38" t="str">
        <f aca="false">IF($A148="","",IF(E148="Client","n/a",IFERROR(ROUND((H148-G148)*1440,0),"")))</f>
        <v/>
      </c>
      <c r="AF148" s="38" t="str">
        <f aca="false">IF($A148="","",IFERROR(ROUND((Y148-H148)*1440,0),""))</f>
        <v/>
      </c>
      <c r="AG148" s="38" t="str">
        <f aca="false">IF($A148="","",IFERROR(ROUND((H148-F148)*1440,0),""))</f>
        <v/>
      </c>
      <c r="AH148" s="38" t="str">
        <f aca="false">IF($A148="","",IFERROR(ROUND((Y148-V148)*1440,0),""))</f>
        <v/>
      </c>
      <c r="AI148" s="4" t="str">
        <f aca="false">IF($A148="","",IF(AH148="","",IF(AH148&gt;0,"Yes","No")))</f>
        <v/>
      </c>
      <c r="AJ148" s="4" t="str">
        <f aca="false">IF($A148="","",IF(AI148&lt;&gt;"Yes","On time",IF(N(AC148)&gt;=MAX(N(AF148),N(K148)),"Wait for analyst",IF(N(AF148)&gt;=N(K148),"External sign-off","Rework"))))</f>
        <v/>
      </c>
      <c r="AK148" s="4" t="str">
        <f aca="false">IF($A148="","",IF(OR(F148="",Y148="",ISNA(MATCH(L148,Dim_Analyst!$A:$A,0))),"CHECK","OK"))</f>
        <v/>
      </c>
      <c r="AL148" s="4" t="str">
        <f aca="false">IF($A148="","",IFERROR(VLOOKUP($C148,Dim_Fund!$A:$U,21,0),""))</f>
        <v/>
      </c>
      <c r="AM148" s="4" t="str">
        <f aca="false">IF($A148="","",IF($U148="","",IF($U148&gt;$B148+IFERROR(VLOOKUP($C148,Dim_Fund!$A:$AH,34,0),0)/24,"Yes","No")))</f>
        <v/>
      </c>
      <c r="AN148" s="22" t="str">
        <f aca="false">IF($A148="","",IFERROR(VLOOKUP($C148,Dim_Fund!$A:$AH,34,0),""))</f>
        <v/>
      </c>
      <c r="AO148" s="22" t="str">
        <f aca="false">IF($A148="","",IF($AL148="","",IFERROR(FLOOR(IF(COUNTIFS(Fact_Milestone!$A:$A,$B148,Fact_Milestone!$B:$B,$AL148,Fact_Milestone!$F:$F,"&gt;0")&gt;0,_xlfn.MINIFS(Fact_Milestone!$F:$F,Fact_Milestone!$A:$A,$B148,Fact_Milestone!$B:$B,$AL148,Fact_Milestone!$F:$F,"&gt;0"),VLOOKUP($AL148,Dim_TOP!$A:$E,5,0)),0.5),"")))</f>
        <v/>
      </c>
      <c r="AP148" s="22" t="str">
        <f aca="false">IF($A148="","",IF($U148="","",ROUND(($U148-INT($U148))*24,4)))</f>
        <v/>
      </c>
      <c r="AQ148" s="22" t="str">
        <f aca="false">IF($A148="","",IF($W148="","",ROUND(($W148-INT($W148))*24,4)))</f>
        <v/>
      </c>
      <c r="AR148" s="22" t="str">
        <f aca="false">IF($A148="","",IF($X148="","",ROUND(($X148-INT($X148))*24,4)))</f>
        <v/>
      </c>
      <c r="AS148" s="38" t="str">
        <f aca="false">IF($A148="","",IF(OR($AN148="",$V148="",$S148="",$T148=""),"",ROUND(($V148-($B148+$AN148/24))*1440-$S148-$T148,0)))</f>
        <v/>
      </c>
      <c r="AT148" s="38" t="str">
        <f aca="false">IF($A148="","",IF(OR($AN148="",$U148=""),"",ROUND(($U148-($B148+$AN148/24))*1440,0)))</f>
        <v/>
      </c>
      <c r="AU148" s="38" t="str">
        <f aca="false">IF($A148="","",IF(OR($AD148="",$S148=""),"",ROUND($AD148-$S148,0)))</f>
        <v/>
      </c>
      <c r="AV148" s="38" t="str">
        <f aca="false">IF($A148="","",N($AE148))</f>
        <v/>
      </c>
      <c r="AW148" s="38" t="str">
        <f aca="false">IF($A148="","",IF(OR($AF148="",$T148=""),"",$AF148-$T148))</f>
        <v/>
      </c>
      <c r="AX148" s="38" t="str">
        <f aca="false">IF($A148="","",IF(COUNT($AT148,$AB148,$AU148,$AW148,$AS148,$AH148)&lt;6,"",ROUND($AT148+$AB148+$AU148+$AV148+$AW148-$AS148-$AH148,0)))</f>
        <v/>
      </c>
      <c r="AY148" s="4" t="str">
        <f aca="false">IF($A148="","",IF($AX148="","No",IF(ABS($AX148)&lt;=2,"Yes","No")))</f>
        <v/>
      </c>
      <c r="AZ148" s="4" t="str">
        <f aca="false">IF($A148="","",IF($AI148&lt;&gt;"Yes","n/a",IF(OR($AA148="",$S148="",$T148=""),"Unknown",IF($AA148&lt;$S148+$T148,"Lost on arrival","Lost after arrival"))))</f>
        <v/>
      </c>
      <c r="BA148" s="10" t="str">
        <f aca="false">IF($A148="","",IFERROR(VLOOKUP($C148,Dim_Fund!$A:$D,4,0),""))</f>
        <v/>
      </c>
      <c r="BB148" s="10" t="str">
        <f aca="false">IF($A148="","",IF($AL148="","",IF(COUNTIFS(Fact_Milestone!$A:$A,$B148,Fact_Milestone!$B:$B,$AL148,Fact_Milestone!$I:$I,"No")&gt;0,"No",IF(COUNTIFS(Fact_Milestone!$A:$A,$B148,Fact_Milestone!$B:$B,$AL148,Fact_Milestone!$I:$I,"Yes")&gt;0,"Yes",""))))</f>
        <v/>
      </c>
      <c r="BC148" s="45" t="str">
        <f aca="false">IF($A148="","",IF(OR($L148="",$W148=""),"",IF(COUNTIFS($L:$L,$L148,$B:$B,$B148,$W:$W,"&lt;"&amp;$W148)=0,"",_xlfn.MAXIFS($W:$W,$L:$L,$L148,$B:$B,$B148,$W:$W,"&lt;"&amp;$W148))))</f>
        <v/>
      </c>
      <c r="BD148" s="39" t="str">
        <f aca="false">IF($A148="","",IF($AC148="","",IF(OR($L148="",$AC148=0),0,MIN($AC148,ROUND(ROUND(1440*SUMPRODUCT(($L$2:INDEX($L:$L,COUNTA($C:$C))=$L148)*($B$2:INDEX($B:$B,COUNTA($C:$C))=$B148)*(ROW($L$2:INDEX($L:$L,COUNTA($C:$C)))&lt;&gt;ROW())*((((($W148+$BT$2:INDEX($BT:$BT,COUNTA($C:$C))-ABS($W148-$BT$2:INDEX($BT:$BT,COUNTA($C:$C))))/2)-(($U148+$BS$2:INDEX($BS:$BS,COUNTA($C:$C))+ABS($U148-$BS$2:INDEX($BS:$BS,COUNTA($C:$C))))/2))+ABS(((($W148+$BT$2:INDEX($BT:$BT,COUNTA($C:$C))-ABS($W148-$BT$2:INDEX($BT:$BT,COUNTA($C:$C))))/2)-(($U148+$BS$2:INDEX($BS:$BS,COUNTA($C:$C))+ABS($U148-$BS$2:INDEX($BS:$BS,COUNTA($C:$C))))/2))))/2)),4),0)))))</f>
        <v/>
      </c>
      <c r="BE148" s="39" t="str">
        <f aca="false">IF($A148="","",IF($AC148="","",ROUND(MIN($AC148-$BD148,N($R148)),0)))</f>
        <v/>
      </c>
      <c r="BF148" s="10" t="str">
        <f aca="false">IF($A148="","",IFERROR(VLOOKUP($C148,Dim_Fund!$A:$BD,56,0),""))</f>
        <v/>
      </c>
      <c r="BG148" s="10" t="str">
        <f aca="false">IF($A148="","",IFERROR(VLOOKUP($C148,Dim_Fund!$A:$BH,60,0),""))</f>
        <v/>
      </c>
      <c r="BH148" s="10" t="str">
        <f aca="false">IF($A148="","",IF($AI148&lt;&gt;"Yes","Not breached",IF($AM148="Yes","Pricing late",IF($BG148="Thin custody slack","Thin custody slack",IF($BF148="Yes","Broker-dependent","None of these")))))</f>
        <v/>
      </c>
      <c r="BI148" s="23" t="str">
        <f aca="false">IF($A148="","",IFERROR(IF(VLOOKUP($C148,Dim_Fund!$A:$AI,35,0)&gt;0,VLOOKUP($C148,Dim_Fund!$A:$AI,35,0),""),""))</f>
        <v/>
      </c>
      <c r="BJ148" s="10" t="str">
        <f aca="false">IF($A148="","",$C148&amp;IF($E148="Client","*",""))</f>
        <v/>
      </c>
      <c r="BK148" s="39" t="str">
        <f aca="false">IF($A148="","",IFERROR(ROUND(($Y148-$X148)*1440,0),""))</f>
        <v/>
      </c>
      <c r="BL148" s="39" t="str">
        <f aca="false">IF($A148="","",IF($AH148="","",-$AH148))</f>
        <v/>
      </c>
      <c r="BM148" s="46" t="str">
        <f aca="false">IF($A148="","",IF($AQ148="","",IF($AP148="",$AQ148,MIN($AP148,$AQ148))))</f>
        <v/>
      </c>
      <c r="BN148" s="46" t="str">
        <f aca="false">IF($A148="","",IF($BM148="","",ROUND(N($AC148)/60,4)))</f>
        <v/>
      </c>
      <c r="BO148" s="46" t="str">
        <f aca="false">IF($A148="","",IF(OR($BM148="",$AD148=""),"",ROUND($AD148/60,4)))</f>
        <v/>
      </c>
      <c r="BP148" s="46" t="str">
        <f aca="false">IF($A148="","",IF($BM148="","",ROUND(N($AE148)/60,4)))</f>
        <v/>
      </c>
      <c r="BQ148" s="46" t="str">
        <f aca="false">IF($A148="","",IF(OR($BM148="",$AF148=""),"",ROUND($AF148/60,4)))</f>
        <v/>
      </c>
      <c r="BR148" s="39" t="str">
        <f aca="false">IF($A148="","",IF($AC148="","",$AC148-$BD148-$BE148))</f>
        <v/>
      </c>
      <c r="BS148" s="45" t="str">
        <f aca="false">IF($A148="","",IF(AND(ISNUMBER($Z148),ISNUMBER($W148)),$Z148,0))</f>
        <v/>
      </c>
      <c r="BT148" s="45" t="str">
        <f aca="false">IF($A148="","",IF(ISNUMBER($W148),$W148,0))</f>
        <v/>
      </c>
      <c r="BU148" s="23" t="str">
        <f aca="false">IF($A148="","",IF(ISNUMBER($W148),ROUND(($W148-$B148)*24,4),""))</f>
        <v/>
      </c>
      <c r="BV148" s="23" t="str">
        <f aca="false">IF($A148="","",IF(ISNUMBER($X148),ROUND(($X148-$B148)*24,4),""))</f>
        <v/>
      </c>
      <c r="BW148" s="10" t="str">
        <f aca="false">IF($A148="","",IF(NOT(ISNUMBER($W148)),"Missing Calculated",IF(NOT(ISNUMBER($X148)),IF($E148="Client","Missing FA signed off","Missing Controlled"),IF($X148&lt;$W148,"End before start","OK"))))</f>
        <v/>
      </c>
      <c r="BX148" s="23" t="str">
        <f aca="false">IF($A148="","",IF(NOT(ISNUMBER($Z148)),"",ROUND((IF(ISNUMBER($U148),MIN($U148,$Z148),$Z148)-$B148)*24,4)))</f>
        <v/>
      </c>
      <c r="BY148" s="23" t="str">
        <f aca="false">IF($A148="","",IF(ISNUMBER($Z148),ROUND(($Z148-$B148)*24,4),""))</f>
        <v/>
      </c>
      <c r="BZ148" s="23" t="str">
        <f aca="false">IF($A148="","",IF(AND(ISNUMBER($W148),ISNUMBER($S148)),ROUND(($W148+$S148/1440-$B148)*24,4),""))</f>
        <v/>
      </c>
    </row>
    <row r="149" customFormat="false" ht="15" hidden="false" customHeight="true" outlineLevel="0" collapsed="false">
      <c r="A149" s="47"/>
      <c r="B149" s="47"/>
      <c r="D149" s="4" t="str">
        <f aca="false">IF($A149="","",$B149-$A149)</f>
        <v/>
      </c>
      <c r="E149" s="4" t="str">
        <f aca="false">IF($A149="","",IFERROR(VLOOKUP($C149,Dim_Fund!$A:$X,24,0),""))</f>
        <v/>
      </c>
      <c r="F149" s="37" t="str">
        <f aca="false">IF($A149="","",IF(COUNTIFS(Status_Log!$A:$A,$A149,Status_Log!$B:$B,$B149,Status_Log!$C:$C,$C149,Status_Log!$D:$D,"Changed to the status of Calculated")=0,"",_xlfn.MINIFS(Status_Log!$E:$E,Status_Log!$A:$A,$A149,Status_Log!$B:$B,$B149,Status_Log!$C:$C,$C149,Status_Log!$D:$D,"Changed to the status of Calculated")))</f>
        <v/>
      </c>
      <c r="G149" s="37" t="str">
        <f aca="false">IF($A149="","",IF(COUNTIFS(Status_Log!$A:$A,$A149,Status_Log!$B:$B,$B149,Status_Log!$C:$C,$C149,Status_Log!$D:$D,"Changed to the status of Controlled")=0,"",_xlfn.MAXIFS(Status_Log!$E:$E,Status_Log!$A:$A,$A149,Status_Log!$B:$B,$B149,Status_Log!$C:$C,$C149,Status_Log!$D:$D,"Changed to the status of Controlled")))</f>
        <v/>
      </c>
      <c r="H149" s="37" t="str">
        <f aca="false">IF($A149="","",IF(COUNTIFS(Status_Log!$A:$A,$A149,Status_Log!$B:$B,$B149,Status_Log!$C:$C,$C149,Status_Log!$D:$D,"Changed to the status of Fund accounting signed off")=0,"",_xlfn.MAXIFS(Status_Log!$E:$E,Status_Log!$A:$A,$A149,Status_Log!$B:$B,$B149,Status_Log!$C:$C,$C149,Status_Log!$D:$D,"Changed to the status of Fund accounting signed off")))</f>
        <v/>
      </c>
      <c r="I149" s="37" t="str">
        <f aca="false">IF($A149="","",IF(COUNTIFS(Status_Log!$A:$A,$A149,Status_Log!$B:$B,$B149,Status_Log!$C:$C,$C149,Status_Log!$D:$D,"Changed to the status of signed off")=0,"",_xlfn.MAXIFS(Status_Log!$E:$E,Status_Log!$A:$A,$A149,Status_Log!$B:$B,$B149,Status_Log!$C:$C,$C149,Status_Log!$D:$D,"Changed to the status of signed off")))</f>
        <v/>
      </c>
      <c r="J149" s="4" t="str">
        <f aca="false">IF($A149="","",COUNTIFS(Status_Log!$A:$A,$A149,Status_Log!$B:$B,$B149,Status_Log!$C:$C,$C149,Status_Log!$D:$D,"Changed to the status of Calculated"))</f>
        <v/>
      </c>
      <c r="K149" s="38" t="str">
        <f aca="false">IF($A149="","",IF(J149&lt;=1,0,ROUND((_xlfn.MAXIFS(Status_Log!$E:$E,Status_Log!$A:$A,$A149,Status_Log!$B:$B,$B149,Status_Log!$C:$C,$C149,Status_Log!$D:$D,"Changed to the status of Calculated")-F149)*1440,0)))</f>
        <v/>
      </c>
      <c r="L149" s="4" t="str">
        <f aca="false">IF($A149="","",IFERROR(INDEX(Status_Log!$F:$F,MATCH($A149&amp;"|"&amp;$B149&amp;"|"&amp;$C149&amp;"|Changed to the status of Calculated|"&amp;TEXT(_xlfn.MAXIFS(Status_Log!$E:$E,Status_Log!$A:$A,$A149,Status_Log!$B:$B,$B149,Status_Log!$C:$C,$C149,Status_Log!$D:$D,"Changed to the status of Calculated"),"0.000000"),Status_Log!$H:$H,0)),""))</f>
        <v/>
      </c>
      <c r="M149" s="4" t="str">
        <f aca="false">IF($A149="","",IF(E149="Client","n/a — no control step",IFERROR(INDEX(Status_Log!$F:$F,MATCH($A149&amp;"|"&amp;$B149&amp;"|"&amp;$C149&amp;"|Changed to the status of Controlled|"&amp;TEXT(_xlfn.MAXIFS(Status_Log!$E:$E,Status_Log!$A:$A,$A149,Status_Log!$B:$B,$B149,Status_Log!$C:$C,$C149,Status_Log!$D:$D,"Changed to the status of Controlled"),"0.000000"),Status_Log!$H:$H,0)),"")))</f>
        <v/>
      </c>
      <c r="N149" s="4" t="str">
        <f aca="false">IF($A149="","",IFERROR(VLOOKUP($C149,Dim_Fund!$A:$G,7,0),""))</f>
        <v/>
      </c>
      <c r="O149" s="4" t="str">
        <f aca="false">IF($A149="","",IF(L149=N149,"No","Yes"))</f>
        <v/>
      </c>
      <c r="P149" s="4" t="str">
        <f aca="false">IF($A149="","",IF(E149="Client","n/a",IF(L149=M149,"YES — four-eyes breach","No")))</f>
        <v/>
      </c>
      <c r="Q149" s="38" t="str">
        <f aca="false">IF($A149="","",IFERROR(VLOOKUP($C149,Dim_Fund!$A:$AB,28,0),""))</f>
        <v/>
      </c>
      <c r="R149" s="38" t="str">
        <f aca="false">IF($A149="","",IFERROR(VLOOKUP($C149,Dim_Fund!$A:$AC,29,0),""))</f>
        <v/>
      </c>
      <c r="S149" s="38" t="str">
        <f aca="false">IF($A149="","",IFERROR(VLOOKUP($C149,Dim_Fund!$A:$AD,30,0),""))</f>
        <v/>
      </c>
      <c r="T149" s="38" t="str">
        <f aca="false">IF($A149="","",IFERROR(VLOOKUP($C149,Dim_Fund!$A:$AL,38,0),""))</f>
        <v/>
      </c>
      <c r="U149" s="37" t="str">
        <f aca="false">IF($A149="","",IF(AL149="","",IFERROR(IF(COUNTIFS(Fact_Milestone!$A:$A,$B149,Fact_Milestone!$B:$B,AL149)=0,"",_xlfn.MAXIFS(Fact_Milestone!$C:$C,Fact_Milestone!$A:$A,$B149,Fact_Milestone!$B:$B,AL149)),"")))</f>
        <v/>
      </c>
      <c r="V149" s="37" t="str">
        <f aca="false">IF($A149="","",IFERROR(IF(VLOOKUP($C149,Dim_Fund!$A:$AI,35,0)&gt;0,$B149+VLOOKUP($C149,Dim_Fund!$A:$AI,35,0)/24,""),""))</f>
        <v/>
      </c>
      <c r="W149" s="37" t="str">
        <f aca="false">IF($A149="","",F149)</f>
        <v/>
      </c>
      <c r="X149" s="37" t="str">
        <f aca="false">IF($A149="","",IF(E149="Client",H149,G149))</f>
        <v/>
      </c>
      <c r="Y149" s="37" t="str">
        <f aca="false">IF($A149="","",I149)</f>
        <v/>
      </c>
      <c r="Z149" s="37" t="str">
        <f aca="false">IF($A149="","",IFERROR(W149-R149/1440,""))</f>
        <v/>
      </c>
      <c r="AA149" s="38" t="str">
        <f aca="false">IF($A149="","",IF(OR(U149="",V149=""),"",ROUND((V149-U149)*1440,0)))</f>
        <v/>
      </c>
      <c r="AB149" s="38" t="str">
        <f aca="false">IF($A149="","",IF(U149="","",ROUND((W149-U149)*1440,0)))</f>
        <v/>
      </c>
      <c r="AC149" s="38" t="str">
        <f aca="false">IF($A149="","",IF(AB149="","",MAX(0,AB149)))</f>
        <v/>
      </c>
      <c r="AD149" s="38" t="str">
        <f aca="false">IF($A149="","",IFERROR(ROUND((X149-W149)*1440,0),""))</f>
        <v/>
      </c>
      <c r="AE149" s="38" t="str">
        <f aca="false">IF($A149="","",IF(E149="Client","n/a",IFERROR(ROUND((H149-G149)*1440,0),"")))</f>
        <v/>
      </c>
      <c r="AF149" s="38" t="str">
        <f aca="false">IF($A149="","",IFERROR(ROUND((Y149-H149)*1440,0),""))</f>
        <v/>
      </c>
      <c r="AG149" s="38" t="str">
        <f aca="false">IF($A149="","",IFERROR(ROUND((H149-F149)*1440,0),""))</f>
        <v/>
      </c>
      <c r="AH149" s="38" t="str">
        <f aca="false">IF($A149="","",IFERROR(ROUND((Y149-V149)*1440,0),""))</f>
        <v/>
      </c>
      <c r="AI149" s="4" t="str">
        <f aca="false">IF($A149="","",IF(AH149="","",IF(AH149&gt;0,"Yes","No")))</f>
        <v/>
      </c>
      <c r="AJ149" s="4" t="str">
        <f aca="false">IF($A149="","",IF(AI149&lt;&gt;"Yes","On time",IF(N(AC149)&gt;=MAX(N(AF149),N(K149)),"Wait for analyst",IF(N(AF149)&gt;=N(K149),"External sign-off","Rework"))))</f>
        <v/>
      </c>
      <c r="AK149" s="4" t="str">
        <f aca="false">IF($A149="","",IF(OR(F149="",Y149="",ISNA(MATCH(L149,Dim_Analyst!$A:$A,0))),"CHECK","OK"))</f>
        <v/>
      </c>
      <c r="AL149" s="4" t="str">
        <f aca="false">IF($A149="","",IFERROR(VLOOKUP($C149,Dim_Fund!$A:$U,21,0),""))</f>
        <v/>
      </c>
      <c r="AM149" s="4" t="str">
        <f aca="false">IF($A149="","",IF($U149="","",IF($U149&gt;$B149+IFERROR(VLOOKUP($C149,Dim_Fund!$A:$AH,34,0),0)/24,"Yes","No")))</f>
        <v/>
      </c>
      <c r="AN149" s="22" t="str">
        <f aca="false">IF($A149="","",IFERROR(VLOOKUP($C149,Dim_Fund!$A:$AH,34,0),""))</f>
        <v/>
      </c>
      <c r="AO149" s="22" t="str">
        <f aca="false">IF($A149="","",IF($AL149="","",IFERROR(FLOOR(IF(COUNTIFS(Fact_Milestone!$A:$A,$B149,Fact_Milestone!$B:$B,$AL149,Fact_Milestone!$F:$F,"&gt;0")&gt;0,_xlfn.MINIFS(Fact_Milestone!$F:$F,Fact_Milestone!$A:$A,$B149,Fact_Milestone!$B:$B,$AL149,Fact_Milestone!$F:$F,"&gt;0"),VLOOKUP($AL149,Dim_TOP!$A:$E,5,0)),0.5),"")))</f>
        <v/>
      </c>
      <c r="AP149" s="22" t="str">
        <f aca="false">IF($A149="","",IF($U149="","",ROUND(($U149-INT($U149))*24,4)))</f>
        <v/>
      </c>
      <c r="AQ149" s="22" t="str">
        <f aca="false">IF($A149="","",IF($W149="","",ROUND(($W149-INT($W149))*24,4)))</f>
        <v/>
      </c>
      <c r="AR149" s="22" t="str">
        <f aca="false">IF($A149="","",IF($X149="","",ROUND(($X149-INT($X149))*24,4)))</f>
        <v/>
      </c>
      <c r="AS149" s="38" t="str">
        <f aca="false">IF($A149="","",IF(OR($AN149="",$V149="",$S149="",$T149=""),"",ROUND(($V149-($B149+$AN149/24))*1440-$S149-$T149,0)))</f>
        <v/>
      </c>
      <c r="AT149" s="38" t="str">
        <f aca="false">IF($A149="","",IF(OR($AN149="",$U149=""),"",ROUND(($U149-($B149+$AN149/24))*1440,0)))</f>
        <v/>
      </c>
      <c r="AU149" s="38" t="str">
        <f aca="false">IF($A149="","",IF(OR($AD149="",$S149=""),"",ROUND($AD149-$S149,0)))</f>
        <v/>
      </c>
      <c r="AV149" s="38" t="str">
        <f aca="false">IF($A149="","",N($AE149))</f>
        <v/>
      </c>
      <c r="AW149" s="38" t="str">
        <f aca="false">IF($A149="","",IF(OR($AF149="",$T149=""),"",$AF149-$T149))</f>
        <v/>
      </c>
      <c r="AX149" s="38" t="str">
        <f aca="false">IF($A149="","",IF(COUNT($AT149,$AB149,$AU149,$AW149,$AS149,$AH149)&lt;6,"",ROUND($AT149+$AB149+$AU149+$AV149+$AW149-$AS149-$AH149,0)))</f>
        <v/>
      </c>
      <c r="AY149" s="4" t="str">
        <f aca="false">IF($A149="","",IF($AX149="","No",IF(ABS($AX149)&lt;=2,"Yes","No")))</f>
        <v/>
      </c>
      <c r="AZ149" s="4" t="str">
        <f aca="false">IF($A149="","",IF($AI149&lt;&gt;"Yes","n/a",IF(OR($AA149="",$S149="",$T149=""),"Unknown",IF($AA149&lt;$S149+$T149,"Lost on arrival","Lost after arrival"))))</f>
        <v/>
      </c>
      <c r="BA149" s="10" t="str">
        <f aca="false">IF($A149="","",IFERROR(VLOOKUP($C149,Dim_Fund!$A:$D,4,0),""))</f>
        <v/>
      </c>
      <c r="BB149" s="10" t="str">
        <f aca="false">IF($A149="","",IF($AL149="","",IF(COUNTIFS(Fact_Milestone!$A:$A,$B149,Fact_Milestone!$B:$B,$AL149,Fact_Milestone!$I:$I,"No")&gt;0,"No",IF(COUNTIFS(Fact_Milestone!$A:$A,$B149,Fact_Milestone!$B:$B,$AL149,Fact_Milestone!$I:$I,"Yes")&gt;0,"Yes",""))))</f>
        <v/>
      </c>
      <c r="BC149" s="45" t="str">
        <f aca="false">IF($A149="","",IF(OR($L149="",$W149=""),"",IF(COUNTIFS($L:$L,$L149,$B:$B,$B149,$W:$W,"&lt;"&amp;$W149)=0,"",_xlfn.MAXIFS($W:$W,$L:$L,$L149,$B:$B,$B149,$W:$W,"&lt;"&amp;$W149))))</f>
        <v/>
      </c>
      <c r="BD149" s="39" t="str">
        <f aca="false">IF($A149="","",IF($AC149="","",IF(OR($L149="",$AC149=0),0,MIN($AC149,ROUND(ROUND(1440*SUMPRODUCT(($L$2:INDEX($L:$L,COUNTA($C:$C))=$L149)*($B$2:INDEX($B:$B,COUNTA($C:$C))=$B149)*(ROW($L$2:INDEX($L:$L,COUNTA($C:$C)))&lt;&gt;ROW())*((((($W149+$BT$2:INDEX($BT:$BT,COUNTA($C:$C))-ABS($W149-$BT$2:INDEX($BT:$BT,COUNTA($C:$C))))/2)-(($U149+$BS$2:INDEX($BS:$BS,COUNTA($C:$C))+ABS($U149-$BS$2:INDEX($BS:$BS,COUNTA($C:$C))))/2))+ABS(((($W149+$BT$2:INDEX($BT:$BT,COUNTA($C:$C))-ABS($W149-$BT$2:INDEX($BT:$BT,COUNTA($C:$C))))/2)-(($U149+$BS$2:INDEX($BS:$BS,COUNTA($C:$C))+ABS($U149-$BS$2:INDEX($BS:$BS,COUNTA($C:$C))))/2))))/2)),4),0)))))</f>
        <v/>
      </c>
      <c r="BE149" s="39" t="str">
        <f aca="false">IF($A149="","",IF($AC149="","",ROUND(MIN($AC149-$BD149,N($R149)),0)))</f>
        <v/>
      </c>
      <c r="BF149" s="10" t="str">
        <f aca="false">IF($A149="","",IFERROR(VLOOKUP($C149,Dim_Fund!$A:$BD,56,0),""))</f>
        <v/>
      </c>
      <c r="BG149" s="10" t="str">
        <f aca="false">IF($A149="","",IFERROR(VLOOKUP($C149,Dim_Fund!$A:$BH,60,0),""))</f>
        <v/>
      </c>
      <c r="BH149" s="10" t="str">
        <f aca="false">IF($A149="","",IF($AI149&lt;&gt;"Yes","Not breached",IF($AM149="Yes","Pricing late",IF($BG149="Thin custody slack","Thin custody slack",IF($BF149="Yes","Broker-dependent","None of these")))))</f>
        <v/>
      </c>
      <c r="BI149" s="23" t="str">
        <f aca="false">IF($A149="","",IFERROR(IF(VLOOKUP($C149,Dim_Fund!$A:$AI,35,0)&gt;0,VLOOKUP($C149,Dim_Fund!$A:$AI,35,0),""),""))</f>
        <v/>
      </c>
      <c r="BJ149" s="10" t="str">
        <f aca="false">IF($A149="","",$C149&amp;IF($E149="Client","*",""))</f>
        <v/>
      </c>
      <c r="BK149" s="39" t="str">
        <f aca="false">IF($A149="","",IFERROR(ROUND(($Y149-$X149)*1440,0),""))</f>
        <v/>
      </c>
      <c r="BL149" s="39" t="str">
        <f aca="false">IF($A149="","",IF($AH149="","",-$AH149))</f>
        <v/>
      </c>
      <c r="BM149" s="46" t="str">
        <f aca="false">IF($A149="","",IF($AQ149="","",IF($AP149="",$AQ149,MIN($AP149,$AQ149))))</f>
        <v/>
      </c>
      <c r="BN149" s="46" t="str">
        <f aca="false">IF($A149="","",IF($BM149="","",ROUND(N($AC149)/60,4)))</f>
        <v/>
      </c>
      <c r="BO149" s="46" t="str">
        <f aca="false">IF($A149="","",IF(OR($BM149="",$AD149=""),"",ROUND($AD149/60,4)))</f>
        <v/>
      </c>
      <c r="BP149" s="46" t="str">
        <f aca="false">IF($A149="","",IF($BM149="","",ROUND(N($AE149)/60,4)))</f>
        <v/>
      </c>
      <c r="BQ149" s="46" t="str">
        <f aca="false">IF($A149="","",IF(OR($BM149="",$AF149=""),"",ROUND($AF149/60,4)))</f>
        <v/>
      </c>
      <c r="BR149" s="39" t="str">
        <f aca="false">IF($A149="","",IF($AC149="","",$AC149-$BD149-$BE149))</f>
        <v/>
      </c>
      <c r="BS149" s="45" t="str">
        <f aca="false">IF($A149="","",IF(AND(ISNUMBER($Z149),ISNUMBER($W149)),$Z149,0))</f>
        <v/>
      </c>
      <c r="BT149" s="45" t="str">
        <f aca="false">IF($A149="","",IF(ISNUMBER($W149),$W149,0))</f>
        <v/>
      </c>
      <c r="BU149" s="23" t="str">
        <f aca="false">IF($A149="","",IF(ISNUMBER($W149),ROUND(($W149-$B149)*24,4),""))</f>
        <v/>
      </c>
      <c r="BV149" s="23" t="str">
        <f aca="false">IF($A149="","",IF(ISNUMBER($X149),ROUND(($X149-$B149)*24,4),""))</f>
        <v/>
      </c>
      <c r="BW149" s="10" t="str">
        <f aca="false">IF($A149="","",IF(NOT(ISNUMBER($W149)),"Missing Calculated",IF(NOT(ISNUMBER($X149)),IF($E149="Client","Missing FA signed off","Missing Controlled"),IF($X149&lt;$W149,"End before start","OK"))))</f>
        <v/>
      </c>
      <c r="BX149" s="23" t="str">
        <f aca="false">IF($A149="","",IF(NOT(ISNUMBER($Z149)),"",ROUND((IF(ISNUMBER($U149),MIN($U149,$Z149),$Z149)-$B149)*24,4)))</f>
        <v/>
      </c>
      <c r="BY149" s="23" t="str">
        <f aca="false">IF($A149="","",IF(ISNUMBER($Z149),ROUND(($Z149-$B149)*24,4),""))</f>
        <v/>
      </c>
      <c r="BZ149" s="23" t="str">
        <f aca="false">IF($A149="","",IF(AND(ISNUMBER($W149),ISNUMBER($S149)),ROUND(($W149+$S149/1440-$B149)*24,4),""))</f>
        <v/>
      </c>
    </row>
    <row r="150" customFormat="false" ht="15" hidden="false" customHeight="true" outlineLevel="0" collapsed="false">
      <c r="A150" s="47"/>
      <c r="B150" s="47"/>
      <c r="D150" s="4" t="str">
        <f aca="false">IF($A150="","",$B150-$A150)</f>
        <v/>
      </c>
      <c r="E150" s="4" t="str">
        <f aca="false">IF($A150="","",IFERROR(VLOOKUP($C150,Dim_Fund!$A:$X,24,0),""))</f>
        <v/>
      </c>
      <c r="F150" s="37" t="str">
        <f aca="false">IF($A150="","",IF(COUNTIFS(Status_Log!$A:$A,$A150,Status_Log!$B:$B,$B150,Status_Log!$C:$C,$C150,Status_Log!$D:$D,"Changed to the status of Calculated")=0,"",_xlfn.MINIFS(Status_Log!$E:$E,Status_Log!$A:$A,$A150,Status_Log!$B:$B,$B150,Status_Log!$C:$C,$C150,Status_Log!$D:$D,"Changed to the status of Calculated")))</f>
        <v/>
      </c>
      <c r="G150" s="37" t="str">
        <f aca="false">IF($A150="","",IF(COUNTIFS(Status_Log!$A:$A,$A150,Status_Log!$B:$B,$B150,Status_Log!$C:$C,$C150,Status_Log!$D:$D,"Changed to the status of Controlled")=0,"",_xlfn.MAXIFS(Status_Log!$E:$E,Status_Log!$A:$A,$A150,Status_Log!$B:$B,$B150,Status_Log!$C:$C,$C150,Status_Log!$D:$D,"Changed to the status of Controlled")))</f>
        <v/>
      </c>
      <c r="H150" s="37" t="str">
        <f aca="false">IF($A150="","",IF(COUNTIFS(Status_Log!$A:$A,$A150,Status_Log!$B:$B,$B150,Status_Log!$C:$C,$C150,Status_Log!$D:$D,"Changed to the status of Fund accounting signed off")=0,"",_xlfn.MAXIFS(Status_Log!$E:$E,Status_Log!$A:$A,$A150,Status_Log!$B:$B,$B150,Status_Log!$C:$C,$C150,Status_Log!$D:$D,"Changed to the status of Fund accounting signed off")))</f>
        <v/>
      </c>
      <c r="I150" s="37" t="str">
        <f aca="false">IF($A150="","",IF(COUNTIFS(Status_Log!$A:$A,$A150,Status_Log!$B:$B,$B150,Status_Log!$C:$C,$C150,Status_Log!$D:$D,"Changed to the status of signed off")=0,"",_xlfn.MAXIFS(Status_Log!$E:$E,Status_Log!$A:$A,$A150,Status_Log!$B:$B,$B150,Status_Log!$C:$C,$C150,Status_Log!$D:$D,"Changed to the status of signed off")))</f>
        <v/>
      </c>
      <c r="J150" s="4" t="str">
        <f aca="false">IF($A150="","",COUNTIFS(Status_Log!$A:$A,$A150,Status_Log!$B:$B,$B150,Status_Log!$C:$C,$C150,Status_Log!$D:$D,"Changed to the status of Calculated"))</f>
        <v/>
      </c>
      <c r="K150" s="38" t="str">
        <f aca="false">IF($A150="","",IF(J150&lt;=1,0,ROUND((_xlfn.MAXIFS(Status_Log!$E:$E,Status_Log!$A:$A,$A150,Status_Log!$B:$B,$B150,Status_Log!$C:$C,$C150,Status_Log!$D:$D,"Changed to the status of Calculated")-F150)*1440,0)))</f>
        <v/>
      </c>
      <c r="L150" s="4" t="str">
        <f aca="false">IF($A150="","",IFERROR(INDEX(Status_Log!$F:$F,MATCH($A150&amp;"|"&amp;$B150&amp;"|"&amp;$C150&amp;"|Changed to the status of Calculated|"&amp;TEXT(_xlfn.MAXIFS(Status_Log!$E:$E,Status_Log!$A:$A,$A150,Status_Log!$B:$B,$B150,Status_Log!$C:$C,$C150,Status_Log!$D:$D,"Changed to the status of Calculated"),"0.000000"),Status_Log!$H:$H,0)),""))</f>
        <v/>
      </c>
      <c r="M150" s="4" t="str">
        <f aca="false">IF($A150="","",IF(E150="Client","n/a — no control step",IFERROR(INDEX(Status_Log!$F:$F,MATCH($A150&amp;"|"&amp;$B150&amp;"|"&amp;$C150&amp;"|Changed to the status of Controlled|"&amp;TEXT(_xlfn.MAXIFS(Status_Log!$E:$E,Status_Log!$A:$A,$A150,Status_Log!$B:$B,$B150,Status_Log!$C:$C,$C150,Status_Log!$D:$D,"Changed to the status of Controlled"),"0.000000"),Status_Log!$H:$H,0)),"")))</f>
        <v/>
      </c>
      <c r="N150" s="4" t="str">
        <f aca="false">IF($A150="","",IFERROR(VLOOKUP($C150,Dim_Fund!$A:$G,7,0),""))</f>
        <v/>
      </c>
      <c r="O150" s="4" t="str">
        <f aca="false">IF($A150="","",IF(L150=N150,"No","Yes"))</f>
        <v/>
      </c>
      <c r="P150" s="4" t="str">
        <f aca="false">IF($A150="","",IF(E150="Client","n/a",IF(L150=M150,"YES — four-eyes breach","No")))</f>
        <v/>
      </c>
      <c r="Q150" s="38" t="str">
        <f aca="false">IF($A150="","",IFERROR(VLOOKUP($C150,Dim_Fund!$A:$AB,28,0),""))</f>
        <v/>
      </c>
      <c r="R150" s="38" t="str">
        <f aca="false">IF($A150="","",IFERROR(VLOOKUP($C150,Dim_Fund!$A:$AC,29,0),""))</f>
        <v/>
      </c>
      <c r="S150" s="38" t="str">
        <f aca="false">IF($A150="","",IFERROR(VLOOKUP($C150,Dim_Fund!$A:$AD,30,0),""))</f>
        <v/>
      </c>
      <c r="T150" s="38" t="str">
        <f aca="false">IF($A150="","",IFERROR(VLOOKUP($C150,Dim_Fund!$A:$AL,38,0),""))</f>
        <v/>
      </c>
      <c r="U150" s="37" t="str">
        <f aca="false">IF($A150="","",IF(AL150="","",IFERROR(IF(COUNTIFS(Fact_Milestone!$A:$A,$B150,Fact_Milestone!$B:$B,AL150)=0,"",_xlfn.MAXIFS(Fact_Milestone!$C:$C,Fact_Milestone!$A:$A,$B150,Fact_Milestone!$B:$B,AL150)),"")))</f>
        <v/>
      </c>
      <c r="V150" s="37" t="str">
        <f aca="false">IF($A150="","",IFERROR(IF(VLOOKUP($C150,Dim_Fund!$A:$AI,35,0)&gt;0,$B150+VLOOKUP($C150,Dim_Fund!$A:$AI,35,0)/24,""),""))</f>
        <v/>
      </c>
      <c r="W150" s="37" t="str">
        <f aca="false">IF($A150="","",F150)</f>
        <v/>
      </c>
      <c r="X150" s="37" t="str">
        <f aca="false">IF($A150="","",IF(E150="Client",H150,G150))</f>
        <v/>
      </c>
      <c r="Y150" s="37" t="str">
        <f aca="false">IF($A150="","",I150)</f>
        <v/>
      </c>
      <c r="Z150" s="37" t="str">
        <f aca="false">IF($A150="","",IFERROR(W150-R150/1440,""))</f>
        <v/>
      </c>
      <c r="AA150" s="38" t="str">
        <f aca="false">IF($A150="","",IF(OR(U150="",V150=""),"",ROUND((V150-U150)*1440,0)))</f>
        <v/>
      </c>
      <c r="AB150" s="38" t="str">
        <f aca="false">IF($A150="","",IF(U150="","",ROUND((W150-U150)*1440,0)))</f>
        <v/>
      </c>
      <c r="AC150" s="38" t="str">
        <f aca="false">IF($A150="","",IF(AB150="","",MAX(0,AB150)))</f>
        <v/>
      </c>
      <c r="AD150" s="38" t="str">
        <f aca="false">IF($A150="","",IFERROR(ROUND((X150-W150)*1440,0),""))</f>
        <v/>
      </c>
      <c r="AE150" s="38" t="str">
        <f aca="false">IF($A150="","",IF(E150="Client","n/a",IFERROR(ROUND((H150-G150)*1440,0),"")))</f>
        <v/>
      </c>
      <c r="AF150" s="38" t="str">
        <f aca="false">IF($A150="","",IFERROR(ROUND((Y150-H150)*1440,0),""))</f>
        <v/>
      </c>
      <c r="AG150" s="38" t="str">
        <f aca="false">IF($A150="","",IFERROR(ROUND((H150-F150)*1440,0),""))</f>
        <v/>
      </c>
      <c r="AH150" s="38" t="str">
        <f aca="false">IF($A150="","",IFERROR(ROUND((Y150-V150)*1440,0),""))</f>
        <v/>
      </c>
      <c r="AI150" s="4" t="str">
        <f aca="false">IF($A150="","",IF(AH150="","",IF(AH150&gt;0,"Yes","No")))</f>
        <v/>
      </c>
      <c r="AJ150" s="4" t="str">
        <f aca="false">IF($A150="","",IF(AI150&lt;&gt;"Yes","On time",IF(N(AC150)&gt;=MAX(N(AF150),N(K150)),"Wait for analyst",IF(N(AF150)&gt;=N(K150),"External sign-off","Rework"))))</f>
        <v/>
      </c>
      <c r="AK150" s="4" t="str">
        <f aca="false">IF($A150="","",IF(OR(F150="",Y150="",ISNA(MATCH(L150,Dim_Analyst!$A:$A,0))),"CHECK","OK"))</f>
        <v/>
      </c>
      <c r="AL150" s="4" t="str">
        <f aca="false">IF($A150="","",IFERROR(VLOOKUP($C150,Dim_Fund!$A:$U,21,0),""))</f>
        <v/>
      </c>
      <c r="AM150" s="4" t="str">
        <f aca="false">IF($A150="","",IF($U150="","",IF($U150&gt;$B150+IFERROR(VLOOKUP($C150,Dim_Fund!$A:$AH,34,0),0)/24,"Yes","No")))</f>
        <v/>
      </c>
      <c r="AN150" s="22" t="str">
        <f aca="false">IF($A150="","",IFERROR(VLOOKUP($C150,Dim_Fund!$A:$AH,34,0),""))</f>
        <v/>
      </c>
      <c r="AO150" s="22" t="str">
        <f aca="false">IF($A150="","",IF($AL150="","",IFERROR(FLOOR(IF(COUNTIFS(Fact_Milestone!$A:$A,$B150,Fact_Milestone!$B:$B,$AL150,Fact_Milestone!$F:$F,"&gt;0")&gt;0,_xlfn.MINIFS(Fact_Milestone!$F:$F,Fact_Milestone!$A:$A,$B150,Fact_Milestone!$B:$B,$AL150,Fact_Milestone!$F:$F,"&gt;0"),VLOOKUP($AL150,Dim_TOP!$A:$E,5,0)),0.5),"")))</f>
        <v/>
      </c>
      <c r="AP150" s="22" t="str">
        <f aca="false">IF($A150="","",IF($U150="","",ROUND(($U150-INT($U150))*24,4)))</f>
        <v/>
      </c>
      <c r="AQ150" s="22" t="str">
        <f aca="false">IF($A150="","",IF($W150="","",ROUND(($W150-INT($W150))*24,4)))</f>
        <v/>
      </c>
      <c r="AR150" s="22" t="str">
        <f aca="false">IF($A150="","",IF($X150="","",ROUND(($X150-INT($X150))*24,4)))</f>
        <v/>
      </c>
      <c r="AS150" s="38" t="str">
        <f aca="false">IF($A150="","",IF(OR($AN150="",$V150="",$S150="",$T150=""),"",ROUND(($V150-($B150+$AN150/24))*1440-$S150-$T150,0)))</f>
        <v/>
      </c>
      <c r="AT150" s="38" t="str">
        <f aca="false">IF($A150="","",IF(OR($AN150="",$U150=""),"",ROUND(($U150-($B150+$AN150/24))*1440,0)))</f>
        <v/>
      </c>
      <c r="AU150" s="38" t="str">
        <f aca="false">IF($A150="","",IF(OR($AD150="",$S150=""),"",ROUND($AD150-$S150,0)))</f>
        <v/>
      </c>
      <c r="AV150" s="38" t="str">
        <f aca="false">IF($A150="","",N($AE150))</f>
        <v/>
      </c>
      <c r="AW150" s="38" t="str">
        <f aca="false">IF($A150="","",IF(OR($AF150="",$T150=""),"",$AF150-$T150))</f>
        <v/>
      </c>
      <c r="AX150" s="38" t="str">
        <f aca="false">IF($A150="","",IF(COUNT($AT150,$AB150,$AU150,$AW150,$AS150,$AH150)&lt;6,"",ROUND($AT150+$AB150+$AU150+$AV150+$AW150-$AS150-$AH150,0)))</f>
        <v/>
      </c>
      <c r="AY150" s="4" t="str">
        <f aca="false">IF($A150="","",IF($AX150="","No",IF(ABS($AX150)&lt;=2,"Yes","No")))</f>
        <v/>
      </c>
      <c r="AZ150" s="4" t="str">
        <f aca="false">IF($A150="","",IF($AI150&lt;&gt;"Yes","n/a",IF(OR($AA150="",$S150="",$T150=""),"Unknown",IF($AA150&lt;$S150+$T150,"Lost on arrival","Lost after arrival"))))</f>
        <v/>
      </c>
      <c r="BA150" s="10" t="str">
        <f aca="false">IF($A150="","",IFERROR(VLOOKUP($C150,Dim_Fund!$A:$D,4,0),""))</f>
        <v/>
      </c>
      <c r="BB150" s="10" t="str">
        <f aca="false">IF($A150="","",IF($AL150="","",IF(COUNTIFS(Fact_Milestone!$A:$A,$B150,Fact_Milestone!$B:$B,$AL150,Fact_Milestone!$I:$I,"No")&gt;0,"No",IF(COUNTIFS(Fact_Milestone!$A:$A,$B150,Fact_Milestone!$B:$B,$AL150,Fact_Milestone!$I:$I,"Yes")&gt;0,"Yes",""))))</f>
        <v/>
      </c>
      <c r="BC150" s="45" t="str">
        <f aca="false">IF($A150="","",IF(OR($L150="",$W150=""),"",IF(COUNTIFS($L:$L,$L150,$B:$B,$B150,$W:$W,"&lt;"&amp;$W150)=0,"",_xlfn.MAXIFS($W:$W,$L:$L,$L150,$B:$B,$B150,$W:$W,"&lt;"&amp;$W150))))</f>
        <v/>
      </c>
      <c r="BD150" s="39" t="str">
        <f aca="false">IF($A150="","",IF($AC150="","",IF(OR($L150="",$AC150=0),0,MIN($AC150,ROUND(ROUND(1440*SUMPRODUCT(($L$2:INDEX($L:$L,COUNTA($C:$C))=$L150)*($B$2:INDEX($B:$B,COUNTA($C:$C))=$B150)*(ROW($L$2:INDEX($L:$L,COUNTA($C:$C)))&lt;&gt;ROW())*((((($W150+$BT$2:INDEX($BT:$BT,COUNTA($C:$C))-ABS($W150-$BT$2:INDEX($BT:$BT,COUNTA($C:$C))))/2)-(($U150+$BS$2:INDEX($BS:$BS,COUNTA($C:$C))+ABS($U150-$BS$2:INDEX($BS:$BS,COUNTA($C:$C))))/2))+ABS(((($W150+$BT$2:INDEX($BT:$BT,COUNTA($C:$C))-ABS($W150-$BT$2:INDEX($BT:$BT,COUNTA($C:$C))))/2)-(($U150+$BS$2:INDEX($BS:$BS,COUNTA($C:$C))+ABS($U150-$BS$2:INDEX($BS:$BS,COUNTA($C:$C))))/2))))/2)),4),0)))))</f>
        <v/>
      </c>
      <c r="BE150" s="39" t="str">
        <f aca="false">IF($A150="","",IF($AC150="","",ROUND(MIN($AC150-$BD150,N($R150)),0)))</f>
        <v/>
      </c>
      <c r="BF150" s="10" t="str">
        <f aca="false">IF($A150="","",IFERROR(VLOOKUP($C150,Dim_Fund!$A:$BD,56,0),""))</f>
        <v/>
      </c>
      <c r="BG150" s="10" t="str">
        <f aca="false">IF($A150="","",IFERROR(VLOOKUP($C150,Dim_Fund!$A:$BH,60,0),""))</f>
        <v/>
      </c>
      <c r="BH150" s="10" t="str">
        <f aca="false">IF($A150="","",IF($AI150&lt;&gt;"Yes","Not breached",IF($AM150="Yes","Pricing late",IF($BG150="Thin custody slack","Thin custody slack",IF($BF150="Yes","Broker-dependent","None of these")))))</f>
        <v/>
      </c>
      <c r="BI150" s="23" t="str">
        <f aca="false">IF($A150="","",IFERROR(IF(VLOOKUP($C150,Dim_Fund!$A:$AI,35,0)&gt;0,VLOOKUP($C150,Dim_Fund!$A:$AI,35,0),""),""))</f>
        <v/>
      </c>
      <c r="BJ150" s="10" t="str">
        <f aca="false">IF($A150="","",$C150&amp;IF($E150="Client","*",""))</f>
        <v/>
      </c>
      <c r="BK150" s="39" t="str">
        <f aca="false">IF($A150="","",IFERROR(ROUND(($Y150-$X150)*1440,0),""))</f>
        <v/>
      </c>
      <c r="BL150" s="39" t="str">
        <f aca="false">IF($A150="","",IF($AH150="","",-$AH150))</f>
        <v/>
      </c>
      <c r="BM150" s="46" t="str">
        <f aca="false">IF($A150="","",IF($AQ150="","",IF($AP150="",$AQ150,MIN($AP150,$AQ150))))</f>
        <v/>
      </c>
      <c r="BN150" s="46" t="str">
        <f aca="false">IF($A150="","",IF($BM150="","",ROUND(N($AC150)/60,4)))</f>
        <v/>
      </c>
      <c r="BO150" s="46" t="str">
        <f aca="false">IF($A150="","",IF(OR($BM150="",$AD150=""),"",ROUND($AD150/60,4)))</f>
        <v/>
      </c>
      <c r="BP150" s="46" t="str">
        <f aca="false">IF($A150="","",IF($BM150="","",ROUND(N($AE150)/60,4)))</f>
        <v/>
      </c>
      <c r="BQ150" s="46" t="str">
        <f aca="false">IF($A150="","",IF(OR($BM150="",$AF150=""),"",ROUND($AF150/60,4)))</f>
        <v/>
      </c>
      <c r="BR150" s="39" t="str">
        <f aca="false">IF($A150="","",IF($AC150="","",$AC150-$BD150-$BE150))</f>
        <v/>
      </c>
      <c r="BS150" s="45" t="str">
        <f aca="false">IF($A150="","",IF(AND(ISNUMBER($Z150),ISNUMBER($W150)),$Z150,0))</f>
        <v/>
      </c>
      <c r="BT150" s="45" t="str">
        <f aca="false">IF($A150="","",IF(ISNUMBER($W150),$W150,0))</f>
        <v/>
      </c>
      <c r="BU150" s="23" t="str">
        <f aca="false">IF($A150="","",IF(ISNUMBER($W150),ROUND(($W150-$B150)*24,4),""))</f>
        <v/>
      </c>
      <c r="BV150" s="23" t="str">
        <f aca="false">IF($A150="","",IF(ISNUMBER($X150),ROUND(($X150-$B150)*24,4),""))</f>
        <v/>
      </c>
      <c r="BW150" s="10" t="str">
        <f aca="false">IF($A150="","",IF(NOT(ISNUMBER($W150)),"Missing Calculated",IF(NOT(ISNUMBER($X150)),IF($E150="Client","Missing FA signed off","Missing Controlled"),IF($X150&lt;$W150,"End before start","OK"))))</f>
        <v/>
      </c>
      <c r="BX150" s="23" t="str">
        <f aca="false">IF($A150="","",IF(NOT(ISNUMBER($Z150)),"",ROUND((IF(ISNUMBER($U150),MIN($U150,$Z150),$Z150)-$B150)*24,4)))</f>
        <v/>
      </c>
      <c r="BY150" s="23" t="str">
        <f aca="false">IF($A150="","",IF(ISNUMBER($Z150),ROUND(($Z150-$B150)*24,4),""))</f>
        <v/>
      </c>
      <c r="BZ150" s="23" t="str">
        <f aca="false">IF($A150="","",IF(AND(ISNUMBER($W150),ISNUMBER($S150)),ROUND(($W150+$S150/1440-$B150)*24,4),""))</f>
        <v/>
      </c>
    </row>
    <row r="151" customFormat="false" ht="15" hidden="false" customHeight="true" outlineLevel="0" collapsed="false">
      <c r="A151" s="47"/>
      <c r="B151" s="47"/>
      <c r="D151" s="4" t="str">
        <f aca="false">IF($A151="","",$B151-$A151)</f>
        <v/>
      </c>
      <c r="E151" s="4" t="str">
        <f aca="false">IF($A151="","",IFERROR(VLOOKUP($C151,Dim_Fund!$A:$X,24,0),""))</f>
        <v/>
      </c>
      <c r="F151" s="37" t="str">
        <f aca="false">IF($A151="","",IF(COUNTIFS(Status_Log!$A:$A,$A151,Status_Log!$B:$B,$B151,Status_Log!$C:$C,$C151,Status_Log!$D:$D,"Changed to the status of Calculated")=0,"",_xlfn.MINIFS(Status_Log!$E:$E,Status_Log!$A:$A,$A151,Status_Log!$B:$B,$B151,Status_Log!$C:$C,$C151,Status_Log!$D:$D,"Changed to the status of Calculated")))</f>
        <v/>
      </c>
      <c r="G151" s="37" t="str">
        <f aca="false">IF($A151="","",IF(COUNTIFS(Status_Log!$A:$A,$A151,Status_Log!$B:$B,$B151,Status_Log!$C:$C,$C151,Status_Log!$D:$D,"Changed to the status of Controlled")=0,"",_xlfn.MAXIFS(Status_Log!$E:$E,Status_Log!$A:$A,$A151,Status_Log!$B:$B,$B151,Status_Log!$C:$C,$C151,Status_Log!$D:$D,"Changed to the status of Controlled")))</f>
        <v/>
      </c>
      <c r="H151" s="37" t="str">
        <f aca="false">IF($A151="","",IF(COUNTIFS(Status_Log!$A:$A,$A151,Status_Log!$B:$B,$B151,Status_Log!$C:$C,$C151,Status_Log!$D:$D,"Changed to the status of Fund accounting signed off")=0,"",_xlfn.MAXIFS(Status_Log!$E:$E,Status_Log!$A:$A,$A151,Status_Log!$B:$B,$B151,Status_Log!$C:$C,$C151,Status_Log!$D:$D,"Changed to the status of Fund accounting signed off")))</f>
        <v/>
      </c>
      <c r="I151" s="37" t="str">
        <f aca="false">IF($A151="","",IF(COUNTIFS(Status_Log!$A:$A,$A151,Status_Log!$B:$B,$B151,Status_Log!$C:$C,$C151,Status_Log!$D:$D,"Changed to the status of signed off")=0,"",_xlfn.MAXIFS(Status_Log!$E:$E,Status_Log!$A:$A,$A151,Status_Log!$B:$B,$B151,Status_Log!$C:$C,$C151,Status_Log!$D:$D,"Changed to the status of signed off")))</f>
        <v/>
      </c>
      <c r="J151" s="4" t="str">
        <f aca="false">IF($A151="","",COUNTIFS(Status_Log!$A:$A,$A151,Status_Log!$B:$B,$B151,Status_Log!$C:$C,$C151,Status_Log!$D:$D,"Changed to the status of Calculated"))</f>
        <v/>
      </c>
      <c r="K151" s="38" t="str">
        <f aca="false">IF($A151="","",IF(J151&lt;=1,0,ROUND((_xlfn.MAXIFS(Status_Log!$E:$E,Status_Log!$A:$A,$A151,Status_Log!$B:$B,$B151,Status_Log!$C:$C,$C151,Status_Log!$D:$D,"Changed to the status of Calculated")-F151)*1440,0)))</f>
        <v/>
      </c>
      <c r="L151" s="4" t="str">
        <f aca="false">IF($A151="","",IFERROR(INDEX(Status_Log!$F:$F,MATCH($A151&amp;"|"&amp;$B151&amp;"|"&amp;$C151&amp;"|Changed to the status of Calculated|"&amp;TEXT(_xlfn.MAXIFS(Status_Log!$E:$E,Status_Log!$A:$A,$A151,Status_Log!$B:$B,$B151,Status_Log!$C:$C,$C151,Status_Log!$D:$D,"Changed to the status of Calculated"),"0.000000"),Status_Log!$H:$H,0)),""))</f>
        <v/>
      </c>
      <c r="M151" s="4" t="str">
        <f aca="false">IF($A151="","",IF(E151="Client","n/a — no control step",IFERROR(INDEX(Status_Log!$F:$F,MATCH($A151&amp;"|"&amp;$B151&amp;"|"&amp;$C151&amp;"|Changed to the status of Controlled|"&amp;TEXT(_xlfn.MAXIFS(Status_Log!$E:$E,Status_Log!$A:$A,$A151,Status_Log!$B:$B,$B151,Status_Log!$C:$C,$C151,Status_Log!$D:$D,"Changed to the status of Controlled"),"0.000000"),Status_Log!$H:$H,0)),"")))</f>
        <v/>
      </c>
      <c r="N151" s="4" t="str">
        <f aca="false">IF($A151="","",IFERROR(VLOOKUP($C151,Dim_Fund!$A:$G,7,0),""))</f>
        <v/>
      </c>
      <c r="O151" s="4" t="str">
        <f aca="false">IF($A151="","",IF(L151=N151,"No","Yes"))</f>
        <v/>
      </c>
      <c r="P151" s="4" t="str">
        <f aca="false">IF($A151="","",IF(E151="Client","n/a",IF(L151=M151,"YES — four-eyes breach","No")))</f>
        <v/>
      </c>
      <c r="Q151" s="38" t="str">
        <f aca="false">IF($A151="","",IFERROR(VLOOKUP($C151,Dim_Fund!$A:$AB,28,0),""))</f>
        <v/>
      </c>
      <c r="R151" s="38" t="str">
        <f aca="false">IF($A151="","",IFERROR(VLOOKUP($C151,Dim_Fund!$A:$AC,29,0),""))</f>
        <v/>
      </c>
      <c r="S151" s="38" t="str">
        <f aca="false">IF($A151="","",IFERROR(VLOOKUP($C151,Dim_Fund!$A:$AD,30,0),""))</f>
        <v/>
      </c>
      <c r="T151" s="38" t="str">
        <f aca="false">IF($A151="","",IFERROR(VLOOKUP($C151,Dim_Fund!$A:$AL,38,0),""))</f>
        <v/>
      </c>
      <c r="U151" s="37" t="str">
        <f aca="false">IF($A151="","",IF(AL151="","",IFERROR(IF(COUNTIFS(Fact_Milestone!$A:$A,$B151,Fact_Milestone!$B:$B,AL151)=0,"",_xlfn.MAXIFS(Fact_Milestone!$C:$C,Fact_Milestone!$A:$A,$B151,Fact_Milestone!$B:$B,AL151)),"")))</f>
        <v/>
      </c>
      <c r="V151" s="37" t="str">
        <f aca="false">IF($A151="","",IFERROR(IF(VLOOKUP($C151,Dim_Fund!$A:$AI,35,0)&gt;0,$B151+VLOOKUP($C151,Dim_Fund!$A:$AI,35,0)/24,""),""))</f>
        <v/>
      </c>
      <c r="W151" s="37" t="str">
        <f aca="false">IF($A151="","",F151)</f>
        <v/>
      </c>
      <c r="X151" s="37" t="str">
        <f aca="false">IF($A151="","",IF(E151="Client",H151,G151))</f>
        <v/>
      </c>
      <c r="Y151" s="37" t="str">
        <f aca="false">IF($A151="","",I151)</f>
        <v/>
      </c>
      <c r="Z151" s="37" t="str">
        <f aca="false">IF($A151="","",IFERROR(W151-R151/1440,""))</f>
        <v/>
      </c>
      <c r="AA151" s="38" t="str">
        <f aca="false">IF($A151="","",IF(OR(U151="",V151=""),"",ROUND((V151-U151)*1440,0)))</f>
        <v/>
      </c>
      <c r="AB151" s="38" t="str">
        <f aca="false">IF($A151="","",IF(U151="","",ROUND((W151-U151)*1440,0)))</f>
        <v/>
      </c>
      <c r="AC151" s="38" t="str">
        <f aca="false">IF($A151="","",IF(AB151="","",MAX(0,AB151)))</f>
        <v/>
      </c>
      <c r="AD151" s="38" t="str">
        <f aca="false">IF($A151="","",IFERROR(ROUND((X151-W151)*1440,0),""))</f>
        <v/>
      </c>
      <c r="AE151" s="38" t="str">
        <f aca="false">IF($A151="","",IF(E151="Client","n/a",IFERROR(ROUND((H151-G151)*1440,0),"")))</f>
        <v/>
      </c>
      <c r="AF151" s="38" t="str">
        <f aca="false">IF($A151="","",IFERROR(ROUND((Y151-H151)*1440,0),""))</f>
        <v/>
      </c>
      <c r="AG151" s="38" t="str">
        <f aca="false">IF($A151="","",IFERROR(ROUND((H151-F151)*1440,0),""))</f>
        <v/>
      </c>
      <c r="AH151" s="38" t="str">
        <f aca="false">IF($A151="","",IFERROR(ROUND((Y151-V151)*1440,0),""))</f>
        <v/>
      </c>
      <c r="AI151" s="4" t="str">
        <f aca="false">IF($A151="","",IF(AH151="","",IF(AH151&gt;0,"Yes","No")))</f>
        <v/>
      </c>
      <c r="AJ151" s="4" t="str">
        <f aca="false">IF($A151="","",IF(AI151&lt;&gt;"Yes","On time",IF(N(AC151)&gt;=MAX(N(AF151),N(K151)),"Wait for analyst",IF(N(AF151)&gt;=N(K151),"External sign-off","Rework"))))</f>
        <v/>
      </c>
      <c r="AK151" s="4" t="str">
        <f aca="false">IF($A151="","",IF(OR(F151="",Y151="",ISNA(MATCH(L151,Dim_Analyst!$A:$A,0))),"CHECK","OK"))</f>
        <v/>
      </c>
      <c r="AL151" s="4" t="str">
        <f aca="false">IF($A151="","",IFERROR(VLOOKUP($C151,Dim_Fund!$A:$U,21,0),""))</f>
        <v/>
      </c>
      <c r="AM151" s="4" t="str">
        <f aca="false">IF($A151="","",IF($U151="","",IF($U151&gt;$B151+IFERROR(VLOOKUP($C151,Dim_Fund!$A:$AH,34,0),0)/24,"Yes","No")))</f>
        <v/>
      </c>
      <c r="AN151" s="22" t="str">
        <f aca="false">IF($A151="","",IFERROR(VLOOKUP($C151,Dim_Fund!$A:$AH,34,0),""))</f>
        <v/>
      </c>
      <c r="AO151" s="22" t="str">
        <f aca="false">IF($A151="","",IF($AL151="","",IFERROR(FLOOR(IF(COUNTIFS(Fact_Milestone!$A:$A,$B151,Fact_Milestone!$B:$B,$AL151,Fact_Milestone!$F:$F,"&gt;0")&gt;0,_xlfn.MINIFS(Fact_Milestone!$F:$F,Fact_Milestone!$A:$A,$B151,Fact_Milestone!$B:$B,$AL151,Fact_Milestone!$F:$F,"&gt;0"),VLOOKUP($AL151,Dim_TOP!$A:$E,5,0)),0.5),"")))</f>
        <v/>
      </c>
      <c r="AP151" s="22" t="str">
        <f aca="false">IF($A151="","",IF($U151="","",ROUND(($U151-INT($U151))*24,4)))</f>
        <v/>
      </c>
      <c r="AQ151" s="22" t="str">
        <f aca="false">IF($A151="","",IF($W151="","",ROUND(($W151-INT($W151))*24,4)))</f>
        <v/>
      </c>
      <c r="AR151" s="22" t="str">
        <f aca="false">IF($A151="","",IF($X151="","",ROUND(($X151-INT($X151))*24,4)))</f>
        <v/>
      </c>
      <c r="AS151" s="38" t="str">
        <f aca="false">IF($A151="","",IF(OR($AN151="",$V151="",$S151="",$T151=""),"",ROUND(($V151-($B151+$AN151/24))*1440-$S151-$T151,0)))</f>
        <v/>
      </c>
      <c r="AT151" s="38" t="str">
        <f aca="false">IF($A151="","",IF(OR($AN151="",$U151=""),"",ROUND(($U151-($B151+$AN151/24))*1440,0)))</f>
        <v/>
      </c>
      <c r="AU151" s="38" t="str">
        <f aca="false">IF($A151="","",IF(OR($AD151="",$S151=""),"",ROUND($AD151-$S151,0)))</f>
        <v/>
      </c>
      <c r="AV151" s="38" t="str">
        <f aca="false">IF($A151="","",N($AE151))</f>
        <v/>
      </c>
      <c r="AW151" s="38" t="str">
        <f aca="false">IF($A151="","",IF(OR($AF151="",$T151=""),"",$AF151-$T151))</f>
        <v/>
      </c>
      <c r="AX151" s="38" t="str">
        <f aca="false">IF($A151="","",IF(COUNT($AT151,$AB151,$AU151,$AW151,$AS151,$AH151)&lt;6,"",ROUND($AT151+$AB151+$AU151+$AV151+$AW151-$AS151-$AH151,0)))</f>
        <v/>
      </c>
      <c r="AY151" s="4" t="str">
        <f aca="false">IF($A151="","",IF($AX151="","No",IF(ABS($AX151)&lt;=2,"Yes","No")))</f>
        <v/>
      </c>
      <c r="AZ151" s="4" t="str">
        <f aca="false">IF($A151="","",IF($AI151&lt;&gt;"Yes","n/a",IF(OR($AA151="",$S151="",$T151=""),"Unknown",IF($AA151&lt;$S151+$T151,"Lost on arrival","Lost after arrival"))))</f>
        <v/>
      </c>
      <c r="BA151" s="10" t="str">
        <f aca="false">IF($A151="","",IFERROR(VLOOKUP($C151,Dim_Fund!$A:$D,4,0),""))</f>
        <v/>
      </c>
      <c r="BB151" s="10" t="str">
        <f aca="false">IF($A151="","",IF($AL151="","",IF(COUNTIFS(Fact_Milestone!$A:$A,$B151,Fact_Milestone!$B:$B,$AL151,Fact_Milestone!$I:$I,"No")&gt;0,"No",IF(COUNTIFS(Fact_Milestone!$A:$A,$B151,Fact_Milestone!$B:$B,$AL151,Fact_Milestone!$I:$I,"Yes")&gt;0,"Yes",""))))</f>
        <v/>
      </c>
      <c r="BC151" s="45" t="str">
        <f aca="false">IF($A151="","",IF(OR($L151="",$W151=""),"",IF(COUNTIFS($L:$L,$L151,$B:$B,$B151,$W:$W,"&lt;"&amp;$W151)=0,"",_xlfn.MAXIFS($W:$W,$L:$L,$L151,$B:$B,$B151,$W:$W,"&lt;"&amp;$W151))))</f>
        <v/>
      </c>
      <c r="BD151" s="39" t="str">
        <f aca="false">IF($A151="","",IF($AC151="","",IF(OR($L151="",$AC151=0),0,MIN($AC151,ROUND(ROUND(1440*SUMPRODUCT(($L$2:INDEX($L:$L,COUNTA($C:$C))=$L151)*($B$2:INDEX($B:$B,COUNTA($C:$C))=$B151)*(ROW($L$2:INDEX($L:$L,COUNTA($C:$C)))&lt;&gt;ROW())*((((($W151+$BT$2:INDEX($BT:$BT,COUNTA($C:$C))-ABS($W151-$BT$2:INDEX($BT:$BT,COUNTA($C:$C))))/2)-(($U151+$BS$2:INDEX($BS:$BS,COUNTA($C:$C))+ABS($U151-$BS$2:INDEX($BS:$BS,COUNTA($C:$C))))/2))+ABS(((($W151+$BT$2:INDEX($BT:$BT,COUNTA($C:$C))-ABS($W151-$BT$2:INDEX($BT:$BT,COUNTA($C:$C))))/2)-(($U151+$BS$2:INDEX($BS:$BS,COUNTA($C:$C))+ABS($U151-$BS$2:INDEX($BS:$BS,COUNTA($C:$C))))/2))))/2)),4),0)))))</f>
        <v/>
      </c>
      <c r="BE151" s="39" t="str">
        <f aca="false">IF($A151="","",IF($AC151="","",ROUND(MIN($AC151-$BD151,N($R151)),0)))</f>
        <v/>
      </c>
      <c r="BF151" s="10" t="str">
        <f aca="false">IF($A151="","",IFERROR(VLOOKUP($C151,Dim_Fund!$A:$BD,56,0),""))</f>
        <v/>
      </c>
      <c r="BG151" s="10" t="str">
        <f aca="false">IF($A151="","",IFERROR(VLOOKUP($C151,Dim_Fund!$A:$BH,60,0),""))</f>
        <v/>
      </c>
      <c r="BH151" s="10" t="str">
        <f aca="false">IF($A151="","",IF($AI151&lt;&gt;"Yes","Not breached",IF($AM151="Yes","Pricing late",IF($BG151="Thin custody slack","Thin custody slack",IF($BF151="Yes","Broker-dependent","None of these")))))</f>
        <v/>
      </c>
      <c r="BI151" s="23" t="str">
        <f aca="false">IF($A151="","",IFERROR(IF(VLOOKUP($C151,Dim_Fund!$A:$AI,35,0)&gt;0,VLOOKUP($C151,Dim_Fund!$A:$AI,35,0),""),""))</f>
        <v/>
      </c>
      <c r="BJ151" s="10" t="str">
        <f aca="false">IF($A151="","",$C151&amp;IF($E151="Client","*",""))</f>
        <v/>
      </c>
      <c r="BK151" s="39" t="str">
        <f aca="false">IF($A151="","",IFERROR(ROUND(($Y151-$X151)*1440,0),""))</f>
        <v/>
      </c>
      <c r="BL151" s="39" t="str">
        <f aca="false">IF($A151="","",IF($AH151="","",-$AH151))</f>
        <v/>
      </c>
      <c r="BM151" s="46" t="str">
        <f aca="false">IF($A151="","",IF($AQ151="","",IF($AP151="",$AQ151,MIN($AP151,$AQ151))))</f>
        <v/>
      </c>
      <c r="BN151" s="46" t="str">
        <f aca="false">IF($A151="","",IF($BM151="","",ROUND(N($AC151)/60,4)))</f>
        <v/>
      </c>
      <c r="BO151" s="46" t="str">
        <f aca="false">IF($A151="","",IF(OR($BM151="",$AD151=""),"",ROUND($AD151/60,4)))</f>
        <v/>
      </c>
      <c r="BP151" s="46" t="str">
        <f aca="false">IF($A151="","",IF($BM151="","",ROUND(N($AE151)/60,4)))</f>
        <v/>
      </c>
      <c r="BQ151" s="46" t="str">
        <f aca="false">IF($A151="","",IF(OR($BM151="",$AF151=""),"",ROUND($AF151/60,4)))</f>
        <v/>
      </c>
      <c r="BR151" s="39" t="str">
        <f aca="false">IF($A151="","",IF($AC151="","",$AC151-$BD151-$BE151))</f>
        <v/>
      </c>
      <c r="BS151" s="45" t="str">
        <f aca="false">IF($A151="","",IF(AND(ISNUMBER($Z151),ISNUMBER($W151)),$Z151,0))</f>
        <v/>
      </c>
      <c r="BT151" s="45" t="str">
        <f aca="false">IF($A151="","",IF(ISNUMBER($W151),$W151,0))</f>
        <v/>
      </c>
      <c r="BU151" s="23" t="str">
        <f aca="false">IF($A151="","",IF(ISNUMBER($W151),ROUND(($W151-$B151)*24,4),""))</f>
        <v/>
      </c>
      <c r="BV151" s="23" t="str">
        <f aca="false">IF($A151="","",IF(ISNUMBER($X151),ROUND(($X151-$B151)*24,4),""))</f>
        <v/>
      </c>
      <c r="BW151" s="10" t="str">
        <f aca="false">IF($A151="","",IF(NOT(ISNUMBER($W151)),"Missing Calculated",IF(NOT(ISNUMBER($X151)),IF($E151="Client","Missing FA signed off","Missing Controlled"),IF($X151&lt;$W151,"End before start","OK"))))</f>
        <v/>
      </c>
      <c r="BX151" s="23" t="str">
        <f aca="false">IF($A151="","",IF(NOT(ISNUMBER($Z151)),"",ROUND((IF(ISNUMBER($U151),MIN($U151,$Z151),$Z151)-$B151)*24,4)))</f>
        <v/>
      </c>
      <c r="BY151" s="23" t="str">
        <f aca="false">IF($A151="","",IF(ISNUMBER($Z151),ROUND(($Z151-$B151)*24,4),""))</f>
        <v/>
      </c>
      <c r="BZ151" s="23" t="str">
        <f aca="false">IF($A151="","",IF(AND(ISNUMBER($W151),ISNUMBER($S151)),ROUND(($W151+$S151/1440-$B151)*24,4),""))</f>
        <v/>
      </c>
    </row>
    <row r="152" customFormat="false" ht="15" hidden="false" customHeight="true" outlineLevel="0" collapsed="false">
      <c r="A152" s="47"/>
      <c r="B152" s="47"/>
      <c r="D152" s="4" t="str">
        <f aca="false">IF($A152="","",$B152-$A152)</f>
        <v/>
      </c>
      <c r="E152" s="4" t="str">
        <f aca="false">IF($A152="","",IFERROR(VLOOKUP($C152,Dim_Fund!$A:$X,24,0),""))</f>
        <v/>
      </c>
      <c r="F152" s="37" t="str">
        <f aca="false">IF($A152="","",IF(COUNTIFS(Status_Log!$A:$A,$A152,Status_Log!$B:$B,$B152,Status_Log!$C:$C,$C152,Status_Log!$D:$D,"Changed to the status of Calculated")=0,"",_xlfn.MINIFS(Status_Log!$E:$E,Status_Log!$A:$A,$A152,Status_Log!$B:$B,$B152,Status_Log!$C:$C,$C152,Status_Log!$D:$D,"Changed to the status of Calculated")))</f>
        <v/>
      </c>
      <c r="G152" s="37" t="str">
        <f aca="false">IF($A152="","",IF(COUNTIFS(Status_Log!$A:$A,$A152,Status_Log!$B:$B,$B152,Status_Log!$C:$C,$C152,Status_Log!$D:$D,"Changed to the status of Controlled")=0,"",_xlfn.MAXIFS(Status_Log!$E:$E,Status_Log!$A:$A,$A152,Status_Log!$B:$B,$B152,Status_Log!$C:$C,$C152,Status_Log!$D:$D,"Changed to the status of Controlled")))</f>
        <v/>
      </c>
      <c r="H152" s="37" t="str">
        <f aca="false">IF($A152="","",IF(COUNTIFS(Status_Log!$A:$A,$A152,Status_Log!$B:$B,$B152,Status_Log!$C:$C,$C152,Status_Log!$D:$D,"Changed to the status of Fund accounting signed off")=0,"",_xlfn.MAXIFS(Status_Log!$E:$E,Status_Log!$A:$A,$A152,Status_Log!$B:$B,$B152,Status_Log!$C:$C,$C152,Status_Log!$D:$D,"Changed to the status of Fund accounting signed off")))</f>
        <v/>
      </c>
      <c r="I152" s="37" t="str">
        <f aca="false">IF($A152="","",IF(COUNTIFS(Status_Log!$A:$A,$A152,Status_Log!$B:$B,$B152,Status_Log!$C:$C,$C152,Status_Log!$D:$D,"Changed to the status of signed off")=0,"",_xlfn.MAXIFS(Status_Log!$E:$E,Status_Log!$A:$A,$A152,Status_Log!$B:$B,$B152,Status_Log!$C:$C,$C152,Status_Log!$D:$D,"Changed to the status of signed off")))</f>
        <v/>
      </c>
      <c r="J152" s="4" t="str">
        <f aca="false">IF($A152="","",COUNTIFS(Status_Log!$A:$A,$A152,Status_Log!$B:$B,$B152,Status_Log!$C:$C,$C152,Status_Log!$D:$D,"Changed to the status of Calculated"))</f>
        <v/>
      </c>
      <c r="K152" s="38" t="str">
        <f aca="false">IF($A152="","",IF(J152&lt;=1,0,ROUND((_xlfn.MAXIFS(Status_Log!$E:$E,Status_Log!$A:$A,$A152,Status_Log!$B:$B,$B152,Status_Log!$C:$C,$C152,Status_Log!$D:$D,"Changed to the status of Calculated")-F152)*1440,0)))</f>
        <v/>
      </c>
      <c r="L152" s="4" t="str">
        <f aca="false">IF($A152="","",IFERROR(INDEX(Status_Log!$F:$F,MATCH($A152&amp;"|"&amp;$B152&amp;"|"&amp;$C152&amp;"|Changed to the status of Calculated|"&amp;TEXT(_xlfn.MAXIFS(Status_Log!$E:$E,Status_Log!$A:$A,$A152,Status_Log!$B:$B,$B152,Status_Log!$C:$C,$C152,Status_Log!$D:$D,"Changed to the status of Calculated"),"0.000000"),Status_Log!$H:$H,0)),""))</f>
        <v/>
      </c>
      <c r="M152" s="4" t="str">
        <f aca="false">IF($A152="","",IF(E152="Client","n/a — no control step",IFERROR(INDEX(Status_Log!$F:$F,MATCH($A152&amp;"|"&amp;$B152&amp;"|"&amp;$C152&amp;"|Changed to the status of Controlled|"&amp;TEXT(_xlfn.MAXIFS(Status_Log!$E:$E,Status_Log!$A:$A,$A152,Status_Log!$B:$B,$B152,Status_Log!$C:$C,$C152,Status_Log!$D:$D,"Changed to the status of Controlled"),"0.000000"),Status_Log!$H:$H,0)),"")))</f>
        <v/>
      </c>
      <c r="N152" s="4" t="str">
        <f aca="false">IF($A152="","",IFERROR(VLOOKUP($C152,Dim_Fund!$A:$G,7,0),""))</f>
        <v/>
      </c>
      <c r="O152" s="4" t="str">
        <f aca="false">IF($A152="","",IF(L152=N152,"No","Yes"))</f>
        <v/>
      </c>
      <c r="P152" s="4" t="str">
        <f aca="false">IF($A152="","",IF(E152="Client","n/a",IF(L152=M152,"YES — four-eyes breach","No")))</f>
        <v/>
      </c>
      <c r="Q152" s="38" t="str">
        <f aca="false">IF($A152="","",IFERROR(VLOOKUP($C152,Dim_Fund!$A:$AB,28,0),""))</f>
        <v/>
      </c>
      <c r="R152" s="38" t="str">
        <f aca="false">IF($A152="","",IFERROR(VLOOKUP($C152,Dim_Fund!$A:$AC,29,0),""))</f>
        <v/>
      </c>
      <c r="S152" s="38" t="str">
        <f aca="false">IF($A152="","",IFERROR(VLOOKUP($C152,Dim_Fund!$A:$AD,30,0),""))</f>
        <v/>
      </c>
      <c r="T152" s="38" t="str">
        <f aca="false">IF($A152="","",IFERROR(VLOOKUP($C152,Dim_Fund!$A:$AL,38,0),""))</f>
        <v/>
      </c>
      <c r="U152" s="37" t="str">
        <f aca="false">IF($A152="","",IF(AL152="","",IFERROR(IF(COUNTIFS(Fact_Milestone!$A:$A,$B152,Fact_Milestone!$B:$B,AL152)=0,"",_xlfn.MAXIFS(Fact_Milestone!$C:$C,Fact_Milestone!$A:$A,$B152,Fact_Milestone!$B:$B,AL152)),"")))</f>
        <v/>
      </c>
      <c r="V152" s="37" t="str">
        <f aca="false">IF($A152="","",IFERROR(IF(VLOOKUP($C152,Dim_Fund!$A:$AI,35,0)&gt;0,$B152+VLOOKUP($C152,Dim_Fund!$A:$AI,35,0)/24,""),""))</f>
        <v/>
      </c>
      <c r="W152" s="37" t="str">
        <f aca="false">IF($A152="","",F152)</f>
        <v/>
      </c>
      <c r="X152" s="37" t="str">
        <f aca="false">IF($A152="","",IF(E152="Client",H152,G152))</f>
        <v/>
      </c>
      <c r="Y152" s="37" t="str">
        <f aca="false">IF($A152="","",I152)</f>
        <v/>
      </c>
      <c r="Z152" s="37" t="str">
        <f aca="false">IF($A152="","",IFERROR(W152-R152/1440,""))</f>
        <v/>
      </c>
      <c r="AA152" s="38" t="str">
        <f aca="false">IF($A152="","",IF(OR(U152="",V152=""),"",ROUND((V152-U152)*1440,0)))</f>
        <v/>
      </c>
      <c r="AB152" s="38" t="str">
        <f aca="false">IF($A152="","",IF(U152="","",ROUND((W152-U152)*1440,0)))</f>
        <v/>
      </c>
      <c r="AC152" s="38" t="str">
        <f aca="false">IF($A152="","",IF(AB152="","",MAX(0,AB152)))</f>
        <v/>
      </c>
      <c r="AD152" s="38" t="str">
        <f aca="false">IF($A152="","",IFERROR(ROUND((X152-W152)*1440,0),""))</f>
        <v/>
      </c>
      <c r="AE152" s="38" t="str">
        <f aca="false">IF($A152="","",IF(E152="Client","n/a",IFERROR(ROUND((H152-G152)*1440,0),"")))</f>
        <v/>
      </c>
      <c r="AF152" s="38" t="str">
        <f aca="false">IF($A152="","",IFERROR(ROUND((Y152-H152)*1440,0),""))</f>
        <v/>
      </c>
      <c r="AG152" s="38" t="str">
        <f aca="false">IF($A152="","",IFERROR(ROUND((H152-F152)*1440,0),""))</f>
        <v/>
      </c>
      <c r="AH152" s="38" t="str">
        <f aca="false">IF($A152="","",IFERROR(ROUND((Y152-V152)*1440,0),""))</f>
        <v/>
      </c>
      <c r="AI152" s="4" t="str">
        <f aca="false">IF($A152="","",IF(AH152="","",IF(AH152&gt;0,"Yes","No")))</f>
        <v/>
      </c>
      <c r="AJ152" s="4" t="str">
        <f aca="false">IF($A152="","",IF(AI152&lt;&gt;"Yes","On time",IF(N(AC152)&gt;=MAX(N(AF152),N(K152)),"Wait for analyst",IF(N(AF152)&gt;=N(K152),"External sign-off","Rework"))))</f>
        <v/>
      </c>
      <c r="AK152" s="4" t="str">
        <f aca="false">IF($A152="","",IF(OR(F152="",Y152="",ISNA(MATCH(L152,Dim_Analyst!$A:$A,0))),"CHECK","OK"))</f>
        <v/>
      </c>
      <c r="AL152" s="4" t="str">
        <f aca="false">IF($A152="","",IFERROR(VLOOKUP($C152,Dim_Fund!$A:$U,21,0),""))</f>
        <v/>
      </c>
      <c r="AM152" s="4" t="str">
        <f aca="false">IF($A152="","",IF($U152="","",IF($U152&gt;$B152+IFERROR(VLOOKUP($C152,Dim_Fund!$A:$AH,34,0),0)/24,"Yes","No")))</f>
        <v/>
      </c>
      <c r="AN152" s="22" t="str">
        <f aca="false">IF($A152="","",IFERROR(VLOOKUP($C152,Dim_Fund!$A:$AH,34,0),""))</f>
        <v/>
      </c>
      <c r="AO152" s="22" t="str">
        <f aca="false">IF($A152="","",IF($AL152="","",IFERROR(FLOOR(IF(COUNTIFS(Fact_Milestone!$A:$A,$B152,Fact_Milestone!$B:$B,$AL152,Fact_Milestone!$F:$F,"&gt;0")&gt;0,_xlfn.MINIFS(Fact_Milestone!$F:$F,Fact_Milestone!$A:$A,$B152,Fact_Milestone!$B:$B,$AL152,Fact_Milestone!$F:$F,"&gt;0"),VLOOKUP($AL152,Dim_TOP!$A:$E,5,0)),0.5),"")))</f>
        <v/>
      </c>
      <c r="AP152" s="22" t="str">
        <f aca="false">IF($A152="","",IF($U152="","",ROUND(($U152-INT($U152))*24,4)))</f>
        <v/>
      </c>
      <c r="AQ152" s="22" t="str">
        <f aca="false">IF($A152="","",IF($W152="","",ROUND(($W152-INT($W152))*24,4)))</f>
        <v/>
      </c>
      <c r="AR152" s="22" t="str">
        <f aca="false">IF($A152="","",IF($X152="","",ROUND(($X152-INT($X152))*24,4)))</f>
        <v/>
      </c>
      <c r="AS152" s="38" t="str">
        <f aca="false">IF($A152="","",IF(OR($AN152="",$V152="",$S152="",$T152=""),"",ROUND(($V152-($B152+$AN152/24))*1440-$S152-$T152,0)))</f>
        <v/>
      </c>
      <c r="AT152" s="38" t="str">
        <f aca="false">IF($A152="","",IF(OR($AN152="",$U152=""),"",ROUND(($U152-($B152+$AN152/24))*1440,0)))</f>
        <v/>
      </c>
      <c r="AU152" s="38" t="str">
        <f aca="false">IF($A152="","",IF(OR($AD152="",$S152=""),"",ROUND($AD152-$S152,0)))</f>
        <v/>
      </c>
      <c r="AV152" s="38" t="str">
        <f aca="false">IF($A152="","",N($AE152))</f>
        <v/>
      </c>
      <c r="AW152" s="38" t="str">
        <f aca="false">IF($A152="","",IF(OR($AF152="",$T152=""),"",$AF152-$T152))</f>
        <v/>
      </c>
      <c r="AX152" s="38" t="str">
        <f aca="false">IF($A152="","",IF(COUNT($AT152,$AB152,$AU152,$AW152,$AS152,$AH152)&lt;6,"",ROUND($AT152+$AB152+$AU152+$AV152+$AW152-$AS152-$AH152,0)))</f>
        <v/>
      </c>
      <c r="AY152" s="4" t="str">
        <f aca="false">IF($A152="","",IF($AX152="","No",IF(ABS($AX152)&lt;=2,"Yes","No")))</f>
        <v/>
      </c>
      <c r="AZ152" s="4" t="str">
        <f aca="false">IF($A152="","",IF($AI152&lt;&gt;"Yes","n/a",IF(OR($AA152="",$S152="",$T152=""),"Unknown",IF($AA152&lt;$S152+$T152,"Lost on arrival","Lost after arrival"))))</f>
        <v/>
      </c>
      <c r="BA152" s="10" t="str">
        <f aca="false">IF($A152="","",IFERROR(VLOOKUP($C152,Dim_Fund!$A:$D,4,0),""))</f>
        <v/>
      </c>
      <c r="BB152" s="10" t="str">
        <f aca="false">IF($A152="","",IF($AL152="","",IF(COUNTIFS(Fact_Milestone!$A:$A,$B152,Fact_Milestone!$B:$B,$AL152,Fact_Milestone!$I:$I,"No")&gt;0,"No",IF(COUNTIFS(Fact_Milestone!$A:$A,$B152,Fact_Milestone!$B:$B,$AL152,Fact_Milestone!$I:$I,"Yes")&gt;0,"Yes",""))))</f>
        <v/>
      </c>
      <c r="BC152" s="45" t="str">
        <f aca="false">IF($A152="","",IF(OR($L152="",$W152=""),"",IF(COUNTIFS($L:$L,$L152,$B:$B,$B152,$W:$W,"&lt;"&amp;$W152)=0,"",_xlfn.MAXIFS($W:$W,$L:$L,$L152,$B:$B,$B152,$W:$W,"&lt;"&amp;$W152))))</f>
        <v/>
      </c>
      <c r="BD152" s="39" t="str">
        <f aca="false">IF($A152="","",IF($AC152="","",IF(OR($L152="",$AC152=0),0,MIN($AC152,ROUND(ROUND(1440*SUMPRODUCT(($L$2:INDEX($L:$L,COUNTA($C:$C))=$L152)*($B$2:INDEX($B:$B,COUNTA($C:$C))=$B152)*(ROW($L$2:INDEX($L:$L,COUNTA($C:$C)))&lt;&gt;ROW())*((((($W152+$BT$2:INDEX($BT:$BT,COUNTA($C:$C))-ABS($W152-$BT$2:INDEX($BT:$BT,COUNTA($C:$C))))/2)-(($U152+$BS$2:INDEX($BS:$BS,COUNTA($C:$C))+ABS($U152-$BS$2:INDEX($BS:$BS,COUNTA($C:$C))))/2))+ABS(((($W152+$BT$2:INDEX($BT:$BT,COUNTA($C:$C))-ABS($W152-$BT$2:INDEX($BT:$BT,COUNTA($C:$C))))/2)-(($U152+$BS$2:INDEX($BS:$BS,COUNTA($C:$C))+ABS($U152-$BS$2:INDEX($BS:$BS,COUNTA($C:$C))))/2))))/2)),4),0)))))</f>
        <v/>
      </c>
      <c r="BE152" s="39" t="str">
        <f aca="false">IF($A152="","",IF($AC152="","",ROUND(MIN($AC152-$BD152,N($R152)),0)))</f>
        <v/>
      </c>
      <c r="BF152" s="10" t="str">
        <f aca="false">IF($A152="","",IFERROR(VLOOKUP($C152,Dim_Fund!$A:$BD,56,0),""))</f>
        <v/>
      </c>
      <c r="BG152" s="10" t="str">
        <f aca="false">IF($A152="","",IFERROR(VLOOKUP($C152,Dim_Fund!$A:$BH,60,0),""))</f>
        <v/>
      </c>
      <c r="BH152" s="10" t="str">
        <f aca="false">IF($A152="","",IF($AI152&lt;&gt;"Yes","Not breached",IF($AM152="Yes","Pricing late",IF($BG152="Thin custody slack","Thin custody slack",IF($BF152="Yes","Broker-dependent","None of these")))))</f>
        <v/>
      </c>
      <c r="BI152" s="23" t="str">
        <f aca="false">IF($A152="","",IFERROR(IF(VLOOKUP($C152,Dim_Fund!$A:$AI,35,0)&gt;0,VLOOKUP($C152,Dim_Fund!$A:$AI,35,0),""),""))</f>
        <v/>
      </c>
      <c r="BJ152" s="10" t="str">
        <f aca="false">IF($A152="","",$C152&amp;IF($E152="Client","*",""))</f>
        <v/>
      </c>
      <c r="BK152" s="39" t="str">
        <f aca="false">IF($A152="","",IFERROR(ROUND(($Y152-$X152)*1440,0),""))</f>
        <v/>
      </c>
      <c r="BL152" s="39" t="str">
        <f aca="false">IF($A152="","",IF($AH152="","",-$AH152))</f>
        <v/>
      </c>
      <c r="BM152" s="46" t="str">
        <f aca="false">IF($A152="","",IF($AQ152="","",IF($AP152="",$AQ152,MIN($AP152,$AQ152))))</f>
        <v/>
      </c>
      <c r="BN152" s="46" t="str">
        <f aca="false">IF($A152="","",IF($BM152="","",ROUND(N($AC152)/60,4)))</f>
        <v/>
      </c>
      <c r="BO152" s="46" t="str">
        <f aca="false">IF($A152="","",IF(OR($BM152="",$AD152=""),"",ROUND($AD152/60,4)))</f>
        <v/>
      </c>
      <c r="BP152" s="46" t="str">
        <f aca="false">IF($A152="","",IF($BM152="","",ROUND(N($AE152)/60,4)))</f>
        <v/>
      </c>
      <c r="BQ152" s="46" t="str">
        <f aca="false">IF($A152="","",IF(OR($BM152="",$AF152=""),"",ROUND($AF152/60,4)))</f>
        <v/>
      </c>
      <c r="BR152" s="39" t="str">
        <f aca="false">IF($A152="","",IF($AC152="","",$AC152-$BD152-$BE152))</f>
        <v/>
      </c>
      <c r="BS152" s="45" t="str">
        <f aca="false">IF($A152="","",IF(AND(ISNUMBER($Z152),ISNUMBER($W152)),$Z152,0))</f>
        <v/>
      </c>
      <c r="BT152" s="45" t="str">
        <f aca="false">IF($A152="","",IF(ISNUMBER($W152),$W152,0))</f>
        <v/>
      </c>
      <c r="BU152" s="23" t="str">
        <f aca="false">IF($A152="","",IF(ISNUMBER($W152),ROUND(($W152-$B152)*24,4),""))</f>
        <v/>
      </c>
      <c r="BV152" s="23" t="str">
        <f aca="false">IF($A152="","",IF(ISNUMBER($X152),ROUND(($X152-$B152)*24,4),""))</f>
        <v/>
      </c>
      <c r="BW152" s="10" t="str">
        <f aca="false">IF($A152="","",IF(NOT(ISNUMBER($W152)),"Missing Calculated",IF(NOT(ISNUMBER($X152)),IF($E152="Client","Missing FA signed off","Missing Controlled"),IF($X152&lt;$W152,"End before start","OK"))))</f>
        <v/>
      </c>
      <c r="BX152" s="23" t="str">
        <f aca="false">IF($A152="","",IF(NOT(ISNUMBER($Z152)),"",ROUND((IF(ISNUMBER($U152),MIN($U152,$Z152),$Z152)-$B152)*24,4)))</f>
        <v/>
      </c>
      <c r="BY152" s="23" t="str">
        <f aca="false">IF($A152="","",IF(ISNUMBER($Z152),ROUND(($Z152-$B152)*24,4),""))</f>
        <v/>
      </c>
      <c r="BZ152" s="23" t="str">
        <f aca="false">IF($A152="","",IF(AND(ISNUMBER($W152),ISNUMBER($S152)),ROUND(($W152+$S152/1440-$B152)*24,4),""))</f>
        <v/>
      </c>
    </row>
    <row r="153" customFormat="false" ht="15" hidden="false" customHeight="true" outlineLevel="0" collapsed="false">
      <c r="A153" s="47"/>
      <c r="B153" s="47"/>
      <c r="D153" s="4" t="str">
        <f aca="false">IF($A153="","",$B153-$A153)</f>
        <v/>
      </c>
      <c r="E153" s="4" t="str">
        <f aca="false">IF($A153="","",IFERROR(VLOOKUP($C153,Dim_Fund!$A:$X,24,0),""))</f>
        <v/>
      </c>
      <c r="F153" s="37" t="str">
        <f aca="false">IF($A153="","",IF(COUNTIFS(Status_Log!$A:$A,$A153,Status_Log!$B:$B,$B153,Status_Log!$C:$C,$C153,Status_Log!$D:$D,"Changed to the status of Calculated")=0,"",_xlfn.MINIFS(Status_Log!$E:$E,Status_Log!$A:$A,$A153,Status_Log!$B:$B,$B153,Status_Log!$C:$C,$C153,Status_Log!$D:$D,"Changed to the status of Calculated")))</f>
        <v/>
      </c>
      <c r="G153" s="37" t="str">
        <f aca="false">IF($A153="","",IF(COUNTIFS(Status_Log!$A:$A,$A153,Status_Log!$B:$B,$B153,Status_Log!$C:$C,$C153,Status_Log!$D:$D,"Changed to the status of Controlled")=0,"",_xlfn.MAXIFS(Status_Log!$E:$E,Status_Log!$A:$A,$A153,Status_Log!$B:$B,$B153,Status_Log!$C:$C,$C153,Status_Log!$D:$D,"Changed to the status of Controlled")))</f>
        <v/>
      </c>
      <c r="H153" s="37" t="str">
        <f aca="false">IF($A153="","",IF(COUNTIFS(Status_Log!$A:$A,$A153,Status_Log!$B:$B,$B153,Status_Log!$C:$C,$C153,Status_Log!$D:$D,"Changed to the status of Fund accounting signed off")=0,"",_xlfn.MAXIFS(Status_Log!$E:$E,Status_Log!$A:$A,$A153,Status_Log!$B:$B,$B153,Status_Log!$C:$C,$C153,Status_Log!$D:$D,"Changed to the status of Fund accounting signed off")))</f>
        <v/>
      </c>
      <c r="I153" s="37" t="str">
        <f aca="false">IF($A153="","",IF(COUNTIFS(Status_Log!$A:$A,$A153,Status_Log!$B:$B,$B153,Status_Log!$C:$C,$C153,Status_Log!$D:$D,"Changed to the status of signed off")=0,"",_xlfn.MAXIFS(Status_Log!$E:$E,Status_Log!$A:$A,$A153,Status_Log!$B:$B,$B153,Status_Log!$C:$C,$C153,Status_Log!$D:$D,"Changed to the status of signed off")))</f>
        <v/>
      </c>
      <c r="J153" s="4" t="str">
        <f aca="false">IF($A153="","",COUNTIFS(Status_Log!$A:$A,$A153,Status_Log!$B:$B,$B153,Status_Log!$C:$C,$C153,Status_Log!$D:$D,"Changed to the status of Calculated"))</f>
        <v/>
      </c>
      <c r="K153" s="38" t="str">
        <f aca="false">IF($A153="","",IF(J153&lt;=1,0,ROUND((_xlfn.MAXIFS(Status_Log!$E:$E,Status_Log!$A:$A,$A153,Status_Log!$B:$B,$B153,Status_Log!$C:$C,$C153,Status_Log!$D:$D,"Changed to the status of Calculated")-F153)*1440,0)))</f>
        <v/>
      </c>
      <c r="L153" s="4" t="str">
        <f aca="false">IF($A153="","",IFERROR(INDEX(Status_Log!$F:$F,MATCH($A153&amp;"|"&amp;$B153&amp;"|"&amp;$C153&amp;"|Changed to the status of Calculated|"&amp;TEXT(_xlfn.MAXIFS(Status_Log!$E:$E,Status_Log!$A:$A,$A153,Status_Log!$B:$B,$B153,Status_Log!$C:$C,$C153,Status_Log!$D:$D,"Changed to the status of Calculated"),"0.000000"),Status_Log!$H:$H,0)),""))</f>
        <v/>
      </c>
      <c r="M153" s="4" t="str">
        <f aca="false">IF($A153="","",IF(E153="Client","n/a — no control step",IFERROR(INDEX(Status_Log!$F:$F,MATCH($A153&amp;"|"&amp;$B153&amp;"|"&amp;$C153&amp;"|Changed to the status of Controlled|"&amp;TEXT(_xlfn.MAXIFS(Status_Log!$E:$E,Status_Log!$A:$A,$A153,Status_Log!$B:$B,$B153,Status_Log!$C:$C,$C153,Status_Log!$D:$D,"Changed to the status of Controlled"),"0.000000"),Status_Log!$H:$H,0)),"")))</f>
        <v/>
      </c>
      <c r="N153" s="4" t="str">
        <f aca="false">IF($A153="","",IFERROR(VLOOKUP($C153,Dim_Fund!$A:$G,7,0),""))</f>
        <v/>
      </c>
      <c r="O153" s="4" t="str">
        <f aca="false">IF($A153="","",IF(L153=N153,"No","Yes"))</f>
        <v/>
      </c>
      <c r="P153" s="4" t="str">
        <f aca="false">IF($A153="","",IF(E153="Client","n/a",IF(L153=M153,"YES — four-eyes breach","No")))</f>
        <v/>
      </c>
      <c r="Q153" s="38" t="str">
        <f aca="false">IF($A153="","",IFERROR(VLOOKUP($C153,Dim_Fund!$A:$AB,28,0),""))</f>
        <v/>
      </c>
      <c r="R153" s="38" t="str">
        <f aca="false">IF($A153="","",IFERROR(VLOOKUP($C153,Dim_Fund!$A:$AC,29,0),""))</f>
        <v/>
      </c>
      <c r="S153" s="38" t="str">
        <f aca="false">IF($A153="","",IFERROR(VLOOKUP($C153,Dim_Fund!$A:$AD,30,0),""))</f>
        <v/>
      </c>
      <c r="T153" s="38" t="str">
        <f aca="false">IF($A153="","",IFERROR(VLOOKUP($C153,Dim_Fund!$A:$AL,38,0),""))</f>
        <v/>
      </c>
      <c r="U153" s="37" t="str">
        <f aca="false">IF($A153="","",IF(AL153="","",IFERROR(IF(COUNTIFS(Fact_Milestone!$A:$A,$B153,Fact_Milestone!$B:$B,AL153)=0,"",_xlfn.MAXIFS(Fact_Milestone!$C:$C,Fact_Milestone!$A:$A,$B153,Fact_Milestone!$B:$B,AL153)),"")))</f>
        <v/>
      </c>
      <c r="V153" s="37" t="str">
        <f aca="false">IF($A153="","",IFERROR(IF(VLOOKUP($C153,Dim_Fund!$A:$AI,35,0)&gt;0,$B153+VLOOKUP($C153,Dim_Fund!$A:$AI,35,0)/24,""),""))</f>
        <v/>
      </c>
      <c r="W153" s="37" t="str">
        <f aca="false">IF($A153="","",F153)</f>
        <v/>
      </c>
      <c r="X153" s="37" t="str">
        <f aca="false">IF($A153="","",IF(E153="Client",H153,G153))</f>
        <v/>
      </c>
      <c r="Y153" s="37" t="str">
        <f aca="false">IF($A153="","",I153)</f>
        <v/>
      </c>
      <c r="Z153" s="37" t="str">
        <f aca="false">IF($A153="","",IFERROR(W153-R153/1440,""))</f>
        <v/>
      </c>
      <c r="AA153" s="38" t="str">
        <f aca="false">IF($A153="","",IF(OR(U153="",V153=""),"",ROUND((V153-U153)*1440,0)))</f>
        <v/>
      </c>
      <c r="AB153" s="38" t="str">
        <f aca="false">IF($A153="","",IF(U153="","",ROUND((W153-U153)*1440,0)))</f>
        <v/>
      </c>
      <c r="AC153" s="38" t="str">
        <f aca="false">IF($A153="","",IF(AB153="","",MAX(0,AB153)))</f>
        <v/>
      </c>
      <c r="AD153" s="38" t="str">
        <f aca="false">IF($A153="","",IFERROR(ROUND((X153-W153)*1440,0),""))</f>
        <v/>
      </c>
      <c r="AE153" s="38" t="str">
        <f aca="false">IF($A153="","",IF(E153="Client","n/a",IFERROR(ROUND((H153-G153)*1440,0),"")))</f>
        <v/>
      </c>
      <c r="AF153" s="38" t="str">
        <f aca="false">IF($A153="","",IFERROR(ROUND((Y153-H153)*1440,0),""))</f>
        <v/>
      </c>
      <c r="AG153" s="38" t="str">
        <f aca="false">IF($A153="","",IFERROR(ROUND((H153-F153)*1440,0),""))</f>
        <v/>
      </c>
      <c r="AH153" s="38" t="str">
        <f aca="false">IF($A153="","",IFERROR(ROUND((Y153-V153)*1440,0),""))</f>
        <v/>
      </c>
      <c r="AI153" s="4" t="str">
        <f aca="false">IF($A153="","",IF(AH153="","",IF(AH153&gt;0,"Yes","No")))</f>
        <v/>
      </c>
      <c r="AJ153" s="4" t="str">
        <f aca="false">IF($A153="","",IF(AI153&lt;&gt;"Yes","On time",IF(N(AC153)&gt;=MAX(N(AF153),N(K153)),"Wait for analyst",IF(N(AF153)&gt;=N(K153),"External sign-off","Rework"))))</f>
        <v/>
      </c>
      <c r="AK153" s="4" t="str">
        <f aca="false">IF($A153="","",IF(OR(F153="",Y153="",ISNA(MATCH(L153,Dim_Analyst!$A:$A,0))),"CHECK","OK"))</f>
        <v/>
      </c>
      <c r="AL153" s="4" t="str">
        <f aca="false">IF($A153="","",IFERROR(VLOOKUP($C153,Dim_Fund!$A:$U,21,0),""))</f>
        <v/>
      </c>
      <c r="AM153" s="4" t="str">
        <f aca="false">IF($A153="","",IF($U153="","",IF($U153&gt;$B153+IFERROR(VLOOKUP($C153,Dim_Fund!$A:$AH,34,0),0)/24,"Yes","No")))</f>
        <v/>
      </c>
      <c r="AN153" s="22" t="str">
        <f aca="false">IF($A153="","",IFERROR(VLOOKUP($C153,Dim_Fund!$A:$AH,34,0),""))</f>
        <v/>
      </c>
      <c r="AO153" s="22" t="str">
        <f aca="false">IF($A153="","",IF($AL153="","",IFERROR(FLOOR(IF(COUNTIFS(Fact_Milestone!$A:$A,$B153,Fact_Milestone!$B:$B,$AL153,Fact_Milestone!$F:$F,"&gt;0")&gt;0,_xlfn.MINIFS(Fact_Milestone!$F:$F,Fact_Milestone!$A:$A,$B153,Fact_Milestone!$B:$B,$AL153,Fact_Milestone!$F:$F,"&gt;0"),VLOOKUP($AL153,Dim_TOP!$A:$E,5,0)),0.5),"")))</f>
        <v/>
      </c>
      <c r="AP153" s="22" t="str">
        <f aca="false">IF($A153="","",IF($U153="","",ROUND(($U153-INT($U153))*24,4)))</f>
        <v/>
      </c>
      <c r="AQ153" s="22" t="str">
        <f aca="false">IF($A153="","",IF($W153="","",ROUND(($W153-INT($W153))*24,4)))</f>
        <v/>
      </c>
      <c r="AR153" s="22" t="str">
        <f aca="false">IF($A153="","",IF($X153="","",ROUND(($X153-INT($X153))*24,4)))</f>
        <v/>
      </c>
      <c r="AS153" s="38" t="str">
        <f aca="false">IF($A153="","",IF(OR($AN153="",$V153="",$S153="",$T153=""),"",ROUND(($V153-($B153+$AN153/24))*1440-$S153-$T153,0)))</f>
        <v/>
      </c>
      <c r="AT153" s="38" t="str">
        <f aca="false">IF($A153="","",IF(OR($AN153="",$U153=""),"",ROUND(($U153-($B153+$AN153/24))*1440,0)))</f>
        <v/>
      </c>
      <c r="AU153" s="38" t="str">
        <f aca="false">IF($A153="","",IF(OR($AD153="",$S153=""),"",ROUND($AD153-$S153,0)))</f>
        <v/>
      </c>
      <c r="AV153" s="38" t="str">
        <f aca="false">IF($A153="","",N($AE153))</f>
        <v/>
      </c>
      <c r="AW153" s="38" t="str">
        <f aca="false">IF($A153="","",IF(OR($AF153="",$T153=""),"",$AF153-$T153))</f>
        <v/>
      </c>
      <c r="AX153" s="38" t="str">
        <f aca="false">IF($A153="","",IF(COUNT($AT153,$AB153,$AU153,$AW153,$AS153,$AH153)&lt;6,"",ROUND($AT153+$AB153+$AU153+$AV153+$AW153-$AS153-$AH153,0)))</f>
        <v/>
      </c>
      <c r="AY153" s="4" t="str">
        <f aca="false">IF($A153="","",IF($AX153="","No",IF(ABS($AX153)&lt;=2,"Yes","No")))</f>
        <v/>
      </c>
      <c r="AZ153" s="4" t="str">
        <f aca="false">IF($A153="","",IF($AI153&lt;&gt;"Yes","n/a",IF(OR($AA153="",$S153="",$T153=""),"Unknown",IF($AA153&lt;$S153+$T153,"Lost on arrival","Lost after arrival"))))</f>
        <v/>
      </c>
      <c r="BA153" s="10" t="str">
        <f aca="false">IF($A153="","",IFERROR(VLOOKUP($C153,Dim_Fund!$A:$D,4,0),""))</f>
        <v/>
      </c>
      <c r="BB153" s="10" t="str">
        <f aca="false">IF($A153="","",IF($AL153="","",IF(COUNTIFS(Fact_Milestone!$A:$A,$B153,Fact_Milestone!$B:$B,$AL153,Fact_Milestone!$I:$I,"No")&gt;0,"No",IF(COUNTIFS(Fact_Milestone!$A:$A,$B153,Fact_Milestone!$B:$B,$AL153,Fact_Milestone!$I:$I,"Yes")&gt;0,"Yes",""))))</f>
        <v/>
      </c>
      <c r="BC153" s="45" t="str">
        <f aca="false">IF($A153="","",IF(OR($L153="",$W153=""),"",IF(COUNTIFS($L:$L,$L153,$B:$B,$B153,$W:$W,"&lt;"&amp;$W153)=0,"",_xlfn.MAXIFS($W:$W,$L:$L,$L153,$B:$B,$B153,$W:$W,"&lt;"&amp;$W153))))</f>
        <v/>
      </c>
      <c r="BD153" s="39" t="str">
        <f aca="false">IF($A153="","",IF($AC153="","",IF(OR($L153="",$AC153=0),0,MIN($AC153,ROUND(ROUND(1440*SUMPRODUCT(($L$2:INDEX($L:$L,COUNTA($C:$C))=$L153)*($B$2:INDEX($B:$B,COUNTA($C:$C))=$B153)*(ROW($L$2:INDEX($L:$L,COUNTA($C:$C)))&lt;&gt;ROW())*((((($W153+$BT$2:INDEX($BT:$BT,COUNTA($C:$C))-ABS($W153-$BT$2:INDEX($BT:$BT,COUNTA($C:$C))))/2)-(($U153+$BS$2:INDEX($BS:$BS,COUNTA($C:$C))+ABS($U153-$BS$2:INDEX($BS:$BS,COUNTA($C:$C))))/2))+ABS(((($W153+$BT$2:INDEX($BT:$BT,COUNTA($C:$C))-ABS($W153-$BT$2:INDEX($BT:$BT,COUNTA($C:$C))))/2)-(($U153+$BS$2:INDEX($BS:$BS,COUNTA($C:$C))+ABS($U153-$BS$2:INDEX($BS:$BS,COUNTA($C:$C))))/2))))/2)),4),0)))))</f>
        <v/>
      </c>
      <c r="BE153" s="39" t="str">
        <f aca="false">IF($A153="","",IF($AC153="","",ROUND(MIN($AC153-$BD153,N($R153)),0)))</f>
        <v/>
      </c>
      <c r="BF153" s="10" t="str">
        <f aca="false">IF($A153="","",IFERROR(VLOOKUP($C153,Dim_Fund!$A:$BD,56,0),""))</f>
        <v/>
      </c>
      <c r="BG153" s="10" t="str">
        <f aca="false">IF($A153="","",IFERROR(VLOOKUP($C153,Dim_Fund!$A:$BH,60,0),""))</f>
        <v/>
      </c>
      <c r="BH153" s="10" t="str">
        <f aca="false">IF($A153="","",IF($AI153&lt;&gt;"Yes","Not breached",IF($AM153="Yes","Pricing late",IF($BG153="Thin custody slack","Thin custody slack",IF($BF153="Yes","Broker-dependent","None of these")))))</f>
        <v/>
      </c>
      <c r="BI153" s="23" t="str">
        <f aca="false">IF($A153="","",IFERROR(IF(VLOOKUP($C153,Dim_Fund!$A:$AI,35,0)&gt;0,VLOOKUP($C153,Dim_Fund!$A:$AI,35,0),""),""))</f>
        <v/>
      </c>
      <c r="BJ153" s="10" t="str">
        <f aca="false">IF($A153="","",$C153&amp;IF($E153="Client","*",""))</f>
        <v/>
      </c>
      <c r="BK153" s="39" t="str">
        <f aca="false">IF($A153="","",IFERROR(ROUND(($Y153-$X153)*1440,0),""))</f>
        <v/>
      </c>
      <c r="BL153" s="39" t="str">
        <f aca="false">IF($A153="","",IF($AH153="","",-$AH153))</f>
        <v/>
      </c>
      <c r="BM153" s="46" t="str">
        <f aca="false">IF($A153="","",IF($AQ153="","",IF($AP153="",$AQ153,MIN($AP153,$AQ153))))</f>
        <v/>
      </c>
      <c r="BN153" s="46" t="str">
        <f aca="false">IF($A153="","",IF($BM153="","",ROUND(N($AC153)/60,4)))</f>
        <v/>
      </c>
      <c r="BO153" s="46" t="str">
        <f aca="false">IF($A153="","",IF(OR($BM153="",$AD153=""),"",ROUND($AD153/60,4)))</f>
        <v/>
      </c>
      <c r="BP153" s="46" t="str">
        <f aca="false">IF($A153="","",IF($BM153="","",ROUND(N($AE153)/60,4)))</f>
        <v/>
      </c>
      <c r="BQ153" s="46" t="str">
        <f aca="false">IF($A153="","",IF(OR($BM153="",$AF153=""),"",ROUND($AF153/60,4)))</f>
        <v/>
      </c>
      <c r="BR153" s="39" t="str">
        <f aca="false">IF($A153="","",IF($AC153="","",$AC153-$BD153-$BE153))</f>
        <v/>
      </c>
      <c r="BS153" s="45" t="str">
        <f aca="false">IF($A153="","",IF(AND(ISNUMBER($Z153),ISNUMBER($W153)),$Z153,0))</f>
        <v/>
      </c>
      <c r="BT153" s="45" t="str">
        <f aca="false">IF($A153="","",IF(ISNUMBER($W153),$W153,0))</f>
        <v/>
      </c>
      <c r="BU153" s="23" t="str">
        <f aca="false">IF($A153="","",IF(ISNUMBER($W153),ROUND(($W153-$B153)*24,4),""))</f>
        <v/>
      </c>
      <c r="BV153" s="23" t="str">
        <f aca="false">IF($A153="","",IF(ISNUMBER($X153),ROUND(($X153-$B153)*24,4),""))</f>
        <v/>
      </c>
      <c r="BW153" s="10" t="str">
        <f aca="false">IF($A153="","",IF(NOT(ISNUMBER($W153)),"Missing Calculated",IF(NOT(ISNUMBER($X153)),IF($E153="Client","Missing FA signed off","Missing Controlled"),IF($X153&lt;$W153,"End before start","OK"))))</f>
        <v/>
      </c>
      <c r="BX153" s="23" t="str">
        <f aca="false">IF($A153="","",IF(NOT(ISNUMBER($Z153)),"",ROUND((IF(ISNUMBER($U153),MIN($U153,$Z153),$Z153)-$B153)*24,4)))</f>
        <v/>
      </c>
      <c r="BY153" s="23" t="str">
        <f aca="false">IF($A153="","",IF(ISNUMBER($Z153),ROUND(($Z153-$B153)*24,4),""))</f>
        <v/>
      </c>
      <c r="BZ153" s="23" t="str">
        <f aca="false">IF($A153="","",IF(AND(ISNUMBER($W153),ISNUMBER($S153)),ROUND(($W153+$S153/1440-$B153)*24,4),""))</f>
        <v/>
      </c>
    </row>
    <row r="154" customFormat="false" ht="15" hidden="false" customHeight="true" outlineLevel="0" collapsed="false">
      <c r="A154" s="47"/>
      <c r="B154" s="47"/>
      <c r="D154" s="4" t="str">
        <f aca="false">IF($A154="","",$B154-$A154)</f>
        <v/>
      </c>
      <c r="E154" s="4" t="str">
        <f aca="false">IF($A154="","",IFERROR(VLOOKUP($C154,Dim_Fund!$A:$X,24,0),""))</f>
        <v/>
      </c>
      <c r="F154" s="37" t="str">
        <f aca="false">IF($A154="","",IF(COUNTIFS(Status_Log!$A:$A,$A154,Status_Log!$B:$B,$B154,Status_Log!$C:$C,$C154,Status_Log!$D:$D,"Changed to the status of Calculated")=0,"",_xlfn.MINIFS(Status_Log!$E:$E,Status_Log!$A:$A,$A154,Status_Log!$B:$B,$B154,Status_Log!$C:$C,$C154,Status_Log!$D:$D,"Changed to the status of Calculated")))</f>
        <v/>
      </c>
      <c r="G154" s="37" t="str">
        <f aca="false">IF($A154="","",IF(COUNTIFS(Status_Log!$A:$A,$A154,Status_Log!$B:$B,$B154,Status_Log!$C:$C,$C154,Status_Log!$D:$D,"Changed to the status of Controlled")=0,"",_xlfn.MAXIFS(Status_Log!$E:$E,Status_Log!$A:$A,$A154,Status_Log!$B:$B,$B154,Status_Log!$C:$C,$C154,Status_Log!$D:$D,"Changed to the status of Controlled")))</f>
        <v/>
      </c>
      <c r="H154" s="37" t="str">
        <f aca="false">IF($A154="","",IF(COUNTIFS(Status_Log!$A:$A,$A154,Status_Log!$B:$B,$B154,Status_Log!$C:$C,$C154,Status_Log!$D:$D,"Changed to the status of Fund accounting signed off")=0,"",_xlfn.MAXIFS(Status_Log!$E:$E,Status_Log!$A:$A,$A154,Status_Log!$B:$B,$B154,Status_Log!$C:$C,$C154,Status_Log!$D:$D,"Changed to the status of Fund accounting signed off")))</f>
        <v/>
      </c>
      <c r="I154" s="37" t="str">
        <f aca="false">IF($A154="","",IF(COUNTIFS(Status_Log!$A:$A,$A154,Status_Log!$B:$B,$B154,Status_Log!$C:$C,$C154,Status_Log!$D:$D,"Changed to the status of signed off")=0,"",_xlfn.MAXIFS(Status_Log!$E:$E,Status_Log!$A:$A,$A154,Status_Log!$B:$B,$B154,Status_Log!$C:$C,$C154,Status_Log!$D:$D,"Changed to the status of signed off")))</f>
        <v/>
      </c>
      <c r="J154" s="4" t="str">
        <f aca="false">IF($A154="","",COUNTIFS(Status_Log!$A:$A,$A154,Status_Log!$B:$B,$B154,Status_Log!$C:$C,$C154,Status_Log!$D:$D,"Changed to the status of Calculated"))</f>
        <v/>
      </c>
      <c r="K154" s="38" t="str">
        <f aca="false">IF($A154="","",IF(J154&lt;=1,0,ROUND((_xlfn.MAXIFS(Status_Log!$E:$E,Status_Log!$A:$A,$A154,Status_Log!$B:$B,$B154,Status_Log!$C:$C,$C154,Status_Log!$D:$D,"Changed to the status of Calculated")-F154)*1440,0)))</f>
        <v/>
      </c>
      <c r="L154" s="4" t="str">
        <f aca="false">IF($A154="","",IFERROR(INDEX(Status_Log!$F:$F,MATCH($A154&amp;"|"&amp;$B154&amp;"|"&amp;$C154&amp;"|Changed to the status of Calculated|"&amp;TEXT(_xlfn.MAXIFS(Status_Log!$E:$E,Status_Log!$A:$A,$A154,Status_Log!$B:$B,$B154,Status_Log!$C:$C,$C154,Status_Log!$D:$D,"Changed to the status of Calculated"),"0.000000"),Status_Log!$H:$H,0)),""))</f>
        <v/>
      </c>
      <c r="M154" s="4" t="str">
        <f aca="false">IF($A154="","",IF(E154="Client","n/a — no control step",IFERROR(INDEX(Status_Log!$F:$F,MATCH($A154&amp;"|"&amp;$B154&amp;"|"&amp;$C154&amp;"|Changed to the status of Controlled|"&amp;TEXT(_xlfn.MAXIFS(Status_Log!$E:$E,Status_Log!$A:$A,$A154,Status_Log!$B:$B,$B154,Status_Log!$C:$C,$C154,Status_Log!$D:$D,"Changed to the status of Controlled"),"0.000000"),Status_Log!$H:$H,0)),"")))</f>
        <v/>
      </c>
      <c r="N154" s="4" t="str">
        <f aca="false">IF($A154="","",IFERROR(VLOOKUP($C154,Dim_Fund!$A:$G,7,0),""))</f>
        <v/>
      </c>
      <c r="O154" s="4" t="str">
        <f aca="false">IF($A154="","",IF(L154=N154,"No","Yes"))</f>
        <v/>
      </c>
      <c r="P154" s="4" t="str">
        <f aca="false">IF($A154="","",IF(E154="Client","n/a",IF(L154=M154,"YES — four-eyes breach","No")))</f>
        <v/>
      </c>
      <c r="Q154" s="38" t="str">
        <f aca="false">IF($A154="","",IFERROR(VLOOKUP($C154,Dim_Fund!$A:$AB,28,0),""))</f>
        <v/>
      </c>
      <c r="R154" s="38" t="str">
        <f aca="false">IF($A154="","",IFERROR(VLOOKUP($C154,Dim_Fund!$A:$AC,29,0),""))</f>
        <v/>
      </c>
      <c r="S154" s="38" t="str">
        <f aca="false">IF($A154="","",IFERROR(VLOOKUP($C154,Dim_Fund!$A:$AD,30,0),""))</f>
        <v/>
      </c>
      <c r="T154" s="38" t="str">
        <f aca="false">IF($A154="","",IFERROR(VLOOKUP($C154,Dim_Fund!$A:$AL,38,0),""))</f>
        <v/>
      </c>
      <c r="U154" s="37" t="str">
        <f aca="false">IF($A154="","",IF(AL154="","",IFERROR(IF(COUNTIFS(Fact_Milestone!$A:$A,$B154,Fact_Milestone!$B:$B,AL154)=0,"",_xlfn.MAXIFS(Fact_Milestone!$C:$C,Fact_Milestone!$A:$A,$B154,Fact_Milestone!$B:$B,AL154)),"")))</f>
        <v/>
      </c>
      <c r="V154" s="37" t="str">
        <f aca="false">IF($A154="","",IFERROR(IF(VLOOKUP($C154,Dim_Fund!$A:$AI,35,0)&gt;0,$B154+VLOOKUP($C154,Dim_Fund!$A:$AI,35,0)/24,""),""))</f>
        <v/>
      </c>
      <c r="W154" s="37" t="str">
        <f aca="false">IF($A154="","",F154)</f>
        <v/>
      </c>
      <c r="X154" s="37" t="str">
        <f aca="false">IF($A154="","",IF(E154="Client",H154,G154))</f>
        <v/>
      </c>
      <c r="Y154" s="37" t="str">
        <f aca="false">IF($A154="","",I154)</f>
        <v/>
      </c>
      <c r="Z154" s="37" t="str">
        <f aca="false">IF($A154="","",IFERROR(W154-R154/1440,""))</f>
        <v/>
      </c>
      <c r="AA154" s="38" t="str">
        <f aca="false">IF($A154="","",IF(OR(U154="",V154=""),"",ROUND((V154-U154)*1440,0)))</f>
        <v/>
      </c>
      <c r="AB154" s="38" t="str">
        <f aca="false">IF($A154="","",IF(U154="","",ROUND((W154-U154)*1440,0)))</f>
        <v/>
      </c>
      <c r="AC154" s="38" t="str">
        <f aca="false">IF($A154="","",IF(AB154="","",MAX(0,AB154)))</f>
        <v/>
      </c>
      <c r="AD154" s="38" t="str">
        <f aca="false">IF($A154="","",IFERROR(ROUND((X154-W154)*1440,0),""))</f>
        <v/>
      </c>
      <c r="AE154" s="38" t="str">
        <f aca="false">IF($A154="","",IF(E154="Client","n/a",IFERROR(ROUND((H154-G154)*1440,0),"")))</f>
        <v/>
      </c>
      <c r="AF154" s="38" t="str">
        <f aca="false">IF($A154="","",IFERROR(ROUND((Y154-H154)*1440,0),""))</f>
        <v/>
      </c>
      <c r="AG154" s="38" t="str">
        <f aca="false">IF($A154="","",IFERROR(ROUND((H154-F154)*1440,0),""))</f>
        <v/>
      </c>
      <c r="AH154" s="38" t="str">
        <f aca="false">IF($A154="","",IFERROR(ROUND((Y154-V154)*1440,0),""))</f>
        <v/>
      </c>
      <c r="AI154" s="4" t="str">
        <f aca="false">IF($A154="","",IF(AH154="","",IF(AH154&gt;0,"Yes","No")))</f>
        <v/>
      </c>
      <c r="AJ154" s="4" t="str">
        <f aca="false">IF($A154="","",IF(AI154&lt;&gt;"Yes","On time",IF(N(AC154)&gt;=MAX(N(AF154),N(K154)),"Wait for analyst",IF(N(AF154)&gt;=N(K154),"External sign-off","Rework"))))</f>
        <v/>
      </c>
      <c r="AK154" s="4" t="str">
        <f aca="false">IF($A154="","",IF(OR(F154="",Y154="",ISNA(MATCH(L154,Dim_Analyst!$A:$A,0))),"CHECK","OK"))</f>
        <v/>
      </c>
      <c r="AL154" s="4" t="str">
        <f aca="false">IF($A154="","",IFERROR(VLOOKUP($C154,Dim_Fund!$A:$U,21,0),""))</f>
        <v/>
      </c>
      <c r="AM154" s="4" t="str">
        <f aca="false">IF($A154="","",IF($U154="","",IF($U154&gt;$B154+IFERROR(VLOOKUP($C154,Dim_Fund!$A:$AH,34,0),0)/24,"Yes","No")))</f>
        <v/>
      </c>
      <c r="AN154" s="22" t="str">
        <f aca="false">IF($A154="","",IFERROR(VLOOKUP($C154,Dim_Fund!$A:$AH,34,0),""))</f>
        <v/>
      </c>
      <c r="AO154" s="22" t="str">
        <f aca="false">IF($A154="","",IF($AL154="","",IFERROR(FLOOR(IF(COUNTIFS(Fact_Milestone!$A:$A,$B154,Fact_Milestone!$B:$B,$AL154,Fact_Milestone!$F:$F,"&gt;0")&gt;0,_xlfn.MINIFS(Fact_Milestone!$F:$F,Fact_Milestone!$A:$A,$B154,Fact_Milestone!$B:$B,$AL154,Fact_Milestone!$F:$F,"&gt;0"),VLOOKUP($AL154,Dim_TOP!$A:$E,5,0)),0.5),"")))</f>
        <v/>
      </c>
      <c r="AP154" s="22" t="str">
        <f aca="false">IF($A154="","",IF($U154="","",ROUND(($U154-INT($U154))*24,4)))</f>
        <v/>
      </c>
      <c r="AQ154" s="22" t="str">
        <f aca="false">IF($A154="","",IF($W154="","",ROUND(($W154-INT($W154))*24,4)))</f>
        <v/>
      </c>
      <c r="AR154" s="22" t="str">
        <f aca="false">IF($A154="","",IF($X154="","",ROUND(($X154-INT($X154))*24,4)))</f>
        <v/>
      </c>
      <c r="AS154" s="38" t="str">
        <f aca="false">IF($A154="","",IF(OR($AN154="",$V154="",$S154="",$T154=""),"",ROUND(($V154-($B154+$AN154/24))*1440-$S154-$T154,0)))</f>
        <v/>
      </c>
      <c r="AT154" s="38" t="str">
        <f aca="false">IF($A154="","",IF(OR($AN154="",$U154=""),"",ROUND(($U154-($B154+$AN154/24))*1440,0)))</f>
        <v/>
      </c>
      <c r="AU154" s="38" t="str">
        <f aca="false">IF($A154="","",IF(OR($AD154="",$S154=""),"",ROUND($AD154-$S154,0)))</f>
        <v/>
      </c>
      <c r="AV154" s="38" t="str">
        <f aca="false">IF($A154="","",N($AE154))</f>
        <v/>
      </c>
      <c r="AW154" s="38" t="str">
        <f aca="false">IF($A154="","",IF(OR($AF154="",$T154=""),"",$AF154-$T154))</f>
        <v/>
      </c>
      <c r="AX154" s="38" t="str">
        <f aca="false">IF($A154="","",IF(COUNT($AT154,$AB154,$AU154,$AW154,$AS154,$AH154)&lt;6,"",ROUND($AT154+$AB154+$AU154+$AV154+$AW154-$AS154-$AH154,0)))</f>
        <v/>
      </c>
      <c r="AY154" s="4" t="str">
        <f aca="false">IF($A154="","",IF($AX154="","No",IF(ABS($AX154)&lt;=2,"Yes","No")))</f>
        <v/>
      </c>
      <c r="AZ154" s="4" t="str">
        <f aca="false">IF($A154="","",IF($AI154&lt;&gt;"Yes","n/a",IF(OR($AA154="",$S154="",$T154=""),"Unknown",IF($AA154&lt;$S154+$T154,"Lost on arrival","Lost after arrival"))))</f>
        <v/>
      </c>
      <c r="BA154" s="10" t="str">
        <f aca="false">IF($A154="","",IFERROR(VLOOKUP($C154,Dim_Fund!$A:$D,4,0),""))</f>
        <v/>
      </c>
      <c r="BB154" s="10" t="str">
        <f aca="false">IF($A154="","",IF($AL154="","",IF(COUNTIFS(Fact_Milestone!$A:$A,$B154,Fact_Milestone!$B:$B,$AL154,Fact_Milestone!$I:$I,"No")&gt;0,"No",IF(COUNTIFS(Fact_Milestone!$A:$A,$B154,Fact_Milestone!$B:$B,$AL154,Fact_Milestone!$I:$I,"Yes")&gt;0,"Yes",""))))</f>
        <v/>
      </c>
      <c r="BC154" s="45" t="str">
        <f aca="false">IF($A154="","",IF(OR($L154="",$W154=""),"",IF(COUNTIFS($L:$L,$L154,$B:$B,$B154,$W:$W,"&lt;"&amp;$W154)=0,"",_xlfn.MAXIFS($W:$W,$L:$L,$L154,$B:$B,$B154,$W:$W,"&lt;"&amp;$W154))))</f>
        <v/>
      </c>
      <c r="BD154" s="39" t="str">
        <f aca="false">IF($A154="","",IF($AC154="","",IF(OR($L154="",$AC154=0),0,MIN($AC154,ROUND(ROUND(1440*SUMPRODUCT(($L$2:INDEX($L:$L,COUNTA($C:$C))=$L154)*($B$2:INDEX($B:$B,COUNTA($C:$C))=$B154)*(ROW($L$2:INDEX($L:$L,COUNTA($C:$C)))&lt;&gt;ROW())*((((($W154+$BT$2:INDEX($BT:$BT,COUNTA($C:$C))-ABS($W154-$BT$2:INDEX($BT:$BT,COUNTA($C:$C))))/2)-(($U154+$BS$2:INDEX($BS:$BS,COUNTA($C:$C))+ABS($U154-$BS$2:INDEX($BS:$BS,COUNTA($C:$C))))/2))+ABS(((($W154+$BT$2:INDEX($BT:$BT,COUNTA($C:$C))-ABS($W154-$BT$2:INDEX($BT:$BT,COUNTA($C:$C))))/2)-(($U154+$BS$2:INDEX($BS:$BS,COUNTA($C:$C))+ABS($U154-$BS$2:INDEX($BS:$BS,COUNTA($C:$C))))/2))))/2)),4),0)))))</f>
        <v/>
      </c>
      <c r="BE154" s="39" t="str">
        <f aca="false">IF($A154="","",IF($AC154="","",ROUND(MIN($AC154-$BD154,N($R154)),0)))</f>
        <v/>
      </c>
      <c r="BF154" s="10" t="str">
        <f aca="false">IF($A154="","",IFERROR(VLOOKUP($C154,Dim_Fund!$A:$BD,56,0),""))</f>
        <v/>
      </c>
      <c r="BG154" s="10" t="str">
        <f aca="false">IF($A154="","",IFERROR(VLOOKUP($C154,Dim_Fund!$A:$BH,60,0),""))</f>
        <v/>
      </c>
      <c r="BH154" s="10" t="str">
        <f aca="false">IF($A154="","",IF($AI154&lt;&gt;"Yes","Not breached",IF($AM154="Yes","Pricing late",IF($BG154="Thin custody slack","Thin custody slack",IF($BF154="Yes","Broker-dependent","None of these")))))</f>
        <v/>
      </c>
      <c r="BI154" s="23" t="str">
        <f aca="false">IF($A154="","",IFERROR(IF(VLOOKUP($C154,Dim_Fund!$A:$AI,35,0)&gt;0,VLOOKUP($C154,Dim_Fund!$A:$AI,35,0),""),""))</f>
        <v/>
      </c>
      <c r="BJ154" s="10" t="str">
        <f aca="false">IF($A154="","",$C154&amp;IF($E154="Client","*",""))</f>
        <v/>
      </c>
      <c r="BK154" s="39" t="str">
        <f aca="false">IF($A154="","",IFERROR(ROUND(($Y154-$X154)*1440,0),""))</f>
        <v/>
      </c>
      <c r="BL154" s="39" t="str">
        <f aca="false">IF($A154="","",IF($AH154="","",-$AH154))</f>
        <v/>
      </c>
      <c r="BM154" s="46" t="str">
        <f aca="false">IF($A154="","",IF($AQ154="","",IF($AP154="",$AQ154,MIN($AP154,$AQ154))))</f>
        <v/>
      </c>
      <c r="BN154" s="46" t="str">
        <f aca="false">IF($A154="","",IF($BM154="","",ROUND(N($AC154)/60,4)))</f>
        <v/>
      </c>
      <c r="BO154" s="46" t="str">
        <f aca="false">IF($A154="","",IF(OR($BM154="",$AD154=""),"",ROUND($AD154/60,4)))</f>
        <v/>
      </c>
      <c r="BP154" s="46" t="str">
        <f aca="false">IF($A154="","",IF($BM154="","",ROUND(N($AE154)/60,4)))</f>
        <v/>
      </c>
      <c r="BQ154" s="46" t="str">
        <f aca="false">IF($A154="","",IF(OR($BM154="",$AF154=""),"",ROUND($AF154/60,4)))</f>
        <v/>
      </c>
      <c r="BR154" s="39" t="str">
        <f aca="false">IF($A154="","",IF($AC154="","",$AC154-$BD154-$BE154))</f>
        <v/>
      </c>
      <c r="BS154" s="45" t="str">
        <f aca="false">IF($A154="","",IF(AND(ISNUMBER($Z154),ISNUMBER($W154)),$Z154,0))</f>
        <v/>
      </c>
      <c r="BT154" s="45" t="str">
        <f aca="false">IF($A154="","",IF(ISNUMBER($W154),$W154,0))</f>
        <v/>
      </c>
      <c r="BU154" s="23" t="str">
        <f aca="false">IF($A154="","",IF(ISNUMBER($W154),ROUND(($W154-$B154)*24,4),""))</f>
        <v/>
      </c>
      <c r="BV154" s="23" t="str">
        <f aca="false">IF($A154="","",IF(ISNUMBER($X154),ROUND(($X154-$B154)*24,4),""))</f>
        <v/>
      </c>
      <c r="BW154" s="10" t="str">
        <f aca="false">IF($A154="","",IF(NOT(ISNUMBER($W154)),"Missing Calculated",IF(NOT(ISNUMBER($X154)),IF($E154="Client","Missing FA signed off","Missing Controlled"),IF($X154&lt;$W154,"End before start","OK"))))</f>
        <v/>
      </c>
      <c r="BX154" s="23" t="str">
        <f aca="false">IF($A154="","",IF(NOT(ISNUMBER($Z154)),"",ROUND((IF(ISNUMBER($U154),MIN($U154,$Z154),$Z154)-$B154)*24,4)))</f>
        <v/>
      </c>
      <c r="BY154" s="23" t="str">
        <f aca="false">IF($A154="","",IF(ISNUMBER($Z154),ROUND(($Z154-$B154)*24,4),""))</f>
        <v/>
      </c>
      <c r="BZ154" s="23" t="str">
        <f aca="false">IF($A154="","",IF(AND(ISNUMBER($W154),ISNUMBER($S154)),ROUND(($W154+$S154/1440-$B154)*24,4),""))</f>
        <v/>
      </c>
    </row>
    <row r="155" customFormat="false" ht="15" hidden="false" customHeight="true" outlineLevel="0" collapsed="false">
      <c r="A155" s="47"/>
      <c r="B155" s="47"/>
      <c r="D155" s="4" t="str">
        <f aca="false">IF($A155="","",$B155-$A155)</f>
        <v/>
      </c>
      <c r="E155" s="4" t="str">
        <f aca="false">IF($A155="","",IFERROR(VLOOKUP($C155,Dim_Fund!$A:$X,24,0),""))</f>
        <v/>
      </c>
      <c r="F155" s="37" t="str">
        <f aca="false">IF($A155="","",IF(COUNTIFS(Status_Log!$A:$A,$A155,Status_Log!$B:$B,$B155,Status_Log!$C:$C,$C155,Status_Log!$D:$D,"Changed to the status of Calculated")=0,"",_xlfn.MINIFS(Status_Log!$E:$E,Status_Log!$A:$A,$A155,Status_Log!$B:$B,$B155,Status_Log!$C:$C,$C155,Status_Log!$D:$D,"Changed to the status of Calculated")))</f>
        <v/>
      </c>
      <c r="G155" s="37" t="str">
        <f aca="false">IF($A155="","",IF(COUNTIFS(Status_Log!$A:$A,$A155,Status_Log!$B:$B,$B155,Status_Log!$C:$C,$C155,Status_Log!$D:$D,"Changed to the status of Controlled")=0,"",_xlfn.MAXIFS(Status_Log!$E:$E,Status_Log!$A:$A,$A155,Status_Log!$B:$B,$B155,Status_Log!$C:$C,$C155,Status_Log!$D:$D,"Changed to the status of Controlled")))</f>
        <v/>
      </c>
      <c r="H155" s="37" t="str">
        <f aca="false">IF($A155="","",IF(COUNTIFS(Status_Log!$A:$A,$A155,Status_Log!$B:$B,$B155,Status_Log!$C:$C,$C155,Status_Log!$D:$D,"Changed to the status of Fund accounting signed off")=0,"",_xlfn.MAXIFS(Status_Log!$E:$E,Status_Log!$A:$A,$A155,Status_Log!$B:$B,$B155,Status_Log!$C:$C,$C155,Status_Log!$D:$D,"Changed to the status of Fund accounting signed off")))</f>
        <v/>
      </c>
      <c r="I155" s="37" t="str">
        <f aca="false">IF($A155="","",IF(COUNTIFS(Status_Log!$A:$A,$A155,Status_Log!$B:$B,$B155,Status_Log!$C:$C,$C155,Status_Log!$D:$D,"Changed to the status of signed off")=0,"",_xlfn.MAXIFS(Status_Log!$E:$E,Status_Log!$A:$A,$A155,Status_Log!$B:$B,$B155,Status_Log!$C:$C,$C155,Status_Log!$D:$D,"Changed to the status of signed off")))</f>
        <v/>
      </c>
      <c r="J155" s="4" t="str">
        <f aca="false">IF($A155="","",COUNTIFS(Status_Log!$A:$A,$A155,Status_Log!$B:$B,$B155,Status_Log!$C:$C,$C155,Status_Log!$D:$D,"Changed to the status of Calculated"))</f>
        <v/>
      </c>
      <c r="K155" s="38" t="str">
        <f aca="false">IF($A155="","",IF(J155&lt;=1,0,ROUND((_xlfn.MAXIFS(Status_Log!$E:$E,Status_Log!$A:$A,$A155,Status_Log!$B:$B,$B155,Status_Log!$C:$C,$C155,Status_Log!$D:$D,"Changed to the status of Calculated")-F155)*1440,0)))</f>
        <v/>
      </c>
      <c r="L155" s="4" t="str">
        <f aca="false">IF($A155="","",IFERROR(INDEX(Status_Log!$F:$F,MATCH($A155&amp;"|"&amp;$B155&amp;"|"&amp;$C155&amp;"|Changed to the status of Calculated|"&amp;TEXT(_xlfn.MAXIFS(Status_Log!$E:$E,Status_Log!$A:$A,$A155,Status_Log!$B:$B,$B155,Status_Log!$C:$C,$C155,Status_Log!$D:$D,"Changed to the status of Calculated"),"0.000000"),Status_Log!$H:$H,0)),""))</f>
        <v/>
      </c>
      <c r="M155" s="4" t="str">
        <f aca="false">IF($A155="","",IF(E155="Client","n/a — no control step",IFERROR(INDEX(Status_Log!$F:$F,MATCH($A155&amp;"|"&amp;$B155&amp;"|"&amp;$C155&amp;"|Changed to the status of Controlled|"&amp;TEXT(_xlfn.MAXIFS(Status_Log!$E:$E,Status_Log!$A:$A,$A155,Status_Log!$B:$B,$B155,Status_Log!$C:$C,$C155,Status_Log!$D:$D,"Changed to the status of Controlled"),"0.000000"),Status_Log!$H:$H,0)),"")))</f>
        <v/>
      </c>
      <c r="N155" s="4" t="str">
        <f aca="false">IF($A155="","",IFERROR(VLOOKUP($C155,Dim_Fund!$A:$G,7,0),""))</f>
        <v/>
      </c>
      <c r="O155" s="4" t="str">
        <f aca="false">IF($A155="","",IF(L155=N155,"No","Yes"))</f>
        <v/>
      </c>
      <c r="P155" s="4" t="str">
        <f aca="false">IF($A155="","",IF(E155="Client","n/a",IF(L155=M155,"YES — four-eyes breach","No")))</f>
        <v/>
      </c>
      <c r="Q155" s="38" t="str">
        <f aca="false">IF($A155="","",IFERROR(VLOOKUP($C155,Dim_Fund!$A:$AB,28,0),""))</f>
        <v/>
      </c>
      <c r="R155" s="38" t="str">
        <f aca="false">IF($A155="","",IFERROR(VLOOKUP($C155,Dim_Fund!$A:$AC,29,0),""))</f>
        <v/>
      </c>
      <c r="S155" s="38" t="str">
        <f aca="false">IF($A155="","",IFERROR(VLOOKUP($C155,Dim_Fund!$A:$AD,30,0),""))</f>
        <v/>
      </c>
      <c r="T155" s="38" t="str">
        <f aca="false">IF($A155="","",IFERROR(VLOOKUP($C155,Dim_Fund!$A:$AL,38,0),""))</f>
        <v/>
      </c>
      <c r="U155" s="37" t="str">
        <f aca="false">IF($A155="","",IF(AL155="","",IFERROR(IF(COUNTIFS(Fact_Milestone!$A:$A,$B155,Fact_Milestone!$B:$B,AL155)=0,"",_xlfn.MAXIFS(Fact_Milestone!$C:$C,Fact_Milestone!$A:$A,$B155,Fact_Milestone!$B:$B,AL155)),"")))</f>
        <v/>
      </c>
      <c r="V155" s="37" t="str">
        <f aca="false">IF($A155="","",IFERROR(IF(VLOOKUP($C155,Dim_Fund!$A:$AI,35,0)&gt;0,$B155+VLOOKUP($C155,Dim_Fund!$A:$AI,35,0)/24,""),""))</f>
        <v/>
      </c>
      <c r="W155" s="37" t="str">
        <f aca="false">IF($A155="","",F155)</f>
        <v/>
      </c>
      <c r="X155" s="37" t="str">
        <f aca="false">IF($A155="","",IF(E155="Client",H155,G155))</f>
        <v/>
      </c>
      <c r="Y155" s="37" t="str">
        <f aca="false">IF($A155="","",I155)</f>
        <v/>
      </c>
      <c r="Z155" s="37" t="str">
        <f aca="false">IF($A155="","",IFERROR(W155-R155/1440,""))</f>
        <v/>
      </c>
      <c r="AA155" s="38" t="str">
        <f aca="false">IF($A155="","",IF(OR(U155="",V155=""),"",ROUND((V155-U155)*1440,0)))</f>
        <v/>
      </c>
      <c r="AB155" s="38" t="str">
        <f aca="false">IF($A155="","",IF(U155="","",ROUND((W155-U155)*1440,0)))</f>
        <v/>
      </c>
      <c r="AC155" s="38" t="str">
        <f aca="false">IF($A155="","",IF(AB155="","",MAX(0,AB155)))</f>
        <v/>
      </c>
      <c r="AD155" s="38" t="str">
        <f aca="false">IF($A155="","",IFERROR(ROUND((X155-W155)*1440,0),""))</f>
        <v/>
      </c>
      <c r="AE155" s="38" t="str">
        <f aca="false">IF($A155="","",IF(E155="Client","n/a",IFERROR(ROUND((H155-G155)*1440,0),"")))</f>
        <v/>
      </c>
      <c r="AF155" s="38" t="str">
        <f aca="false">IF($A155="","",IFERROR(ROUND((Y155-H155)*1440,0),""))</f>
        <v/>
      </c>
      <c r="AG155" s="38" t="str">
        <f aca="false">IF($A155="","",IFERROR(ROUND((H155-F155)*1440,0),""))</f>
        <v/>
      </c>
      <c r="AH155" s="38" t="str">
        <f aca="false">IF($A155="","",IFERROR(ROUND((Y155-V155)*1440,0),""))</f>
        <v/>
      </c>
      <c r="AI155" s="4" t="str">
        <f aca="false">IF($A155="","",IF(AH155="","",IF(AH155&gt;0,"Yes","No")))</f>
        <v/>
      </c>
      <c r="AJ155" s="4" t="str">
        <f aca="false">IF($A155="","",IF(AI155&lt;&gt;"Yes","On time",IF(N(AC155)&gt;=MAX(N(AF155),N(K155)),"Wait for analyst",IF(N(AF155)&gt;=N(K155),"External sign-off","Rework"))))</f>
        <v/>
      </c>
      <c r="AK155" s="4" t="str">
        <f aca="false">IF($A155="","",IF(OR(F155="",Y155="",ISNA(MATCH(L155,Dim_Analyst!$A:$A,0))),"CHECK","OK"))</f>
        <v/>
      </c>
      <c r="AL155" s="4" t="str">
        <f aca="false">IF($A155="","",IFERROR(VLOOKUP($C155,Dim_Fund!$A:$U,21,0),""))</f>
        <v/>
      </c>
      <c r="AM155" s="4" t="str">
        <f aca="false">IF($A155="","",IF($U155="","",IF($U155&gt;$B155+IFERROR(VLOOKUP($C155,Dim_Fund!$A:$AH,34,0),0)/24,"Yes","No")))</f>
        <v/>
      </c>
      <c r="AN155" s="22" t="str">
        <f aca="false">IF($A155="","",IFERROR(VLOOKUP($C155,Dim_Fund!$A:$AH,34,0),""))</f>
        <v/>
      </c>
      <c r="AO155" s="22" t="str">
        <f aca="false">IF($A155="","",IF($AL155="","",IFERROR(FLOOR(IF(COUNTIFS(Fact_Milestone!$A:$A,$B155,Fact_Milestone!$B:$B,$AL155,Fact_Milestone!$F:$F,"&gt;0")&gt;0,_xlfn.MINIFS(Fact_Milestone!$F:$F,Fact_Milestone!$A:$A,$B155,Fact_Milestone!$B:$B,$AL155,Fact_Milestone!$F:$F,"&gt;0"),VLOOKUP($AL155,Dim_TOP!$A:$E,5,0)),0.5),"")))</f>
        <v/>
      </c>
      <c r="AP155" s="22" t="str">
        <f aca="false">IF($A155="","",IF($U155="","",ROUND(($U155-INT($U155))*24,4)))</f>
        <v/>
      </c>
      <c r="AQ155" s="22" t="str">
        <f aca="false">IF($A155="","",IF($W155="","",ROUND(($W155-INT($W155))*24,4)))</f>
        <v/>
      </c>
      <c r="AR155" s="22" t="str">
        <f aca="false">IF($A155="","",IF($X155="","",ROUND(($X155-INT($X155))*24,4)))</f>
        <v/>
      </c>
      <c r="AS155" s="38" t="str">
        <f aca="false">IF($A155="","",IF(OR($AN155="",$V155="",$S155="",$T155=""),"",ROUND(($V155-($B155+$AN155/24))*1440-$S155-$T155,0)))</f>
        <v/>
      </c>
      <c r="AT155" s="38" t="str">
        <f aca="false">IF($A155="","",IF(OR($AN155="",$U155=""),"",ROUND(($U155-($B155+$AN155/24))*1440,0)))</f>
        <v/>
      </c>
      <c r="AU155" s="38" t="str">
        <f aca="false">IF($A155="","",IF(OR($AD155="",$S155=""),"",ROUND($AD155-$S155,0)))</f>
        <v/>
      </c>
      <c r="AV155" s="38" t="str">
        <f aca="false">IF($A155="","",N($AE155))</f>
        <v/>
      </c>
      <c r="AW155" s="38" t="str">
        <f aca="false">IF($A155="","",IF(OR($AF155="",$T155=""),"",$AF155-$T155))</f>
        <v/>
      </c>
      <c r="AX155" s="38" t="str">
        <f aca="false">IF($A155="","",IF(COUNT($AT155,$AB155,$AU155,$AW155,$AS155,$AH155)&lt;6,"",ROUND($AT155+$AB155+$AU155+$AV155+$AW155-$AS155-$AH155,0)))</f>
        <v/>
      </c>
      <c r="AY155" s="4" t="str">
        <f aca="false">IF($A155="","",IF($AX155="","No",IF(ABS($AX155)&lt;=2,"Yes","No")))</f>
        <v/>
      </c>
      <c r="AZ155" s="4" t="str">
        <f aca="false">IF($A155="","",IF($AI155&lt;&gt;"Yes","n/a",IF(OR($AA155="",$S155="",$T155=""),"Unknown",IF($AA155&lt;$S155+$T155,"Lost on arrival","Lost after arrival"))))</f>
        <v/>
      </c>
      <c r="BA155" s="10" t="str">
        <f aca="false">IF($A155="","",IFERROR(VLOOKUP($C155,Dim_Fund!$A:$D,4,0),""))</f>
        <v/>
      </c>
      <c r="BB155" s="10" t="str">
        <f aca="false">IF($A155="","",IF($AL155="","",IF(COUNTIFS(Fact_Milestone!$A:$A,$B155,Fact_Milestone!$B:$B,$AL155,Fact_Milestone!$I:$I,"No")&gt;0,"No",IF(COUNTIFS(Fact_Milestone!$A:$A,$B155,Fact_Milestone!$B:$B,$AL155,Fact_Milestone!$I:$I,"Yes")&gt;0,"Yes",""))))</f>
        <v/>
      </c>
      <c r="BC155" s="45" t="str">
        <f aca="false">IF($A155="","",IF(OR($L155="",$W155=""),"",IF(COUNTIFS($L:$L,$L155,$B:$B,$B155,$W:$W,"&lt;"&amp;$W155)=0,"",_xlfn.MAXIFS($W:$W,$L:$L,$L155,$B:$B,$B155,$W:$W,"&lt;"&amp;$W155))))</f>
        <v/>
      </c>
      <c r="BD155" s="39" t="str">
        <f aca="false">IF($A155="","",IF($AC155="","",IF(OR($L155="",$AC155=0),0,MIN($AC155,ROUND(ROUND(1440*SUMPRODUCT(($L$2:INDEX($L:$L,COUNTA($C:$C))=$L155)*($B$2:INDEX($B:$B,COUNTA($C:$C))=$B155)*(ROW($L$2:INDEX($L:$L,COUNTA($C:$C)))&lt;&gt;ROW())*((((($W155+$BT$2:INDEX($BT:$BT,COUNTA($C:$C))-ABS($W155-$BT$2:INDEX($BT:$BT,COUNTA($C:$C))))/2)-(($U155+$BS$2:INDEX($BS:$BS,COUNTA($C:$C))+ABS($U155-$BS$2:INDEX($BS:$BS,COUNTA($C:$C))))/2))+ABS(((($W155+$BT$2:INDEX($BT:$BT,COUNTA($C:$C))-ABS($W155-$BT$2:INDEX($BT:$BT,COUNTA($C:$C))))/2)-(($U155+$BS$2:INDEX($BS:$BS,COUNTA($C:$C))+ABS($U155-$BS$2:INDEX($BS:$BS,COUNTA($C:$C))))/2))))/2)),4),0)))))</f>
        <v/>
      </c>
      <c r="BE155" s="39" t="str">
        <f aca="false">IF($A155="","",IF($AC155="","",ROUND(MIN($AC155-$BD155,N($R155)),0)))</f>
        <v/>
      </c>
      <c r="BF155" s="10" t="str">
        <f aca="false">IF($A155="","",IFERROR(VLOOKUP($C155,Dim_Fund!$A:$BD,56,0),""))</f>
        <v/>
      </c>
      <c r="BG155" s="10" t="str">
        <f aca="false">IF($A155="","",IFERROR(VLOOKUP($C155,Dim_Fund!$A:$BH,60,0),""))</f>
        <v/>
      </c>
      <c r="BH155" s="10" t="str">
        <f aca="false">IF($A155="","",IF($AI155&lt;&gt;"Yes","Not breached",IF($AM155="Yes","Pricing late",IF($BG155="Thin custody slack","Thin custody slack",IF($BF155="Yes","Broker-dependent","None of these")))))</f>
        <v/>
      </c>
      <c r="BI155" s="23" t="str">
        <f aca="false">IF($A155="","",IFERROR(IF(VLOOKUP($C155,Dim_Fund!$A:$AI,35,0)&gt;0,VLOOKUP($C155,Dim_Fund!$A:$AI,35,0),""),""))</f>
        <v/>
      </c>
      <c r="BJ155" s="10" t="str">
        <f aca="false">IF($A155="","",$C155&amp;IF($E155="Client","*",""))</f>
        <v/>
      </c>
      <c r="BK155" s="39" t="str">
        <f aca="false">IF($A155="","",IFERROR(ROUND(($Y155-$X155)*1440,0),""))</f>
        <v/>
      </c>
      <c r="BL155" s="39" t="str">
        <f aca="false">IF($A155="","",IF($AH155="","",-$AH155))</f>
        <v/>
      </c>
      <c r="BM155" s="46" t="str">
        <f aca="false">IF($A155="","",IF($AQ155="","",IF($AP155="",$AQ155,MIN($AP155,$AQ155))))</f>
        <v/>
      </c>
      <c r="BN155" s="46" t="str">
        <f aca="false">IF($A155="","",IF($BM155="","",ROUND(N($AC155)/60,4)))</f>
        <v/>
      </c>
      <c r="BO155" s="46" t="str">
        <f aca="false">IF($A155="","",IF(OR($BM155="",$AD155=""),"",ROUND($AD155/60,4)))</f>
        <v/>
      </c>
      <c r="BP155" s="46" t="str">
        <f aca="false">IF($A155="","",IF($BM155="","",ROUND(N($AE155)/60,4)))</f>
        <v/>
      </c>
      <c r="BQ155" s="46" t="str">
        <f aca="false">IF($A155="","",IF(OR($BM155="",$AF155=""),"",ROUND($AF155/60,4)))</f>
        <v/>
      </c>
      <c r="BR155" s="39" t="str">
        <f aca="false">IF($A155="","",IF($AC155="","",$AC155-$BD155-$BE155))</f>
        <v/>
      </c>
      <c r="BS155" s="45" t="str">
        <f aca="false">IF($A155="","",IF(AND(ISNUMBER($Z155),ISNUMBER($W155)),$Z155,0))</f>
        <v/>
      </c>
      <c r="BT155" s="45" t="str">
        <f aca="false">IF($A155="","",IF(ISNUMBER($W155),$W155,0))</f>
        <v/>
      </c>
      <c r="BU155" s="23" t="str">
        <f aca="false">IF($A155="","",IF(ISNUMBER($W155),ROUND(($W155-$B155)*24,4),""))</f>
        <v/>
      </c>
      <c r="BV155" s="23" t="str">
        <f aca="false">IF($A155="","",IF(ISNUMBER($X155),ROUND(($X155-$B155)*24,4),""))</f>
        <v/>
      </c>
      <c r="BW155" s="10" t="str">
        <f aca="false">IF($A155="","",IF(NOT(ISNUMBER($W155)),"Missing Calculated",IF(NOT(ISNUMBER($X155)),IF($E155="Client","Missing FA signed off","Missing Controlled"),IF($X155&lt;$W155,"End before start","OK"))))</f>
        <v/>
      </c>
      <c r="BX155" s="23" t="str">
        <f aca="false">IF($A155="","",IF(NOT(ISNUMBER($Z155)),"",ROUND((IF(ISNUMBER($U155),MIN($U155,$Z155),$Z155)-$B155)*24,4)))</f>
        <v/>
      </c>
      <c r="BY155" s="23" t="str">
        <f aca="false">IF($A155="","",IF(ISNUMBER($Z155),ROUND(($Z155-$B155)*24,4),""))</f>
        <v/>
      </c>
      <c r="BZ155" s="23" t="str">
        <f aca="false">IF($A155="","",IF(AND(ISNUMBER($W155),ISNUMBER($S155)),ROUND(($W155+$S155/1440-$B155)*24,4),""))</f>
        <v/>
      </c>
    </row>
    <row r="156" customFormat="false" ht="15" hidden="false" customHeight="true" outlineLevel="0" collapsed="false">
      <c r="A156" s="47"/>
      <c r="B156" s="47"/>
      <c r="D156" s="4" t="str">
        <f aca="false">IF($A156="","",$B156-$A156)</f>
        <v/>
      </c>
      <c r="E156" s="4" t="str">
        <f aca="false">IF($A156="","",IFERROR(VLOOKUP($C156,Dim_Fund!$A:$X,24,0),""))</f>
        <v/>
      </c>
      <c r="F156" s="37" t="str">
        <f aca="false">IF($A156="","",IF(COUNTIFS(Status_Log!$A:$A,$A156,Status_Log!$B:$B,$B156,Status_Log!$C:$C,$C156,Status_Log!$D:$D,"Changed to the status of Calculated")=0,"",_xlfn.MINIFS(Status_Log!$E:$E,Status_Log!$A:$A,$A156,Status_Log!$B:$B,$B156,Status_Log!$C:$C,$C156,Status_Log!$D:$D,"Changed to the status of Calculated")))</f>
        <v/>
      </c>
      <c r="G156" s="37" t="str">
        <f aca="false">IF($A156="","",IF(COUNTIFS(Status_Log!$A:$A,$A156,Status_Log!$B:$B,$B156,Status_Log!$C:$C,$C156,Status_Log!$D:$D,"Changed to the status of Controlled")=0,"",_xlfn.MAXIFS(Status_Log!$E:$E,Status_Log!$A:$A,$A156,Status_Log!$B:$B,$B156,Status_Log!$C:$C,$C156,Status_Log!$D:$D,"Changed to the status of Controlled")))</f>
        <v/>
      </c>
      <c r="H156" s="37" t="str">
        <f aca="false">IF($A156="","",IF(COUNTIFS(Status_Log!$A:$A,$A156,Status_Log!$B:$B,$B156,Status_Log!$C:$C,$C156,Status_Log!$D:$D,"Changed to the status of Fund accounting signed off")=0,"",_xlfn.MAXIFS(Status_Log!$E:$E,Status_Log!$A:$A,$A156,Status_Log!$B:$B,$B156,Status_Log!$C:$C,$C156,Status_Log!$D:$D,"Changed to the status of Fund accounting signed off")))</f>
        <v/>
      </c>
      <c r="I156" s="37" t="str">
        <f aca="false">IF($A156="","",IF(COUNTIFS(Status_Log!$A:$A,$A156,Status_Log!$B:$B,$B156,Status_Log!$C:$C,$C156,Status_Log!$D:$D,"Changed to the status of signed off")=0,"",_xlfn.MAXIFS(Status_Log!$E:$E,Status_Log!$A:$A,$A156,Status_Log!$B:$B,$B156,Status_Log!$C:$C,$C156,Status_Log!$D:$D,"Changed to the status of signed off")))</f>
        <v/>
      </c>
      <c r="J156" s="4" t="str">
        <f aca="false">IF($A156="","",COUNTIFS(Status_Log!$A:$A,$A156,Status_Log!$B:$B,$B156,Status_Log!$C:$C,$C156,Status_Log!$D:$D,"Changed to the status of Calculated"))</f>
        <v/>
      </c>
      <c r="K156" s="38" t="str">
        <f aca="false">IF($A156="","",IF(J156&lt;=1,0,ROUND((_xlfn.MAXIFS(Status_Log!$E:$E,Status_Log!$A:$A,$A156,Status_Log!$B:$B,$B156,Status_Log!$C:$C,$C156,Status_Log!$D:$D,"Changed to the status of Calculated")-F156)*1440,0)))</f>
        <v/>
      </c>
      <c r="L156" s="4" t="str">
        <f aca="false">IF($A156="","",IFERROR(INDEX(Status_Log!$F:$F,MATCH($A156&amp;"|"&amp;$B156&amp;"|"&amp;$C156&amp;"|Changed to the status of Calculated|"&amp;TEXT(_xlfn.MAXIFS(Status_Log!$E:$E,Status_Log!$A:$A,$A156,Status_Log!$B:$B,$B156,Status_Log!$C:$C,$C156,Status_Log!$D:$D,"Changed to the status of Calculated"),"0.000000"),Status_Log!$H:$H,0)),""))</f>
        <v/>
      </c>
      <c r="M156" s="4" t="str">
        <f aca="false">IF($A156="","",IF(E156="Client","n/a — no control step",IFERROR(INDEX(Status_Log!$F:$F,MATCH($A156&amp;"|"&amp;$B156&amp;"|"&amp;$C156&amp;"|Changed to the status of Controlled|"&amp;TEXT(_xlfn.MAXIFS(Status_Log!$E:$E,Status_Log!$A:$A,$A156,Status_Log!$B:$B,$B156,Status_Log!$C:$C,$C156,Status_Log!$D:$D,"Changed to the status of Controlled"),"0.000000"),Status_Log!$H:$H,0)),"")))</f>
        <v/>
      </c>
      <c r="N156" s="4" t="str">
        <f aca="false">IF($A156="","",IFERROR(VLOOKUP($C156,Dim_Fund!$A:$G,7,0),""))</f>
        <v/>
      </c>
      <c r="O156" s="4" t="str">
        <f aca="false">IF($A156="","",IF(L156=N156,"No","Yes"))</f>
        <v/>
      </c>
      <c r="P156" s="4" t="str">
        <f aca="false">IF($A156="","",IF(E156="Client","n/a",IF(L156=M156,"YES — four-eyes breach","No")))</f>
        <v/>
      </c>
      <c r="Q156" s="38" t="str">
        <f aca="false">IF($A156="","",IFERROR(VLOOKUP($C156,Dim_Fund!$A:$AB,28,0),""))</f>
        <v/>
      </c>
      <c r="R156" s="38" t="str">
        <f aca="false">IF($A156="","",IFERROR(VLOOKUP($C156,Dim_Fund!$A:$AC,29,0),""))</f>
        <v/>
      </c>
      <c r="S156" s="38" t="str">
        <f aca="false">IF($A156="","",IFERROR(VLOOKUP($C156,Dim_Fund!$A:$AD,30,0),""))</f>
        <v/>
      </c>
      <c r="T156" s="38" t="str">
        <f aca="false">IF($A156="","",IFERROR(VLOOKUP($C156,Dim_Fund!$A:$AL,38,0),""))</f>
        <v/>
      </c>
      <c r="U156" s="37" t="str">
        <f aca="false">IF($A156="","",IF(AL156="","",IFERROR(IF(COUNTIFS(Fact_Milestone!$A:$A,$B156,Fact_Milestone!$B:$B,AL156)=0,"",_xlfn.MAXIFS(Fact_Milestone!$C:$C,Fact_Milestone!$A:$A,$B156,Fact_Milestone!$B:$B,AL156)),"")))</f>
        <v/>
      </c>
      <c r="V156" s="37" t="str">
        <f aca="false">IF($A156="","",IFERROR(IF(VLOOKUP($C156,Dim_Fund!$A:$AI,35,0)&gt;0,$B156+VLOOKUP($C156,Dim_Fund!$A:$AI,35,0)/24,""),""))</f>
        <v/>
      </c>
      <c r="W156" s="37" t="str">
        <f aca="false">IF($A156="","",F156)</f>
        <v/>
      </c>
      <c r="X156" s="37" t="str">
        <f aca="false">IF($A156="","",IF(E156="Client",H156,G156))</f>
        <v/>
      </c>
      <c r="Y156" s="37" t="str">
        <f aca="false">IF($A156="","",I156)</f>
        <v/>
      </c>
      <c r="Z156" s="37" t="str">
        <f aca="false">IF($A156="","",IFERROR(W156-R156/1440,""))</f>
        <v/>
      </c>
      <c r="AA156" s="38" t="str">
        <f aca="false">IF($A156="","",IF(OR(U156="",V156=""),"",ROUND((V156-U156)*1440,0)))</f>
        <v/>
      </c>
      <c r="AB156" s="38" t="str">
        <f aca="false">IF($A156="","",IF(U156="","",ROUND((W156-U156)*1440,0)))</f>
        <v/>
      </c>
      <c r="AC156" s="38" t="str">
        <f aca="false">IF($A156="","",IF(AB156="","",MAX(0,AB156)))</f>
        <v/>
      </c>
      <c r="AD156" s="38" t="str">
        <f aca="false">IF($A156="","",IFERROR(ROUND((X156-W156)*1440,0),""))</f>
        <v/>
      </c>
      <c r="AE156" s="38" t="str">
        <f aca="false">IF($A156="","",IF(E156="Client","n/a",IFERROR(ROUND((H156-G156)*1440,0),"")))</f>
        <v/>
      </c>
      <c r="AF156" s="38" t="str">
        <f aca="false">IF($A156="","",IFERROR(ROUND((Y156-H156)*1440,0),""))</f>
        <v/>
      </c>
      <c r="AG156" s="38" t="str">
        <f aca="false">IF($A156="","",IFERROR(ROUND((H156-F156)*1440,0),""))</f>
        <v/>
      </c>
      <c r="AH156" s="38" t="str">
        <f aca="false">IF($A156="","",IFERROR(ROUND((Y156-V156)*1440,0),""))</f>
        <v/>
      </c>
      <c r="AI156" s="4" t="str">
        <f aca="false">IF($A156="","",IF(AH156="","",IF(AH156&gt;0,"Yes","No")))</f>
        <v/>
      </c>
      <c r="AJ156" s="4" t="str">
        <f aca="false">IF($A156="","",IF(AI156&lt;&gt;"Yes","On time",IF(N(AC156)&gt;=MAX(N(AF156),N(K156)),"Wait for analyst",IF(N(AF156)&gt;=N(K156),"External sign-off","Rework"))))</f>
        <v/>
      </c>
      <c r="AK156" s="4" t="str">
        <f aca="false">IF($A156="","",IF(OR(F156="",Y156="",ISNA(MATCH(L156,Dim_Analyst!$A:$A,0))),"CHECK","OK"))</f>
        <v/>
      </c>
      <c r="AL156" s="4" t="str">
        <f aca="false">IF($A156="","",IFERROR(VLOOKUP($C156,Dim_Fund!$A:$U,21,0),""))</f>
        <v/>
      </c>
      <c r="AM156" s="4" t="str">
        <f aca="false">IF($A156="","",IF($U156="","",IF($U156&gt;$B156+IFERROR(VLOOKUP($C156,Dim_Fund!$A:$AH,34,0),0)/24,"Yes","No")))</f>
        <v/>
      </c>
      <c r="AN156" s="22" t="str">
        <f aca="false">IF($A156="","",IFERROR(VLOOKUP($C156,Dim_Fund!$A:$AH,34,0),""))</f>
        <v/>
      </c>
      <c r="AO156" s="22" t="str">
        <f aca="false">IF($A156="","",IF($AL156="","",IFERROR(FLOOR(IF(COUNTIFS(Fact_Milestone!$A:$A,$B156,Fact_Milestone!$B:$B,$AL156,Fact_Milestone!$F:$F,"&gt;0")&gt;0,_xlfn.MINIFS(Fact_Milestone!$F:$F,Fact_Milestone!$A:$A,$B156,Fact_Milestone!$B:$B,$AL156,Fact_Milestone!$F:$F,"&gt;0"),VLOOKUP($AL156,Dim_TOP!$A:$E,5,0)),0.5),"")))</f>
        <v/>
      </c>
      <c r="AP156" s="22" t="str">
        <f aca="false">IF($A156="","",IF($U156="","",ROUND(($U156-INT($U156))*24,4)))</f>
        <v/>
      </c>
      <c r="AQ156" s="22" t="str">
        <f aca="false">IF($A156="","",IF($W156="","",ROUND(($W156-INT($W156))*24,4)))</f>
        <v/>
      </c>
      <c r="AR156" s="22" t="str">
        <f aca="false">IF($A156="","",IF($X156="","",ROUND(($X156-INT($X156))*24,4)))</f>
        <v/>
      </c>
      <c r="AS156" s="38" t="str">
        <f aca="false">IF($A156="","",IF(OR($AN156="",$V156="",$S156="",$T156=""),"",ROUND(($V156-($B156+$AN156/24))*1440-$S156-$T156,0)))</f>
        <v/>
      </c>
      <c r="AT156" s="38" t="str">
        <f aca="false">IF($A156="","",IF(OR($AN156="",$U156=""),"",ROUND(($U156-($B156+$AN156/24))*1440,0)))</f>
        <v/>
      </c>
      <c r="AU156" s="38" t="str">
        <f aca="false">IF($A156="","",IF(OR($AD156="",$S156=""),"",ROUND($AD156-$S156,0)))</f>
        <v/>
      </c>
      <c r="AV156" s="38" t="str">
        <f aca="false">IF($A156="","",N($AE156))</f>
        <v/>
      </c>
      <c r="AW156" s="38" t="str">
        <f aca="false">IF($A156="","",IF(OR($AF156="",$T156=""),"",$AF156-$T156))</f>
        <v/>
      </c>
      <c r="AX156" s="38" t="str">
        <f aca="false">IF($A156="","",IF(COUNT($AT156,$AB156,$AU156,$AW156,$AS156,$AH156)&lt;6,"",ROUND($AT156+$AB156+$AU156+$AV156+$AW156-$AS156-$AH156,0)))</f>
        <v/>
      </c>
      <c r="AY156" s="4" t="str">
        <f aca="false">IF($A156="","",IF($AX156="","No",IF(ABS($AX156)&lt;=2,"Yes","No")))</f>
        <v/>
      </c>
      <c r="AZ156" s="4" t="str">
        <f aca="false">IF($A156="","",IF($AI156&lt;&gt;"Yes","n/a",IF(OR($AA156="",$S156="",$T156=""),"Unknown",IF($AA156&lt;$S156+$T156,"Lost on arrival","Lost after arrival"))))</f>
        <v/>
      </c>
      <c r="BA156" s="10" t="str">
        <f aca="false">IF($A156="","",IFERROR(VLOOKUP($C156,Dim_Fund!$A:$D,4,0),""))</f>
        <v/>
      </c>
      <c r="BB156" s="10" t="str">
        <f aca="false">IF($A156="","",IF($AL156="","",IF(COUNTIFS(Fact_Milestone!$A:$A,$B156,Fact_Milestone!$B:$B,$AL156,Fact_Milestone!$I:$I,"No")&gt;0,"No",IF(COUNTIFS(Fact_Milestone!$A:$A,$B156,Fact_Milestone!$B:$B,$AL156,Fact_Milestone!$I:$I,"Yes")&gt;0,"Yes",""))))</f>
        <v/>
      </c>
      <c r="BC156" s="45" t="str">
        <f aca="false">IF($A156="","",IF(OR($L156="",$W156=""),"",IF(COUNTIFS($L:$L,$L156,$B:$B,$B156,$W:$W,"&lt;"&amp;$W156)=0,"",_xlfn.MAXIFS($W:$W,$L:$L,$L156,$B:$B,$B156,$W:$W,"&lt;"&amp;$W156))))</f>
        <v/>
      </c>
      <c r="BD156" s="39" t="str">
        <f aca="false">IF($A156="","",IF($AC156="","",IF(OR($L156="",$AC156=0),0,MIN($AC156,ROUND(ROUND(1440*SUMPRODUCT(($L$2:INDEX($L:$L,COUNTA($C:$C))=$L156)*($B$2:INDEX($B:$B,COUNTA($C:$C))=$B156)*(ROW($L$2:INDEX($L:$L,COUNTA($C:$C)))&lt;&gt;ROW())*((((($W156+$BT$2:INDEX($BT:$BT,COUNTA($C:$C))-ABS($W156-$BT$2:INDEX($BT:$BT,COUNTA($C:$C))))/2)-(($U156+$BS$2:INDEX($BS:$BS,COUNTA($C:$C))+ABS($U156-$BS$2:INDEX($BS:$BS,COUNTA($C:$C))))/2))+ABS(((($W156+$BT$2:INDEX($BT:$BT,COUNTA($C:$C))-ABS($W156-$BT$2:INDEX($BT:$BT,COUNTA($C:$C))))/2)-(($U156+$BS$2:INDEX($BS:$BS,COUNTA($C:$C))+ABS($U156-$BS$2:INDEX($BS:$BS,COUNTA($C:$C))))/2))))/2)),4),0)))))</f>
        <v/>
      </c>
      <c r="BE156" s="39" t="str">
        <f aca="false">IF($A156="","",IF($AC156="","",ROUND(MIN($AC156-$BD156,N($R156)),0)))</f>
        <v/>
      </c>
      <c r="BF156" s="10" t="str">
        <f aca="false">IF($A156="","",IFERROR(VLOOKUP($C156,Dim_Fund!$A:$BD,56,0),""))</f>
        <v/>
      </c>
      <c r="BG156" s="10" t="str">
        <f aca="false">IF($A156="","",IFERROR(VLOOKUP($C156,Dim_Fund!$A:$BH,60,0),""))</f>
        <v/>
      </c>
      <c r="BH156" s="10" t="str">
        <f aca="false">IF($A156="","",IF($AI156&lt;&gt;"Yes","Not breached",IF($AM156="Yes","Pricing late",IF($BG156="Thin custody slack","Thin custody slack",IF($BF156="Yes","Broker-dependent","None of these")))))</f>
        <v/>
      </c>
      <c r="BI156" s="23" t="str">
        <f aca="false">IF($A156="","",IFERROR(IF(VLOOKUP($C156,Dim_Fund!$A:$AI,35,0)&gt;0,VLOOKUP($C156,Dim_Fund!$A:$AI,35,0),""),""))</f>
        <v/>
      </c>
      <c r="BJ156" s="10" t="str">
        <f aca="false">IF($A156="","",$C156&amp;IF($E156="Client","*",""))</f>
        <v/>
      </c>
      <c r="BK156" s="39" t="str">
        <f aca="false">IF($A156="","",IFERROR(ROUND(($Y156-$X156)*1440,0),""))</f>
        <v/>
      </c>
      <c r="BL156" s="39" t="str">
        <f aca="false">IF($A156="","",IF($AH156="","",-$AH156))</f>
        <v/>
      </c>
      <c r="BM156" s="46" t="str">
        <f aca="false">IF($A156="","",IF($AQ156="","",IF($AP156="",$AQ156,MIN($AP156,$AQ156))))</f>
        <v/>
      </c>
      <c r="BN156" s="46" t="str">
        <f aca="false">IF($A156="","",IF($BM156="","",ROUND(N($AC156)/60,4)))</f>
        <v/>
      </c>
      <c r="BO156" s="46" t="str">
        <f aca="false">IF($A156="","",IF(OR($BM156="",$AD156=""),"",ROUND($AD156/60,4)))</f>
        <v/>
      </c>
      <c r="BP156" s="46" t="str">
        <f aca="false">IF($A156="","",IF($BM156="","",ROUND(N($AE156)/60,4)))</f>
        <v/>
      </c>
      <c r="BQ156" s="46" t="str">
        <f aca="false">IF($A156="","",IF(OR($BM156="",$AF156=""),"",ROUND($AF156/60,4)))</f>
        <v/>
      </c>
      <c r="BR156" s="39" t="str">
        <f aca="false">IF($A156="","",IF($AC156="","",$AC156-$BD156-$BE156))</f>
        <v/>
      </c>
      <c r="BS156" s="45" t="str">
        <f aca="false">IF($A156="","",IF(AND(ISNUMBER($Z156),ISNUMBER($W156)),$Z156,0))</f>
        <v/>
      </c>
      <c r="BT156" s="45" t="str">
        <f aca="false">IF($A156="","",IF(ISNUMBER($W156),$W156,0))</f>
        <v/>
      </c>
      <c r="BU156" s="23" t="str">
        <f aca="false">IF($A156="","",IF(ISNUMBER($W156),ROUND(($W156-$B156)*24,4),""))</f>
        <v/>
      </c>
      <c r="BV156" s="23" t="str">
        <f aca="false">IF($A156="","",IF(ISNUMBER($X156),ROUND(($X156-$B156)*24,4),""))</f>
        <v/>
      </c>
      <c r="BW156" s="10" t="str">
        <f aca="false">IF($A156="","",IF(NOT(ISNUMBER($W156)),"Missing Calculated",IF(NOT(ISNUMBER($X156)),IF($E156="Client","Missing FA signed off","Missing Controlled"),IF($X156&lt;$W156,"End before start","OK"))))</f>
        <v/>
      </c>
      <c r="BX156" s="23" t="str">
        <f aca="false">IF($A156="","",IF(NOT(ISNUMBER($Z156)),"",ROUND((IF(ISNUMBER($U156),MIN($U156,$Z156),$Z156)-$B156)*24,4)))</f>
        <v/>
      </c>
      <c r="BY156" s="23" t="str">
        <f aca="false">IF($A156="","",IF(ISNUMBER($Z156),ROUND(($Z156-$B156)*24,4),""))</f>
        <v/>
      </c>
      <c r="BZ156" s="23" t="str">
        <f aca="false">IF($A156="","",IF(AND(ISNUMBER($W156),ISNUMBER($S156)),ROUND(($W156+$S156/1440-$B156)*24,4),""))</f>
        <v/>
      </c>
    </row>
    <row r="157" customFormat="false" ht="15" hidden="false" customHeight="true" outlineLevel="0" collapsed="false">
      <c r="A157" s="47"/>
      <c r="B157" s="47"/>
      <c r="D157" s="4" t="str">
        <f aca="false">IF($A157="","",$B157-$A157)</f>
        <v/>
      </c>
      <c r="E157" s="4" t="str">
        <f aca="false">IF($A157="","",IFERROR(VLOOKUP($C157,Dim_Fund!$A:$X,24,0),""))</f>
        <v/>
      </c>
      <c r="F157" s="37" t="str">
        <f aca="false">IF($A157="","",IF(COUNTIFS(Status_Log!$A:$A,$A157,Status_Log!$B:$B,$B157,Status_Log!$C:$C,$C157,Status_Log!$D:$D,"Changed to the status of Calculated")=0,"",_xlfn.MINIFS(Status_Log!$E:$E,Status_Log!$A:$A,$A157,Status_Log!$B:$B,$B157,Status_Log!$C:$C,$C157,Status_Log!$D:$D,"Changed to the status of Calculated")))</f>
        <v/>
      </c>
      <c r="G157" s="37" t="str">
        <f aca="false">IF($A157="","",IF(COUNTIFS(Status_Log!$A:$A,$A157,Status_Log!$B:$B,$B157,Status_Log!$C:$C,$C157,Status_Log!$D:$D,"Changed to the status of Controlled")=0,"",_xlfn.MAXIFS(Status_Log!$E:$E,Status_Log!$A:$A,$A157,Status_Log!$B:$B,$B157,Status_Log!$C:$C,$C157,Status_Log!$D:$D,"Changed to the status of Controlled")))</f>
        <v/>
      </c>
      <c r="H157" s="37" t="str">
        <f aca="false">IF($A157="","",IF(COUNTIFS(Status_Log!$A:$A,$A157,Status_Log!$B:$B,$B157,Status_Log!$C:$C,$C157,Status_Log!$D:$D,"Changed to the status of Fund accounting signed off")=0,"",_xlfn.MAXIFS(Status_Log!$E:$E,Status_Log!$A:$A,$A157,Status_Log!$B:$B,$B157,Status_Log!$C:$C,$C157,Status_Log!$D:$D,"Changed to the status of Fund accounting signed off")))</f>
        <v/>
      </c>
      <c r="I157" s="37" t="str">
        <f aca="false">IF($A157="","",IF(COUNTIFS(Status_Log!$A:$A,$A157,Status_Log!$B:$B,$B157,Status_Log!$C:$C,$C157,Status_Log!$D:$D,"Changed to the status of signed off")=0,"",_xlfn.MAXIFS(Status_Log!$E:$E,Status_Log!$A:$A,$A157,Status_Log!$B:$B,$B157,Status_Log!$C:$C,$C157,Status_Log!$D:$D,"Changed to the status of signed off")))</f>
        <v/>
      </c>
      <c r="J157" s="4" t="str">
        <f aca="false">IF($A157="","",COUNTIFS(Status_Log!$A:$A,$A157,Status_Log!$B:$B,$B157,Status_Log!$C:$C,$C157,Status_Log!$D:$D,"Changed to the status of Calculated"))</f>
        <v/>
      </c>
      <c r="K157" s="38" t="str">
        <f aca="false">IF($A157="","",IF(J157&lt;=1,0,ROUND((_xlfn.MAXIFS(Status_Log!$E:$E,Status_Log!$A:$A,$A157,Status_Log!$B:$B,$B157,Status_Log!$C:$C,$C157,Status_Log!$D:$D,"Changed to the status of Calculated")-F157)*1440,0)))</f>
        <v/>
      </c>
      <c r="L157" s="4" t="str">
        <f aca="false">IF($A157="","",IFERROR(INDEX(Status_Log!$F:$F,MATCH($A157&amp;"|"&amp;$B157&amp;"|"&amp;$C157&amp;"|Changed to the status of Calculated|"&amp;TEXT(_xlfn.MAXIFS(Status_Log!$E:$E,Status_Log!$A:$A,$A157,Status_Log!$B:$B,$B157,Status_Log!$C:$C,$C157,Status_Log!$D:$D,"Changed to the status of Calculated"),"0.000000"),Status_Log!$H:$H,0)),""))</f>
        <v/>
      </c>
      <c r="M157" s="4" t="str">
        <f aca="false">IF($A157="","",IF(E157="Client","n/a — no control step",IFERROR(INDEX(Status_Log!$F:$F,MATCH($A157&amp;"|"&amp;$B157&amp;"|"&amp;$C157&amp;"|Changed to the status of Controlled|"&amp;TEXT(_xlfn.MAXIFS(Status_Log!$E:$E,Status_Log!$A:$A,$A157,Status_Log!$B:$B,$B157,Status_Log!$C:$C,$C157,Status_Log!$D:$D,"Changed to the status of Controlled"),"0.000000"),Status_Log!$H:$H,0)),"")))</f>
        <v/>
      </c>
      <c r="N157" s="4" t="str">
        <f aca="false">IF($A157="","",IFERROR(VLOOKUP($C157,Dim_Fund!$A:$G,7,0),""))</f>
        <v/>
      </c>
      <c r="O157" s="4" t="str">
        <f aca="false">IF($A157="","",IF(L157=N157,"No","Yes"))</f>
        <v/>
      </c>
      <c r="P157" s="4" t="str">
        <f aca="false">IF($A157="","",IF(E157="Client","n/a",IF(L157=M157,"YES — four-eyes breach","No")))</f>
        <v/>
      </c>
      <c r="Q157" s="38" t="str">
        <f aca="false">IF($A157="","",IFERROR(VLOOKUP($C157,Dim_Fund!$A:$AB,28,0),""))</f>
        <v/>
      </c>
      <c r="R157" s="38" t="str">
        <f aca="false">IF($A157="","",IFERROR(VLOOKUP($C157,Dim_Fund!$A:$AC,29,0),""))</f>
        <v/>
      </c>
      <c r="S157" s="38" t="str">
        <f aca="false">IF($A157="","",IFERROR(VLOOKUP($C157,Dim_Fund!$A:$AD,30,0),""))</f>
        <v/>
      </c>
      <c r="T157" s="38" t="str">
        <f aca="false">IF($A157="","",IFERROR(VLOOKUP($C157,Dim_Fund!$A:$AL,38,0),""))</f>
        <v/>
      </c>
      <c r="U157" s="37" t="str">
        <f aca="false">IF($A157="","",IF(AL157="","",IFERROR(IF(COUNTIFS(Fact_Milestone!$A:$A,$B157,Fact_Milestone!$B:$B,AL157)=0,"",_xlfn.MAXIFS(Fact_Milestone!$C:$C,Fact_Milestone!$A:$A,$B157,Fact_Milestone!$B:$B,AL157)),"")))</f>
        <v/>
      </c>
      <c r="V157" s="37" t="str">
        <f aca="false">IF($A157="","",IFERROR(IF(VLOOKUP($C157,Dim_Fund!$A:$AI,35,0)&gt;0,$B157+VLOOKUP($C157,Dim_Fund!$A:$AI,35,0)/24,""),""))</f>
        <v/>
      </c>
      <c r="W157" s="37" t="str">
        <f aca="false">IF($A157="","",F157)</f>
        <v/>
      </c>
      <c r="X157" s="37" t="str">
        <f aca="false">IF($A157="","",IF(E157="Client",H157,G157))</f>
        <v/>
      </c>
      <c r="Y157" s="37" t="str">
        <f aca="false">IF($A157="","",I157)</f>
        <v/>
      </c>
      <c r="Z157" s="37" t="str">
        <f aca="false">IF($A157="","",IFERROR(W157-R157/1440,""))</f>
        <v/>
      </c>
      <c r="AA157" s="38" t="str">
        <f aca="false">IF($A157="","",IF(OR(U157="",V157=""),"",ROUND((V157-U157)*1440,0)))</f>
        <v/>
      </c>
      <c r="AB157" s="38" t="str">
        <f aca="false">IF($A157="","",IF(U157="","",ROUND((W157-U157)*1440,0)))</f>
        <v/>
      </c>
      <c r="AC157" s="38" t="str">
        <f aca="false">IF($A157="","",IF(AB157="","",MAX(0,AB157)))</f>
        <v/>
      </c>
      <c r="AD157" s="38" t="str">
        <f aca="false">IF($A157="","",IFERROR(ROUND((X157-W157)*1440,0),""))</f>
        <v/>
      </c>
      <c r="AE157" s="38" t="str">
        <f aca="false">IF($A157="","",IF(E157="Client","n/a",IFERROR(ROUND((H157-G157)*1440,0),"")))</f>
        <v/>
      </c>
      <c r="AF157" s="38" t="str">
        <f aca="false">IF($A157="","",IFERROR(ROUND((Y157-H157)*1440,0),""))</f>
        <v/>
      </c>
      <c r="AG157" s="38" t="str">
        <f aca="false">IF($A157="","",IFERROR(ROUND((H157-F157)*1440,0),""))</f>
        <v/>
      </c>
      <c r="AH157" s="38" t="str">
        <f aca="false">IF($A157="","",IFERROR(ROUND((Y157-V157)*1440,0),""))</f>
        <v/>
      </c>
      <c r="AI157" s="4" t="str">
        <f aca="false">IF($A157="","",IF(AH157="","",IF(AH157&gt;0,"Yes","No")))</f>
        <v/>
      </c>
      <c r="AJ157" s="4" t="str">
        <f aca="false">IF($A157="","",IF(AI157&lt;&gt;"Yes","On time",IF(N(AC157)&gt;=MAX(N(AF157),N(K157)),"Wait for analyst",IF(N(AF157)&gt;=N(K157),"External sign-off","Rework"))))</f>
        <v/>
      </c>
      <c r="AK157" s="4" t="str">
        <f aca="false">IF($A157="","",IF(OR(F157="",Y157="",ISNA(MATCH(L157,Dim_Analyst!$A:$A,0))),"CHECK","OK"))</f>
        <v/>
      </c>
      <c r="AL157" s="4" t="str">
        <f aca="false">IF($A157="","",IFERROR(VLOOKUP($C157,Dim_Fund!$A:$U,21,0),""))</f>
        <v/>
      </c>
      <c r="AM157" s="4" t="str">
        <f aca="false">IF($A157="","",IF($U157="","",IF($U157&gt;$B157+IFERROR(VLOOKUP($C157,Dim_Fund!$A:$AH,34,0),0)/24,"Yes","No")))</f>
        <v/>
      </c>
      <c r="AN157" s="22" t="str">
        <f aca="false">IF($A157="","",IFERROR(VLOOKUP($C157,Dim_Fund!$A:$AH,34,0),""))</f>
        <v/>
      </c>
      <c r="AO157" s="22" t="str">
        <f aca="false">IF($A157="","",IF($AL157="","",IFERROR(FLOOR(IF(COUNTIFS(Fact_Milestone!$A:$A,$B157,Fact_Milestone!$B:$B,$AL157,Fact_Milestone!$F:$F,"&gt;0")&gt;0,_xlfn.MINIFS(Fact_Milestone!$F:$F,Fact_Milestone!$A:$A,$B157,Fact_Milestone!$B:$B,$AL157,Fact_Milestone!$F:$F,"&gt;0"),VLOOKUP($AL157,Dim_TOP!$A:$E,5,0)),0.5),"")))</f>
        <v/>
      </c>
      <c r="AP157" s="22" t="str">
        <f aca="false">IF($A157="","",IF($U157="","",ROUND(($U157-INT($U157))*24,4)))</f>
        <v/>
      </c>
      <c r="AQ157" s="22" t="str">
        <f aca="false">IF($A157="","",IF($W157="","",ROUND(($W157-INT($W157))*24,4)))</f>
        <v/>
      </c>
      <c r="AR157" s="22" t="str">
        <f aca="false">IF($A157="","",IF($X157="","",ROUND(($X157-INT($X157))*24,4)))</f>
        <v/>
      </c>
      <c r="AS157" s="38" t="str">
        <f aca="false">IF($A157="","",IF(OR($AN157="",$V157="",$S157="",$T157=""),"",ROUND(($V157-($B157+$AN157/24))*1440-$S157-$T157,0)))</f>
        <v/>
      </c>
      <c r="AT157" s="38" t="str">
        <f aca="false">IF($A157="","",IF(OR($AN157="",$U157=""),"",ROUND(($U157-($B157+$AN157/24))*1440,0)))</f>
        <v/>
      </c>
      <c r="AU157" s="38" t="str">
        <f aca="false">IF($A157="","",IF(OR($AD157="",$S157=""),"",ROUND($AD157-$S157,0)))</f>
        <v/>
      </c>
      <c r="AV157" s="38" t="str">
        <f aca="false">IF($A157="","",N($AE157))</f>
        <v/>
      </c>
      <c r="AW157" s="38" t="str">
        <f aca="false">IF($A157="","",IF(OR($AF157="",$T157=""),"",$AF157-$T157))</f>
        <v/>
      </c>
      <c r="AX157" s="38" t="str">
        <f aca="false">IF($A157="","",IF(COUNT($AT157,$AB157,$AU157,$AW157,$AS157,$AH157)&lt;6,"",ROUND($AT157+$AB157+$AU157+$AV157+$AW157-$AS157-$AH157,0)))</f>
        <v/>
      </c>
      <c r="AY157" s="4" t="str">
        <f aca="false">IF($A157="","",IF($AX157="","No",IF(ABS($AX157)&lt;=2,"Yes","No")))</f>
        <v/>
      </c>
      <c r="AZ157" s="4" t="str">
        <f aca="false">IF($A157="","",IF($AI157&lt;&gt;"Yes","n/a",IF(OR($AA157="",$S157="",$T157=""),"Unknown",IF($AA157&lt;$S157+$T157,"Lost on arrival","Lost after arrival"))))</f>
        <v/>
      </c>
      <c r="BA157" s="10" t="str">
        <f aca="false">IF($A157="","",IFERROR(VLOOKUP($C157,Dim_Fund!$A:$D,4,0),""))</f>
        <v/>
      </c>
      <c r="BB157" s="10" t="str">
        <f aca="false">IF($A157="","",IF($AL157="","",IF(COUNTIFS(Fact_Milestone!$A:$A,$B157,Fact_Milestone!$B:$B,$AL157,Fact_Milestone!$I:$I,"No")&gt;0,"No",IF(COUNTIFS(Fact_Milestone!$A:$A,$B157,Fact_Milestone!$B:$B,$AL157,Fact_Milestone!$I:$I,"Yes")&gt;0,"Yes",""))))</f>
        <v/>
      </c>
      <c r="BC157" s="45" t="str">
        <f aca="false">IF($A157="","",IF(OR($L157="",$W157=""),"",IF(COUNTIFS($L:$L,$L157,$B:$B,$B157,$W:$W,"&lt;"&amp;$W157)=0,"",_xlfn.MAXIFS($W:$W,$L:$L,$L157,$B:$B,$B157,$W:$W,"&lt;"&amp;$W157))))</f>
        <v/>
      </c>
      <c r="BD157" s="39" t="str">
        <f aca="false">IF($A157="","",IF($AC157="","",IF(OR($L157="",$AC157=0),0,MIN($AC157,ROUND(ROUND(1440*SUMPRODUCT(($L$2:INDEX($L:$L,COUNTA($C:$C))=$L157)*($B$2:INDEX($B:$B,COUNTA($C:$C))=$B157)*(ROW($L$2:INDEX($L:$L,COUNTA($C:$C)))&lt;&gt;ROW())*((((($W157+$BT$2:INDEX($BT:$BT,COUNTA($C:$C))-ABS($W157-$BT$2:INDEX($BT:$BT,COUNTA($C:$C))))/2)-(($U157+$BS$2:INDEX($BS:$BS,COUNTA($C:$C))+ABS($U157-$BS$2:INDEX($BS:$BS,COUNTA($C:$C))))/2))+ABS(((($W157+$BT$2:INDEX($BT:$BT,COUNTA($C:$C))-ABS($W157-$BT$2:INDEX($BT:$BT,COUNTA($C:$C))))/2)-(($U157+$BS$2:INDEX($BS:$BS,COUNTA($C:$C))+ABS($U157-$BS$2:INDEX($BS:$BS,COUNTA($C:$C))))/2))))/2)),4),0)))))</f>
        <v/>
      </c>
      <c r="BE157" s="39" t="str">
        <f aca="false">IF($A157="","",IF($AC157="","",ROUND(MIN($AC157-$BD157,N($R157)),0)))</f>
        <v/>
      </c>
      <c r="BF157" s="10" t="str">
        <f aca="false">IF($A157="","",IFERROR(VLOOKUP($C157,Dim_Fund!$A:$BD,56,0),""))</f>
        <v/>
      </c>
      <c r="BG157" s="10" t="str">
        <f aca="false">IF($A157="","",IFERROR(VLOOKUP($C157,Dim_Fund!$A:$BH,60,0),""))</f>
        <v/>
      </c>
      <c r="BH157" s="10" t="str">
        <f aca="false">IF($A157="","",IF($AI157&lt;&gt;"Yes","Not breached",IF($AM157="Yes","Pricing late",IF($BG157="Thin custody slack","Thin custody slack",IF($BF157="Yes","Broker-dependent","None of these")))))</f>
        <v/>
      </c>
      <c r="BI157" s="23" t="str">
        <f aca="false">IF($A157="","",IFERROR(IF(VLOOKUP($C157,Dim_Fund!$A:$AI,35,0)&gt;0,VLOOKUP($C157,Dim_Fund!$A:$AI,35,0),""),""))</f>
        <v/>
      </c>
      <c r="BJ157" s="10" t="str">
        <f aca="false">IF($A157="","",$C157&amp;IF($E157="Client","*",""))</f>
        <v/>
      </c>
      <c r="BK157" s="39" t="str">
        <f aca="false">IF($A157="","",IFERROR(ROUND(($Y157-$X157)*1440,0),""))</f>
        <v/>
      </c>
      <c r="BL157" s="39" t="str">
        <f aca="false">IF($A157="","",IF($AH157="","",-$AH157))</f>
        <v/>
      </c>
      <c r="BM157" s="46" t="str">
        <f aca="false">IF($A157="","",IF($AQ157="","",IF($AP157="",$AQ157,MIN($AP157,$AQ157))))</f>
        <v/>
      </c>
      <c r="BN157" s="46" t="str">
        <f aca="false">IF($A157="","",IF($BM157="","",ROUND(N($AC157)/60,4)))</f>
        <v/>
      </c>
      <c r="BO157" s="46" t="str">
        <f aca="false">IF($A157="","",IF(OR($BM157="",$AD157=""),"",ROUND($AD157/60,4)))</f>
        <v/>
      </c>
      <c r="BP157" s="46" t="str">
        <f aca="false">IF($A157="","",IF($BM157="","",ROUND(N($AE157)/60,4)))</f>
        <v/>
      </c>
      <c r="BQ157" s="46" t="str">
        <f aca="false">IF($A157="","",IF(OR($BM157="",$AF157=""),"",ROUND($AF157/60,4)))</f>
        <v/>
      </c>
      <c r="BR157" s="39" t="str">
        <f aca="false">IF($A157="","",IF($AC157="","",$AC157-$BD157-$BE157))</f>
        <v/>
      </c>
      <c r="BS157" s="45" t="str">
        <f aca="false">IF($A157="","",IF(AND(ISNUMBER($Z157),ISNUMBER($W157)),$Z157,0))</f>
        <v/>
      </c>
      <c r="BT157" s="45" t="str">
        <f aca="false">IF($A157="","",IF(ISNUMBER($W157),$W157,0))</f>
        <v/>
      </c>
      <c r="BU157" s="23" t="str">
        <f aca="false">IF($A157="","",IF(ISNUMBER($W157),ROUND(($W157-$B157)*24,4),""))</f>
        <v/>
      </c>
      <c r="BV157" s="23" t="str">
        <f aca="false">IF($A157="","",IF(ISNUMBER($X157),ROUND(($X157-$B157)*24,4),""))</f>
        <v/>
      </c>
      <c r="BW157" s="10" t="str">
        <f aca="false">IF($A157="","",IF(NOT(ISNUMBER($W157)),"Missing Calculated",IF(NOT(ISNUMBER($X157)),IF($E157="Client","Missing FA signed off","Missing Controlled"),IF($X157&lt;$W157,"End before start","OK"))))</f>
        <v/>
      </c>
      <c r="BX157" s="23" t="str">
        <f aca="false">IF($A157="","",IF(NOT(ISNUMBER($Z157)),"",ROUND((IF(ISNUMBER($U157),MIN($U157,$Z157),$Z157)-$B157)*24,4)))</f>
        <v/>
      </c>
      <c r="BY157" s="23" t="str">
        <f aca="false">IF($A157="","",IF(ISNUMBER($Z157),ROUND(($Z157-$B157)*24,4),""))</f>
        <v/>
      </c>
      <c r="BZ157" s="23" t="str">
        <f aca="false">IF($A157="","",IF(AND(ISNUMBER($W157),ISNUMBER($S157)),ROUND(($W157+$S157/1440-$B157)*24,4),""))</f>
        <v/>
      </c>
    </row>
    <row r="158" customFormat="false" ht="15" hidden="false" customHeight="true" outlineLevel="0" collapsed="false">
      <c r="A158" s="47"/>
      <c r="B158" s="47"/>
      <c r="D158" s="4" t="str">
        <f aca="false">IF($A158="","",$B158-$A158)</f>
        <v/>
      </c>
      <c r="E158" s="4" t="str">
        <f aca="false">IF($A158="","",IFERROR(VLOOKUP($C158,Dim_Fund!$A:$X,24,0),""))</f>
        <v/>
      </c>
      <c r="F158" s="37" t="str">
        <f aca="false">IF($A158="","",IF(COUNTIFS(Status_Log!$A:$A,$A158,Status_Log!$B:$B,$B158,Status_Log!$C:$C,$C158,Status_Log!$D:$D,"Changed to the status of Calculated")=0,"",_xlfn.MINIFS(Status_Log!$E:$E,Status_Log!$A:$A,$A158,Status_Log!$B:$B,$B158,Status_Log!$C:$C,$C158,Status_Log!$D:$D,"Changed to the status of Calculated")))</f>
        <v/>
      </c>
      <c r="G158" s="37" t="str">
        <f aca="false">IF($A158="","",IF(COUNTIFS(Status_Log!$A:$A,$A158,Status_Log!$B:$B,$B158,Status_Log!$C:$C,$C158,Status_Log!$D:$D,"Changed to the status of Controlled")=0,"",_xlfn.MAXIFS(Status_Log!$E:$E,Status_Log!$A:$A,$A158,Status_Log!$B:$B,$B158,Status_Log!$C:$C,$C158,Status_Log!$D:$D,"Changed to the status of Controlled")))</f>
        <v/>
      </c>
      <c r="H158" s="37" t="str">
        <f aca="false">IF($A158="","",IF(COUNTIFS(Status_Log!$A:$A,$A158,Status_Log!$B:$B,$B158,Status_Log!$C:$C,$C158,Status_Log!$D:$D,"Changed to the status of Fund accounting signed off")=0,"",_xlfn.MAXIFS(Status_Log!$E:$E,Status_Log!$A:$A,$A158,Status_Log!$B:$B,$B158,Status_Log!$C:$C,$C158,Status_Log!$D:$D,"Changed to the status of Fund accounting signed off")))</f>
        <v/>
      </c>
      <c r="I158" s="37" t="str">
        <f aca="false">IF($A158="","",IF(COUNTIFS(Status_Log!$A:$A,$A158,Status_Log!$B:$B,$B158,Status_Log!$C:$C,$C158,Status_Log!$D:$D,"Changed to the status of signed off")=0,"",_xlfn.MAXIFS(Status_Log!$E:$E,Status_Log!$A:$A,$A158,Status_Log!$B:$B,$B158,Status_Log!$C:$C,$C158,Status_Log!$D:$D,"Changed to the status of signed off")))</f>
        <v/>
      </c>
      <c r="J158" s="4" t="str">
        <f aca="false">IF($A158="","",COUNTIFS(Status_Log!$A:$A,$A158,Status_Log!$B:$B,$B158,Status_Log!$C:$C,$C158,Status_Log!$D:$D,"Changed to the status of Calculated"))</f>
        <v/>
      </c>
      <c r="K158" s="38" t="str">
        <f aca="false">IF($A158="","",IF(J158&lt;=1,0,ROUND((_xlfn.MAXIFS(Status_Log!$E:$E,Status_Log!$A:$A,$A158,Status_Log!$B:$B,$B158,Status_Log!$C:$C,$C158,Status_Log!$D:$D,"Changed to the status of Calculated")-F158)*1440,0)))</f>
        <v/>
      </c>
      <c r="L158" s="4" t="str">
        <f aca="false">IF($A158="","",IFERROR(INDEX(Status_Log!$F:$F,MATCH($A158&amp;"|"&amp;$B158&amp;"|"&amp;$C158&amp;"|Changed to the status of Calculated|"&amp;TEXT(_xlfn.MAXIFS(Status_Log!$E:$E,Status_Log!$A:$A,$A158,Status_Log!$B:$B,$B158,Status_Log!$C:$C,$C158,Status_Log!$D:$D,"Changed to the status of Calculated"),"0.000000"),Status_Log!$H:$H,0)),""))</f>
        <v/>
      </c>
      <c r="M158" s="4" t="str">
        <f aca="false">IF($A158="","",IF(E158="Client","n/a — no control step",IFERROR(INDEX(Status_Log!$F:$F,MATCH($A158&amp;"|"&amp;$B158&amp;"|"&amp;$C158&amp;"|Changed to the status of Controlled|"&amp;TEXT(_xlfn.MAXIFS(Status_Log!$E:$E,Status_Log!$A:$A,$A158,Status_Log!$B:$B,$B158,Status_Log!$C:$C,$C158,Status_Log!$D:$D,"Changed to the status of Controlled"),"0.000000"),Status_Log!$H:$H,0)),"")))</f>
        <v/>
      </c>
      <c r="N158" s="4" t="str">
        <f aca="false">IF($A158="","",IFERROR(VLOOKUP($C158,Dim_Fund!$A:$G,7,0),""))</f>
        <v/>
      </c>
      <c r="O158" s="4" t="str">
        <f aca="false">IF($A158="","",IF(L158=N158,"No","Yes"))</f>
        <v/>
      </c>
      <c r="P158" s="4" t="str">
        <f aca="false">IF($A158="","",IF(E158="Client","n/a",IF(L158=M158,"YES — four-eyes breach","No")))</f>
        <v/>
      </c>
      <c r="Q158" s="38" t="str">
        <f aca="false">IF($A158="","",IFERROR(VLOOKUP($C158,Dim_Fund!$A:$AB,28,0),""))</f>
        <v/>
      </c>
      <c r="R158" s="38" t="str">
        <f aca="false">IF($A158="","",IFERROR(VLOOKUP($C158,Dim_Fund!$A:$AC,29,0),""))</f>
        <v/>
      </c>
      <c r="S158" s="38" t="str">
        <f aca="false">IF($A158="","",IFERROR(VLOOKUP($C158,Dim_Fund!$A:$AD,30,0),""))</f>
        <v/>
      </c>
      <c r="T158" s="38" t="str">
        <f aca="false">IF($A158="","",IFERROR(VLOOKUP($C158,Dim_Fund!$A:$AL,38,0),""))</f>
        <v/>
      </c>
      <c r="U158" s="37" t="str">
        <f aca="false">IF($A158="","",IF(AL158="","",IFERROR(IF(COUNTIFS(Fact_Milestone!$A:$A,$B158,Fact_Milestone!$B:$B,AL158)=0,"",_xlfn.MAXIFS(Fact_Milestone!$C:$C,Fact_Milestone!$A:$A,$B158,Fact_Milestone!$B:$B,AL158)),"")))</f>
        <v/>
      </c>
      <c r="V158" s="37" t="str">
        <f aca="false">IF($A158="","",IFERROR(IF(VLOOKUP($C158,Dim_Fund!$A:$AI,35,0)&gt;0,$B158+VLOOKUP($C158,Dim_Fund!$A:$AI,35,0)/24,""),""))</f>
        <v/>
      </c>
      <c r="W158" s="37" t="str">
        <f aca="false">IF($A158="","",F158)</f>
        <v/>
      </c>
      <c r="X158" s="37" t="str">
        <f aca="false">IF($A158="","",IF(E158="Client",H158,G158))</f>
        <v/>
      </c>
      <c r="Y158" s="37" t="str">
        <f aca="false">IF($A158="","",I158)</f>
        <v/>
      </c>
      <c r="Z158" s="37" t="str">
        <f aca="false">IF($A158="","",IFERROR(W158-R158/1440,""))</f>
        <v/>
      </c>
      <c r="AA158" s="38" t="str">
        <f aca="false">IF($A158="","",IF(OR(U158="",V158=""),"",ROUND((V158-U158)*1440,0)))</f>
        <v/>
      </c>
      <c r="AB158" s="38" t="str">
        <f aca="false">IF($A158="","",IF(U158="","",ROUND((W158-U158)*1440,0)))</f>
        <v/>
      </c>
      <c r="AC158" s="38" t="str">
        <f aca="false">IF($A158="","",IF(AB158="","",MAX(0,AB158)))</f>
        <v/>
      </c>
      <c r="AD158" s="38" t="str">
        <f aca="false">IF($A158="","",IFERROR(ROUND((X158-W158)*1440,0),""))</f>
        <v/>
      </c>
      <c r="AE158" s="38" t="str">
        <f aca="false">IF($A158="","",IF(E158="Client","n/a",IFERROR(ROUND((H158-G158)*1440,0),"")))</f>
        <v/>
      </c>
      <c r="AF158" s="38" t="str">
        <f aca="false">IF($A158="","",IFERROR(ROUND((Y158-H158)*1440,0),""))</f>
        <v/>
      </c>
      <c r="AG158" s="38" t="str">
        <f aca="false">IF($A158="","",IFERROR(ROUND((H158-F158)*1440,0),""))</f>
        <v/>
      </c>
      <c r="AH158" s="38" t="str">
        <f aca="false">IF($A158="","",IFERROR(ROUND((Y158-V158)*1440,0),""))</f>
        <v/>
      </c>
      <c r="AI158" s="4" t="str">
        <f aca="false">IF($A158="","",IF(AH158="","",IF(AH158&gt;0,"Yes","No")))</f>
        <v/>
      </c>
      <c r="AJ158" s="4" t="str">
        <f aca="false">IF($A158="","",IF(AI158&lt;&gt;"Yes","On time",IF(N(AC158)&gt;=MAX(N(AF158),N(K158)),"Wait for analyst",IF(N(AF158)&gt;=N(K158),"External sign-off","Rework"))))</f>
        <v/>
      </c>
      <c r="AK158" s="4" t="str">
        <f aca="false">IF($A158="","",IF(OR(F158="",Y158="",ISNA(MATCH(L158,Dim_Analyst!$A:$A,0))),"CHECK","OK"))</f>
        <v/>
      </c>
      <c r="AL158" s="4" t="str">
        <f aca="false">IF($A158="","",IFERROR(VLOOKUP($C158,Dim_Fund!$A:$U,21,0),""))</f>
        <v/>
      </c>
      <c r="AM158" s="4" t="str">
        <f aca="false">IF($A158="","",IF($U158="","",IF($U158&gt;$B158+IFERROR(VLOOKUP($C158,Dim_Fund!$A:$AH,34,0),0)/24,"Yes","No")))</f>
        <v/>
      </c>
      <c r="AN158" s="22" t="str">
        <f aca="false">IF($A158="","",IFERROR(VLOOKUP($C158,Dim_Fund!$A:$AH,34,0),""))</f>
        <v/>
      </c>
      <c r="AO158" s="22" t="str">
        <f aca="false">IF($A158="","",IF($AL158="","",IFERROR(FLOOR(IF(COUNTIFS(Fact_Milestone!$A:$A,$B158,Fact_Milestone!$B:$B,$AL158,Fact_Milestone!$F:$F,"&gt;0")&gt;0,_xlfn.MINIFS(Fact_Milestone!$F:$F,Fact_Milestone!$A:$A,$B158,Fact_Milestone!$B:$B,$AL158,Fact_Milestone!$F:$F,"&gt;0"),VLOOKUP($AL158,Dim_TOP!$A:$E,5,0)),0.5),"")))</f>
        <v/>
      </c>
      <c r="AP158" s="22" t="str">
        <f aca="false">IF($A158="","",IF($U158="","",ROUND(($U158-INT($U158))*24,4)))</f>
        <v/>
      </c>
      <c r="AQ158" s="22" t="str">
        <f aca="false">IF($A158="","",IF($W158="","",ROUND(($W158-INT($W158))*24,4)))</f>
        <v/>
      </c>
      <c r="AR158" s="22" t="str">
        <f aca="false">IF($A158="","",IF($X158="","",ROUND(($X158-INT($X158))*24,4)))</f>
        <v/>
      </c>
      <c r="AS158" s="38" t="str">
        <f aca="false">IF($A158="","",IF(OR($AN158="",$V158="",$S158="",$T158=""),"",ROUND(($V158-($B158+$AN158/24))*1440-$S158-$T158,0)))</f>
        <v/>
      </c>
      <c r="AT158" s="38" t="str">
        <f aca="false">IF($A158="","",IF(OR($AN158="",$U158=""),"",ROUND(($U158-($B158+$AN158/24))*1440,0)))</f>
        <v/>
      </c>
      <c r="AU158" s="38" t="str">
        <f aca="false">IF($A158="","",IF(OR($AD158="",$S158=""),"",ROUND($AD158-$S158,0)))</f>
        <v/>
      </c>
      <c r="AV158" s="38" t="str">
        <f aca="false">IF($A158="","",N($AE158))</f>
        <v/>
      </c>
      <c r="AW158" s="38" t="str">
        <f aca="false">IF($A158="","",IF(OR($AF158="",$T158=""),"",$AF158-$T158))</f>
        <v/>
      </c>
      <c r="AX158" s="38" t="str">
        <f aca="false">IF($A158="","",IF(COUNT($AT158,$AB158,$AU158,$AW158,$AS158,$AH158)&lt;6,"",ROUND($AT158+$AB158+$AU158+$AV158+$AW158-$AS158-$AH158,0)))</f>
        <v/>
      </c>
      <c r="AY158" s="4" t="str">
        <f aca="false">IF($A158="","",IF($AX158="","No",IF(ABS($AX158)&lt;=2,"Yes","No")))</f>
        <v/>
      </c>
      <c r="AZ158" s="4" t="str">
        <f aca="false">IF($A158="","",IF($AI158&lt;&gt;"Yes","n/a",IF(OR($AA158="",$S158="",$T158=""),"Unknown",IF($AA158&lt;$S158+$T158,"Lost on arrival","Lost after arrival"))))</f>
        <v/>
      </c>
      <c r="BA158" s="10" t="str">
        <f aca="false">IF($A158="","",IFERROR(VLOOKUP($C158,Dim_Fund!$A:$D,4,0),""))</f>
        <v/>
      </c>
      <c r="BB158" s="10" t="str">
        <f aca="false">IF($A158="","",IF($AL158="","",IF(COUNTIFS(Fact_Milestone!$A:$A,$B158,Fact_Milestone!$B:$B,$AL158,Fact_Milestone!$I:$I,"No")&gt;0,"No",IF(COUNTIFS(Fact_Milestone!$A:$A,$B158,Fact_Milestone!$B:$B,$AL158,Fact_Milestone!$I:$I,"Yes")&gt;0,"Yes",""))))</f>
        <v/>
      </c>
      <c r="BC158" s="45" t="str">
        <f aca="false">IF($A158="","",IF(OR($L158="",$W158=""),"",IF(COUNTIFS($L:$L,$L158,$B:$B,$B158,$W:$W,"&lt;"&amp;$W158)=0,"",_xlfn.MAXIFS($W:$W,$L:$L,$L158,$B:$B,$B158,$W:$W,"&lt;"&amp;$W158))))</f>
        <v/>
      </c>
      <c r="BD158" s="39" t="str">
        <f aca="false">IF($A158="","",IF($AC158="","",IF(OR($L158="",$AC158=0),0,MIN($AC158,ROUND(ROUND(1440*SUMPRODUCT(($L$2:INDEX($L:$L,COUNTA($C:$C))=$L158)*($B$2:INDEX($B:$B,COUNTA($C:$C))=$B158)*(ROW($L$2:INDEX($L:$L,COUNTA($C:$C)))&lt;&gt;ROW())*((((($W158+$BT$2:INDEX($BT:$BT,COUNTA($C:$C))-ABS($W158-$BT$2:INDEX($BT:$BT,COUNTA($C:$C))))/2)-(($U158+$BS$2:INDEX($BS:$BS,COUNTA($C:$C))+ABS($U158-$BS$2:INDEX($BS:$BS,COUNTA($C:$C))))/2))+ABS(((($W158+$BT$2:INDEX($BT:$BT,COUNTA($C:$C))-ABS($W158-$BT$2:INDEX($BT:$BT,COUNTA($C:$C))))/2)-(($U158+$BS$2:INDEX($BS:$BS,COUNTA($C:$C))+ABS($U158-$BS$2:INDEX($BS:$BS,COUNTA($C:$C))))/2))))/2)),4),0)))))</f>
        <v/>
      </c>
      <c r="BE158" s="39" t="str">
        <f aca="false">IF($A158="","",IF($AC158="","",ROUND(MIN($AC158-$BD158,N($R158)),0)))</f>
        <v/>
      </c>
      <c r="BF158" s="10" t="str">
        <f aca="false">IF($A158="","",IFERROR(VLOOKUP($C158,Dim_Fund!$A:$BD,56,0),""))</f>
        <v/>
      </c>
      <c r="BG158" s="10" t="str">
        <f aca="false">IF($A158="","",IFERROR(VLOOKUP($C158,Dim_Fund!$A:$BH,60,0),""))</f>
        <v/>
      </c>
      <c r="BH158" s="10" t="str">
        <f aca="false">IF($A158="","",IF($AI158&lt;&gt;"Yes","Not breached",IF($AM158="Yes","Pricing late",IF($BG158="Thin custody slack","Thin custody slack",IF($BF158="Yes","Broker-dependent","None of these")))))</f>
        <v/>
      </c>
      <c r="BI158" s="23" t="str">
        <f aca="false">IF($A158="","",IFERROR(IF(VLOOKUP($C158,Dim_Fund!$A:$AI,35,0)&gt;0,VLOOKUP($C158,Dim_Fund!$A:$AI,35,0),""),""))</f>
        <v/>
      </c>
      <c r="BJ158" s="10" t="str">
        <f aca="false">IF($A158="","",$C158&amp;IF($E158="Client","*",""))</f>
        <v/>
      </c>
      <c r="BK158" s="39" t="str">
        <f aca="false">IF($A158="","",IFERROR(ROUND(($Y158-$X158)*1440,0),""))</f>
        <v/>
      </c>
      <c r="BL158" s="39" t="str">
        <f aca="false">IF($A158="","",IF($AH158="","",-$AH158))</f>
        <v/>
      </c>
      <c r="BM158" s="46" t="str">
        <f aca="false">IF($A158="","",IF($AQ158="","",IF($AP158="",$AQ158,MIN($AP158,$AQ158))))</f>
        <v/>
      </c>
      <c r="BN158" s="46" t="str">
        <f aca="false">IF($A158="","",IF($BM158="","",ROUND(N($AC158)/60,4)))</f>
        <v/>
      </c>
      <c r="BO158" s="46" t="str">
        <f aca="false">IF($A158="","",IF(OR($BM158="",$AD158=""),"",ROUND($AD158/60,4)))</f>
        <v/>
      </c>
      <c r="BP158" s="46" t="str">
        <f aca="false">IF($A158="","",IF($BM158="","",ROUND(N($AE158)/60,4)))</f>
        <v/>
      </c>
      <c r="BQ158" s="46" t="str">
        <f aca="false">IF($A158="","",IF(OR($BM158="",$AF158=""),"",ROUND($AF158/60,4)))</f>
        <v/>
      </c>
      <c r="BR158" s="39" t="str">
        <f aca="false">IF($A158="","",IF($AC158="","",$AC158-$BD158-$BE158))</f>
        <v/>
      </c>
      <c r="BS158" s="45" t="str">
        <f aca="false">IF($A158="","",IF(AND(ISNUMBER($Z158),ISNUMBER($W158)),$Z158,0))</f>
        <v/>
      </c>
      <c r="BT158" s="45" t="str">
        <f aca="false">IF($A158="","",IF(ISNUMBER($W158),$W158,0))</f>
        <v/>
      </c>
      <c r="BU158" s="23" t="str">
        <f aca="false">IF($A158="","",IF(ISNUMBER($W158),ROUND(($W158-$B158)*24,4),""))</f>
        <v/>
      </c>
      <c r="BV158" s="23" t="str">
        <f aca="false">IF($A158="","",IF(ISNUMBER($X158),ROUND(($X158-$B158)*24,4),""))</f>
        <v/>
      </c>
      <c r="BW158" s="10" t="str">
        <f aca="false">IF($A158="","",IF(NOT(ISNUMBER($W158)),"Missing Calculated",IF(NOT(ISNUMBER($X158)),IF($E158="Client","Missing FA signed off","Missing Controlled"),IF($X158&lt;$W158,"End before start","OK"))))</f>
        <v/>
      </c>
      <c r="BX158" s="23" t="str">
        <f aca="false">IF($A158="","",IF(NOT(ISNUMBER($Z158)),"",ROUND((IF(ISNUMBER($U158),MIN($U158,$Z158),$Z158)-$B158)*24,4)))</f>
        <v/>
      </c>
      <c r="BY158" s="23" t="str">
        <f aca="false">IF($A158="","",IF(ISNUMBER($Z158),ROUND(($Z158-$B158)*24,4),""))</f>
        <v/>
      </c>
      <c r="BZ158" s="23" t="str">
        <f aca="false">IF($A158="","",IF(AND(ISNUMBER($W158),ISNUMBER($S158)),ROUND(($W158+$S158/1440-$B158)*24,4),""))</f>
        <v/>
      </c>
    </row>
    <row r="159" customFormat="false" ht="15" hidden="false" customHeight="true" outlineLevel="0" collapsed="false">
      <c r="A159" s="47"/>
      <c r="B159" s="47"/>
      <c r="D159" s="4" t="str">
        <f aca="false">IF($A159="","",$B159-$A159)</f>
        <v/>
      </c>
      <c r="E159" s="4" t="str">
        <f aca="false">IF($A159="","",IFERROR(VLOOKUP($C159,Dim_Fund!$A:$X,24,0),""))</f>
        <v/>
      </c>
      <c r="F159" s="37" t="str">
        <f aca="false">IF($A159="","",IF(COUNTIFS(Status_Log!$A:$A,$A159,Status_Log!$B:$B,$B159,Status_Log!$C:$C,$C159,Status_Log!$D:$D,"Changed to the status of Calculated")=0,"",_xlfn.MINIFS(Status_Log!$E:$E,Status_Log!$A:$A,$A159,Status_Log!$B:$B,$B159,Status_Log!$C:$C,$C159,Status_Log!$D:$D,"Changed to the status of Calculated")))</f>
        <v/>
      </c>
      <c r="G159" s="37" t="str">
        <f aca="false">IF($A159="","",IF(COUNTIFS(Status_Log!$A:$A,$A159,Status_Log!$B:$B,$B159,Status_Log!$C:$C,$C159,Status_Log!$D:$D,"Changed to the status of Controlled")=0,"",_xlfn.MAXIFS(Status_Log!$E:$E,Status_Log!$A:$A,$A159,Status_Log!$B:$B,$B159,Status_Log!$C:$C,$C159,Status_Log!$D:$D,"Changed to the status of Controlled")))</f>
        <v/>
      </c>
      <c r="H159" s="37" t="str">
        <f aca="false">IF($A159="","",IF(COUNTIFS(Status_Log!$A:$A,$A159,Status_Log!$B:$B,$B159,Status_Log!$C:$C,$C159,Status_Log!$D:$D,"Changed to the status of Fund accounting signed off")=0,"",_xlfn.MAXIFS(Status_Log!$E:$E,Status_Log!$A:$A,$A159,Status_Log!$B:$B,$B159,Status_Log!$C:$C,$C159,Status_Log!$D:$D,"Changed to the status of Fund accounting signed off")))</f>
        <v/>
      </c>
      <c r="I159" s="37" t="str">
        <f aca="false">IF($A159="","",IF(COUNTIFS(Status_Log!$A:$A,$A159,Status_Log!$B:$B,$B159,Status_Log!$C:$C,$C159,Status_Log!$D:$D,"Changed to the status of signed off")=0,"",_xlfn.MAXIFS(Status_Log!$E:$E,Status_Log!$A:$A,$A159,Status_Log!$B:$B,$B159,Status_Log!$C:$C,$C159,Status_Log!$D:$D,"Changed to the status of signed off")))</f>
        <v/>
      </c>
      <c r="J159" s="4" t="str">
        <f aca="false">IF($A159="","",COUNTIFS(Status_Log!$A:$A,$A159,Status_Log!$B:$B,$B159,Status_Log!$C:$C,$C159,Status_Log!$D:$D,"Changed to the status of Calculated"))</f>
        <v/>
      </c>
      <c r="K159" s="38" t="str">
        <f aca="false">IF($A159="","",IF(J159&lt;=1,0,ROUND((_xlfn.MAXIFS(Status_Log!$E:$E,Status_Log!$A:$A,$A159,Status_Log!$B:$B,$B159,Status_Log!$C:$C,$C159,Status_Log!$D:$D,"Changed to the status of Calculated")-F159)*1440,0)))</f>
        <v/>
      </c>
      <c r="L159" s="4" t="str">
        <f aca="false">IF($A159="","",IFERROR(INDEX(Status_Log!$F:$F,MATCH($A159&amp;"|"&amp;$B159&amp;"|"&amp;$C159&amp;"|Changed to the status of Calculated|"&amp;TEXT(_xlfn.MAXIFS(Status_Log!$E:$E,Status_Log!$A:$A,$A159,Status_Log!$B:$B,$B159,Status_Log!$C:$C,$C159,Status_Log!$D:$D,"Changed to the status of Calculated"),"0.000000"),Status_Log!$H:$H,0)),""))</f>
        <v/>
      </c>
      <c r="M159" s="4" t="str">
        <f aca="false">IF($A159="","",IF(E159="Client","n/a — no control step",IFERROR(INDEX(Status_Log!$F:$F,MATCH($A159&amp;"|"&amp;$B159&amp;"|"&amp;$C159&amp;"|Changed to the status of Controlled|"&amp;TEXT(_xlfn.MAXIFS(Status_Log!$E:$E,Status_Log!$A:$A,$A159,Status_Log!$B:$B,$B159,Status_Log!$C:$C,$C159,Status_Log!$D:$D,"Changed to the status of Controlled"),"0.000000"),Status_Log!$H:$H,0)),"")))</f>
        <v/>
      </c>
      <c r="N159" s="4" t="str">
        <f aca="false">IF($A159="","",IFERROR(VLOOKUP($C159,Dim_Fund!$A:$G,7,0),""))</f>
        <v/>
      </c>
      <c r="O159" s="4" t="str">
        <f aca="false">IF($A159="","",IF(L159=N159,"No","Yes"))</f>
        <v/>
      </c>
      <c r="P159" s="4" t="str">
        <f aca="false">IF($A159="","",IF(E159="Client","n/a",IF(L159=M159,"YES — four-eyes breach","No")))</f>
        <v/>
      </c>
      <c r="Q159" s="38" t="str">
        <f aca="false">IF($A159="","",IFERROR(VLOOKUP($C159,Dim_Fund!$A:$AB,28,0),""))</f>
        <v/>
      </c>
      <c r="R159" s="38" t="str">
        <f aca="false">IF($A159="","",IFERROR(VLOOKUP($C159,Dim_Fund!$A:$AC,29,0),""))</f>
        <v/>
      </c>
      <c r="S159" s="38" t="str">
        <f aca="false">IF($A159="","",IFERROR(VLOOKUP($C159,Dim_Fund!$A:$AD,30,0),""))</f>
        <v/>
      </c>
      <c r="T159" s="38" t="str">
        <f aca="false">IF($A159="","",IFERROR(VLOOKUP($C159,Dim_Fund!$A:$AL,38,0),""))</f>
        <v/>
      </c>
      <c r="U159" s="37" t="str">
        <f aca="false">IF($A159="","",IF(AL159="","",IFERROR(IF(COUNTIFS(Fact_Milestone!$A:$A,$B159,Fact_Milestone!$B:$B,AL159)=0,"",_xlfn.MAXIFS(Fact_Milestone!$C:$C,Fact_Milestone!$A:$A,$B159,Fact_Milestone!$B:$B,AL159)),"")))</f>
        <v/>
      </c>
      <c r="V159" s="37" t="str">
        <f aca="false">IF($A159="","",IFERROR(IF(VLOOKUP($C159,Dim_Fund!$A:$AI,35,0)&gt;0,$B159+VLOOKUP($C159,Dim_Fund!$A:$AI,35,0)/24,""),""))</f>
        <v/>
      </c>
      <c r="W159" s="37" t="str">
        <f aca="false">IF($A159="","",F159)</f>
        <v/>
      </c>
      <c r="X159" s="37" t="str">
        <f aca="false">IF($A159="","",IF(E159="Client",H159,G159))</f>
        <v/>
      </c>
      <c r="Y159" s="37" t="str">
        <f aca="false">IF($A159="","",I159)</f>
        <v/>
      </c>
      <c r="Z159" s="37" t="str">
        <f aca="false">IF($A159="","",IFERROR(W159-R159/1440,""))</f>
        <v/>
      </c>
      <c r="AA159" s="38" t="str">
        <f aca="false">IF($A159="","",IF(OR(U159="",V159=""),"",ROUND((V159-U159)*1440,0)))</f>
        <v/>
      </c>
      <c r="AB159" s="38" t="str">
        <f aca="false">IF($A159="","",IF(U159="","",ROUND((W159-U159)*1440,0)))</f>
        <v/>
      </c>
      <c r="AC159" s="38" t="str">
        <f aca="false">IF($A159="","",IF(AB159="","",MAX(0,AB159)))</f>
        <v/>
      </c>
      <c r="AD159" s="38" t="str">
        <f aca="false">IF($A159="","",IFERROR(ROUND((X159-W159)*1440,0),""))</f>
        <v/>
      </c>
      <c r="AE159" s="38" t="str">
        <f aca="false">IF($A159="","",IF(E159="Client","n/a",IFERROR(ROUND((H159-G159)*1440,0),"")))</f>
        <v/>
      </c>
      <c r="AF159" s="38" t="str">
        <f aca="false">IF($A159="","",IFERROR(ROUND((Y159-H159)*1440,0),""))</f>
        <v/>
      </c>
      <c r="AG159" s="38" t="str">
        <f aca="false">IF($A159="","",IFERROR(ROUND((H159-F159)*1440,0),""))</f>
        <v/>
      </c>
      <c r="AH159" s="38" t="str">
        <f aca="false">IF($A159="","",IFERROR(ROUND((Y159-V159)*1440,0),""))</f>
        <v/>
      </c>
      <c r="AI159" s="4" t="str">
        <f aca="false">IF($A159="","",IF(AH159="","",IF(AH159&gt;0,"Yes","No")))</f>
        <v/>
      </c>
      <c r="AJ159" s="4" t="str">
        <f aca="false">IF($A159="","",IF(AI159&lt;&gt;"Yes","On time",IF(N(AC159)&gt;=MAX(N(AF159),N(K159)),"Wait for analyst",IF(N(AF159)&gt;=N(K159),"External sign-off","Rework"))))</f>
        <v/>
      </c>
      <c r="AK159" s="4" t="str">
        <f aca="false">IF($A159="","",IF(OR(F159="",Y159="",ISNA(MATCH(L159,Dim_Analyst!$A:$A,0))),"CHECK","OK"))</f>
        <v/>
      </c>
      <c r="AL159" s="4" t="str">
        <f aca="false">IF($A159="","",IFERROR(VLOOKUP($C159,Dim_Fund!$A:$U,21,0),""))</f>
        <v/>
      </c>
      <c r="AM159" s="4" t="str">
        <f aca="false">IF($A159="","",IF($U159="","",IF($U159&gt;$B159+IFERROR(VLOOKUP($C159,Dim_Fund!$A:$AH,34,0),0)/24,"Yes","No")))</f>
        <v/>
      </c>
      <c r="AN159" s="22" t="str">
        <f aca="false">IF($A159="","",IFERROR(VLOOKUP($C159,Dim_Fund!$A:$AH,34,0),""))</f>
        <v/>
      </c>
      <c r="AO159" s="22" t="str">
        <f aca="false">IF($A159="","",IF($AL159="","",IFERROR(FLOOR(IF(COUNTIFS(Fact_Milestone!$A:$A,$B159,Fact_Milestone!$B:$B,$AL159,Fact_Milestone!$F:$F,"&gt;0")&gt;0,_xlfn.MINIFS(Fact_Milestone!$F:$F,Fact_Milestone!$A:$A,$B159,Fact_Milestone!$B:$B,$AL159,Fact_Milestone!$F:$F,"&gt;0"),VLOOKUP($AL159,Dim_TOP!$A:$E,5,0)),0.5),"")))</f>
        <v/>
      </c>
      <c r="AP159" s="22" t="str">
        <f aca="false">IF($A159="","",IF($U159="","",ROUND(($U159-INT($U159))*24,4)))</f>
        <v/>
      </c>
      <c r="AQ159" s="22" t="str">
        <f aca="false">IF($A159="","",IF($W159="","",ROUND(($W159-INT($W159))*24,4)))</f>
        <v/>
      </c>
      <c r="AR159" s="22" t="str">
        <f aca="false">IF($A159="","",IF($X159="","",ROUND(($X159-INT($X159))*24,4)))</f>
        <v/>
      </c>
      <c r="AS159" s="38" t="str">
        <f aca="false">IF($A159="","",IF(OR($AN159="",$V159="",$S159="",$T159=""),"",ROUND(($V159-($B159+$AN159/24))*1440-$S159-$T159,0)))</f>
        <v/>
      </c>
      <c r="AT159" s="38" t="str">
        <f aca="false">IF($A159="","",IF(OR($AN159="",$U159=""),"",ROUND(($U159-($B159+$AN159/24))*1440,0)))</f>
        <v/>
      </c>
      <c r="AU159" s="38" t="str">
        <f aca="false">IF($A159="","",IF(OR($AD159="",$S159=""),"",ROUND($AD159-$S159,0)))</f>
        <v/>
      </c>
      <c r="AV159" s="38" t="str">
        <f aca="false">IF($A159="","",N($AE159))</f>
        <v/>
      </c>
      <c r="AW159" s="38" t="str">
        <f aca="false">IF($A159="","",IF(OR($AF159="",$T159=""),"",$AF159-$T159))</f>
        <v/>
      </c>
      <c r="AX159" s="38" t="str">
        <f aca="false">IF($A159="","",IF(COUNT($AT159,$AB159,$AU159,$AW159,$AS159,$AH159)&lt;6,"",ROUND($AT159+$AB159+$AU159+$AV159+$AW159-$AS159-$AH159,0)))</f>
        <v/>
      </c>
      <c r="AY159" s="4" t="str">
        <f aca="false">IF($A159="","",IF($AX159="","No",IF(ABS($AX159)&lt;=2,"Yes","No")))</f>
        <v/>
      </c>
      <c r="AZ159" s="4" t="str">
        <f aca="false">IF($A159="","",IF($AI159&lt;&gt;"Yes","n/a",IF(OR($AA159="",$S159="",$T159=""),"Unknown",IF($AA159&lt;$S159+$T159,"Lost on arrival","Lost after arrival"))))</f>
        <v/>
      </c>
      <c r="BA159" s="10" t="str">
        <f aca="false">IF($A159="","",IFERROR(VLOOKUP($C159,Dim_Fund!$A:$D,4,0),""))</f>
        <v/>
      </c>
      <c r="BB159" s="10" t="str">
        <f aca="false">IF($A159="","",IF($AL159="","",IF(COUNTIFS(Fact_Milestone!$A:$A,$B159,Fact_Milestone!$B:$B,$AL159,Fact_Milestone!$I:$I,"No")&gt;0,"No",IF(COUNTIFS(Fact_Milestone!$A:$A,$B159,Fact_Milestone!$B:$B,$AL159,Fact_Milestone!$I:$I,"Yes")&gt;0,"Yes",""))))</f>
        <v/>
      </c>
      <c r="BC159" s="45" t="str">
        <f aca="false">IF($A159="","",IF(OR($L159="",$W159=""),"",IF(COUNTIFS($L:$L,$L159,$B:$B,$B159,$W:$W,"&lt;"&amp;$W159)=0,"",_xlfn.MAXIFS($W:$W,$L:$L,$L159,$B:$B,$B159,$W:$W,"&lt;"&amp;$W159))))</f>
        <v/>
      </c>
      <c r="BD159" s="39" t="str">
        <f aca="false">IF($A159="","",IF($AC159="","",IF(OR($L159="",$AC159=0),0,MIN($AC159,ROUND(ROUND(1440*SUMPRODUCT(($L$2:INDEX($L:$L,COUNTA($C:$C))=$L159)*($B$2:INDEX($B:$B,COUNTA($C:$C))=$B159)*(ROW($L$2:INDEX($L:$L,COUNTA($C:$C)))&lt;&gt;ROW())*((((($W159+$BT$2:INDEX($BT:$BT,COUNTA($C:$C))-ABS($W159-$BT$2:INDEX($BT:$BT,COUNTA($C:$C))))/2)-(($U159+$BS$2:INDEX($BS:$BS,COUNTA($C:$C))+ABS($U159-$BS$2:INDEX($BS:$BS,COUNTA($C:$C))))/2))+ABS(((($W159+$BT$2:INDEX($BT:$BT,COUNTA($C:$C))-ABS($W159-$BT$2:INDEX($BT:$BT,COUNTA($C:$C))))/2)-(($U159+$BS$2:INDEX($BS:$BS,COUNTA($C:$C))+ABS($U159-$BS$2:INDEX($BS:$BS,COUNTA($C:$C))))/2))))/2)),4),0)))))</f>
        <v/>
      </c>
      <c r="BE159" s="39" t="str">
        <f aca="false">IF($A159="","",IF($AC159="","",ROUND(MIN($AC159-$BD159,N($R159)),0)))</f>
        <v/>
      </c>
      <c r="BF159" s="10" t="str">
        <f aca="false">IF($A159="","",IFERROR(VLOOKUP($C159,Dim_Fund!$A:$BD,56,0),""))</f>
        <v/>
      </c>
      <c r="BG159" s="10" t="str">
        <f aca="false">IF($A159="","",IFERROR(VLOOKUP($C159,Dim_Fund!$A:$BH,60,0),""))</f>
        <v/>
      </c>
      <c r="BH159" s="10" t="str">
        <f aca="false">IF($A159="","",IF($AI159&lt;&gt;"Yes","Not breached",IF($AM159="Yes","Pricing late",IF($BG159="Thin custody slack","Thin custody slack",IF($BF159="Yes","Broker-dependent","None of these")))))</f>
        <v/>
      </c>
      <c r="BI159" s="23" t="str">
        <f aca="false">IF($A159="","",IFERROR(IF(VLOOKUP($C159,Dim_Fund!$A:$AI,35,0)&gt;0,VLOOKUP($C159,Dim_Fund!$A:$AI,35,0),""),""))</f>
        <v/>
      </c>
      <c r="BJ159" s="10" t="str">
        <f aca="false">IF($A159="","",$C159&amp;IF($E159="Client","*",""))</f>
        <v/>
      </c>
      <c r="BK159" s="39" t="str">
        <f aca="false">IF($A159="","",IFERROR(ROUND(($Y159-$X159)*1440,0),""))</f>
        <v/>
      </c>
      <c r="BL159" s="39" t="str">
        <f aca="false">IF($A159="","",IF($AH159="","",-$AH159))</f>
        <v/>
      </c>
      <c r="BM159" s="46" t="str">
        <f aca="false">IF($A159="","",IF($AQ159="","",IF($AP159="",$AQ159,MIN($AP159,$AQ159))))</f>
        <v/>
      </c>
      <c r="BN159" s="46" t="str">
        <f aca="false">IF($A159="","",IF($BM159="","",ROUND(N($AC159)/60,4)))</f>
        <v/>
      </c>
      <c r="BO159" s="46" t="str">
        <f aca="false">IF($A159="","",IF(OR($BM159="",$AD159=""),"",ROUND($AD159/60,4)))</f>
        <v/>
      </c>
      <c r="BP159" s="46" t="str">
        <f aca="false">IF($A159="","",IF($BM159="","",ROUND(N($AE159)/60,4)))</f>
        <v/>
      </c>
      <c r="BQ159" s="46" t="str">
        <f aca="false">IF($A159="","",IF(OR($BM159="",$AF159=""),"",ROUND($AF159/60,4)))</f>
        <v/>
      </c>
      <c r="BR159" s="39" t="str">
        <f aca="false">IF($A159="","",IF($AC159="","",$AC159-$BD159-$BE159))</f>
        <v/>
      </c>
      <c r="BS159" s="45" t="str">
        <f aca="false">IF($A159="","",IF(AND(ISNUMBER($Z159),ISNUMBER($W159)),$Z159,0))</f>
        <v/>
      </c>
      <c r="BT159" s="45" t="str">
        <f aca="false">IF($A159="","",IF(ISNUMBER($W159),$W159,0))</f>
        <v/>
      </c>
      <c r="BU159" s="23" t="str">
        <f aca="false">IF($A159="","",IF(ISNUMBER($W159),ROUND(($W159-$B159)*24,4),""))</f>
        <v/>
      </c>
      <c r="BV159" s="23" t="str">
        <f aca="false">IF($A159="","",IF(ISNUMBER($X159),ROUND(($X159-$B159)*24,4),""))</f>
        <v/>
      </c>
      <c r="BW159" s="10" t="str">
        <f aca="false">IF($A159="","",IF(NOT(ISNUMBER($W159)),"Missing Calculated",IF(NOT(ISNUMBER($X159)),IF($E159="Client","Missing FA signed off","Missing Controlled"),IF($X159&lt;$W159,"End before start","OK"))))</f>
        <v/>
      </c>
      <c r="BX159" s="23" t="str">
        <f aca="false">IF($A159="","",IF(NOT(ISNUMBER($Z159)),"",ROUND((IF(ISNUMBER($U159),MIN($U159,$Z159),$Z159)-$B159)*24,4)))</f>
        <v/>
      </c>
      <c r="BY159" s="23" t="str">
        <f aca="false">IF($A159="","",IF(ISNUMBER($Z159),ROUND(($Z159-$B159)*24,4),""))</f>
        <v/>
      </c>
      <c r="BZ159" s="23" t="str">
        <f aca="false">IF($A159="","",IF(AND(ISNUMBER($W159),ISNUMBER($S159)),ROUND(($W159+$S159/1440-$B159)*24,4),""))</f>
        <v/>
      </c>
    </row>
    <row r="160" customFormat="false" ht="15" hidden="false" customHeight="true" outlineLevel="0" collapsed="false">
      <c r="A160" s="47"/>
      <c r="B160" s="47"/>
      <c r="D160" s="4" t="str">
        <f aca="false">IF($A160="","",$B160-$A160)</f>
        <v/>
      </c>
      <c r="E160" s="4" t="str">
        <f aca="false">IF($A160="","",IFERROR(VLOOKUP($C160,Dim_Fund!$A:$X,24,0),""))</f>
        <v/>
      </c>
      <c r="F160" s="37" t="str">
        <f aca="false">IF($A160="","",IF(COUNTIFS(Status_Log!$A:$A,$A160,Status_Log!$B:$B,$B160,Status_Log!$C:$C,$C160,Status_Log!$D:$D,"Changed to the status of Calculated")=0,"",_xlfn.MINIFS(Status_Log!$E:$E,Status_Log!$A:$A,$A160,Status_Log!$B:$B,$B160,Status_Log!$C:$C,$C160,Status_Log!$D:$D,"Changed to the status of Calculated")))</f>
        <v/>
      </c>
      <c r="G160" s="37" t="str">
        <f aca="false">IF($A160="","",IF(COUNTIFS(Status_Log!$A:$A,$A160,Status_Log!$B:$B,$B160,Status_Log!$C:$C,$C160,Status_Log!$D:$D,"Changed to the status of Controlled")=0,"",_xlfn.MAXIFS(Status_Log!$E:$E,Status_Log!$A:$A,$A160,Status_Log!$B:$B,$B160,Status_Log!$C:$C,$C160,Status_Log!$D:$D,"Changed to the status of Controlled")))</f>
        <v/>
      </c>
      <c r="H160" s="37" t="str">
        <f aca="false">IF($A160="","",IF(COUNTIFS(Status_Log!$A:$A,$A160,Status_Log!$B:$B,$B160,Status_Log!$C:$C,$C160,Status_Log!$D:$D,"Changed to the status of Fund accounting signed off")=0,"",_xlfn.MAXIFS(Status_Log!$E:$E,Status_Log!$A:$A,$A160,Status_Log!$B:$B,$B160,Status_Log!$C:$C,$C160,Status_Log!$D:$D,"Changed to the status of Fund accounting signed off")))</f>
        <v/>
      </c>
      <c r="I160" s="37" t="str">
        <f aca="false">IF($A160="","",IF(COUNTIFS(Status_Log!$A:$A,$A160,Status_Log!$B:$B,$B160,Status_Log!$C:$C,$C160,Status_Log!$D:$D,"Changed to the status of signed off")=0,"",_xlfn.MAXIFS(Status_Log!$E:$E,Status_Log!$A:$A,$A160,Status_Log!$B:$B,$B160,Status_Log!$C:$C,$C160,Status_Log!$D:$D,"Changed to the status of signed off")))</f>
        <v/>
      </c>
      <c r="J160" s="4" t="str">
        <f aca="false">IF($A160="","",COUNTIFS(Status_Log!$A:$A,$A160,Status_Log!$B:$B,$B160,Status_Log!$C:$C,$C160,Status_Log!$D:$D,"Changed to the status of Calculated"))</f>
        <v/>
      </c>
      <c r="K160" s="38" t="str">
        <f aca="false">IF($A160="","",IF(J160&lt;=1,0,ROUND((_xlfn.MAXIFS(Status_Log!$E:$E,Status_Log!$A:$A,$A160,Status_Log!$B:$B,$B160,Status_Log!$C:$C,$C160,Status_Log!$D:$D,"Changed to the status of Calculated")-F160)*1440,0)))</f>
        <v/>
      </c>
      <c r="L160" s="4" t="str">
        <f aca="false">IF($A160="","",IFERROR(INDEX(Status_Log!$F:$F,MATCH($A160&amp;"|"&amp;$B160&amp;"|"&amp;$C160&amp;"|Changed to the status of Calculated|"&amp;TEXT(_xlfn.MAXIFS(Status_Log!$E:$E,Status_Log!$A:$A,$A160,Status_Log!$B:$B,$B160,Status_Log!$C:$C,$C160,Status_Log!$D:$D,"Changed to the status of Calculated"),"0.000000"),Status_Log!$H:$H,0)),""))</f>
        <v/>
      </c>
      <c r="M160" s="4" t="str">
        <f aca="false">IF($A160="","",IF(E160="Client","n/a — no control step",IFERROR(INDEX(Status_Log!$F:$F,MATCH($A160&amp;"|"&amp;$B160&amp;"|"&amp;$C160&amp;"|Changed to the status of Controlled|"&amp;TEXT(_xlfn.MAXIFS(Status_Log!$E:$E,Status_Log!$A:$A,$A160,Status_Log!$B:$B,$B160,Status_Log!$C:$C,$C160,Status_Log!$D:$D,"Changed to the status of Controlled"),"0.000000"),Status_Log!$H:$H,0)),"")))</f>
        <v/>
      </c>
      <c r="N160" s="4" t="str">
        <f aca="false">IF($A160="","",IFERROR(VLOOKUP($C160,Dim_Fund!$A:$G,7,0),""))</f>
        <v/>
      </c>
      <c r="O160" s="4" t="str">
        <f aca="false">IF($A160="","",IF(L160=N160,"No","Yes"))</f>
        <v/>
      </c>
      <c r="P160" s="4" t="str">
        <f aca="false">IF($A160="","",IF(E160="Client","n/a",IF(L160=M160,"YES — four-eyes breach","No")))</f>
        <v/>
      </c>
      <c r="Q160" s="38" t="str">
        <f aca="false">IF($A160="","",IFERROR(VLOOKUP($C160,Dim_Fund!$A:$AB,28,0),""))</f>
        <v/>
      </c>
      <c r="R160" s="38" t="str">
        <f aca="false">IF($A160="","",IFERROR(VLOOKUP($C160,Dim_Fund!$A:$AC,29,0),""))</f>
        <v/>
      </c>
      <c r="S160" s="38" t="str">
        <f aca="false">IF($A160="","",IFERROR(VLOOKUP($C160,Dim_Fund!$A:$AD,30,0),""))</f>
        <v/>
      </c>
      <c r="T160" s="38" t="str">
        <f aca="false">IF($A160="","",IFERROR(VLOOKUP($C160,Dim_Fund!$A:$AL,38,0),""))</f>
        <v/>
      </c>
      <c r="U160" s="37" t="str">
        <f aca="false">IF($A160="","",IF(AL160="","",IFERROR(IF(COUNTIFS(Fact_Milestone!$A:$A,$B160,Fact_Milestone!$B:$B,AL160)=0,"",_xlfn.MAXIFS(Fact_Milestone!$C:$C,Fact_Milestone!$A:$A,$B160,Fact_Milestone!$B:$B,AL160)),"")))</f>
        <v/>
      </c>
      <c r="V160" s="37" t="str">
        <f aca="false">IF($A160="","",IFERROR(IF(VLOOKUP($C160,Dim_Fund!$A:$AI,35,0)&gt;0,$B160+VLOOKUP($C160,Dim_Fund!$A:$AI,35,0)/24,""),""))</f>
        <v/>
      </c>
      <c r="W160" s="37" t="str">
        <f aca="false">IF($A160="","",F160)</f>
        <v/>
      </c>
      <c r="X160" s="37" t="str">
        <f aca="false">IF($A160="","",IF(E160="Client",H160,G160))</f>
        <v/>
      </c>
      <c r="Y160" s="37" t="str">
        <f aca="false">IF($A160="","",I160)</f>
        <v/>
      </c>
      <c r="Z160" s="37" t="str">
        <f aca="false">IF($A160="","",IFERROR(W160-R160/1440,""))</f>
        <v/>
      </c>
      <c r="AA160" s="38" t="str">
        <f aca="false">IF($A160="","",IF(OR(U160="",V160=""),"",ROUND((V160-U160)*1440,0)))</f>
        <v/>
      </c>
      <c r="AB160" s="38" t="str">
        <f aca="false">IF($A160="","",IF(U160="","",ROUND((W160-U160)*1440,0)))</f>
        <v/>
      </c>
      <c r="AC160" s="38" t="str">
        <f aca="false">IF($A160="","",IF(AB160="","",MAX(0,AB160)))</f>
        <v/>
      </c>
      <c r="AD160" s="38" t="str">
        <f aca="false">IF($A160="","",IFERROR(ROUND((X160-W160)*1440,0),""))</f>
        <v/>
      </c>
      <c r="AE160" s="38" t="str">
        <f aca="false">IF($A160="","",IF(E160="Client","n/a",IFERROR(ROUND((H160-G160)*1440,0),"")))</f>
        <v/>
      </c>
      <c r="AF160" s="38" t="str">
        <f aca="false">IF($A160="","",IFERROR(ROUND((Y160-H160)*1440,0),""))</f>
        <v/>
      </c>
      <c r="AG160" s="38" t="str">
        <f aca="false">IF($A160="","",IFERROR(ROUND((H160-F160)*1440,0),""))</f>
        <v/>
      </c>
      <c r="AH160" s="38" t="str">
        <f aca="false">IF($A160="","",IFERROR(ROUND((Y160-V160)*1440,0),""))</f>
        <v/>
      </c>
      <c r="AI160" s="4" t="str">
        <f aca="false">IF($A160="","",IF(AH160="","",IF(AH160&gt;0,"Yes","No")))</f>
        <v/>
      </c>
      <c r="AJ160" s="4" t="str">
        <f aca="false">IF($A160="","",IF(AI160&lt;&gt;"Yes","On time",IF(N(AC160)&gt;=MAX(N(AF160),N(K160)),"Wait for analyst",IF(N(AF160)&gt;=N(K160),"External sign-off","Rework"))))</f>
        <v/>
      </c>
      <c r="AK160" s="4" t="str">
        <f aca="false">IF($A160="","",IF(OR(F160="",Y160="",ISNA(MATCH(L160,Dim_Analyst!$A:$A,0))),"CHECK","OK"))</f>
        <v/>
      </c>
      <c r="AL160" s="4" t="str">
        <f aca="false">IF($A160="","",IFERROR(VLOOKUP($C160,Dim_Fund!$A:$U,21,0),""))</f>
        <v/>
      </c>
      <c r="AM160" s="4" t="str">
        <f aca="false">IF($A160="","",IF($U160="","",IF($U160&gt;$B160+IFERROR(VLOOKUP($C160,Dim_Fund!$A:$AH,34,0),0)/24,"Yes","No")))</f>
        <v/>
      </c>
      <c r="AN160" s="22" t="str">
        <f aca="false">IF($A160="","",IFERROR(VLOOKUP($C160,Dim_Fund!$A:$AH,34,0),""))</f>
        <v/>
      </c>
      <c r="AO160" s="22" t="str">
        <f aca="false">IF($A160="","",IF($AL160="","",IFERROR(FLOOR(IF(COUNTIFS(Fact_Milestone!$A:$A,$B160,Fact_Milestone!$B:$B,$AL160,Fact_Milestone!$F:$F,"&gt;0")&gt;0,_xlfn.MINIFS(Fact_Milestone!$F:$F,Fact_Milestone!$A:$A,$B160,Fact_Milestone!$B:$B,$AL160,Fact_Milestone!$F:$F,"&gt;0"),VLOOKUP($AL160,Dim_TOP!$A:$E,5,0)),0.5),"")))</f>
        <v/>
      </c>
      <c r="AP160" s="22" t="str">
        <f aca="false">IF($A160="","",IF($U160="","",ROUND(($U160-INT($U160))*24,4)))</f>
        <v/>
      </c>
      <c r="AQ160" s="22" t="str">
        <f aca="false">IF($A160="","",IF($W160="","",ROUND(($W160-INT($W160))*24,4)))</f>
        <v/>
      </c>
      <c r="AR160" s="22" t="str">
        <f aca="false">IF($A160="","",IF($X160="","",ROUND(($X160-INT($X160))*24,4)))</f>
        <v/>
      </c>
      <c r="AS160" s="38" t="str">
        <f aca="false">IF($A160="","",IF(OR($AN160="",$V160="",$S160="",$T160=""),"",ROUND(($V160-($B160+$AN160/24))*1440-$S160-$T160,0)))</f>
        <v/>
      </c>
      <c r="AT160" s="38" t="str">
        <f aca="false">IF($A160="","",IF(OR($AN160="",$U160=""),"",ROUND(($U160-($B160+$AN160/24))*1440,0)))</f>
        <v/>
      </c>
      <c r="AU160" s="38" t="str">
        <f aca="false">IF($A160="","",IF(OR($AD160="",$S160=""),"",ROUND($AD160-$S160,0)))</f>
        <v/>
      </c>
      <c r="AV160" s="38" t="str">
        <f aca="false">IF($A160="","",N($AE160))</f>
        <v/>
      </c>
      <c r="AW160" s="38" t="str">
        <f aca="false">IF($A160="","",IF(OR($AF160="",$T160=""),"",$AF160-$T160))</f>
        <v/>
      </c>
      <c r="AX160" s="38" t="str">
        <f aca="false">IF($A160="","",IF(COUNT($AT160,$AB160,$AU160,$AW160,$AS160,$AH160)&lt;6,"",ROUND($AT160+$AB160+$AU160+$AV160+$AW160-$AS160-$AH160,0)))</f>
        <v/>
      </c>
      <c r="AY160" s="4" t="str">
        <f aca="false">IF($A160="","",IF($AX160="","No",IF(ABS($AX160)&lt;=2,"Yes","No")))</f>
        <v/>
      </c>
      <c r="AZ160" s="4" t="str">
        <f aca="false">IF($A160="","",IF($AI160&lt;&gt;"Yes","n/a",IF(OR($AA160="",$S160="",$T160=""),"Unknown",IF($AA160&lt;$S160+$T160,"Lost on arrival","Lost after arrival"))))</f>
        <v/>
      </c>
      <c r="BA160" s="10" t="str">
        <f aca="false">IF($A160="","",IFERROR(VLOOKUP($C160,Dim_Fund!$A:$D,4,0),""))</f>
        <v/>
      </c>
      <c r="BB160" s="10" t="str">
        <f aca="false">IF($A160="","",IF($AL160="","",IF(COUNTIFS(Fact_Milestone!$A:$A,$B160,Fact_Milestone!$B:$B,$AL160,Fact_Milestone!$I:$I,"No")&gt;0,"No",IF(COUNTIFS(Fact_Milestone!$A:$A,$B160,Fact_Milestone!$B:$B,$AL160,Fact_Milestone!$I:$I,"Yes")&gt;0,"Yes",""))))</f>
        <v/>
      </c>
      <c r="BC160" s="45" t="str">
        <f aca="false">IF($A160="","",IF(OR($L160="",$W160=""),"",IF(COUNTIFS($L:$L,$L160,$B:$B,$B160,$W:$W,"&lt;"&amp;$W160)=0,"",_xlfn.MAXIFS($W:$W,$L:$L,$L160,$B:$B,$B160,$W:$W,"&lt;"&amp;$W160))))</f>
        <v/>
      </c>
      <c r="BD160" s="39" t="str">
        <f aca="false">IF($A160="","",IF($AC160="","",IF(OR($L160="",$AC160=0),0,MIN($AC160,ROUND(ROUND(1440*SUMPRODUCT(($L$2:INDEX($L:$L,COUNTA($C:$C))=$L160)*($B$2:INDEX($B:$B,COUNTA($C:$C))=$B160)*(ROW($L$2:INDEX($L:$L,COUNTA($C:$C)))&lt;&gt;ROW())*((((($W160+$BT$2:INDEX($BT:$BT,COUNTA($C:$C))-ABS($W160-$BT$2:INDEX($BT:$BT,COUNTA($C:$C))))/2)-(($U160+$BS$2:INDEX($BS:$BS,COUNTA($C:$C))+ABS($U160-$BS$2:INDEX($BS:$BS,COUNTA($C:$C))))/2))+ABS(((($W160+$BT$2:INDEX($BT:$BT,COUNTA($C:$C))-ABS($W160-$BT$2:INDEX($BT:$BT,COUNTA($C:$C))))/2)-(($U160+$BS$2:INDEX($BS:$BS,COUNTA($C:$C))+ABS($U160-$BS$2:INDEX($BS:$BS,COUNTA($C:$C))))/2))))/2)),4),0)))))</f>
        <v/>
      </c>
      <c r="BE160" s="39" t="str">
        <f aca="false">IF($A160="","",IF($AC160="","",ROUND(MIN($AC160-$BD160,N($R160)),0)))</f>
        <v/>
      </c>
      <c r="BF160" s="10" t="str">
        <f aca="false">IF($A160="","",IFERROR(VLOOKUP($C160,Dim_Fund!$A:$BD,56,0),""))</f>
        <v/>
      </c>
      <c r="BG160" s="10" t="str">
        <f aca="false">IF($A160="","",IFERROR(VLOOKUP($C160,Dim_Fund!$A:$BH,60,0),""))</f>
        <v/>
      </c>
      <c r="BH160" s="10" t="str">
        <f aca="false">IF($A160="","",IF($AI160&lt;&gt;"Yes","Not breached",IF($AM160="Yes","Pricing late",IF($BG160="Thin custody slack","Thin custody slack",IF($BF160="Yes","Broker-dependent","None of these")))))</f>
        <v/>
      </c>
      <c r="BI160" s="23" t="str">
        <f aca="false">IF($A160="","",IFERROR(IF(VLOOKUP($C160,Dim_Fund!$A:$AI,35,0)&gt;0,VLOOKUP($C160,Dim_Fund!$A:$AI,35,0),""),""))</f>
        <v/>
      </c>
      <c r="BJ160" s="10" t="str">
        <f aca="false">IF($A160="","",$C160&amp;IF($E160="Client","*",""))</f>
        <v/>
      </c>
      <c r="BK160" s="39" t="str">
        <f aca="false">IF($A160="","",IFERROR(ROUND(($Y160-$X160)*1440,0),""))</f>
        <v/>
      </c>
      <c r="BL160" s="39" t="str">
        <f aca="false">IF($A160="","",IF($AH160="","",-$AH160))</f>
        <v/>
      </c>
      <c r="BM160" s="46" t="str">
        <f aca="false">IF($A160="","",IF($AQ160="","",IF($AP160="",$AQ160,MIN($AP160,$AQ160))))</f>
        <v/>
      </c>
      <c r="BN160" s="46" t="str">
        <f aca="false">IF($A160="","",IF($BM160="","",ROUND(N($AC160)/60,4)))</f>
        <v/>
      </c>
      <c r="BO160" s="46" t="str">
        <f aca="false">IF($A160="","",IF(OR($BM160="",$AD160=""),"",ROUND($AD160/60,4)))</f>
        <v/>
      </c>
      <c r="BP160" s="46" t="str">
        <f aca="false">IF($A160="","",IF($BM160="","",ROUND(N($AE160)/60,4)))</f>
        <v/>
      </c>
      <c r="BQ160" s="46" t="str">
        <f aca="false">IF($A160="","",IF(OR($BM160="",$AF160=""),"",ROUND($AF160/60,4)))</f>
        <v/>
      </c>
      <c r="BR160" s="39" t="str">
        <f aca="false">IF($A160="","",IF($AC160="","",$AC160-$BD160-$BE160))</f>
        <v/>
      </c>
      <c r="BS160" s="45" t="str">
        <f aca="false">IF($A160="","",IF(AND(ISNUMBER($Z160),ISNUMBER($W160)),$Z160,0))</f>
        <v/>
      </c>
      <c r="BT160" s="45" t="str">
        <f aca="false">IF($A160="","",IF(ISNUMBER($W160),$W160,0))</f>
        <v/>
      </c>
      <c r="BU160" s="23" t="str">
        <f aca="false">IF($A160="","",IF(ISNUMBER($W160),ROUND(($W160-$B160)*24,4),""))</f>
        <v/>
      </c>
      <c r="BV160" s="23" t="str">
        <f aca="false">IF($A160="","",IF(ISNUMBER($X160),ROUND(($X160-$B160)*24,4),""))</f>
        <v/>
      </c>
      <c r="BW160" s="10" t="str">
        <f aca="false">IF($A160="","",IF(NOT(ISNUMBER($W160)),"Missing Calculated",IF(NOT(ISNUMBER($X160)),IF($E160="Client","Missing FA signed off","Missing Controlled"),IF($X160&lt;$W160,"End before start","OK"))))</f>
        <v/>
      </c>
      <c r="BX160" s="23" t="str">
        <f aca="false">IF($A160="","",IF(NOT(ISNUMBER($Z160)),"",ROUND((IF(ISNUMBER($U160),MIN($U160,$Z160),$Z160)-$B160)*24,4)))</f>
        <v/>
      </c>
      <c r="BY160" s="23" t="str">
        <f aca="false">IF($A160="","",IF(ISNUMBER($Z160),ROUND(($Z160-$B160)*24,4),""))</f>
        <v/>
      </c>
      <c r="BZ160" s="23" t="str">
        <f aca="false">IF($A160="","",IF(AND(ISNUMBER($W160),ISNUMBER($S160)),ROUND(($W160+$S160/1440-$B160)*24,4),""))</f>
        <v/>
      </c>
    </row>
    <row r="161" customFormat="false" ht="15" hidden="false" customHeight="true" outlineLevel="0" collapsed="false">
      <c r="A161" s="47"/>
      <c r="B161" s="47"/>
      <c r="D161" s="4" t="str">
        <f aca="false">IF($A161="","",$B161-$A161)</f>
        <v/>
      </c>
      <c r="E161" s="4" t="str">
        <f aca="false">IF($A161="","",IFERROR(VLOOKUP($C161,Dim_Fund!$A:$X,24,0),""))</f>
        <v/>
      </c>
      <c r="F161" s="37" t="str">
        <f aca="false">IF($A161="","",IF(COUNTIFS(Status_Log!$A:$A,$A161,Status_Log!$B:$B,$B161,Status_Log!$C:$C,$C161,Status_Log!$D:$D,"Changed to the status of Calculated")=0,"",_xlfn.MINIFS(Status_Log!$E:$E,Status_Log!$A:$A,$A161,Status_Log!$B:$B,$B161,Status_Log!$C:$C,$C161,Status_Log!$D:$D,"Changed to the status of Calculated")))</f>
        <v/>
      </c>
      <c r="G161" s="37" t="str">
        <f aca="false">IF($A161="","",IF(COUNTIFS(Status_Log!$A:$A,$A161,Status_Log!$B:$B,$B161,Status_Log!$C:$C,$C161,Status_Log!$D:$D,"Changed to the status of Controlled")=0,"",_xlfn.MAXIFS(Status_Log!$E:$E,Status_Log!$A:$A,$A161,Status_Log!$B:$B,$B161,Status_Log!$C:$C,$C161,Status_Log!$D:$D,"Changed to the status of Controlled")))</f>
        <v/>
      </c>
      <c r="H161" s="37" t="str">
        <f aca="false">IF($A161="","",IF(COUNTIFS(Status_Log!$A:$A,$A161,Status_Log!$B:$B,$B161,Status_Log!$C:$C,$C161,Status_Log!$D:$D,"Changed to the status of Fund accounting signed off")=0,"",_xlfn.MAXIFS(Status_Log!$E:$E,Status_Log!$A:$A,$A161,Status_Log!$B:$B,$B161,Status_Log!$C:$C,$C161,Status_Log!$D:$D,"Changed to the status of Fund accounting signed off")))</f>
        <v/>
      </c>
      <c r="I161" s="37" t="str">
        <f aca="false">IF($A161="","",IF(COUNTIFS(Status_Log!$A:$A,$A161,Status_Log!$B:$B,$B161,Status_Log!$C:$C,$C161,Status_Log!$D:$D,"Changed to the status of signed off")=0,"",_xlfn.MAXIFS(Status_Log!$E:$E,Status_Log!$A:$A,$A161,Status_Log!$B:$B,$B161,Status_Log!$C:$C,$C161,Status_Log!$D:$D,"Changed to the status of signed off")))</f>
        <v/>
      </c>
      <c r="J161" s="4" t="str">
        <f aca="false">IF($A161="","",COUNTIFS(Status_Log!$A:$A,$A161,Status_Log!$B:$B,$B161,Status_Log!$C:$C,$C161,Status_Log!$D:$D,"Changed to the status of Calculated"))</f>
        <v/>
      </c>
      <c r="K161" s="38" t="str">
        <f aca="false">IF($A161="","",IF(J161&lt;=1,0,ROUND((_xlfn.MAXIFS(Status_Log!$E:$E,Status_Log!$A:$A,$A161,Status_Log!$B:$B,$B161,Status_Log!$C:$C,$C161,Status_Log!$D:$D,"Changed to the status of Calculated")-F161)*1440,0)))</f>
        <v/>
      </c>
      <c r="L161" s="4" t="str">
        <f aca="false">IF($A161="","",IFERROR(INDEX(Status_Log!$F:$F,MATCH($A161&amp;"|"&amp;$B161&amp;"|"&amp;$C161&amp;"|Changed to the status of Calculated|"&amp;TEXT(_xlfn.MAXIFS(Status_Log!$E:$E,Status_Log!$A:$A,$A161,Status_Log!$B:$B,$B161,Status_Log!$C:$C,$C161,Status_Log!$D:$D,"Changed to the status of Calculated"),"0.000000"),Status_Log!$H:$H,0)),""))</f>
        <v/>
      </c>
      <c r="M161" s="4" t="str">
        <f aca="false">IF($A161="","",IF(E161="Client","n/a — no control step",IFERROR(INDEX(Status_Log!$F:$F,MATCH($A161&amp;"|"&amp;$B161&amp;"|"&amp;$C161&amp;"|Changed to the status of Controlled|"&amp;TEXT(_xlfn.MAXIFS(Status_Log!$E:$E,Status_Log!$A:$A,$A161,Status_Log!$B:$B,$B161,Status_Log!$C:$C,$C161,Status_Log!$D:$D,"Changed to the status of Controlled"),"0.000000"),Status_Log!$H:$H,0)),"")))</f>
        <v/>
      </c>
      <c r="N161" s="4" t="str">
        <f aca="false">IF($A161="","",IFERROR(VLOOKUP($C161,Dim_Fund!$A:$G,7,0),""))</f>
        <v/>
      </c>
      <c r="O161" s="4" t="str">
        <f aca="false">IF($A161="","",IF(L161=N161,"No","Yes"))</f>
        <v/>
      </c>
      <c r="P161" s="4" t="str">
        <f aca="false">IF($A161="","",IF(E161="Client","n/a",IF(L161=M161,"YES — four-eyes breach","No")))</f>
        <v/>
      </c>
      <c r="Q161" s="38" t="str">
        <f aca="false">IF($A161="","",IFERROR(VLOOKUP($C161,Dim_Fund!$A:$AB,28,0),""))</f>
        <v/>
      </c>
      <c r="R161" s="38" t="str">
        <f aca="false">IF($A161="","",IFERROR(VLOOKUP($C161,Dim_Fund!$A:$AC,29,0),""))</f>
        <v/>
      </c>
      <c r="S161" s="38" t="str">
        <f aca="false">IF($A161="","",IFERROR(VLOOKUP($C161,Dim_Fund!$A:$AD,30,0),""))</f>
        <v/>
      </c>
      <c r="T161" s="38" t="str">
        <f aca="false">IF($A161="","",IFERROR(VLOOKUP($C161,Dim_Fund!$A:$AL,38,0),""))</f>
        <v/>
      </c>
      <c r="U161" s="37" t="str">
        <f aca="false">IF($A161="","",IF(AL161="","",IFERROR(IF(COUNTIFS(Fact_Milestone!$A:$A,$B161,Fact_Milestone!$B:$B,AL161)=0,"",_xlfn.MAXIFS(Fact_Milestone!$C:$C,Fact_Milestone!$A:$A,$B161,Fact_Milestone!$B:$B,AL161)),"")))</f>
        <v/>
      </c>
      <c r="V161" s="37" t="str">
        <f aca="false">IF($A161="","",IFERROR(IF(VLOOKUP($C161,Dim_Fund!$A:$AI,35,0)&gt;0,$B161+VLOOKUP($C161,Dim_Fund!$A:$AI,35,0)/24,""),""))</f>
        <v/>
      </c>
      <c r="W161" s="37" t="str">
        <f aca="false">IF($A161="","",F161)</f>
        <v/>
      </c>
      <c r="X161" s="37" t="str">
        <f aca="false">IF($A161="","",IF(E161="Client",H161,G161))</f>
        <v/>
      </c>
      <c r="Y161" s="37" t="str">
        <f aca="false">IF($A161="","",I161)</f>
        <v/>
      </c>
      <c r="Z161" s="37" t="str">
        <f aca="false">IF($A161="","",IFERROR(W161-R161/1440,""))</f>
        <v/>
      </c>
      <c r="AA161" s="38" t="str">
        <f aca="false">IF($A161="","",IF(OR(U161="",V161=""),"",ROUND((V161-U161)*1440,0)))</f>
        <v/>
      </c>
      <c r="AB161" s="38" t="str">
        <f aca="false">IF($A161="","",IF(U161="","",ROUND((W161-U161)*1440,0)))</f>
        <v/>
      </c>
      <c r="AC161" s="38" t="str">
        <f aca="false">IF($A161="","",IF(AB161="","",MAX(0,AB161)))</f>
        <v/>
      </c>
      <c r="AD161" s="38" t="str">
        <f aca="false">IF($A161="","",IFERROR(ROUND((X161-W161)*1440,0),""))</f>
        <v/>
      </c>
      <c r="AE161" s="38" t="str">
        <f aca="false">IF($A161="","",IF(E161="Client","n/a",IFERROR(ROUND((H161-G161)*1440,0),"")))</f>
        <v/>
      </c>
      <c r="AF161" s="38" t="str">
        <f aca="false">IF($A161="","",IFERROR(ROUND((Y161-H161)*1440,0),""))</f>
        <v/>
      </c>
      <c r="AG161" s="38" t="str">
        <f aca="false">IF($A161="","",IFERROR(ROUND((H161-F161)*1440,0),""))</f>
        <v/>
      </c>
      <c r="AH161" s="38" t="str">
        <f aca="false">IF($A161="","",IFERROR(ROUND((Y161-V161)*1440,0),""))</f>
        <v/>
      </c>
      <c r="AI161" s="4" t="str">
        <f aca="false">IF($A161="","",IF(AH161="","",IF(AH161&gt;0,"Yes","No")))</f>
        <v/>
      </c>
      <c r="AJ161" s="4" t="str">
        <f aca="false">IF($A161="","",IF(AI161&lt;&gt;"Yes","On time",IF(N(AC161)&gt;=MAX(N(AF161),N(K161)),"Wait for analyst",IF(N(AF161)&gt;=N(K161),"External sign-off","Rework"))))</f>
        <v/>
      </c>
      <c r="AK161" s="4" t="str">
        <f aca="false">IF($A161="","",IF(OR(F161="",Y161="",ISNA(MATCH(L161,Dim_Analyst!$A:$A,0))),"CHECK","OK"))</f>
        <v/>
      </c>
      <c r="AL161" s="4" t="str">
        <f aca="false">IF($A161="","",IFERROR(VLOOKUP($C161,Dim_Fund!$A:$U,21,0),""))</f>
        <v/>
      </c>
      <c r="AM161" s="4" t="str">
        <f aca="false">IF($A161="","",IF($U161="","",IF($U161&gt;$B161+IFERROR(VLOOKUP($C161,Dim_Fund!$A:$AH,34,0),0)/24,"Yes","No")))</f>
        <v/>
      </c>
      <c r="AN161" s="22" t="str">
        <f aca="false">IF($A161="","",IFERROR(VLOOKUP($C161,Dim_Fund!$A:$AH,34,0),""))</f>
        <v/>
      </c>
      <c r="AO161" s="22" t="str">
        <f aca="false">IF($A161="","",IF($AL161="","",IFERROR(FLOOR(IF(COUNTIFS(Fact_Milestone!$A:$A,$B161,Fact_Milestone!$B:$B,$AL161,Fact_Milestone!$F:$F,"&gt;0")&gt;0,_xlfn.MINIFS(Fact_Milestone!$F:$F,Fact_Milestone!$A:$A,$B161,Fact_Milestone!$B:$B,$AL161,Fact_Milestone!$F:$F,"&gt;0"),VLOOKUP($AL161,Dim_TOP!$A:$E,5,0)),0.5),"")))</f>
        <v/>
      </c>
      <c r="AP161" s="22" t="str">
        <f aca="false">IF($A161="","",IF($U161="","",ROUND(($U161-INT($U161))*24,4)))</f>
        <v/>
      </c>
      <c r="AQ161" s="22" t="str">
        <f aca="false">IF($A161="","",IF($W161="","",ROUND(($W161-INT($W161))*24,4)))</f>
        <v/>
      </c>
      <c r="AR161" s="22" t="str">
        <f aca="false">IF($A161="","",IF($X161="","",ROUND(($X161-INT($X161))*24,4)))</f>
        <v/>
      </c>
      <c r="AS161" s="38" t="str">
        <f aca="false">IF($A161="","",IF(OR($AN161="",$V161="",$S161="",$T161=""),"",ROUND(($V161-($B161+$AN161/24))*1440-$S161-$T161,0)))</f>
        <v/>
      </c>
      <c r="AT161" s="38" t="str">
        <f aca="false">IF($A161="","",IF(OR($AN161="",$U161=""),"",ROUND(($U161-($B161+$AN161/24))*1440,0)))</f>
        <v/>
      </c>
      <c r="AU161" s="38" t="str">
        <f aca="false">IF($A161="","",IF(OR($AD161="",$S161=""),"",ROUND($AD161-$S161,0)))</f>
        <v/>
      </c>
      <c r="AV161" s="38" t="str">
        <f aca="false">IF($A161="","",N($AE161))</f>
        <v/>
      </c>
      <c r="AW161" s="38" t="str">
        <f aca="false">IF($A161="","",IF(OR($AF161="",$T161=""),"",$AF161-$T161))</f>
        <v/>
      </c>
      <c r="AX161" s="38" t="str">
        <f aca="false">IF($A161="","",IF(COUNT($AT161,$AB161,$AU161,$AW161,$AS161,$AH161)&lt;6,"",ROUND($AT161+$AB161+$AU161+$AV161+$AW161-$AS161-$AH161,0)))</f>
        <v/>
      </c>
      <c r="AY161" s="4" t="str">
        <f aca="false">IF($A161="","",IF($AX161="","No",IF(ABS($AX161)&lt;=2,"Yes","No")))</f>
        <v/>
      </c>
      <c r="AZ161" s="4" t="str">
        <f aca="false">IF($A161="","",IF($AI161&lt;&gt;"Yes","n/a",IF(OR($AA161="",$S161="",$T161=""),"Unknown",IF($AA161&lt;$S161+$T161,"Lost on arrival","Lost after arrival"))))</f>
        <v/>
      </c>
      <c r="BA161" s="10" t="str">
        <f aca="false">IF($A161="","",IFERROR(VLOOKUP($C161,Dim_Fund!$A:$D,4,0),""))</f>
        <v/>
      </c>
      <c r="BB161" s="10" t="str">
        <f aca="false">IF($A161="","",IF($AL161="","",IF(COUNTIFS(Fact_Milestone!$A:$A,$B161,Fact_Milestone!$B:$B,$AL161,Fact_Milestone!$I:$I,"No")&gt;0,"No",IF(COUNTIFS(Fact_Milestone!$A:$A,$B161,Fact_Milestone!$B:$B,$AL161,Fact_Milestone!$I:$I,"Yes")&gt;0,"Yes",""))))</f>
        <v/>
      </c>
      <c r="BC161" s="45" t="str">
        <f aca="false">IF($A161="","",IF(OR($L161="",$W161=""),"",IF(COUNTIFS($L:$L,$L161,$B:$B,$B161,$W:$W,"&lt;"&amp;$W161)=0,"",_xlfn.MAXIFS($W:$W,$L:$L,$L161,$B:$B,$B161,$W:$W,"&lt;"&amp;$W161))))</f>
        <v/>
      </c>
      <c r="BD161" s="39" t="str">
        <f aca="false">IF($A161="","",IF($AC161="","",IF(OR($L161="",$AC161=0),0,MIN($AC161,ROUND(ROUND(1440*SUMPRODUCT(($L$2:INDEX($L:$L,COUNTA($C:$C))=$L161)*($B$2:INDEX($B:$B,COUNTA($C:$C))=$B161)*(ROW($L$2:INDEX($L:$L,COUNTA($C:$C)))&lt;&gt;ROW())*((((($W161+$BT$2:INDEX($BT:$BT,COUNTA($C:$C))-ABS($W161-$BT$2:INDEX($BT:$BT,COUNTA($C:$C))))/2)-(($U161+$BS$2:INDEX($BS:$BS,COUNTA($C:$C))+ABS($U161-$BS$2:INDEX($BS:$BS,COUNTA($C:$C))))/2))+ABS(((($W161+$BT$2:INDEX($BT:$BT,COUNTA($C:$C))-ABS($W161-$BT$2:INDEX($BT:$BT,COUNTA($C:$C))))/2)-(($U161+$BS$2:INDEX($BS:$BS,COUNTA($C:$C))+ABS($U161-$BS$2:INDEX($BS:$BS,COUNTA($C:$C))))/2))))/2)),4),0)))))</f>
        <v/>
      </c>
      <c r="BE161" s="39" t="str">
        <f aca="false">IF($A161="","",IF($AC161="","",ROUND(MIN($AC161-$BD161,N($R161)),0)))</f>
        <v/>
      </c>
      <c r="BF161" s="10" t="str">
        <f aca="false">IF($A161="","",IFERROR(VLOOKUP($C161,Dim_Fund!$A:$BD,56,0),""))</f>
        <v/>
      </c>
      <c r="BG161" s="10" t="str">
        <f aca="false">IF($A161="","",IFERROR(VLOOKUP($C161,Dim_Fund!$A:$BH,60,0),""))</f>
        <v/>
      </c>
      <c r="BH161" s="10" t="str">
        <f aca="false">IF($A161="","",IF($AI161&lt;&gt;"Yes","Not breached",IF($AM161="Yes","Pricing late",IF($BG161="Thin custody slack","Thin custody slack",IF($BF161="Yes","Broker-dependent","None of these")))))</f>
        <v/>
      </c>
      <c r="BI161" s="23" t="str">
        <f aca="false">IF($A161="","",IFERROR(IF(VLOOKUP($C161,Dim_Fund!$A:$AI,35,0)&gt;0,VLOOKUP($C161,Dim_Fund!$A:$AI,35,0),""),""))</f>
        <v/>
      </c>
      <c r="BJ161" s="10" t="str">
        <f aca="false">IF($A161="","",$C161&amp;IF($E161="Client","*",""))</f>
        <v/>
      </c>
      <c r="BK161" s="39" t="str">
        <f aca="false">IF($A161="","",IFERROR(ROUND(($Y161-$X161)*1440,0),""))</f>
        <v/>
      </c>
      <c r="BL161" s="39" t="str">
        <f aca="false">IF($A161="","",IF($AH161="","",-$AH161))</f>
        <v/>
      </c>
      <c r="BM161" s="46" t="str">
        <f aca="false">IF($A161="","",IF($AQ161="","",IF($AP161="",$AQ161,MIN($AP161,$AQ161))))</f>
        <v/>
      </c>
      <c r="BN161" s="46" t="str">
        <f aca="false">IF($A161="","",IF($BM161="","",ROUND(N($AC161)/60,4)))</f>
        <v/>
      </c>
      <c r="BO161" s="46" t="str">
        <f aca="false">IF($A161="","",IF(OR($BM161="",$AD161=""),"",ROUND($AD161/60,4)))</f>
        <v/>
      </c>
      <c r="BP161" s="46" t="str">
        <f aca="false">IF($A161="","",IF($BM161="","",ROUND(N($AE161)/60,4)))</f>
        <v/>
      </c>
      <c r="BQ161" s="46" t="str">
        <f aca="false">IF($A161="","",IF(OR($BM161="",$AF161=""),"",ROUND($AF161/60,4)))</f>
        <v/>
      </c>
      <c r="BR161" s="39" t="str">
        <f aca="false">IF($A161="","",IF($AC161="","",$AC161-$BD161-$BE161))</f>
        <v/>
      </c>
      <c r="BS161" s="45" t="str">
        <f aca="false">IF($A161="","",IF(AND(ISNUMBER($Z161),ISNUMBER($W161)),$Z161,0))</f>
        <v/>
      </c>
      <c r="BT161" s="45" t="str">
        <f aca="false">IF($A161="","",IF(ISNUMBER($W161),$W161,0))</f>
        <v/>
      </c>
      <c r="BU161" s="23" t="str">
        <f aca="false">IF($A161="","",IF(ISNUMBER($W161),ROUND(($W161-$B161)*24,4),""))</f>
        <v/>
      </c>
      <c r="BV161" s="23" t="str">
        <f aca="false">IF($A161="","",IF(ISNUMBER($X161),ROUND(($X161-$B161)*24,4),""))</f>
        <v/>
      </c>
      <c r="BW161" s="10" t="str">
        <f aca="false">IF($A161="","",IF(NOT(ISNUMBER($W161)),"Missing Calculated",IF(NOT(ISNUMBER($X161)),IF($E161="Client","Missing FA signed off","Missing Controlled"),IF($X161&lt;$W161,"End before start","OK"))))</f>
        <v/>
      </c>
      <c r="BX161" s="23" t="str">
        <f aca="false">IF($A161="","",IF(NOT(ISNUMBER($Z161)),"",ROUND((IF(ISNUMBER($U161),MIN($U161,$Z161),$Z161)-$B161)*24,4)))</f>
        <v/>
      </c>
      <c r="BY161" s="23" t="str">
        <f aca="false">IF($A161="","",IF(ISNUMBER($Z161),ROUND(($Z161-$B161)*24,4),""))</f>
        <v/>
      </c>
      <c r="BZ161" s="23" t="str">
        <f aca="false">IF($A161="","",IF(AND(ISNUMBER($W161),ISNUMBER($S161)),ROUND(($W161+$S161/1440-$B161)*24,4),""))</f>
        <v/>
      </c>
    </row>
    <row r="162" customFormat="false" ht="15" hidden="false" customHeight="true" outlineLevel="0" collapsed="false">
      <c r="A162" s="47"/>
      <c r="B162" s="47"/>
      <c r="D162" s="4" t="str">
        <f aca="false">IF($A162="","",$B162-$A162)</f>
        <v/>
      </c>
      <c r="E162" s="4" t="str">
        <f aca="false">IF($A162="","",IFERROR(VLOOKUP($C162,Dim_Fund!$A:$X,24,0),""))</f>
        <v/>
      </c>
      <c r="F162" s="37" t="str">
        <f aca="false">IF($A162="","",IF(COUNTIFS(Status_Log!$A:$A,$A162,Status_Log!$B:$B,$B162,Status_Log!$C:$C,$C162,Status_Log!$D:$D,"Changed to the status of Calculated")=0,"",_xlfn.MINIFS(Status_Log!$E:$E,Status_Log!$A:$A,$A162,Status_Log!$B:$B,$B162,Status_Log!$C:$C,$C162,Status_Log!$D:$D,"Changed to the status of Calculated")))</f>
        <v/>
      </c>
      <c r="G162" s="37" t="str">
        <f aca="false">IF($A162="","",IF(COUNTIFS(Status_Log!$A:$A,$A162,Status_Log!$B:$B,$B162,Status_Log!$C:$C,$C162,Status_Log!$D:$D,"Changed to the status of Controlled")=0,"",_xlfn.MAXIFS(Status_Log!$E:$E,Status_Log!$A:$A,$A162,Status_Log!$B:$B,$B162,Status_Log!$C:$C,$C162,Status_Log!$D:$D,"Changed to the status of Controlled")))</f>
        <v/>
      </c>
      <c r="H162" s="37" t="str">
        <f aca="false">IF($A162="","",IF(COUNTIFS(Status_Log!$A:$A,$A162,Status_Log!$B:$B,$B162,Status_Log!$C:$C,$C162,Status_Log!$D:$D,"Changed to the status of Fund accounting signed off")=0,"",_xlfn.MAXIFS(Status_Log!$E:$E,Status_Log!$A:$A,$A162,Status_Log!$B:$B,$B162,Status_Log!$C:$C,$C162,Status_Log!$D:$D,"Changed to the status of Fund accounting signed off")))</f>
        <v/>
      </c>
      <c r="I162" s="37" t="str">
        <f aca="false">IF($A162="","",IF(COUNTIFS(Status_Log!$A:$A,$A162,Status_Log!$B:$B,$B162,Status_Log!$C:$C,$C162,Status_Log!$D:$D,"Changed to the status of signed off")=0,"",_xlfn.MAXIFS(Status_Log!$E:$E,Status_Log!$A:$A,$A162,Status_Log!$B:$B,$B162,Status_Log!$C:$C,$C162,Status_Log!$D:$D,"Changed to the status of signed off")))</f>
        <v/>
      </c>
      <c r="J162" s="4" t="str">
        <f aca="false">IF($A162="","",COUNTIFS(Status_Log!$A:$A,$A162,Status_Log!$B:$B,$B162,Status_Log!$C:$C,$C162,Status_Log!$D:$D,"Changed to the status of Calculated"))</f>
        <v/>
      </c>
      <c r="K162" s="38" t="str">
        <f aca="false">IF($A162="","",IF(J162&lt;=1,0,ROUND((_xlfn.MAXIFS(Status_Log!$E:$E,Status_Log!$A:$A,$A162,Status_Log!$B:$B,$B162,Status_Log!$C:$C,$C162,Status_Log!$D:$D,"Changed to the status of Calculated")-F162)*1440,0)))</f>
        <v/>
      </c>
      <c r="L162" s="4" t="str">
        <f aca="false">IF($A162="","",IFERROR(INDEX(Status_Log!$F:$F,MATCH($A162&amp;"|"&amp;$B162&amp;"|"&amp;$C162&amp;"|Changed to the status of Calculated|"&amp;TEXT(_xlfn.MAXIFS(Status_Log!$E:$E,Status_Log!$A:$A,$A162,Status_Log!$B:$B,$B162,Status_Log!$C:$C,$C162,Status_Log!$D:$D,"Changed to the status of Calculated"),"0.000000"),Status_Log!$H:$H,0)),""))</f>
        <v/>
      </c>
      <c r="M162" s="4" t="str">
        <f aca="false">IF($A162="","",IF(E162="Client","n/a — no control step",IFERROR(INDEX(Status_Log!$F:$F,MATCH($A162&amp;"|"&amp;$B162&amp;"|"&amp;$C162&amp;"|Changed to the status of Controlled|"&amp;TEXT(_xlfn.MAXIFS(Status_Log!$E:$E,Status_Log!$A:$A,$A162,Status_Log!$B:$B,$B162,Status_Log!$C:$C,$C162,Status_Log!$D:$D,"Changed to the status of Controlled"),"0.000000"),Status_Log!$H:$H,0)),"")))</f>
        <v/>
      </c>
      <c r="N162" s="4" t="str">
        <f aca="false">IF($A162="","",IFERROR(VLOOKUP($C162,Dim_Fund!$A:$G,7,0),""))</f>
        <v/>
      </c>
      <c r="O162" s="4" t="str">
        <f aca="false">IF($A162="","",IF(L162=N162,"No","Yes"))</f>
        <v/>
      </c>
      <c r="P162" s="4" t="str">
        <f aca="false">IF($A162="","",IF(E162="Client","n/a",IF(L162=M162,"YES — four-eyes breach","No")))</f>
        <v/>
      </c>
      <c r="Q162" s="38" t="str">
        <f aca="false">IF($A162="","",IFERROR(VLOOKUP($C162,Dim_Fund!$A:$AB,28,0),""))</f>
        <v/>
      </c>
      <c r="R162" s="38" t="str">
        <f aca="false">IF($A162="","",IFERROR(VLOOKUP($C162,Dim_Fund!$A:$AC,29,0),""))</f>
        <v/>
      </c>
      <c r="S162" s="38" t="str">
        <f aca="false">IF($A162="","",IFERROR(VLOOKUP($C162,Dim_Fund!$A:$AD,30,0),""))</f>
        <v/>
      </c>
      <c r="T162" s="38" t="str">
        <f aca="false">IF($A162="","",IFERROR(VLOOKUP($C162,Dim_Fund!$A:$AL,38,0),""))</f>
        <v/>
      </c>
      <c r="U162" s="37" t="str">
        <f aca="false">IF($A162="","",IF(AL162="","",IFERROR(IF(COUNTIFS(Fact_Milestone!$A:$A,$B162,Fact_Milestone!$B:$B,AL162)=0,"",_xlfn.MAXIFS(Fact_Milestone!$C:$C,Fact_Milestone!$A:$A,$B162,Fact_Milestone!$B:$B,AL162)),"")))</f>
        <v/>
      </c>
      <c r="V162" s="37" t="str">
        <f aca="false">IF($A162="","",IFERROR(IF(VLOOKUP($C162,Dim_Fund!$A:$AI,35,0)&gt;0,$B162+VLOOKUP($C162,Dim_Fund!$A:$AI,35,0)/24,""),""))</f>
        <v/>
      </c>
      <c r="W162" s="37" t="str">
        <f aca="false">IF($A162="","",F162)</f>
        <v/>
      </c>
      <c r="X162" s="37" t="str">
        <f aca="false">IF($A162="","",IF(E162="Client",H162,G162))</f>
        <v/>
      </c>
      <c r="Y162" s="37" t="str">
        <f aca="false">IF($A162="","",I162)</f>
        <v/>
      </c>
      <c r="Z162" s="37" t="str">
        <f aca="false">IF($A162="","",IFERROR(W162-R162/1440,""))</f>
        <v/>
      </c>
      <c r="AA162" s="38" t="str">
        <f aca="false">IF($A162="","",IF(OR(U162="",V162=""),"",ROUND((V162-U162)*1440,0)))</f>
        <v/>
      </c>
      <c r="AB162" s="38" t="str">
        <f aca="false">IF($A162="","",IF(U162="","",ROUND((W162-U162)*1440,0)))</f>
        <v/>
      </c>
      <c r="AC162" s="38" t="str">
        <f aca="false">IF($A162="","",IF(AB162="","",MAX(0,AB162)))</f>
        <v/>
      </c>
      <c r="AD162" s="38" t="str">
        <f aca="false">IF($A162="","",IFERROR(ROUND((X162-W162)*1440,0),""))</f>
        <v/>
      </c>
      <c r="AE162" s="38" t="str">
        <f aca="false">IF($A162="","",IF(E162="Client","n/a",IFERROR(ROUND((H162-G162)*1440,0),"")))</f>
        <v/>
      </c>
      <c r="AF162" s="38" t="str">
        <f aca="false">IF($A162="","",IFERROR(ROUND((Y162-H162)*1440,0),""))</f>
        <v/>
      </c>
      <c r="AG162" s="38" t="str">
        <f aca="false">IF($A162="","",IFERROR(ROUND((H162-F162)*1440,0),""))</f>
        <v/>
      </c>
      <c r="AH162" s="38" t="str">
        <f aca="false">IF($A162="","",IFERROR(ROUND((Y162-V162)*1440,0),""))</f>
        <v/>
      </c>
      <c r="AI162" s="4" t="str">
        <f aca="false">IF($A162="","",IF(AH162="","",IF(AH162&gt;0,"Yes","No")))</f>
        <v/>
      </c>
      <c r="AJ162" s="4" t="str">
        <f aca="false">IF($A162="","",IF(AI162&lt;&gt;"Yes","On time",IF(N(AC162)&gt;=MAX(N(AF162),N(K162)),"Wait for analyst",IF(N(AF162)&gt;=N(K162),"External sign-off","Rework"))))</f>
        <v/>
      </c>
      <c r="AK162" s="4" t="str">
        <f aca="false">IF($A162="","",IF(OR(F162="",Y162="",ISNA(MATCH(L162,Dim_Analyst!$A:$A,0))),"CHECK","OK"))</f>
        <v/>
      </c>
      <c r="AL162" s="4" t="str">
        <f aca="false">IF($A162="","",IFERROR(VLOOKUP($C162,Dim_Fund!$A:$U,21,0),""))</f>
        <v/>
      </c>
      <c r="AM162" s="4" t="str">
        <f aca="false">IF($A162="","",IF($U162="","",IF($U162&gt;$B162+IFERROR(VLOOKUP($C162,Dim_Fund!$A:$AH,34,0),0)/24,"Yes","No")))</f>
        <v/>
      </c>
      <c r="AN162" s="22" t="str">
        <f aca="false">IF($A162="","",IFERROR(VLOOKUP($C162,Dim_Fund!$A:$AH,34,0),""))</f>
        <v/>
      </c>
      <c r="AO162" s="22" t="str">
        <f aca="false">IF($A162="","",IF($AL162="","",IFERROR(FLOOR(IF(COUNTIFS(Fact_Milestone!$A:$A,$B162,Fact_Milestone!$B:$B,$AL162,Fact_Milestone!$F:$F,"&gt;0")&gt;0,_xlfn.MINIFS(Fact_Milestone!$F:$F,Fact_Milestone!$A:$A,$B162,Fact_Milestone!$B:$B,$AL162,Fact_Milestone!$F:$F,"&gt;0"),VLOOKUP($AL162,Dim_TOP!$A:$E,5,0)),0.5),"")))</f>
        <v/>
      </c>
      <c r="AP162" s="22" t="str">
        <f aca="false">IF($A162="","",IF($U162="","",ROUND(($U162-INT($U162))*24,4)))</f>
        <v/>
      </c>
      <c r="AQ162" s="22" t="str">
        <f aca="false">IF($A162="","",IF($W162="","",ROUND(($W162-INT($W162))*24,4)))</f>
        <v/>
      </c>
      <c r="AR162" s="22" t="str">
        <f aca="false">IF($A162="","",IF($X162="","",ROUND(($X162-INT($X162))*24,4)))</f>
        <v/>
      </c>
      <c r="AS162" s="38" t="str">
        <f aca="false">IF($A162="","",IF(OR($AN162="",$V162="",$S162="",$T162=""),"",ROUND(($V162-($B162+$AN162/24))*1440-$S162-$T162,0)))</f>
        <v/>
      </c>
      <c r="AT162" s="38" t="str">
        <f aca="false">IF($A162="","",IF(OR($AN162="",$U162=""),"",ROUND(($U162-($B162+$AN162/24))*1440,0)))</f>
        <v/>
      </c>
      <c r="AU162" s="38" t="str">
        <f aca="false">IF($A162="","",IF(OR($AD162="",$S162=""),"",ROUND($AD162-$S162,0)))</f>
        <v/>
      </c>
      <c r="AV162" s="38" t="str">
        <f aca="false">IF($A162="","",N($AE162))</f>
        <v/>
      </c>
      <c r="AW162" s="38" t="str">
        <f aca="false">IF($A162="","",IF(OR($AF162="",$T162=""),"",$AF162-$T162))</f>
        <v/>
      </c>
      <c r="AX162" s="38" t="str">
        <f aca="false">IF($A162="","",IF(COUNT($AT162,$AB162,$AU162,$AW162,$AS162,$AH162)&lt;6,"",ROUND($AT162+$AB162+$AU162+$AV162+$AW162-$AS162-$AH162,0)))</f>
        <v/>
      </c>
      <c r="AY162" s="4" t="str">
        <f aca="false">IF($A162="","",IF($AX162="","No",IF(ABS($AX162)&lt;=2,"Yes","No")))</f>
        <v/>
      </c>
      <c r="AZ162" s="4" t="str">
        <f aca="false">IF($A162="","",IF($AI162&lt;&gt;"Yes","n/a",IF(OR($AA162="",$S162="",$T162=""),"Unknown",IF($AA162&lt;$S162+$T162,"Lost on arrival","Lost after arrival"))))</f>
        <v/>
      </c>
      <c r="BA162" s="10" t="str">
        <f aca="false">IF($A162="","",IFERROR(VLOOKUP($C162,Dim_Fund!$A:$D,4,0),""))</f>
        <v/>
      </c>
      <c r="BB162" s="10" t="str">
        <f aca="false">IF($A162="","",IF($AL162="","",IF(COUNTIFS(Fact_Milestone!$A:$A,$B162,Fact_Milestone!$B:$B,$AL162,Fact_Milestone!$I:$I,"No")&gt;0,"No",IF(COUNTIFS(Fact_Milestone!$A:$A,$B162,Fact_Milestone!$B:$B,$AL162,Fact_Milestone!$I:$I,"Yes")&gt;0,"Yes",""))))</f>
        <v/>
      </c>
      <c r="BC162" s="45" t="str">
        <f aca="false">IF($A162="","",IF(OR($L162="",$W162=""),"",IF(COUNTIFS($L:$L,$L162,$B:$B,$B162,$W:$W,"&lt;"&amp;$W162)=0,"",_xlfn.MAXIFS($W:$W,$L:$L,$L162,$B:$B,$B162,$W:$W,"&lt;"&amp;$W162))))</f>
        <v/>
      </c>
      <c r="BD162" s="39" t="str">
        <f aca="false">IF($A162="","",IF($AC162="","",IF(OR($L162="",$AC162=0),0,MIN($AC162,ROUND(ROUND(1440*SUMPRODUCT(($L$2:INDEX($L:$L,COUNTA($C:$C))=$L162)*($B$2:INDEX($B:$B,COUNTA($C:$C))=$B162)*(ROW($L$2:INDEX($L:$L,COUNTA($C:$C)))&lt;&gt;ROW())*((((($W162+$BT$2:INDEX($BT:$BT,COUNTA($C:$C))-ABS($W162-$BT$2:INDEX($BT:$BT,COUNTA($C:$C))))/2)-(($U162+$BS$2:INDEX($BS:$BS,COUNTA($C:$C))+ABS($U162-$BS$2:INDEX($BS:$BS,COUNTA($C:$C))))/2))+ABS(((($W162+$BT$2:INDEX($BT:$BT,COUNTA($C:$C))-ABS($W162-$BT$2:INDEX($BT:$BT,COUNTA($C:$C))))/2)-(($U162+$BS$2:INDEX($BS:$BS,COUNTA($C:$C))+ABS($U162-$BS$2:INDEX($BS:$BS,COUNTA($C:$C))))/2))))/2)),4),0)))))</f>
        <v/>
      </c>
      <c r="BE162" s="39" t="str">
        <f aca="false">IF($A162="","",IF($AC162="","",ROUND(MIN($AC162-$BD162,N($R162)),0)))</f>
        <v/>
      </c>
      <c r="BF162" s="10" t="str">
        <f aca="false">IF($A162="","",IFERROR(VLOOKUP($C162,Dim_Fund!$A:$BD,56,0),""))</f>
        <v/>
      </c>
      <c r="BG162" s="10" t="str">
        <f aca="false">IF($A162="","",IFERROR(VLOOKUP($C162,Dim_Fund!$A:$BH,60,0),""))</f>
        <v/>
      </c>
      <c r="BH162" s="10" t="str">
        <f aca="false">IF($A162="","",IF($AI162&lt;&gt;"Yes","Not breached",IF($AM162="Yes","Pricing late",IF($BG162="Thin custody slack","Thin custody slack",IF($BF162="Yes","Broker-dependent","None of these")))))</f>
        <v/>
      </c>
      <c r="BI162" s="23" t="str">
        <f aca="false">IF($A162="","",IFERROR(IF(VLOOKUP($C162,Dim_Fund!$A:$AI,35,0)&gt;0,VLOOKUP($C162,Dim_Fund!$A:$AI,35,0),""),""))</f>
        <v/>
      </c>
      <c r="BJ162" s="10" t="str">
        <f aca="false">IF($A162="","",$C162&amp;IF($E162="Client","*",""))</f>
        <v/>
      </c>
      <c r="BK162" s="39" t="str">
        <f aca="false">IF($A162="","",IFERROR(ROUND(($Y162-$X162)*1440,0),""))</f>
        <v/>
      </c>
      <c r="BL162" s="39" t="str">
        <f aca="false">IF($A162="","",IF($AH162="","",-$AH162))</f>
        <v/>
      </c>
      <c r="BM162" s="46" t="str">
        <f aca="false">IF($A162="","",IF($AQ162="","",IF($AP162="",$AQ162,MIN($AP162,$AQ162))))</f>
        <v/>
      </c>
      <c r="BN162" s="46" t="str">
        <f aca="false">IF($A162="","",IF($BM162="","",ROUND(N($AC162)/60,4)))</f>
        <v/>
      </c>
      <c r="BO162" s="46" t="str">
        <f aca="false">IF($A162="","",IF(OR($BM162="",$AD162=""),"",ROUND($AD162/60,4)))</f>
        <v/>
      </c>
      <c r="BP162" s="46" t="str">
        <f aca="false">IF($A162="","",IF($BM162="","",ROUND(N($AE162)/60,4)))</f>
        <v/>
      </c>
      <c r="BQ162" s="46" t="str">
        <f aca="false">IF($A162="","",IF(OR($BM162="",$AF162=""),"",ROUND($AF162/60,4)))</f>
        <v/>
      </c>
      <c r="BR162" s="39" t="str">
        <f aca="false">IF($A162="","",IF($AC162="","",$AC162-$BD162-$BE162))</f>
        <v/>
      </c>
      <c r="BS162" s="45" t="str">
        <f aca="false">IF($A162="","",IF(AND(ISNUMBER($Z162),ISNUMBER($W162)),$Z162,0))</f>
        <v/>
      </c>
      <c r="BT162" s="45" t="str">
        <f aca="false">IF($A162="","",IF(ISNUMBER($W162),$W162,0))</f>
        <v/>
      </c>
      <c r="BU162" s="23" t="str">
        <f aca="false">IF($A162="","",IF(ISNUMBER($W162),ROUND(($W162-$B162)*24,4),""))</f>
        <v/>
      </c>
      <c r="BV162" s="23" t="str">
        <f aca="false">IF($A162="","",IF(ISNUMBER($X162),ROUND(($X162-$B162)*24,4),""))</f>
        <v/>
      </c>
      <c r="BW162" s="10" t="str">
        <f aca="false">IF($A162="","",IF(NOT(ISNUMBER($W162)),"Missing Calculated",IF(NOT(ISNUMBER($X162)),IF($E162="Client","Missing FA signed off","Missing Controlled"),IF($X162&lt;$W162,"End before start","OK"))))</f>
        <v/>
      </c>
      <c r="BX162" s="23" t="str">
        <f aca="false">IF($A162="","",IF(NOT(ISNUMBER($Z162)),"",ROUND((IF(ISNUMBER($U162),MIN($U162,$Z162),$Z162)-$B162)*24,4)))</f>
        <v/>
      </c>
      <c r="BY162" s="23" t="str">
        <f aca="false">IF($A162="","",IF(ISNUMBER($Z162),ROUND(($Z162-$B162)*24,4),""))</f>
        <v/>
      </c>
      <c r="BZ162" s="23" t="str">
        <f aca="false">IF($A162="","",IF(AND(ISNUMBER($W162),ISNUMBER($S162)),ROUND(($W162+$S162/1440-$B162)*24,4),""))</f>
        <v/>
      </c>
    </row>
    <row r="163" customFormat="false" ht="15" hidden="false" customHeight="true" outlineLevel="0" collapsed="false">
      <c r="A163" s="47"/>
      <c r="B163" s="47"/>
      <c r="D163" s="4" t="str">
        <f aca="false">IF($A163="","",$B163-$A163)</f>
        <v/>
      </c>
      <c r="E163" s="4" t="str">
        <f aca="false">IF($A163="","",IFERROR(VLOOKUP($C163,Dim_Fund!$A:$X,24,0),""))</f>
        <v/>
      </c>
      <c r="F163" s="37" t="str">
        <f aca="false">IF($A163="","",IF(COUNTIFS(Status_Log!$A:$A,$A163,Status_Log!$B:$B,$B163,Status_Log!$C:$C,$C163,Status_Log!$D:$D,"Changed to the status of Calculated")=0,"",_xlfn.MINIFS(Status_Log!$E:$E,Status_Log!$A:$A,$A163,Status_Log!$B:$B,$B163,Status_Log!$C:$C,$C163,Status_Log!$D:$D,"Changed to the status of Calculated")))</f>
        <v/>
      </c>
      <c r="G163" s="37" t="str">
        <f aca="false">IF($A163="","",IF(COUNTIFS(Status_Log!$A:$A,$A163,Status_Log!$B:$B,$B163,Status_Log!$C:$C,$C163,Status_Log!$D:$D,"Changed to the status of Controlled")=0,"",_xlfn.MAXIFS(Status_Log!$E:$E,Status_Log!$A:$A,$A163,Status_Log!$B:$B,$B163,Status_Log!$C:$C,$C163,Status_Log!$D:$D,"Changed to the status of Controlled")))</f>
        <v/>
      </c>
      <c r="H163" s="37" t="str">
        <f aca="false">IF($A163="","",IF(COUNTIFS(Status_Log!$A:$A,$A163,Status_Log!$B:$B,$B163,Status_Log!$C:$C,$C163,Status_Log!$D:$D,"Changed to the status of Fund accounting signed off")=0,"",_xlfn.MAXIFS(Status_Log!$E:$E,Status_Log!$A:$A,$A163,Status_Log!$B:$B,$B163,Status_Log!$C:$C,$C163,Status_Log!$D:$D,"Changed to the status of Fund accounting signed off")))</f>
        <v/>
      </c>
      <c r="I163" s="37" t="str">
        <f aca="false">IF($A163="","",IF(COUNTIFS(Status_Log!$A:$A,$A163,Status_Log!$B:$B,$B163,Status_Log!$C:$C,$C163,Status_Log!$D:$D,"Changed to the status of signed off")=0,"",_xlfn.MAXIFS(Status_Log!$E:$E,Status_Log!$A:$A,$A163,Status_Log!$B:$B,$B163,Status_Log!$C:$C,$C163,Status_Log!$D:$D,"Changed to the status of signed off")))</f>
        <v/>
      </c>
      <c r="J163" s="4" t="str">
        <f aca="false">IF($A163="","",COUNTIFS(Status_Log!$A:$A,$A163,Status_Log!$B:$B,$B163,Status_Log!$C:$C,$C163,Status_Log!$D:$D,"Changed to the status of Calculated"))</f>
        <v/>
      </c>
      <c r="K163" s="38" t="str">
        <f aca="false">IF($A163="","",IF(J163&lt;=1,0,ROUND((_xlfn.MAXIFS(Status_Log!$E:$E,Status_Log!$A:$A,$A163,Status_Log!$B:$B,$B163,Status_Log!$C:$C,$C163,Status_Log!$D:$D,"Changed to the status of Calculated")-F163)*1440,0)))</f>
        <v/>
      </c>
      <c r="L163" s="4" t="str">
        <f aca="false">IF($A163="","",IFERROR(INDEX(Status_Log!$F:$F,MATCH($A163&amp;"|"&amp;$B163&amp;"|"&amp;$C163&amp;"|Changed to the status of Calculated|"&amp;TEXT(_xlfn.MAXIFS(Status_Log!$E:$E,Status_Log!$A:$A,$A163,Status_Log!$B:$B,$B163,Status_Log!$C:$C,$C163,Status_Log!$D:$D,"Changed to the status of Calculated"),"0.000000"),Status_Log!$H:$H,0)),""))</f>
        <v/>
      </c>
      <c r="M163" s="4" t="str">
        <f aca="false">IF($A163="","",IF(E163="Client","n/a — no control step",IFERROR(INDEX(Status_Log!$F:$F,MATCH($A163&amp;"|"&amp;$B163&amp;"|"&amp;$C163&amp;"|Changed to the status of Controlled|"&amp;TEXT(_xlfn.MAXIFS(Status_Log!$E:$E,Status_Log!$A:$A,$A163,Status_Log!$B:$B,$B163,Status_Log!$C:$C,$C163,Status_Log!$D:$D,"Changed to the status of Controlled"),"0.000000"),Status_Log!$H:$H,0)),"")))</f>
        <v/>
      </c>
      <c r="N163" s="4" t="str">
        <f aca="false">IF($A163="","",IFERROR(VLOOKUP($C163,Dim_Fund!$A:$G,7,0),""))</f>
        <v/>
      </c>
      <c r="O163" s="4" t="str">
        <f aca="false">IF($A163="","",IF(L163=N163,"No","Yes"))</f>
        <v/>
      </c>
      <c r="P163" s="4" t="str">
        <f aca="false">IF($A163="","",IF(E163="Client","n/a",IF(L163=M163,"YES — four-eyes breach","No")))</f>
        <v/>
      </c>
      <c r="Q163" s="38" t="str">
        <f aca="false">IF($A163="","",IFERROR(VLOOKUP($C163,Dim_Fund!$A:$AB,28,0),""))</f>
        <v/>
      </c>
      <c r="R163" s="38" t="str">
        <f aca="false">IF($A163="","",IFERROR(VLOOKUP($C163,Dim_Fund!$A:$AC,29,0),""))</f>
        <v/>
      </c>
      <c r="S163" s="38" t="str">
        <f aca="false">IF($A163="","",IFERROR(VLOOKUP($C163,Dim_Fund!$A:$AD,30,0),""))</f>
        <v/>
      </c>
      <c r="T163" s="38" t="str">
        <f aca="false">IF($A163="","",IFERROR(VLOOKUP($C163,Dim_Fund!$A:$AL,38,0),""))</f>
        <v/>
      </c>
      <c r="U163" s="37" t="str">
        <f aca="false">IF($A163="","",IF(AL163="","",IFERROR(IF(COUNTIFS(Fact_Milestone!$A:$A,$B163,Fact_Milestone!$B:$B,AL163)=0,"",_xlfn.MAXIFS(Fact_Milestone!$C:$C,Fact_Milestone!$A:$A,$B163,Fact_Milestone!$B:$B,AL163)),"")))</f>
        <v/>
      </c>
      <c r="V163" s="37" t="str">
        <f aca="false">IF($A163="","",IFERROR(IF(VLOOKUP($C163,Dim_Fund!$A:$AI,35,0)&gt;0,$B163+VLOOKUP($C163,Dim_Fund!$A:$AI,35,0)/24,""),""))</f>
        <v/>
      </c>
      <c r="W163" s="37" t="str">
        <f aca="false">IF($A163="","",F163)</f>
        <v/>
      </c>
      <c r="X163" s="37" t="str">
        <f aca="false">IF($A163="","",IF(E163="Client",H163,G163))</f>
        <v/>
      </c>
      <c r="Y163" s="37" t="str">
        <f aca="false">IF($A163="","",I163)</f>
        <v/>
      </c>
      <c r="Z163" s="37" t="str">
        <f aca="false">IF($A163="","",IFERROR(W163-R163/1440,""))</f>
        <v/>
      </c>
      <c r="AA163" s="38" t="str">
        <f aca="false">IF($A163="","",IF(OR(U163="",V163=""),"",ROUND((V163-U163)*1440,0)))</f>
        <v/>
      </c>
      <c r="AB163" s="38" t="str">
        <f aca="false">IF($A163="","",IF(U163="","",ROUND((W163-U163)*1440,0)))</f>
        <v/>
      </c>
      <c r="AC163" s="38" t="str">
        <f aca="false">IF($A163="","",IF(AB163="","",MAX(0,AB163)))</f>
        <v/>
      </c>
      <c r="AD163" s="38" t="str">
        <f aca="false">IF($A163="","",IFERROR(ROUND((X163-W163)*1440,0),""))</f>
        <v/>
      </c>
      <c r="AE163" s="38" t="str">
        <f aca="false">IF($A163="","",IF(E163="Client","n/a",IFERROR(ROUND((H163-G163)*1440,0),"")))</f>
        <v/>
      </c>
      <c r="AF163" s="38" t="str">
        <f aca="false">IF($A163="","",IFERROR(ROUND((Y163-H163)*1440,0),""))</f>
        <v/>
      </c>
      <c r="AG163" s="38" t="str">
        <f aca="false">IF($A163="","",IFERROR(ROUND((H163-F163)*1440,0),""))</f>
        <v/>
      </c>
      <c r="AH163" s="38" t="str">
        <f aca="false">IF($A163="","",IFERROR(ROUND((Y163-V163)*1440,0),""))</f>
        <v/>
      </c>
      <c r="AI163" s="4" t="str">
        <f aca="false">IF($A163="","",IF(AH163="","",IF(AH163&gt;0,"Yes","No")))</f>
        <v/>
      </c>
      <c r="AJ163" s="4" t="str">
        <f aca="false">IF($A163="","",IF(AI163&lt;&gt;"Yes","On time",IF(N(AC163)&gt;=MAX(N(AF163),N(K163)),"Wait for analyst",IF(N(AF163)&gt;=N(K163),"External sign-off","Rework"))))</f>
        <v/>
      </c>
      <c r="AK163" s="4" t="str">
        <f aca="false">IF($A163="","",IF(OR(F163="",Y163="",ISNA(MATCH(L163,Dim_Analyst!$A:$A,0))),"CHECK","OK"))</f>
        <v/>
      </c>
      <c r="AL163" s="4" t="str">
        <f aca="false">IF($A163="","",IFERROR(VLOOKUP($C163,Dim_Fund!$A:$U,21,0),""))</f>
        <v/>
      </c>
      <c r="AM163" s="4" t="str">
        <f aca="false">IF($A163="","",IF($U163="","",IF($U163&gt;$B163+IFERROR(VLOOKUP($C163,Dim_Fund!$A:$AH,34,0),0)/24,"Yes","No")))</f>
        <v/>
      </c>
      <c r="AN163" s="22" t="str">
        <f aca="false">IF($A163="","",IFERROR(VLOOKUP($C163,Dim_Fund!$A:$AH,34,0),""))</f>
        <v/>
      </c>
      <c r="AO163" s="22" t="str">
        <f aca="false">IF($A163="","",IF($AL163="","",IFERROR(FLOOR(IF(COUNTIFS(Fact_Milestone!$A:$A,$B163,Fact_Milestone!$B:$B,$AL163,Fact_Milestone!$F:$F,"&gt;0")&gt;0,_xlfn.MINIFS(Fact_Milestone!$F:$F,Fact_Milestone!$A:$A,$B163,Fact_Milestone!$B:$B,$AL163,Fact_Milestone!$F:$F,"&gt;0"),VLOOKUP($AL163,Dim_TOP!$A:$E,5,0)),0.5),"")))</f>
        <v/>
      </c>
      <c r="AP163" s="22" t="str">
        <f aca="false">IF($A163="","",IF($U163="","",ROUND(($U163-INT($U163))*24,4)))</f>
        <v/>
      </c>
      <c r="AQ163" s="22" t="str">
        <f aca="false">IF($A163="","",IF($W163="","",ROUND(($W163-INT($W163))*24,4)))</f>
        <v/>
      </c>
      <c r="AR163" s="22" t="str">
        <f aca="false">IF($A163="","",IF($X163="","",ROUND(($X163-INT($X163))*24,4)))</f>
        <v/>
      </c>
      <c r="AS163" s="38" t="str">
        <f aca="false">IF($A163="","",IF(OR($AN163="",$V163="",$S163="",$T163=""),"",ROUND(($V163-($B163+$AN163/24))*1440-$S163-$T163,0)))</f>
        <v/>
      </c>
      <c r="AT163" s="38" t="str">
        <f aca="false">IF($A163="","",IF(OR($AN163="",$U163=""),"",ROUND(($U163-($B163+$AN163/24))*1440,0)))</f>
        <v/>
      </c>
      <c r="AU163" s="38" t="str">
        <f aca="false">IF($A163="","",IF(OR($AD163="",$S163=""),"",ROUND($AD163-$S163,0)))</f>
        <v/>
      </c>
      <c r="AV163" s="38" t="str">
        <f aca="false">IF($A163="","",N($AE163))</f>
        <v/>
      </c>
      <c r="AW163" s="38" t="str">
        <f aca="false">IF($A163="","",IF(OR($AF163="",$T163=""),"",$AF163-$T163))</f>
        <v/>
      </c>
      <c r="AX163" s="38" t="str">
        <f aca="false">IF($A163="","",IF(COUNT($AT163,$AB163,$AU163,$AW163,$AS163,$AH163)&lt;6,"",ROUND($AT163+$AB163+$AU163+$AV163+$AW163-$AS163-$AH163,0)))</f>
        <v/>
      </c>
      <c r="AY163" s="4" t="str">
        <f aca="false">IF($A163="","",IF($AX163="","No",IF(ABS($AX163)&lt;=2,"Yes","No")))</f>
        <v/>
      </c>
      <c r="AZ163" s="4" t="str">
        <f aca="false">IF($A163="","",IF($AI163&lt;&gt;"Yes","n/a",IF(OR($AA163="",$S163="",$T163=""),"Unknown",IF($AA163&lt;$S163+$T163,"Lost on arrival","Lost after arrival"))))</f>
        <v/>
      </c>
      <c r="BA163" s="10" t="str">
        <f aca="false">IF($A163="","",IFERROR(VLOOKUP($C163,Dim_Fund!$A:$D,4,0),""))</f>
        <v/>
      </c>
      <c r="BB163" s="10" t="str">
        <f aca="false">IF($A163="","",IF($AL163="","",IF(COUNTIFS(Fact_Milestone!$A:$A,$B163,Fact_Milestone!$B:$B,$AL163,Fact_Milestone!$I:$I,"No")&gt;0,"No",IF(COUNTIFS(Fact_Milestone!$A:$A,$B163,Fact_Milestone!$B:$B,$AL163,Fact_Milestone!$I:$I,"Yes")&gt;0,"Yes",""))))</f>
        <v/>
      </c>
      <c r="BC163" s="45" t="str">
        <f aca="false">IF($A163="","",IF(OR($L163="",$W163=""),"",IF(COUNTIFS($L:$L,$L163,$B:$B,$B163,$W:$W,"&lt;"&amp;$W163)=0,"",_xlfn.MAXIFS($W:$W,$L:$L,$L163,$B:$B,$B163,$W:$W,"&lt;"&amp;$W163))))</f>
        <v/>
      </c>
      <c r="BD163" s="39" t="str">
        <f aca="false">IF($A163="","",IF($AC163="","",IF(OR($L163="",$AC163=0),0,MIN($AC163,ROUND(ROUND(1440*SUMPRODUCT(($L$2:INDEX($L:$L,COUNTA($C:$C))=$L163)*($B$2:INDEX($B:$B,COUNTA($C:$C))=$B163)*(ROW($L$2:INDEX($L:$L,COUNTA($C:$C)))&lt;&gt;ROW())*((((($W163+$BT$2:INDEX($BT:$BT,COUNTA($C:$C))-ABS($W163-$BT$2:INDEX($BT:$BT,COUNTA($C:$C))))/2)-(($U163+$BS$2:INDEX($BS:$BS,COUNTA($C:$C))+ABS($U163-$BS$2:INDEX($BS:$BS,COUNTA($C:$C))))/2))+ABS(((($W163+$BT$2:INDEX($BT:$BT,COUNTA($C:$C))-ABS($W163-$BT$2:INDEX($BT:$BT,COUNTA($C:$C))))/2)-(($U163+$BS$2:INDEX($BS:$BS,COUNTA($C:$C))+ABS($U163-$BS$2:INDEX($BS:$BS,COUNTA($C:$C))))/2))))/2)),4),0)))))</f>
        <v/>
      </c>
      <c r="BE163" s="39" t="str">
        <f aca="false">IF($A163="","",IF($AC163="","",ROUND(MIN($AC163-$BD163,N($R163)),0)))</f>
        <v/>
      </c>
      <c r="BF163" s="10" t="str">
        <f aca="false">IF($A163="","",IFERROR(VLOOKUP($C163,Dim_Fund!$A:$BD,56,0),""))</f>
        <v/>
      </c>
      <c r="BG163" s="10" t="str">
        <f aca="false">IF($A163="","",IFERROR(VLOOKUP($C163,Dim_Fund!$A:$BH,60,0),""))</f>
        <v/>
      </c>
      <c r="BH163" s="10" t="str">
        <f aca="false">IF($A163="","",IF($AI163&lt;&gt;"Yes","Not breached",IF($AM163="Yes","Pricing late",IF($BG163="Thin custody slack","Thin custody slack",IF($BF163="Yes","Broker-dependent","None of these")))))</f>
        <v/>
      </c>
      <c r="BI163" s="23" t="str">
        <f aca="false">IF($A163="","",IFERROR(IF(VLOOKUP($C163,Dim_Fund!$A:$AI,35,0)&gt;0,VLOOKUP($C163,Dim_Fund!$A:$AI,35,0),""),""))</f>
        <v/>
      </c>
      <c r="BJ163" s="10" t="str">
        <f aca="false">IF($A163="","",$C163&amp;IF($E163="Client","*",""))</f>
        <v/>
      </c>
      <c r="BK163" s="39" t="str">
        <f aca="false">IF($A163="","",IFERROR(ROUND(($Y163-$X163)*1440,0),""))</f>
        <v/>
      </c>
      <c r="BL163" s="39" t="str">
        <f aca="false">IF($A163="","",IF($AH163="","",-$AH163))</f>
        <v/>
      </c>
      <c r="BM163" s="46" t="str">
        <f aca="false">IF($A163="","",IF($AQ163="","",IF($AP163="",$AQ163,MIN($AP163,$AQ163))))</f>
        <v/>
      </c>
      <c r="BN163" s="46" t="str">
        <f aca="false">IF($A163="","",IF($BM163="","",ROUND(N($AC163)/60,4)))</f>
        <v/>
      </c>
      <c r="BO163" s="46" t="str">
        <f aca="false">IF($A163="","",IF(OR($BM163="",$AD163=""),"",ROUND($AD163/60,4)))</f>
        <v/>
      </c>
      <c r="BP163" s="46" t="str">
        <f aca="false">IF($A163="","",IF($BM163="","",ROUND(N($AE163)/60,4)))</f>
        <v/>
      </c>
      <c r="BQ163" s="46" t="str">
        <f aca="false">IF($A163="","",IF(OR($BM163="",$AF163=""),"",ROUND($AF163/60,4)))</f>
        <v/>
      </c>
      <c r="BR163" s="39" t="str">
        <f aca="false">IF($A163="","",IF($AC163="","",$AC163-$BD163-$BE163))</f>
        <v/>
      </c>
      <c r="BS163" s="45" t="str">
        <f aca="false">IF($A163="","",IF(AND(ISNUMBER($Z163),ISNUMBER($W163)),$Z163,0))</f>
        <v/>
      </c>
      <c r="BT163" s="45" t="str">
        <f aca="false">IF($A163="","",IF(ISNUMBER($W163),$W163,0))</f>
        <v/>
      </c>
      <c r="BU163" s="23" t="str">
        <f aca="false">IF($A163="","",IF(ISNUMBER($W163),ROUND(($W163-$B163)*24,4),""))</f>
        <v/>
      </c>
      <c r="BV163" s="23" t="str">
        <f aca="false">IF($A163="","",IF(ISNUMBER($X163),ROUND(($X163-$B163)*24,4),""))</f>
        <v/>
      </c>
      <c r="BW163" s="10" t="str">
        <f aca="false">IF($A163="","",IF(NOT(ISNUMBER($W163)),"Missing Calculated",IF(NOT(ISNUMBER($X163)),IF($E163="Client","Missing FA signed off","Missing Controlled"),IF($X163&lt;$W163,"End before start","OK"))))</f>
        <v/>
      </c>
      <c r="BX163" s="23" t="str">
        <f aca="false">IF($A163="","",IF(NOT(ISNUMBER($Z163)),"",ROUND((IF(ISNUMBER($U163),MIN($U163,$Z163),$Z163)-$B163)*24,4)))</f>
        <v/>
      </c>
      <c r="BY163" s="23" t="str">
        <f aca="false">IF($A163="","",IF(ISNUMBER($Z163),ROUND(($Z163-$B163)*24,4),""))</f>
        <v/>
      </c>
      <c r="BZ163" s="23" t="str">
        <f aca="false">IF($A163="","",IF(AND(ISNUMBER($W163),ISNUMBER($S163)),ROUND(($W163+$S163/1440-$B163)*24,4),""))</f>
        <v/>
      </c>
    </row>
    <row r="164" customFormat="false" ht="15" hidden="false" customHeight="true" outlineLevel="0" collapsed="false">
      <c r="A164" s="47"/>
      <c r="B164" s="47"/>
      <c r="D164" s="4" t="str">
        <f aca="false">IF($A164="","",$B164-$A164)</f>
        <v/>
      </c>
      <c r="E164" s="4" t="str">
        <f aca="false">IF($A164="","",IFERROR(VLOOKUP($C164,Dim_Fund!$A:$X,24,0),""))</f>
        <v/>
      </c>
      <c r="F164" s="37" t="str">
        <f aca="false">IF($A164="","",IF(COUNTIFS(Status_Log!$A:$A,$A164,Status_Log!$B:$B,$B164,Status_Log!$C:$C,$C164,Status_Log!$D:$D,"Changed to the status of Calculated")=0,"",_xlfn.MINIFS(Status_Log!$E:$E,Status_Log!$A:$A,$A164,Status_Log!$B:$B,$B164,Status_Log!$C:$C,$C164,Status_Log!$D:$D,"Changed to the status of Calculated")))</f>
        <v/>
      </c>
      <c r="G164" s="37" t="str">
        <f aca="false">IF($A164="","",IF(COUNTIFS(Status_Log!$A:$A,$A164,Status_Log!$B:$B,$B164,Status_Log!$C:$C,$C164,Status_Log!$D:$D,"Changed to the status of Controlled")=0,"",_xlfn.MAXIFS(Status_Log!$E:$E,Status_Log!$A:$A,$A164,Status_Log!$B:$B,$B164,Status_Log!$C:$C,$C164,Status_Log!$D:$D,"Changed to the status of Controlled")))</f>
        <v/>
      </c>
      <c r="H164" s="37" t="str">
        <f aca="false">IF($A164="","",IF(COUNTIFS(Status_Log!$A:$A,$A164,Status_Log!$B:$B,$B164,Status_Log!$C:$C,$C164,Status_Log!$D:$D,"Changed to the status of Fund accounting signed off")=0,"",_xlfn.MAXIFS(Status_Log!$E:$E,Status_Log!$A:$A,$A164,Status_Log!$B:$B,$B164,Status_Log!$C:$C,$C164,Status_Log!$D:$D,"Changed to the status of Fund accounting signed off")))</f>
        <v/>
      </c>
      <c r="I164" s="37" t="str">
        <f aca="false">IF($A164="","",IF(COUNTIFS(Status_Log!$A:$A,$A164,Status_Log!$B:$B,$B164,Status_Log!$C:$C,$C164,Status_Log!$D:$D,"Changed to the status of signed off")=0,"",_xlfn.MAXIFS(Status_Log!$E:$E,Status_Log!$A:$A,$A164,Status_Log!$B:$B,$B164,Status_Log!$C:$C,$C164,Status_Log!$D:$D,"Changed to the status of signed off")))</f>
        <v/>
      </c>
      <c r="J164" s="4" t="str">
        <f aca="false">IF($A164="","",COUNTIFS(Status_Log!$A:$A,$A164,Status_Log!$B:$B,$B164,Status_Log!$C:$C,$C164,Status_Log!$D:$D,"Changed to the status of Calculated"))</f>
        <v/>
      </c>
      <c r="K164" s="38" t="str">
        <f aca="false">IF($A164="","",IF(J164&lt;=1,0,ROUND((_xlfn.MAXIFS(Status_Log!$E:$E,Status_Log!$A:$A,$A164,Status_Log!$B:$B,$B164,Status_Log!$C:$C,$C164,Status_Log!$D:$D,"Changed to the status of Calculated")-F164)*1440,0)))</f>
        <v/>
      </c>
      <c r="L164" s="4" t="str">
        <f aca="false">IF($A164="","",IFERROR(INDEX(Status_Log!$F:$F,MATCH($A164&amp;"|"&amp;$B164&amp;"|"&amp;$C164&amp;"|Changed to the status of Calculated|"&amp;TEXT(_xlfn.MAXIFS(Status_Log!$E:$E,Status_Log!$A:$A,$A164,Status_Log!$B:$B,$B164,Status_Log!$C:$C,$C164,Status_Log!$D:$D,"Changed to the status of Calculated"),"0.000000"),Status_Log!$H:$H,0)),""))</f>
        <v/>
      </c>
      <c r="M164" s="4" t="str">
        <f aca="false">IF($A164="","",IF(E164="Client","n/a — no control step",IFERROR(INDEX(Status_Log!$F:$F,MATCH($A164&amp;"|"&amp;$B164&amp;"|"&amp;$C164&amp;"|Changed to the status of Controlled|"&amp;TEXT(_xlfn.MAXIFS(Status_Log!$E:$E,Status_Log!$A:$A,$A164,Status_Log!$B:$B,$B164,Status_Log!$C:$C,$C164,Status_Log!$D:$D,"Changed to the status of Controlled"),"0.000000"),Status_Log!$H:$H,0)),"")))</f>
        <v/>
      </c>
      <c r="N164" s="4" t="str">
        <f aca="false">IF($A164="","",IFERROR(VLOOKUP($C164,Dim_Fund!$A:$G,7,0),""))</f>
        <v/>
      </c>
      <c r="O164" s="4" t="str">
        <f aca="false">IF($A164="","",IF(L164=N164,"No","Yes"))</f>
        <v/>
      </c>
      <c r="P164" s="4" t="str">
        <f aca="false">IF($A164="","",IF(E164="Client","n/a",IF(L164=M164,"YES — four-eyes breach","No")))</f>
        <v/>
      </c>
      <c r="Q164" s="38" t="str">
        <f aca="false">IF($A164="","",IFERROR(VLOOKUP($C164,Dim_Fund!$A:$AB,28,0),""))</f>
        <v/>
      </c>
      <c r="R164" s="38" t="str">
        <f aca="false">IF($A164="","",IFERROR(VLOOKUP($C164,Dim_Fund!$A:$AC,29,0),""))</f>
        <v/>
      </c>
      <c r="S164" s="38" t="str">
        <f aca="false">IF($A164="","",IFERROR(VLOOKUP($C164,Dim_Fund!$A:$AD,30,0),""))</f>
        <v/>
      </c>
      <c r="T164" s="38" t="str">
        <f aca="false">IF($A164="","",IFERROR(VLOOKUP($C164,Dim_Fund!$A:$AL,38,0),""))</f>
        <v/>
      </c>
      <c r="U164" s="37" t="str">
        <f aca="false">IF($A164="","",IF(AL164="","",IFERROR(IF(COUNTIFS(Fact_Milestone!$A:$A,$B164,Fact_Milestone!$B:$B,AL164)=0,"",_xlfn.MAXIFS(Fact_Milestone!$C:$C,Fact_Milestone!$A:$A,$B164,Fact_Milestone!$B:$B,AL164)),"")))</f>
        <v/>
      </c>
      <c r="V164" s="37" t="str">
        <f aca="false">IF($A164="","",IFERROR(IF(VLOOKUP($C164,Dim_Fund!$A:$AI,35,0)&gt;0,$B164+VLOOKUP($C164,Dim_Fund!$A:$AI,35,0)/24,""),""))</f>
        <v/>
      </c>
      <c r="W164" s="37" t="str">
        <f aca="false">IF($A164="","",F164)</f>
        <v/>
      </c>
      <c r="X164" s="37" t="str">
        <f aca="false">IF($A164="","",IF(E164="Client",H164,G164))</f>
        <v/>
      </c>
      <c r="Y164" s="37" t="str">
        <f aca="false">IF($A164="","",I164)</f>
        <v/>
      </c>
      <c r="Z164" s="37" t="str">
        <f aca="false">IF($A164="","",IFERROR(W164-R164/1440,""))</f>
        <v/>
      </c>
      <c r="AA164" s="38" t="str">
        <f aca="false">IF($A164="","",IF(OR(U164="",V164=""),"",ROUND((V164-U164)*1440,0)))</f>
        <v/>
      </c>
      <c r="AB164" s="38" t="str">
        <f aca="false">IF($A164="","",IF(U164="","",ROUND((W164-U164)*1440,0)))</f>
        <v/>
      </c>
      <c r="AC164" s="38" t="str">
        <f aca="false">IF($A164="","",IF(AB164="","",MAX(0,AB164)))</f>
        <v/>
      </c>
      <c r="AD164" s="38" t="str">
        <f aca="false">IF($A164="","",IFERROR(ROUND((X164-W164)*1440,0),""))</f>
        <v/>
      </c>
      <c r="AE164" s="38" t="str">
        <f aca="false">IF($A164="","",IF(E164="Client","n/a",IFERROR(ROUND((H164-G164)*1440,0),"")))</f>
        <v/>
      </c>
      <c r="AF164" s="38" t="str">
        <f aca="false">IF($A164="","",IFERROR(ROUND((Y164-H164)*1440,0),""))</f>
        <v/>
      </c>
      <c r="AG164" s="38" t="str">
        <f aca="false">IF($A164="","",IFERROR(ROUND((H164-F164)*1440,0),""))</f>
        <v/>
      </c>
      <c r="AH164" s="38" t="str">
        <f aca="false">IF($A164="","",IFERROR(ROUND((Y164-V164)*1440,0),""))</f>
        <v/>
      </c>
      <c r="AI164" s="4" t="str">
        <f aca="false">IF($A164="","",IF(AH164="","",IF(AH164&gt;0,"Yes","No")))</f>
        <v/>
      </c>
      <c r="AJ164" s="4" t="str">
        <f aca="false">IF($A164="","",IF(AI164&lt;&gt;"Yes","On time",IF(N(AC164)&gt;=MAX(N(AF164),N(K164)),"Wait for analyst",IF(N(AF164)&gt;=N(K164),"External sign-off","Rework"))))</f>
        <v/>
      </c>
      <c r="AK164" s="4" t="str">
        <f aca="false">IF($A164="","",IF(OR(F164="",Y164="",ISNA(MATCH(L164,Dim_Analyst!$A:$A,0))),"CHECK","OK"))</f>
        <v/>
      </c>
      <c r="AL164" s="4" t="str">
        <f aca="false">IF($A164="","",IFERROR(VLOOKUP($C164,Dim_Fund!$A:$U,21,0),""))</f>
        <v/>
      </c>
      <c r="AM164" s="4" t="str">
        <f aca="false">IF($A164="","",IF($U164="","",IF($U164&gt;$B164+IFERROR(VLOOKUP($C164,Dim_Fund!$A:$AH,34,0),0)/24,"Yes","No")))</f>
        <v/>
      </c>
      <c r="AN164" s="22" t="str">
        <f aca="false">IF($A164="","",IFERROR(VLOOKUP($C164,Dim_Fund!$A:$AH,34,0),""))</f>
        <v/>
      </c>
      <c r="AO164" s="22" t="str">
        <f aca="false">IF($A164="","",IF($AL164="","",IFERROR(FLOOR(IF(COUNTIFS(Fact_Milestone!$A:$A,$B164,Fact_Milestone!$B:$B,$AL164,Fact_Milestone!$F:$F,"&gt;0")&gt;0,_xlfn.MINIFS(Fact_Milestone!$F:$F,Fact_Milestone!$A:$A,$B164,Fact_Milestone!$B:$B,$AL164,Fact_Milestone!$F:$F,"&gt;0"),VLOOKUP($AL164,Dim_TOP!$A:$E,5,0)),0.5),"")))</f>
        <v/>
      </c>
      <c r="AP164" s="22" t="str">
        <f aca="false">IF($A164="","",IF($U164="","",ROUND(($U164-INT($U164))*24,4)))</f>
        <v/>
      </c>
      <c r="AQ164" s="22" t="str">
        <f aca="false">IF($A164="","",IF($W164="","",ROUND(($W164-INT($W164))*24,4)))</f>
        <v/>
      </c>
      <c r="AR164" s="22" t="str">
        <f aca="false">IF($A164="","",IF($X164="","",ROUND(($X164-INT($X164))*24,4)))</f>
        <v/>
      </c>
      <c r="AS164" s="38" t="str">
        <f aca="false">IF($A164="","",IF(OR($AN164="",$V164="",$S164="",$T164=""),"",ROUND(($V164-($B164+$AN164/24))*1440-$S164-$T164,0)))</f>
        <v/>
      </c>
      <c r="AT164" s="38" t="str">
        <f aca="false">IF($A164="","",IF(OR($AN164="",$U164=""),"",ROUND(($U164-($B164+$AN164/24))*1440,0)))</f>
        <v/>
      </c>
      <c r="AU164" s="38" t="str">
        <f aca="false">IF($A164="","",IF(OR($AD164="",$S164=""),"",ROUND($AD164-$S164,0)))</f>
        <v/>
      </c>
      <c r="AV164" s="38" t="str">
        <f aca="false">IF($A164="","",N($AE164))</f>
        <v/>
      </c>
      <c r="AW164" s="38" t="str">
        <f aca="false">IF($A164="","",IF(OR($AF164="",$T164=""),"",$AF164-$T164))</f>
        <v/>
      </c>
      <c r="AX164" s="38" t="str">
        <f aca="false">IF($A164="","",IF(COUNT($AT164,$AB164,$AU164,$AW164,$AS164,$AH164)&lt;6,"",ROUND($AT164+$AB164+$AU164+$AV164+$AW164-$AS164-$AH164,0)))</f>
        <v/>
      </c>
      <c r="AY164" s="4" t="str">
        <f aca="false">IF($A164="","",IF($AX164="","No",IF(ABS($AX164)&lt;=2,"Yes","No")))</f>
        <v/>
      </c>
      <c r="AZ164" s="4" t="str">
        <f aca="false">IF($A164="","",IF($AI164&lt;&gt;"Yes","n/a",IF(OR($AA164="",$S164="",$T164=""),"Unknown",IF($AA164&lt;$S164+$T164,"Lost on arrival","Lost after arrival"))))</f>
        <v/>
      </c>
      <c r="BA164" s="10" t="str">
        <f aca="false">IF($A164="","",IFERROR(VLOOKUP($C164,Dim_Fund!$A:$D,4,0),""))</f>
        <v/>
      </c>
      <c r="BB164" s="10" t="str">
        <f aca="false">IF($A164="","",IF($AL164="","",IF(COUNTIFS(Fact_Milestone!$A:$A,$B164,Fact_Milestone!$B:$B,$AL164,Fact_Milestone!$I:$I,"No")&gt;0,"No",IF(COUNTIFS(Fact_Milestone!$A:$A,$B164,Fact_Milestone!$B:$B,$AL164,Fact_Milestone!$I:$I,"Yes")&gt;0,"Yes",""))))</f>
        <v/>
      </c>
      <c r="BC164" s="45" t="str">
        <f aca="false">IF($A164="","",IF(OR($L164="",$W164=""),"",IF(COUNTIFS($L:$L,$L164,$B:$B,$B164,$W:$W,"&lt;"&amp;$W164)=0,"",_xlfn.MAXIFS($W:$W,$L:$L,$L164,$B:$B,$B164,$W:$W,"&lt;"&amp;$W164))))</f>
        <v/>
      </c>
      <c r="BD164" s="39" t="str">
        <f aca="false">IF($A164="","",IF($AC164="","",IF(OR($L164="",$AC164=0),0,MIN($AC164,ROUND(ROUND(1440*SUMPRODUCT(($L$2:INDEX($L:$L,COUNTA($C:$C))=$L164)*($B$2:INDEX($B:$B,COUNTA($C:$C))=$B164)*(ROW($L$2:INDEX($L:$L,COUNTA($C:$C)))&lt;&gt;ROW())*((((($W164+$BT$2:INDEX($BT:$BT,COUNTA($C:$C))-ABS($W164-$BT$2:INDEX($BT:$BT,COUNTA($C:$C))))/2)-(($U164+$BS$2:INDEX($BS:$BS,COUNTA($C:$C))+ABS($U164-$BS$2:INDEX($BS:$BS,COUNTA($C:$C))))/2))+ABS(((($W164+$BT$2:INDEX($BT:$BT,COUNTA($C:$C))-ABS($W164-$BT$2:INDEX($BT:$BT,COUNTA($C:$C))))/2)-(($U164+$BS$2:INDEX($BS:$BS,COUNTA($C:$C))+ABS($U164-$BS$2:INDEX($BS:$BS,COUNTA($C:$C))))/2))))/2)),4),0)))))</f>
        <v/>
      </c>
      <c r="BE164" s="39" t="str">
        <f aca="false">IF($A164="","",IF($AC164="","",ROUND(MIN($AC164-$BD164,N($R164)),0)))</f>
        <v/>
      </c>
      <c r="BF164" s="10" t="str">
        <f aca="false">IF($A164="","",IFERROR(VLOOKUP($C164,Dim_Fund!$A:$BD,56,0),""))</f>
        <v/>
      </c>
      <c r="BG164" s="10" t="str">
        <f aca="false">IF($A164="","",IFERROR(VLOOKUP($C164,Dim_Fund!$A:$BH,60,0),""))</f>
        <v/>
      </c>
      <c r="BH164" s="10" t="str">
        <f aca="false">IF($A164="","",IF($AI164&lt;&gt;"Yes","Not breached",IF($AM164="Yes","Pricing late",IF($BG164="Thin custody slack","Thin custody slack",IF($BF164="Yes","Broker-dependent","None of these")))))</f>
        <v/>
      </c>
      <c r="BI164" s="23" t="str">
        <f aca="false">IF($A164="","",IFERROR(IF(VLOOKUP($C164,Dim_Fund!$A:$AI,35,0)&gt;0,VLOOKUP($C164,Dim_Fund!$A:$AI,35,0),""),""))</f>
        <v/>
      </c>
      <c r="BJ164" s="10" t="str">
        <f aca="false">IF($A164="","",$C164&amp;IF($E164="Client","*",""))</f>
        <v/>
      </c>
      <c r="BK164" s="39" t="str">
        <f aca="false">IF($A164="","",IFERROR(ROUND(($Y164-$X164)*1440,0),""))</f>
        <v/>
      </c>
      <c r="BL164" s="39" t="str">
        <f aca="false">IF($A164="","",IF($AH164="","",-$AH164))</f>
        <v/>
      </c>
      <c r="BM164" s="46" t="str">
        <f aca="false">IF($A164="","",IF($AQ164="","",IF($AP164="",$AQ164,MIN($AP164,$AQ164))))</f>
        <v/>
      </c>
      <c r="BN164" s="46" t="str">
        <f aca="false">IF($A164="","",IF($BM164="","",ROUND(N($AC164)/60,4)))</f>
        <v/>
      </c>
      <c r="BO164" s="46" t="str">
        <f aca="false">IF($A164="","",IF(OR($BM164="",$AD164=""),"",ROUND($AD164/60,4)))</f>
        <v/>
      </c>
      <c r="BP164" s="46" t="str">
        <f aca="false">IF($A164="","",IF($BM164="","",ROUND(N($AE164)/60,4)))</f>
        <v/>
      </c>
      <c r="BQ164" s="46" t="str">
        <f aca="false">IF($A164="","",IF(OR($BM164="",$AF164=""),"",ROUND($AF164/60,4)))</f>
        <v/>
      </c>
      <c r="BR164" s="39" t="str">
        <f aca="false">IF($A164="","",IF($AC164="","",$AC164-$BD164-$BE164))</f>
        <v/>
      </c>
      <c r="BS164" s="45" t="str">
        <f aca="false">IF($A164="","",IF(AND(ISNUMBER($Z164),ISNUMBER($W164)),$Z164,0))</f>
        <v/>
      </c>
      <c r="BT164" s="45" t="str">
        <f aca="false">IF($A164="","",IF(ISNUMBER($W164),$W164,0))</f>
        <v/>
      </c>
      <c r="BU164" s="23" t="str">
        <f aca="false">IF($A164="","",IF(ISNUMBER($W164),ROUND(($W164-$B164)*24,4),""))</f>
        <v/>
      </c>
      <c r="BV164" s="23" t="str">
        <f aca="false">IF($A164="","",IF(ISNUMBER($X164),ROUND(($X164-$B164)*24,4),""))</f>
        <v/>
      </c>
      <c r="BW164" s="10" t="str">
        <f aca="false">IF($A164="","",IF(NOT(ISNUMBER($W164)),"Missing Calculated",IF(NOT(ISNUMBER($X164)),IF($E164="Client","Missing FA signed off","Missing Controlled"),IF($X164&lt;$W164,"End before start","OK"))))</f>
        <v/>
      </c>
      <c r="BX164" s="23" t="str">
        <f aca="false">IF($A164="","",IF(NOT(ISNUMBER($Z164)),"",ROUND((IF(ISNUMBER($U164),MIN($U164,$Z164),$Z164)-$B164)*24,4)))</f>
        <v/>
      </c>
      <c r="BY164" s="23" t="str">
        <f aca="false">IF($A164="","",IF(ISNUMBER($Z164),ROUND(($Z164-$B164)*24,4),""))</f>
        <v/>
      </c>
      <c r="BZ164" s="23" t="str">
        <f aca="false">IF($A164="","",IF(AND(ISNUMBER($W164),ISNUMBER($S164)),ROUND(($W164+$S164/1440-$B164)*24,4),""))</f>
        <v/>
      </c>
    </row>
    <row r="165" customFormat="false" ht="15" hidden="false" customHeight="true" outlineLevel="0" collapsed="false">
      <c r="A165" s="47"/>
      <c r="B165" s="47"/>
      <c r="D165" s="4" t="str">
        <f aca="false">IF($A165="","",$B165-$A165)</f>
        <v/>
      </c>
      <c r="E165" s="4" t="str">
        <f aca="false">IF($A165="","",IFERROR(VLOOKUP($C165,Dim_Fund!$A:$X,24,0),""))</f>
        <v/>
      </c>
      <c r="F165" s="37" t="str">
        <f aca="false">IF($A165="","",IF(COUNTIFS(Status_Log!$A:$A,$A165,Status_Log!$B:$B,$B165,Status_Log!$C:$C,$C165,Status_Log!$D:$D,"Changed to the status of Calculated")=0,"",_xlfn.MINIFS(Status_Log!$E:$E,Status_Log!$A:$A,$A165,Status_Log!$B:$B,$B165,Status_Log!$C:$C,$C165,Status_Log!$D:$D,"Changed to the status of Calculated")))</f>
        <v/>
      </c>
      <c r="G165" s="37" t="str">
        <f aca="false">IF($A165="","",IF(COUNTIFS(Status_Log!$A:$A,$A165,Status_Log!$B:$B,$B165,Status_Log!$C:$C,$C165,Status_Log!$D:$D,"Changed to the status of Controlled")=0,"",_xlfn.MAXIFS(Status_Log!$E:$E,Status_Log!$A:$A,$A165,Status_Log!$B:$B,$B165,Status_Log!$C:$C,$C165,Status_Log!$D:$D,"Changed to the status of Controlled")))</f>
        <v/>
      </c>
      <c r="H165" s="37" t="str">
        <f aca="false">IF($A165="","",IF(COUNTIFS(Status_Log!$A:$A,$A165,Status_Log!$B:$B,$B165,Status_Log!$C:$C,$C165,Status_Log!$D:$D,"Changed to the status of Fund accounting signed off")=0,"",_xlfn.MAXIFS(Status_Log!$E:$E,Status_Log!$A:$A,$A165,Status_Log!$B:$B,$B165,Status_Log!$C:$C,$C165,Status_Log!$D:$D,"Changed to the status of Fund accounting signed off")))</f>
        <v/>
      </c>
      <c r="I165" s="37" t="str">
        <f aca="false">IF($A165="","",IF(COUNTIFS(Status_Log!$A:$A,$A165,Status_Log!$B:$B,$B165,Status_Log!$C:$C,$C165,Status_Log!$D:$D,"Changed to the status of signed off")=0,"",_xlfn.MAXIFS(Status_Log!$E:$E,Status_Log!$A:$A,$A165,Status_Log!$B:$B,$B165,Status_Log!$C:$C,$C165,Status_Log!$D:$D,"Changed to the status of signed off")))</f>
        <v/>
      </c>
      <c r="J165" s="4" t="str">
        <f aca="false">IF($A165="","",COUNTIFS(Status_Log!$A:$A,$A165,Status_Log!$B:$B,$B165,Status_Log!$C:$C,$C165,Status_Log!$D:$D,"Changed to the status of Calculated"))</f>
        <v/>
      </c>
      <c r="K165" s="38" t="str">
        <f aca="false">IF($A165="","",IF(J165&lt;=1,0,ROUND((_xlfn.MAXIFS(Status_Log!$E:$E,Status_Log!$A:$A,$A165,Status_Log!$B:$B,$B165,Status_Log!$C:$C,$C165,Status_Log!$D:$D,"Changed to the status of Calculated")-F165)*1440,0)))</f>
        <v/>
      </c>
      <c r="L165" s="4" t="str">
        <f aca="false">IF($A165="","",IFERROR(INDEX(Status_Log!$F:$F,MATCH($A165&amp;"|"&amp;$B165&amp;"|"&amp;$C165&amp;"|Changed to the status of Calculated|"&amp;TEXT(_xlfn.MAXIFS(Status_Log!$E:$E,Status_Log!$A:$A,$A165,Status_Log!$B:$B,$B165,Status_Log!$C:$C,$C165,Status_Log!$D:$D,"Changed to the status of Calculated"),"0.000000"),Status_Log!$H:$H,0)),""))</f>
        <v/>
      </c>
      <c r="M165" s="4" t="str">
        <f aca="false">IF($A165="","",IF(E165="Client","n/a — no control step",IFERROR(INDEX(Status_Log!$F:$F,MATCH($A165&amp;"|"&amp;$B165&amp;"|"&amp;$C165&amp;"|Changed to the status of Controlled|"&amp;TEXT(_xlfn.MAXIFS(Status_Log!$E:$E,Status_Log!$A:$A,$A165,Status_Log!$B:$B,$B165,Status_Log!$C:$C,$C165,Status_Log!$D:$D,"Changed to the status of Controlled"),"0.000000"),Status_Log!$H:$H,0)),"")))</f>
        <v/>
      </c>
      <c r="N165" s="4" t="str">
        <f aca="false">IF($A165="","",IFERROR(VLOOKUP($C165,Dim_Fund!$A:$G,7,0),""))</f>
        <v/>
      </c>
      <c r="O165" s="4" t="str">
        <f aca="false">IF($A165="","",IF(L165=N165,"No","Yes"))</f>
        <v/>
      </c>
      <c r="P165" s="4" t="str">
        <f aca="false">IF($A165="","",IF(E165="Client","n/a",IF(L165=M165,"YES — four-eyes breach","No")))</f>
        <v/>
      </c>
      <c r="Q165" s="38" t="str">
        <f aca="false">IF($A165="","",IFERROR(VLOOKUP($C165,Dim_Fund!$A:$AB,28,0),""))</f>
        <v/>
      </c>
      <c r="R165" s="38" t="str">
        <f aca="false">IF($A165="","",IFERROR(VLOOKUP($C165,Dim_Fund!$A:$AC,29,0),""))</f>
        <v/>
      </c>
      <c r="S165" s="38" t="str">
        <f aca="false">IF($A165="","",IFERROR(VLOOKUP($C165,Dim_Fund!$A:$AD,30,0),""))</f>
        <v/>
      </c>
      <c r="T165" s="38" t="str">
        <f aca="false">IF($A165="","",IFERROR(VLOOKUP($C165,Dim_Fund!$A:$AL,38,0),""))</f>
        <v/>
      </c>
      <c r="U165" s="37" t="str">
        <f aca="false">IF($A165="","",IF(AL165="","",IFERROR(IF(COUNTIFS(Fact_Milestone!$A:$A,$B165,Fact_Milestone!$B:$B,AL165)=0,"",_xlfn.MAXIFS(Fact_Milestone!$C:$C,Fact_Milestone!$A:$A,$B165,Fact_Milestone!$B:$B,AL165)),"")))</f>
        <v/>
      </c>
      <c r="V165" s="37" t="str">
        <f aca="false">IF($A165="","",IFERROR(IF(VLOOKUP($C165,Dim_Fund!$A:$AI,35,0)&gt;0,$B165+VLOOKUP($C165,Dim_Fund!$A:$AI,35,0)/24,""),""))</f>
        <v/>
      </c>
      <c r="W165" s="37" t="str">
        <f aca="false">IF($A165="","",F165)</f>
        <v/>
      </c>
      <c r="X165" s="37" t="str">
        <f aca="false">IF($A165="","",IF(E165="Client",H165,G165))</f>
        <v/>
      </c>
      <c r="Y165" s="37" t="str">
        <f aca="false">IF($A165="","",I165)</f>
        <v/>
      </c>
      <c r="Z165" s="37" t="str">
        <f aca="false">IF($A165="","",IFERROR(W165-R165/1440,""))</f>
        <v/>
      </c>
      <c r="AA165" s="38" t="str">
        <f aca="false">IF($A165="","",IF(OR(U165="",V165=""),"",ROUND((V165-U165)*1440,0)))</f>
        <v/>
      </c>
      <c r="AB165" s="38" t="str">
        <f aca="false">IF($A165="","",IF(U165="","",ROUND((W165-U165)*1440,0)))</f>
        <v/>
      </c>
      <c r="AC165" s="38" t="str">
        <f aca="false">IF($A165="","",IF(AB165="","",MAX(0,AB165)))</f>
        <v/>
      </c>
      <c r="AD165" s="38" t="str">
        <f aca="false">IF($A165="","",IFERROR(ROUND((X165-W165)*1440,0),""))</f>
        <v/>
      </c>
      <c r="AE165" s="38" t="str">
        <f aca="false">IF($A165="","",IF(E165="Client","n/a",IFERROR(ROUND((H165-G165)*1440,0),"")))</f>
        <v/>
      </c>
      <c r="AF165" s="38" t="str">
        <f aca="false">IF($A165="","",IFERROR(ROUND((Y165-H165)*1440,0),""))</f>
        <v/>
      </c>
      <c r="AG165" s="38" t="str">
        <f aca="false">IF($A165="","",IFERROR(ROUND((H165-F165)*1440,0),""))</f>
        <v/>
      </c>
      <c r="AH165" s="38" t="str">
        <f aca="false">IF($A165="","",IFERROR(ROUND((Y165-V165)*1440,0),""))</f>
        <v/>
      </c>
      <c r="AI165" s="4" t="str">
        <f aca="false">IF($A165="","",IF(AH165="","",IF(AH165&gt;0,"Yes","No")))</f>
        <v/>
      </c>
      <c r="AJ165" s="4" t="str">
        <f aca="false">IF($A165="","",IF(AI165&lt;&gt;"Yes","On time",IF(N(AC165)&gt;=MAX(N(AF165),N(K165)),"Wait for analyst",IF(N(AF165)&gt;=N(K165),"External sign-off","Rework"))))</f>
        <v/>
      </c>
      <c r="AK165" s="4" t="str">
        <f aca="false">IF($A165="","",IF(OR(F165="",Y165="",ISNA(MATCH(L165,Dim_Analyst!$A:$A,0))),"CHECK","OK"))</f>
        <v/>
      </c>
      <c r="AL165" s="4" t="str">
        <f aca="false">IF($A165="","",IFERROR(VLOOKUP($C165,Dim_Fund!$A:$U,21,0),""))</f>
        <v/>
      </c>
      <c r="AM165" s="4" t="str">
        <f aca="false">IF($A165="","",IF($U165="","",IF($U165&gt;$B165+IFERROR(VLOOKUP($C165,Dim_Fund!$A:$AH,34,0),0)/24,"Yes","No")))</f>
        <v/>
      </c>
      <c r="AN165" s="22" t="str">
        <f aca="false">IF($A165="","",IFERROR(VLOOKUP($C165,Dim_Fund!$A:$AH,34,0),""))</f>
        <v/>
      </c>
      <c r="AO165" s="22" t="str">
        <f aca="false">IF($A165="","",IF($AL165="","",IFERROR(FLOOR(IF(COUNTIFS(Fact_Milestone!$A:$A,$B165,Fact_Milestone!$B:$B,$AL165,Fact_Milestone!$F:$F,"&gt;0")&gt;0,_xlfn.MINIFS(Fact_Milestone!$F:$F,Fact_Milestone!$A:$A,$B165,Fact_Milestone!$B:$B,$AL165,Fact_Milestone!$F:$F,"&gt;0"),VLOOKUP($AL165,Dim_TOP!$A:$E,5,0)),0.5),"")))</f>
        <v/>
      </c>
      <c r="AP165" s="22" t="str">
        <f aca="false">IF($A165="","",IF($U165="","",ROUND(($U165-INT($U165))*24,4)))</f>
        <v/>
      </c>
      <c r="AQ165" s="22" t="str">
        <f aca="false">IF($A165="","",IF($W165="","",ROUND(($W165-INT($W165))*24,4)))</f>
        <v/>
      </c>
      <c r="AR165" s="22" t="str">
        <f aca="false">IF($A165="","",IF($X165="","",ROUND(($X165-INT($X165))*24,4)))</f>
        <v/>
      </c>
      <c r="AS165" s="38" t="str">
        <f aca="false">IF($A165="","",IF(OR($AN165="",$V165="",$S165="",$T165=""),"",ROUND(($V165-($B165+$AN165/24))*1440-$S165-$T165,0)))</f>
        <v/>
      </c>
      <c r="AT165" s="38" t="str">
        <f aca="false">IF($A165="","",IF(OR($AN165="",$U165=""),"",ROUND(($U165-($B165+$AN165/24))*1440,0)))</f>
        <v/>
      </c>
      <c r="AU165" s="38" t="str">
        <f aca="false">IF($A165="","",IF(OR($AD165="",$S165=""),"",ROUND($AD165-$S165,0)))</f>
        <v/>
      </c>
      <c r="AV165" s="38" t="str">
        <f aca="false">IF($A165="","",N($AE165))</f>
        <v/>
      </c>
      <c r="AW165" s="38" t="str">
        <f aca="false">IF($A165="","",IF(OR($AF165="",$T165=""),"",$AF165-$T165))</f>
        <v/>
      </c>
      <c r="AX165" s="38" t="str">
        <f aca="false">IF($A165="","",IF(COUNT($AT165,$AB165,$AU165,$AW165,$AS165,$AH165)&lt;6,"",ROUND($AT165+$AB165+$AU165+$AV165+$AW165-$AS165-$AH165,0)))</f>
        <v/>
      </c>
      <c r="AY165" s="4" t="str">
        <f aca="false">IF($A165="","",IF($AX165="","No",IF(ABS($AX165)&lt;=2,"Yes","No")))</f>
        <v/>
      </c>
      <c r="AZ165" s="4" t="str">
        <f aca="false">IF($A165="","",IF($AI165&lt;&gt;"Yes","n/a",IF(OR($AA165="",$S165="",$T165=""),"Unknown",IF($AA165&lt;$S165+$T165,"Lost on arrival","Lost after arrival"))))</f>
        <v/>
      </c>
      <c r="BA165" s="10" t="str">
        <f aca="false">IF($A165="","",IFERROR(VLOOKUP($C165,Dim_Fund!$A:$D,4,0),""))</f>
        <v/>
      </c>
      <c r="BB165" s="10" t="str">
        <f aca="false">IF($A165="","",IF($AL165="","",IF(COUNTIFS(Fact_Milestone!$A:$A,$B165,Fact_Milestone!$B:$B,$AL165,Fact_Milestone!$I:$I,"No")&gt;0,"No",IF(COUNTIFS(Fact_Milestone!$A:$A,$B165,Fact_Milestone!$B:$B,$AL165,Fact_Milestone!$I:$I,"Yes")&gt;0,"Yes",""))))</f>
        <v/>
      </c>
      <c r="BC165" s="45" t="str">
        <f aca="false">IF($A165="","",IF(OR($L165="",$W165=""),"",IF(COUNTIFS($L:$L,$L165,$B:$B,$B165,$W:$W,"&lt;"&amp;$W165)=0,"",_xlfn.MAXIFS($W:$W,$L:$L,$L165,$B:$B,$B165,$W:$W,"&lt;"&amp;$W165))))</f>
        <v/>
      </c>
      <c r="BD165" s="39" t="str">
        <f aca="false">IF($A165="","",IF($AC165="","",IF(OR($L165="",$AC165=0),0,MIN($AC165,ROUND(ROUND(1440*SUMPRODUCT(($L$2:INDEX($L:$L,COUNTA($C:$C))=$L165)*($B$2:INDEX($B:$B,COUNTA($C:$C))=$B165)*(ROW($L$2:INDEX($L:$L,COUNTA($C:$C)))&lt;&gt;ROW())*((((($W165+$BT$2:INDEX($BT:$BT,COUNTA($C:$C))-ABS($W165-$BT$2:INDEX($BT:$BT,COUNTA($C:$C))))/2)-(($U165+$BS$2:INDEX($BS:$BS,COUNTA($C:$C))+ABS($U165-$BS$2:INDEX($BS:$BS,COUNTA($C:$C))))/2))+ABS(((($W165+$BT$2:INDEX($BT:$BT,COUNTA($C:$C))-ABS($W165-$BT$2:INDEX($BT:$BT,COUNTA($C:$C))))/2)-(($U165+$BS$2:INDEX($BS:$BS,COUNTA($C:$C))+ABS($U165-$BS$2:INDEX($BS:$BS,COUNTA($C:$C))))/2))))/2)),4),0)))))</f>
        <v/>
      </c>
      <c r="BE165" s="39" t="str">
        <f aca="false">IF($A165="","",IF($AC165="","",ROUND(MIN($AC165-$BD165,N($R165)),0)))</f>
        <v/>
      </c>
      <c r="BF165" s="10" t="str">
        <f aca="false">IF($A165="","",IFERROR(VLOOKUP($C165,Dim_Fund!$A:$BD,56,0),""))</f>
        <v/>
      </c>
      <c r="BG165" s="10" t="str">
        <f aca="false">IF($A165="","",IFERROR(VLOOKUP($C165,Dim_Fund!$A:$BH,60,0),""))</f>
        <v/>
      </c>
      <c r="BH165" s="10" t="str">
        <f aca="false">IF($A165="","",IF($AI165&lt;&gt;"Yes","Not breached",IF($AM165="Yes","Pricing late",IF($BG165="Thin custody slack","Thin custody slack",IF($BF165="Yes","Broker-dependent","None of these")))))</f>
        <v/>
      </c>
      <c r="BI165" s="23" t="str">
        <f aca="false">IF($A165="","",IFERROR(IF(VLOOKUP($C165,Dim_Fund!$A:$AI,35,0)&gt;0,VLOOKUP($C165,Dim_Fund!$A:$AI,35,0),""),""))</f>
        <v/>
      </c>
      <c r="BJ165" s="10" t="str">
        <f aca="false">IF($A165="","",$C165&amp;IF($E165="Client","*",""))</f>
        <v/>
      </c>
      <c r="BK165" s="39" t="str">
        <f aca="false">IF($A165="","",IFERROR(ROUND(($Y165-$X165)*1440,0),""))</f>
        <v/>
      </c>
      <c r="BL165" s="39" t="str">
        <f aca="false">IF($A165="","",IF($AH165="","",-$AH165))</f>
        <v/>
      </c>
      <c r="BM165" s="46" t="str">
        <f aca="false">IF($A165="","",IF($AQ165="","",IF($AP165="",$AQ165,MIN($AP165,$AQ165))))</f>
        <v/>
      </c>
      <c r="BN165" s="46" t="str">
        <f aca="false">IF($A165="","",IF($BM165="","",ROUND(N($AC165)/60,4)))</f>
        <v/>
      </c>
      <c r="BO165" s="46" t="str">
        <f aca="false">IF($A165="","",IF(OR($BM165="",$AD165=""),"",ROUND($AD165/60,4)))</f>
        <v/>
      </c>
      <c r="BP165" s="46" t="str">
        <f aca="false">IF($A165="","",IF($BM165="","",ROUND(N($AE165)/60,4)))</f>
        <v/>
      </c>
      <c r="BQ165" s="46" t="str">
        <f aca="false">IF($A165="","",IF(OR($BM165="",$AF165=""),"",ROUND($AF165/60,4)))</f>
        <v/>
      </c>
      <c r="BR165" s="39" t="str">
        <f aca="false">IF($A165="","",IF($AC165="","",$AC165-$BD165-$BE165))</f>
        <v/>
      </c>
      <c r="BS165" s="45" t="str">
        <f aca="false">IF($A165="","",IF(AND(ISNUMBER($Z165),ISNUMBER($W165)),$Z165,0))</f>
        <v/>
      </c>
      <c r="BT165" s="45" t="str">
        <f aca="false">IF($A165="","",IF(ISNUMBER($W165),$W165,0))</f>
        <v/>
      </c>
      <c r="BU165" s="23" t="str">
        <f aca="false">IF($A165="","",IF(ISNUMBER($W165),ROUND(($W165-$B165)*24,4),""))</f>
        <v/>
      </c>
      <c r="BV165" s="23" t="str">
        <f aca="false">IF($A165="","",IF(ISNUMBER($X165),ROUND(($X165-$B165)*24,4),""))</f>
        <v/>
      </c>
      <c r="BW165" s="10" t="str">
        <f aca="false">IF($A165="","",IF(NOT(ISNUMBER($W165)),"Missing Calculated",IF(NOT(ISNUMBER($X165)),IF($E165="Client","Missing FA signed off","Missing Controlled"),IF($X165&lt;$W165,"End before start","OK"))))</f>
        <v/>
      </c>
      <c r="BX165" s="23" t="str">
        <f aca="false">IF($A165="","",IF(NOT(ISNUMBER($Z165)),"",ROUND((IF(ISNUMBER($U165),MIN($U165,$Z165),$Z165)-$B165)*24,4)))</f>
        <v/>
      </c>
      <c r="BY165" s="23" t="str">
        <f aca="false">IF($A165="","",IF(ISNUMBER($Z165),ROUND(($Z165-$B165)*24,4),""))</f>
        <v/>
      </c>
      <c r="BZ165" s="23" t="str">
        <f aca="false">IF($A165="","",IF(AND(ISNUMBER($W165),ISNUMBER($S165)),ROUND(($W165+$S165/1440-$B165)*24,4),""))</f>
        <v/>
      </c>
    </row>
    <row r="166" customFormat="false" ht="15" hidden="false" customHeight="true" outlineLevel="0" collapsed="false">
      <c r="A166" s="47"/>
      <c r="B166" s="47"/>
      <c r="D166" s="4" t="str">
        <f aca="false">IF($A166="","",$B166-$A166)</f>
        <v/>
      </c>
      <c r="E166" s="4" t="str">
        <f aca="false">IF($A166="","",IFERROR(VLOOKUP($C166,Dim_Fund!$A:$X,24,0),""))</f>
        <v/>
      </c>
      <c r="F166" s="37" t="str">
        <f aca="false">IF($A166="","",IF(COUNTIFS(Status_Log!$A:$A,$A166,Status_Log!$B:$B,$B166,Status_Log!$C:$C,$C166,Status_Log!$D:$D,"Changed to the status of Calculated")=0,"",_xlfn.MINIFS(Status_Log!$E:$E,Status_Log!$A:$A,$A166,Status_Log!$B:$B,$B166,Status_Log!$C:$C,$C166,Status_Log!$D:$D,"Changed to the status of Calculated")))</f>
        <v/>
      </c>
      <c r="G166" s="37" t="str">
        <f aca="false">IF($A166="","",IF(COUNTIFS(Status_Log!$A:$A,$A166,Status_Log!$B:$B,$B166,Status_Log!$C:$C,$C166,Status_Log!$D:$D,"Changed to the status of Controlled")=0,"",_xlfn.MAXIFS(Status_Log!$E:$E,Status_Log!$A:$A,$A166,Status_Log!$B:$B,$B166,Status_Log!$C:$C,$C166,Status_Log!$D:$D,"Changed to the status of Controlled")))</f>
        <v/>
      </c>
      <c r="H166" s="37" t="str">
        <f aca="false">IF($A166="","",IF(COUNTIFS(Status_Log!$A:$A,$A166,Status_Log!$B:$B,$B166,Status_Log!$C:$C,$C166,Status_Log!$D:$D,"Changed to the status of Fund accounting signed off")=0,"",_xlfn.MAXIFS(Status_Log!$E:$E,Status_Log!$A:$A,$A166,Status_Log!$B:$B,$B166,Status_Log!$C:$C,$C166,Status_Log!$D:$D,"Changed to the status of Fund accounting signed off")))</f>
        <v/>
      </c>
      <c r="I166" s="37" t="str">
        <f aca="false">IF($A166="","",IF(COUNTIFS(Status_Log!$A:$A,$A166,Status_Log!$B:$B,$B166,Status_Log!$C:$C,$C166,Status_Log!$D:$D,"Changed to the status of signed off")=0,"",_xlfn.MAXIFS(Status_Log!$E:$E,Status_Log!$A:$A,$A166,Status_Log!$B:$B,$B166,Status_Log!$C:$C,$C166,Status_Log!$D:$D,"Changed to the status of signed off")))</f>
        <v/>
      </c>
      <c r="J166" s="4" t="str">
        <f aca="false">IF($A166="","",COUNTIFS(Status_Log!$A:$A,$A166,Status_Log!$B:$B,$B166,Status_Log!$C:$C,$C166,Status_Log!$D:$D,"Changed to the status of Calculated"))</f>
        <v/>
      </c>
      <c r="K166" s="38" t="str">
        <f aca="false">IF($A166="","",IF(J166&lt;=1,0,ROUND((_xlfn.MAXIFS(Status_Log!$E:$E,Status_Log!$A:$A,$A166,Status_Log!$B:$B,$B166,Status_Log!$C:$C,$C166,Status_Log!$D:$D,"Changed to the status of Calculated")-F166)*1440,0)))</f>
        <v/>
      </c>
      <c r="L166" s="4" t="str">
        <f aca="false">IF($A166="","",IFERROR(INDEX(Status_Log!$F:$F,MATCH($A166&amp;"|"&amp;$B166&amp;"|"&amp;$C166&amp;"|Changed to the status of Calculated|"&amp;TEXT(_xlfn.MAXIFS(Status_Log!$E:$E,Status_Log!$A:$A,$A166,Status_Log!$B:$B,$B166,Status_Log!$C:$C,$C166,Status_Log!$D:$D,"Changed to the status of Calculated"),"0.000000"),Status_Log!$H:$H,0)),""))</f>
        <v/>
      </c>
      <c r="M166" s="4" t="str">
        <f aca="false">IF($A166="","",IF(E166="Client","n/a — no control step",IFERROR(INDEX(Status_Log!$F:$F,MATCH($A166&amp;"|"&amp;$B166&amp;"|"&amp;$C166&amp;"|Changed to the status of Controlled|"&amp;TEXT(_xlfn.MAXIFS(Status_Log!$E:$E,Status_Log!$A:$A,$A166,Status_Log!$B:$B,$B166,Status_Log!$C:$C,$C166,Status_Log!$D:$D,"Changed to the status of Controlled"),"0.000000"),Status_Log!$H:$H,0)),"")))</f>
        <v/>
      </c>
      <c r="N166" s="4" t="str">
        <f aca="false">IF($A166="","",IFERROR(VLOOKUP($C166,Dim_Fund!$A:$G,7,0),""))</f>
        <v/>
      </c>
      <c r="O166" s="4" t="str">
        <f aca="false">IF($A166="","",IF(L166=N166,"No","Yes"))</f>
        <v/>
      </c>
      <c r="P166" s="4" t="str">
        <f aca="false">IF($A166="","",IF(E166="Client","n/a",IF(L166=M166,"YES — four-eyes breach","No")))</f>
        <v/>
      </c>
      <c r="Q166" s="38" t="str">
        <f aca="false">IF($A166="","",IFERROR(VLOOKUP($C166,Dim_Fund!$A:$AB,28,0),""))</f>
        <v/>
      </c>
      <c r="R166" s="38" t="str">
        <f aca="false">IF($A166="","",IFERROR(VLOOKUP($C166,Dim_Fund!$A:$AC,29,0),""))</f>
        <v/>
      </c>
      <c r="S166" s="38" t="str">
        <f aca="false">IF($A166="","",IFERROR(VLOOKUP($C166,Dim_Fund!$A:$AD,30,0),""))</f>
        <v/>
      </c>
      <c r="T166" s="38" t="str">
        <f aca="false">IF($A166="","",IFERROR(VLOOKUP($C166,Dim_Fund!$A:$AL,38,0),""))</f>
        <v/>
      </c>
      <c r="U166" s="37" t="str">
        <f aca="false">IF($A166="","",IF(AL166="","",IFERROR(IF(COUNTIFS(Fact_Milestone!$A:$A,$B166,Fact_Milestone!$B:$B,AL166)=0,"",_xlfn.MAXIFS(Fact_Milestone!$C:$C,Fact_Milestone!$A:$A,$B166,Fact_Milestone!$B:$B,AL166)),"")))</f>
        <v/>
      </c>
      <c r="V166" s="37" t="str">
        <f aca="false">IF($A166="","",IFERROR(IF(VLOOKUP($C166,Dim_Fund!$A:$AI,35,0)&gt;0,$B166+VLOOKUP($C166,Dim_Fund!$A:$AI,35,0)/24,""),""))</f>
        <v/>
      </c>
      <c r="W166" s="37" t="str">
        <f aca="false">IF($A166="","",F166)</f>
        <v/>
      </c>
      <c r="X166" s="37" t="str">
        <f aca="false">IF($A166="","",IF(E166="Client",H166,G166))</f>
        <v/>
      </c>
      <c r="Y166" s="37" t="str">
        <f aca="false">IF($A166="","",I166)</f>
        <v/>
      </c>
      <c r="Z166" s="37" t="str">
        <f aca="false">IF($A166="","",IFERROR(W166-R166/1440,""))</f>
        <v/>
      </c>
      <c r="AA166" s="38" t="str">
        <f aca="false">IF($A166="","",IF(OR(U166="",V166=""),"",ROUND((V166-U166)*1440,0)))</f>
        <v/>
      </c>
      <c r="AB166" s="38" t="str">
        <f aca="false">IF($A166="","",IF(U166="","",ROUND((W166-U166)*1440,0)))</f>
        <v/>
      </c>
      <c r="AC166" s="38" t="str">
        <f aca="false">IF($A166="","",IF(AB166="","",MAX(0,AB166)))</f>
        <v/>
      </c>
      <c r="AD166" s="38" t="str">
        <f aca="false">IF($A166="","",IFERROR(ROUND((X166-W166)*1440,0),""))</f>
        <v/>
      </c>
      <c r="AE166" s="38" t="str">
        <f aca="false">IF($A166="","",IF(E166="Client","n/a",IFERROR(ROUND((H166-G166)*1440,0),"")))</f>
        <v/>
      </c>
      <c r="AF166" s="38" t="str">
        <f aca="false">IF($A166="","",IFERROR(ROUND((Y166-H166)*1440,0),""))</f>
        <v/>
      </c>
      <c r="AG166" s="38" t="str">
        <f aca="false">IF($A166="","",IFERROR(ROUND((H166-F166)*1440,0),""))</f>
        <v/>
      </c>
      <c r="AH166" s="38" t="str">
        <f aca="false">IF($A166="","",IFERROR(ROUND((Y166-V166)*1440,0),""))</f>
        <v/>
      </c>
      <c r="AI166" s="4" t="str">
        <f aca="false">IF($A166="","",IF(AH166="","",IF(AH166&gt;0,"Yes","No")))</f>
        <v/>
      </c>
      <c r="AJ166" s="4" t="str">
        <f aca="false">IF($A166="","",IF(AI166&lt;&gt;"Yes","On time",IF(N(AC166)&gt;=MAX(N(AF166),N(K166)),"Wait for analyst",IF(N(AF166)&gt;=N(K166),"External sign-off","Rework"))))</f>
        <v/>
      </c>
      <c r="AK166" s="4" t="str">
        <f aca="false">IF($A166="","",IF(OR(F166="",Y166="",ISNA(MATCH(L166,Dim_Analyst!$A:$A,0))),"CHECK","OK"))</f>
        <v/>
      </c>
      <c r="AL166" s="4" t="str">
        <f aca="false">IF($A166="","",IFERROR(VLOOKUP($C166,Dim_Fund!$A:$U,21,0),""))</f>
        <v/>
      </c>
      <c r="AM166" s="4" t="str">
        <f aca="false">IF($A166="","",IF($U166="","",IF($U166&gt;$B166+IFERROR(VLOOKUP($C166,Dim_Fund!$A:$AH,34,0),0)/24,"Yes","No")))</f>
        <v/>
      </c>
      <c r="AN166" s="22" t="str">
        <f aca="false">IF($A166="","",IFERROR(VLOOKUP($C166,Dim_Fund!$A:$AH,34,0),""))</f>
        <v/>
      </c>
      <c r="AO166" s="22" t="str">
        <f aca="false">IF($A166="","",IF($AL166="","",IFERROR(FLOOR(IF(COUNTIFS(Fact_Milestone!$A:$A,$B166,Fact_Milestone!$B:$B,$AL166,Fact_Milestone!$F:$F,"&gt;0")&gt;0,_xlfn.MINIFS(Fact_Milestone!$F:$F,Fact_Milestone!$A:$A,$B166,Fact_Milestone!$B:$B,$AL166,Fact_Milestone!$F:$F,"&gt;0"),VLOOKUP($AL166,Dim_TOP!$A:$E,5,0)),0.5),"")))</f>
        <v/>
      </c>
      <c r="AP166" s="22" t="str">
        <f aca="false">IF($A166="","",IF($U166="","",ROUND(($U166-INT($U166))*24,4)))</f>
        <v/>
      </c>
      <c r="AQ166" s="22" t="str">
        <f aca="false">IF($A166="","",IF($W166="","",ROUND(($W166-INT($W166))*24,4)))</f>
        <v/>
      </c>
      <c r="AR166" s="22" t="str">
        <f aca="false">IF($A166="","",IF($X166="","",ROUND(($X166-INT($X166))*24,4)))</f>
        <v/>
      </c>
      <c r="AS166" s="38" t="str">
        <f aca="false">IF($A166="","",IF(OR($AN166="",$V166="",$S166="",$T166=""),"",ROUND(($V166-($B166+$AN166/24))*1440-$S166-$T166,0)))</f>
        <v/>
      </c>
      <c r="AT166" s="38" t="str">
        <f aca="false">IF($A166="","",IF(OR($AN166="",$U166=""),"",ROUND(($U166-($B166+$AN166/24))*1440,0)))</f>
        <v/>
      </c>
      <c r="AU166" s="38" t="str">
        <f aca="false">IF($A166="","",IF(OR($AD166="",$S166=""),"",ROUND($AD166-$S166,0)))</f>
        <v/>
      </c>
      <c r="AV166" s="38" t="str">
        <f aca="false">IF($A166="","",N($AE166))</f>
        <v/>
      </c>
      <c r="AW166" s="38" t="str">
        <f aca="false">IF($A166="","",IF(OR($AF166="",$T166=""),"",$AF166-$T166))</f>
        <v/>
      </c>
      <c r="AX166" s="38" t="str">
        <f aca="false">IF($A166="","",IF(COUNT($AT166,$AB166,$AU166,$AW166,$AS166,$AH166)&lt;6,"",ROUND($AT166+$AB166+$AU166+$AV166+$AW166-$AS166-$AH166,0)))</f>
        <v/>
      </c>
      <c r="AY166" s="4" t="str">
        <f aca="false">IF($A166="","",IF($AX166="","No",IF(ABS($AX166)&lt;=2,"Yes","No")))</f>
        <v/>
      </c>
      <c r="AZ166" s="4" t="str">
        <f aca="false">IF($A166="","",IF($AI166&lt;&gt;"Yes","n/a",IF(OR($AA166="",$S166="",$T166=""),"Unknown",IF($AA166&lt;$S166+$T166,"Lost on arrival","Lost after arrival"))))</f>
        <v/>
      </c>
      <c r="BA166" s="10" t="str">
        <f aca="false">IF($A166="","",IFERROR(VLOOKUP($C166,Dim_Fund!$A:$D,4,0),""))</f>
        <v/>
      </c>
      <c r="BB166" s="10" t="str">
        <f aca="false">IF($A166="","",IF($AL166="","",IF(COUNTIFS(Fact_Milestone!$A:$A,$B166,Fact_Milestone!$B:$B,$AL166,Fact_Milestone!$I:$I,"No")&gt;0,"No",IF(COUNTIFS(Fact_Milestone!$A:$A,$B166,Fact_Milestone!$B:$B,$AL166,Fact_Milestone!$I:$I,"Yes")&gt;0,"Yes",""))))</f>
        <v/>
      </c>
      <c r="BC166" s="45" t="str">
        <f aca="false">IF($A166="","",IF(OR($L166="",$W166=""),"",IF(COUNTIFS($L:$L,$L166,$B:$B,$B166,$W:$W,"&lt;"&amp;$W166)=0,"",_xlfn.MAXIFS($W:$W,$L:$L,$L166,$B:$B,$B166,$W:$W,"&lt;"&amp;$W166))))</f>
        <v/>
      </c>
      <c r="BD166" s="39" t="str">
        <f aca="false">IF($A166="","",IF($AC166="","",IF(OR($L166="",$AC166=0),0,MIN($AC166,ROUND(ROUND(1440*SUMPRODUCT(($L$2:INDEX($L:$L,COUNTA($C:$C))=$L166)*($B$2:INDEX($B:$B,COUNTA($C:$C))=$B166)*(ROW($L$2:INDEX($L:$L,COUNTA($C:$C)))&lt;&gt;ROW())*((((($W166+$BT$2:INDEX($BT:$BT,COUNTA($C:$C))-ABS($W166-$BT$2:INDEX($BT:$BT,COUNTA($C:$C))))/2)-(($U166+$BS$2:INDEX($BS:$BS,COUNTA($C:$C))+ABS($U166-$BS$2:INDEX($BS:$BS,COUNTA($C:$C))))/2))+ABS(((($W166+$BT$2:INDEX($BT:$BT,COUNTA($C:$C))-ABS($W166-$BT$2:INDEX($BT:$BT,COUNTA($C:$C))))/2)-(($U166+$BS$2:INDEX($BS:$BS,COUNTA($C:$C))+ABS($U166-$BS$2:INDEX($BS:$BS,COUNTA($C:$C))))/2))))/2)),4),0)))))</f>
        <v/>
      </c>
      <c r="BE166" s="39" t="str">
        <f aca="false">IF($A166="","",IF($AC166="","",ROUND(MIN($AC166-$BD166,N($R166)),0)))</f>
        <v/>
      </c>
      <c r="BF166" s="10" t="str">
        <f aca="false">IF($A166="","",IFERROR(VLOOKUP($C166,Dim_Fund!$A:$BD,56,0),""))</f>
        <v/>
      </c>
      <c r="BG166" s="10" t="str">
        <f aca="false">IF($A166="","",IFERROR(VLOOKUP($C166,Dim_Fund!$A:$BH,60,0),""))</f>
        <v/>
      </c>
      <c r="BH166" s="10" t="str">
        <f aca="false">IF($A166="","",IF($AI166&lt;&gt;"Yes","Not breached",IF($AM166="Yes","Pricing late",IF($BG166="Thin custody slack","Thin custody slack",IF($BF166="Yes","Broker-dependent","None of these")))))</f>
        <v/>
      </c>
      <c r="BI166" s="23" t="str">
        <f aca="false">IF($A166="","",IFERROR(IF(VLOOKUP($C166,Dim_Fund!$A:$AI,35,0)&gt;0,VLOOKUP($C166,Dim_Fund!$A:$AI,35,0),""),""))</f>
        <v/>
      </c>
      <c r="BJ166" s="10" t="str">
        <f aca="false">IF($A166="","",$C166&amp;IF($E166="Client","*",""))</f>
        <v/>
      </c>
      <c r="BK166" s="39" t="str">
        <f aca="false">IF($A166="","",IFERROR(ROUND(($Y166-$X166)*1440,0),""))</f>
        <v/>
      </c>
      <c r="BL166" s="39" t="str">
        <f aca="false">IF($A166="","",IF($AH166="","",-$AH166))</f>
        <v/>
      </c>
      <c r="BM166" s="46" t="str">
        <f aca="false">IF($A166="","",IF($AQ166="","",IF($AP166="",$AQ166,MIN($AP166,$AQ166))))</f>
        <v/>
      </c>
      <c r="BN166" s="46" t="str">
        <f aca="false">IF($A166="","",IF($BM166="","",ROUND(N($AC166)/60,4)))</f>
        <v/>
      </c>
      <c r="BO166" s="46" t="str">
        <f aca="false">IF($A166="","",IF(OR($BM166="",$AD166=""),"",ROUND($AD166/60,4)))</f>
        <v/>
      </c>
      <c r="BP166" s="46" t="str">
        <f aca="false">IF($A166="","",IF($BM166="","",ROUND(N($AE166)/60,4)))</f>
        <v/>
      </c>
      <c r="BQ166" s="46" t="str">
        <f aca="false">IF($A166="","",IF(OR($BM166="",$AF166=""),"",ROUND($AF166/60,4)))</f>
        <v/>
      </c>
      <c r="BR166" s="39" t="str">
        <f aca="false">IF($A166="","",IF($AC166="","",$AC166-$BD166-$BE166))</f>
        <v/>
      </c>
      <c r="BS166" s="45" t="str">
        <f aca="false">IF($A166="","",IF(AND(ISNUMBER($Z166),ISNUMBER($W166)),$Z166,0))</f>
        <v/>
      </c>
      <c r="BT166" s="45" t="str">
        <f aca="false">IF($A166="","",IF(ISNUMBER($W166),$W166,0))</f>
        <v/>
      </c>
      <c r="BU166" s="23" t="str">
        <f aca="false">IF($A166="","",IF(ISNUMBER($W166),ROUND(($W166-$B166)*24,4),""))</f>
        <v/>
      </c>
      <c r="BV166" s="23" t="str">
        <f aca="false">IF($A166="","",IF(ISNUMBER($X166),ROUND(($X166-$B166)*24,4),""))</f>
        <v/>
      </c>
      <c r="BW166" s="10" t="str">
        <f aca="false">IF($A166="","",IF(NOT(ISNUMBER($W166)),"Missing Calculated",IF(NOT(ISNUMBER($X166)),IF($E166="Client","Missing FA signed off","Missing Controlled"),IF($X166&lt;$W166,"End before start","OK"))))</f>
        <v/>
      </c>
      <c r="BX166" s="23" t="str">
        <f aca="false">IF($A166="","",IF(NOT(ISNUMBER($Z166)),"",ROUND((IF(ISNUMBER($U166),MIN($U166,$Z166),$Z166)-$B166)*24,4)))</f>
        <v/>
      </c>
      <c r="BY166" s="23" t="str">
        <f aca="false">IF($A166="","",IF(ISNUMBER($Z166),ROUND(($Z166-$B166)*24,4),""))</f>
        <v/>
      </c>
      <c r="BZ166" s="23" t="str">
        <f aca="false">IF($A166="","",IF(AND(ISNUMBER($W166),ISNUMBER($S166)),ROUND(($W166+$S166/1440-$B166)*24,4),""))</f>
        <v/>
      </c>
    </row>
    <row r="167" customFormat="false" ht="15" hidden="false" customHeight="true" outlineLevel="0" collapsed="false">
      <c r="A167" s="47"/>
      <c r="B167" s="47"/>
      <c r="D167" s="4" t="str">
        <f aca="false">IF($A167="","",$B167-$A167)</f>
        <v/>
      </c>
      <c r="E167" s="4" t="str">
        <f aca="false">IF($A167="","",IFERROR(VLOOKUP($C167,Dim_Fund!$A:$X,24,0),""))</f>
        <v/>
      </c>
      <c r="F167" s="37" t="str">
        <f aca="false">IF($A167="","",IF(COUNTIFS(Status_Log!$A:$A,$A167,Status_Log!$B:$B,$B167,Status_Log!$C:$C,$C167,Status_Log!$D:$D,"Changed to the status of Calculated")=0,"",_xlfn.MINIFS(Status_Log!$E:$E,Status_Log!$A:$A,$A167,Status_Log!$B:$B,$B167,Status_Log!$C:$C,$C167,Status_Log!$D:$D,"Changed to the status of Calculated")))</f>
        <v/>
      </c>
      <c r="G167" s="37" t="str">
        <f aca="false">IF($A167="","",IF(COUNTIFS(Status_Log!$A:$A,$A167,Status_Log!$B:$B,$B167,Status_Log!$C:$C,$C167,Status_Log!$D:$D,"Changed to the status of Controlled")=0,"",_xlfn.MAXIFS(Status_Log!$E:$E,Status_Log!$A:$A,$A167,Status_Log!$B:$B,$B167,Status_Log!$C:$C,$C167,Status_Log!$D:$D,"Changed to the status of Controlled")))</f>
        <v/>
      </c>
      <c r="H167" s="37" t="str">
        <f aca="false">IF($A167="","",IF(COUNTIFS(Status_Log!$A:$A,$A167,Status_Log!$B:$B,$B167,Status_Log!$C:$C,$C167,Status_Log!$D:$D,"Changed to the status of Fund accounting signed off")=0,"",_xlfn.MAXIFS(Status_Log!$E:$E,Status_Log!$A:$A,$A167,Status_Log!$B:$B,$B167,Status_Log!$C:$C,$C167,Status_Log!$D:$D,"Changed to the status of Fund accounting signed off")))</f>
        <v/>
      </c>
      <c r="I167" s="37" t="str">
        <f aca="false">IF($A167="","",IF(COUNTIFS(Status_Log!$A:$A,$A167,Status_Log!$B:$B,$B167,Status_Log!$C:$C,$C167,Status_Log!$D:$D,"Changed to the status of signed off")=0,"",_xlfn.MAXIFS(Status_Log!$E:$E,Status_Log!$A:$A,$A167,Status_Log!$B:$B,$B167,Status_Log!$C:$C,$C167,Status_Log!$D:$D,"Changed to the status of signed off")))</f>
        <v/>
      </c>
      <c r="J167" s="4" t="str">
        <f aca="false">IF($A167="","",COUNTIFS(Status_Log!$A:$A,$A167,Status_Log!$B:$B,$B167,Status_Log!$C:$C,$C167,Status_Log!$D:$D,"Changed to the status of Calculated"))</f>
        <v/>
      </c>
      <c r="K167" s="38" t="str">
        <f aca="false">IF($A167="","",IF(J167&lt;=1,0,ROUND((_xlfn.MAXIFS(Status_Log!$E:$E,Status_Log!$A:$A,$A167,Status_Log!$B:$B,$B167,Status_Log!$C:$C,$C167,Status_Log!$D:$D,"Changed to the status of Calculated")-F167)*1440,0)))</f>
        <v/>
      </c>
      <c r="L167" s="4" t="str">
        <f aca="false">IF($A167="","",IFERROR(INDEX(Status_Log!$F:$F,MATCH($A167&amp;"|"&amp;$B167&amp;"|"&amp;$C167&amp;"|Changed to the status of Calculated|"&amp;TEXT(_xlfn.MAXIFS(Status_Log!$E:$E,Status_Log!$A:$A,$A167,Status_Log!$B:$B,$B167,Status_Log!$C:$C,$C167,Status_Log!$D:$D,"Changed to the status of Calculated"),"0.000000"),Status_Log!$H:$H,0)),""))</f>
        <v/>
      </c>
      <c r="M167" s="4" t="str">
        <f aca="false">IF($A167="","",IF(E167="Client","n/a — no control step",IFERROR(INDEX(Status_Log!$F:$F,MATCH($A167&amp;"|"&amp;$B167&amp;"|"&amp;$C167&amp;"|Changed to the status of Controlled|"&amp;TEXT(_xlfn.MAXIFS(Status_Log!$E:$E,Status_Log!$A:$A,$A167,Status_Log!$B:$B,$B167,Status_Log!$C:$C,$C167,Status_Log!$D:$D,"Changed to the status of Controlled"),"0.000000"),Status_Log!$H:$H,0)),"")))</f>
        <v/>
      </c>
      <c r="N167" s="4" t="str">
        <f aca="false">IF($A167="","",IFERROR(VLOOKUP($C167,Dim_Fund!$A:$G,7,0),""))</f>
        <v/>
      </c>
      <c r="O167" s="4" t="str">
        <f aca="false">IF($A167="","",IF(L167=N167,"No","Yes"))</f>
        <v/>
      </c>
      <c r="P167" s="4" t="str">
        <f aca="false">IF($A167="","",IF(E167="Client","n/a",IF(L167=M167,"YES — four-eyes breach","No")))</f>
        <v/>
      </c>
      <c r="Q167" s="38" t="str">
        <f aca="false">IF($A167="","",IFERROR(VLOOKUP($C167,Dim_Fund!$A:$AB,28,0),""))</f>
        <v/>
      </c>
      <c r="R167" s="38" t="str">
        <f aca="false">IF($A167="","",IFERROR(VLOOKUP($C167,Dim_Fund!$A:$AC,29,0),""))</f>
        <v/>
      </c>
      <c r="S167" s="38" t="str">
        <f aca="false">IF($A167="","",IFERROR(VLOOKUP($C167,Dim_Fund!$A:$AD,30,0),""))</f>
        <v/>
      </c>
      <c r="T167" s="38" t="str">
        <f aca="false">IF($A167="","",IFERROR(VLOOKUP($C167,Dim_Fund!$A:$AL,38,0),""))</f>
        <v/>
      </c>
      <c r="U167" s="37" t="str">
        <f aca="false">IF($A167="","",IF(AL167="","",IFERROR(IF(COUNTIFS(Fact_Milestone!$A:$A,$B167,Fact_Milestone!$B:$B,AL167)=0,"",_xlfn.MAXIFS(Fact_Milestone!$C:$C,Fact_Milestone!$A:$A,$B167,Fact_Milestone!$B:$B,AL167)),"")))</f>
        <v/>
      </c>
      <c r="V167" s="37" t="str">
        <f aca="false">IF($A167="","",IFERROR(IF(VLOOKUP($C167,Dim_Fund!$A:$AI,35,0)&gt;0,$B167+VLOOKUP($C167,Dim_Fund!$A:$AI,35,0)/24,""),""))</f>
        <v/>
      </c>
      <c r="W167" s="37" t="str">
        <f aca="false">IF($A167="","",F167)</f>
        <v/>
      </c>
      <c r="X167" s="37" t="str">
        <f aca="false">IF($A167="","",IF(E167="Client",H167,G167))</f>
        <v/>
      </c>
      <c r="Y167" s="37" t="str">
        <f aca="false">IF($A167="","",I167)</f>
        <v/>
      </c>
      <c r="Z167" s="37" t="str">
        <f aca="false">IF($A167="","",IFERROR(W167-R167/1440,""))</f>
        <v/>
      </c>
      <c r="AA167" s="38" t="str">
        <f aca="false">IF($A167="","",IF(OR(U167="",V167=""),"",ROUND((V167-U167)*1440,0)))</f>
        <v/>
      </c>
      <c r="AB167" s="38" t="str">
        <f aca="false">IF($A167="","",IF(U167="","",ROUND((W167-U167)*1440,0)))</f>
        <v/>
      </c>
      <c r="AC167" s="38" t="str">
        <f aca="false">IF($A167="","",IF(AB167="","",MAX(0,AB167)))</f>
        <v/>
      </c>
      <c r="AD167" s="38" t="str">
        <f aca="false">IF($A167="","",IFERROR(ROUND((X167-W167)*1440,0),""))</f>
        <v/>
      </c>
      <c r="AE167" s="38" t="str">
        <f aca="false">IF($A167="","",IF(E167="Client","n/a",IFERROR(ROUND((H167-G167)*1440,0),"")))</f>
        <v/>
      </c>
      <c r="AF167" s="38" t="str">
        <f aca="false">IF($A167="","",IFERROR(ROUND((Y167-H167)*1440,0),""))</f>
        <v/>
      </c>
      <c r="AG167" s="38" t="str">
        <f aca="false">IF($A167="","",IFERROR(ROUND((H167-F167)*1440,0),""))</f>
        <v/>
      </c>
      <c r="AH167" s="38" t="str">
        <f aca="false">IF($A167="","",IFERROR(ROUND((Y167-V167)*1440,0),""))</f>
        <v/>
      </c>
      <c r="AI167" s="4" t="str">
        <f aca="false">IF($A167="","",IF(AH167="","",IF(AH167&gt;0,"Yes","No")))</f>
        <v/>
      </c>
      <c r="AJ167" s="4" t="str">
        <f aca="false">IF($A167="","",IF(AI167&lt;&gt;"Yes","On time",IF(N(AC167)&gt;=MAX(N(AF167),N(K167)),"Wait for analyst",IF(N(AF167)&gt;=N(K167),"External sign-off","Rework"))))</f>
        <v/>
      </c>
      <c r="AK167" s="4" t="str">
        <f aca="false">IF($A167="","",IF(OR(F167="",Y167="",ISNA(MATCH(L167,Dim_Analyst!$A:$A,0))),"CHECK","OK"))</f>
        <v/>
      </c>
      <c r="AL167" s="4" t="str">
        <f aca="false">IF($A167="","",IFERROR(VLOOKUP($C167,Dim_Fund!$A:$U,21,0),""))</f>
        <v/>
      </c>
      <c r="AM167" s="4" t="str">
        <f aca="false">IF($A167="","",IF($U167="","",IF($U167&gt;$B167+IFERROR(VLOOKUP($C167,Dim_Fund!$A:$AH,34,0),0)/24,"Yes","No")))</f>
        <v/>
      </c>
      <c r="AN167" s="22" t="str">
        <f aca="false">IF($A167="","",IFERROR(VLOOKUP($C167,Dim_Fund!$A:$AH,34,0),""))</f>
        <v/>
      </c>
      <c r="AO167" s="22" t="str">
        <f aca="false">IF($A167="","",IF($AL167="","",IFERROR(FLOOR(IF(COUNTIFS(Fact_Milestone!$A:$A,$B167,Fact_Milestone!$B:$B,$AL167,Fact_Milestone!$F:$F,"&gt;0")&gt;0,_xlfn.MINIFS(Fact_Milestone!$F:$F,Fact_Milestone!$A:$A,$B167,Fact_Milestone!$B:$B,$AL167,Fact_Milestone!$F:$F,"&gt;0"),VLOOKUP($AL167,Dim_TOP!$A:$E,5,0)),0.5),"")))</f>
        <v/>
      </c>
      <c r="AP167" s="22" t="str">
        <f aca="false">IF($A167="","",IF($U167="","",ROUND(($U167-INT($U167))*24,4)))</f>
        <v/>
      </c>
      <c r="AQ167" s="22" t="str">
        <f aca="false">IF($A167="","",IF($W167="","",ROUND(($W167-INT($W167))*24,4)))</f>
        <v/>
      </c>
      <c r="AR167" s="22" t="str">
        <f aca="false">IF($A167="","",IF($X167="","",ROUND(($X167-INT($X167))*24,4)))</f>
        <v/>
      </c>
      <c r="AS167" s="38" t="str">
        <f aca="false">IF($A167="","",IF(OR($AN167="",$V167="",$S167="",$T167=""),"",ROUND(($V167-($B167+$AN167/24))*1440-$S167-$T167,0)))</f>
        <v/>
      </c>
      <c r="AT167" s="38" t="str">
        <f aca="false">IF($A167="","",IF(OR($AN167="",$U167=""),"",ROUND(($U167-($B167+$AN167/24))*1440,0)))</f>
        <v/>
      </c>
      <c r="AU167" s="38" t="str">
        <f aca="false">IF($A167="","",IF(OR($AD167="",$S167=""),"",ROUND($AD167-$S167,0)))</f>
        <v/>
      </c>
      <c r="AV167" s="38" t="str">
        <f aca="false">IF($A167="","",N($AE167))</f>
        <v/>
      </c>
      <c r="AW167" s="38" t="str">
        <f aca="false">IF($A167="","",IF(OR($AF167="",$T167=""),"",$AF167-$T167))</f>
        <v/>
      </c>
      <c r="AX167" s="38" t="str">
        <f aca="false">IF($A167="","",IF(COUNT($AT167,$AB167,$AU167,$AW167,$AS167,$AH167)&lt;6,"",ROUND($AT167+$AB167+$AU167+$AV167+$AW167-$AS167-$AH167,0)))</f>
        <v/>
      </c>
      <c r="AY167" s="4" t="str">
        <f aca="false">IF($A167="","",IF($AX167="","No",IF(ABS($AX167)&lt;=2,"Yes","No")))</f>
        <v/>
      </c>
      <c r="AZ167" s="4" t="str">
        <f aca="false">IF($A167="","",IF($AI167&lt;&gt;"Yes","n/a",IF(OR($AA167="",$S167="",$T167=""),"Unknown",IF($AA167&lt;$S167+$T167,"Lost on arrival","Lost after arrival"))))</f>
        <v/>
      </c>
      <c r="BA167" s="10" t="str">
        <f aca="false">IF($A167="","",IFERROR(VLOOKUP($C167,Dim_Fund!$A:$D,4,0),""))</f>
        <v/>
      </c>
      <c r="BB167" s="10" t="str">
        <f aca="false">IF($A167="","",IF($AL167="","",IF(COUNTIFS(Fact_Milestone!$A:$A,$B167,Fact_Milestone!$B:$B,$AL167,Fact_Milestone!$I:$I,"No")&gt;0,"No",IF(COUNTIFS(Fact_Milestone!$A:$A,$B167,Fact_Milestone!$B:$B,$AL167,Fact_Milestone!$I:$I,"Yes")&gt;0,"Yes",""))))</f>
        <v/>
      </c>
      <c r="BC167" s="45" t="str">
        <f aca="false">IF($A167="","",IF(OR($L167="",$W167=""),"",IF(COUNTIFS($L:$L,$L167,$B:$B,$B167,$W:$W,"&lt;"&amp;$W167)=0,"",_xlfn.MAXIFS($W:$W,$L:$L,$L167,$B:$B,$B167,$W:$W,"&lt;"&amp;$W167))))</f>
        <v/>
      </c>
      <c r="BD167" s="39" t="str">
        <f aca="false">IF($A167="","",IF($AC167="","",IF(OR($L167="",$AC167=0),0,MIN($AC167,ROUND(ROUND(1440*SUMPRODUCT(($L$2:INDEX($L:$L,COUNTA($C:$C))=$L167)*($B$2:INDEX($B:$B,COUNTA($C:$C))=$B167)*(ROW($L$2:INDEX($L:$L,COUNTA($C:$C)))&lt;&gt;ROW())*((((($W167+$BT$2:INDEX($BT:$BT,COUNTA($C:$C))-ABS($W167-$BT$2:INDEX($BT:$BT,COUNTA($C:$C))))/2)-(($U167+$BS$2:INDEX($BS:$BS,COUNTA($C:$C))+ABS($U167-$BS$2:INDEX($BS:$BS,COUNTA($C:$C))))/2))+ABS(((($W167+$BT$2:INDEX($BT:$BT,COUNTA($C:$C))-ABS($W167-$BT$2:INDEX($BT:$BT,COUNTA($C:$C))))/2)-(($U167+$BS$2:INDEX($BS:$BS,COUNTA($C:$C))+ABS($U167-$BS$2:INDEX($BS:$BS,COUNTA($C:$C))))/2))))/2)),4),0)))))</f>
        <v/>
      </c>
      <c r="BE167" s="39" t="str">
        <f aca="false">IF($A167="","",IF($AC167="","",ROUND(MIN($AC167-$BD167,N($R167)),0)))</f>
        <v/>
      </c>
      <c r="BF167" s="10" t="str">
        <f aca="false">IF($A167="","",IFERROR(VLOOKUP($C167,Dim_Fund!$A:$BD,56,0),""))</f>
        <v/>
      </c>
      <c r="BG167" s="10" t="str">
        <f aca="false">IF($A167="","",IFERROR(VLOOKUP($C167,Dim_Fund!$A:$BH,60,0),""))</f>
        <v/>
      </c>
      <c r="BH167" s="10" t="str">
        <f aca="false">IF($A167="","",IF($AI167&lt;&gt;"Yes","Not breached",IF($AM167="Yes","Pricing late",IF($BG167="Thin custody slack","Thin custody slack",IF($BF167="Yes","Broker-dependent","None of these")))))</f>
        <v/>
      </c>
      <c r="BI167" s="23" t="str">
        <f aca="false">IF($A167="","",IFERROR(IF(VLOOKUP($C167,Dim_Fund!$A:$AI,35,0)&gt;0,VLOOKUP($C167,Dim_Fund!$A:$AI,35,0),""),""))</f>
        <v/>
      </c>
      <c r="BJ167" s="10" t="str">
        <f aca="false">IF($A167="","",$C167&amp;IF($E167="Client","*",""))</f>
        <v/>
      </c>
      <c r="BK167" s="39" t="str">
        <f aca="false">IF($A167="","",IFERROR(ROUND(($Y167-$X167)*1440,0),""))</f>
        <v/>
      </c>
      <c r="BL167" s="39" t="str">
        <f aca="false">IF($A167="","",IF($AH167="","",-$AH167))</f>
        <v/>
      </c>
      <c r="BM167" s="46" t="str">
        <f aca="false">IF($A167="","",IF($AQ167="","",IF($AP167="",$AQ167,MIN($AP167,$AQ167))))</f>
        <v/>
      </c>
      <c r="BN167" s="46" t="str">
        <f aca="false">IF($A167="","",IF($BM167="","",ROUND(N($AC167)/60,4)))</f>
        <v/>
      </c>
      <c r="BO167" s="46" t="str">
        <f aca="false">IF($A167="","",IF(OR($BM167="",$AD167=""),"",ROUND($AD167/60,4)))</f>
        <v/>
      </c>
      <c r="BP167" s="46" t="str">
        <f aca="false">IF($A167="","",IF($BM167="","",ROUND(N($AE167)/60,4)))</f>
        <v/>
      </c>
      <c r="BQ167" s="46" t="str">
        <f aca="false">IF($A167="","",IF(OR($BM167="",$AF167=""),"",ROUND($AF167/60,4)))</f>
        <v/>
      </c>
      <c r="BR167" s="39" t="str">
        <f aca="false">IF($A167="","",IF($AC167="","",$AC167-$BD167-$BE167))</f>
        <v/>
      </c>
      <c r="BS167" s="45" t="str">
        <f aca="false">IF($A167="","",IF(AND(ISNUMBER($Z167),ISNUMBER($W167)),$Z167,0))</f>
        <v/>
      </c>
      <c r="BT167" s="45" t="str">
        <f aca="false">IF($A167="","",IF(ISNUMBER($W167),$W167,0))</f>
        <v/>
      </c>
      <c r="BU167" s="23" t="str">
        <f aca="false">IF($A167="","",IF(ISNUMBER($W167),ROUND(($W167-$B167)*24,4),""))</f>
        <v/>
      </c>
      <c r="BV167" s="23" t="str">
        <f aca="false">IF($A167="","",IF(ISNUMBER($X167),ROUND(($X167-$B167)*24,4),""))</f>
        <v/>
      </c>
      <c r="BW167" s="10" t="str">
        <f aca="false">IF($A167="","",IF(NOT(ISNUMBER($W167)),"Missing Calculated",IF(NOT(ISNUMBER($X167)),IF($E167="Client","Missing FA signed off","Missing Controlled"),IF($X167&lt;$W167,"End before start","OK"))))</f>
        <v/>
      </c>
      <c r="BX167" s="23" t="str">
        <f aca="false">IF($A167="","",IF(NOT(ISNUMBER($Z167)),"",ROUND((IF(ISNUMBER($U167),MIN($U167,$Z167),$Z167)-$B167)*24,4)))</f>
        <v/>
      </c>
      <c r="BY167" s="23" t="str">
        <f aca="false">IF($A167="","",IF(ISNUMBER($Z167),ROUND(($Z167-$B167)*24,4),""))</f>
        <v/>
      </c>
      <c r="BZ167" s="23" t="str">
        <f aca="false">IF($A167="","",IF(AND(ISNUMBER($W167),ISNUMBER($S167)),ROUND(($W167+$S167/1440-$B167)*24,4),""))</f>
        <v/>
      </c>
    </row>
    <row r="168" customFormat="false" ht="15" hidden="false" customHeight="true" outlineLevel="0" collapsed="false">
      <c r="A168" s="47"/>
      <c r="B168" s="47"/>
      <c r="D168" s="4" t="str">
        <f aca="false">IF($A168="","",$B168-$A168)</f>
        <v/>
      </c>
      <c r="E168" s="4" t="str">
        <f aca="false">IF($A168="","",IFERROR(VLOOKUP($C168,Dim_Fund!$A:$X,24,0),""))</f>
        <v/>
      </c>
      <c r="F168" s="37" t="str">
        <f aca="false">IF($A168="","",IF(COUNTIFS(Status_Log!$A:$A,$A168,Status_Log!$B:$B,$B168,Status_Log!$C:$C,$C168,Status_Log!$D:$D,"Changed to the status of Calculated")=0,"",_xlfn.MINIFS(Status_Log!$E:$E,Status_Log!$A:$A,$A168,Status_Log!$B:$B,$B168,Status_Log!$C:$C,$C168,Status_Log!$D:$D,"Changed to the status of Calculated")))</f>
        <v/>
      </c>
      <c r="G168" s="37" t="str">
        <f aca="false">IF($A168="","",IF(COUNTIFS(Status_Log!$A:$A,$A168,Status_Log!$B:$B,$B168,Status_Log!$C:$C,$C168,Status_Log!$D:$D,"Changed to the status of Controlled")=0,"",_xlfn.MAXIFS(Status_Log!$E:$E,Status_Log!$A:$A,$A168,Status_Log!$B:$B,$B168,Status_Log!$C:$C,$C168,Status_Log!$D:$D,"Changed to the status of Controlled")))</f>
        <v/>
      </c>
      <c r="H168" s="37" t="str">
        <f aca="false">IF($A168="","",IF(COUNTIFS(Status_Log!$A:$A,$A168,Status_Log!$B:$B,$B168,Status_Log!$C:$C,$C168,Status_Log!$D:$D,"Changed to the status of Fund accounting signed off")=0,"",_xlfn.MAXIFS(Status_Log!$E:$E,Status_Log!$A:$A,$A168,Status_Log!$B:$B,$B168,Status_Log!$C:$C,$C168,Status_Log!$D:$D,"Changed to the status of Fund accounting signed off")))</f>
        <v/>
      </c>
      <c r="I168" s="37" t="str">
        <f aca="false">IF($A168="","",IF(COUNTIFS(Status_Log!$A:$A,$A168,Status_Log!$B:$B,$B168,Status_Log!$C:$C,$C168,Status_Log!$D:$D,"Changed to the status of signed off")=0,"",_xlfn.MAXIFS(Status_Log!$E:$E,Status_Log!$A:$A,$A168,Status_Log!$B:$B,$B168,Status_Log!$C:$C,$C168,Status_Log!$D:$D,"Changed to the status of signed off")))</f>
        <v/>
      </c>
      <c r="J168" s="4" t="str">
        <f aca="false">IF($A168="","",COUNTIFS(Status_Log!$A:$A,$A168,Status_Log!$B:$B,$B168,Status_Log!$C:$C,$C168,Status_Log!$D:$D,"Changed to the status of Calculated"))</f>
        <v/>
      </c>
      <c r="K168" s="38" t="str">
        <f aca="false">IF($A168="","",IF(J168&lt;=1,0,ROUND((_xlfn.MAXIFS(Status_Log!$E:$E,Status_Log!$A:$A,$A168,Status_Log!$B:$B,$B168,Status_Log!$C:$C,$C168,Status_Log!$D:$D,"Changed to the status of Calculated")-F168)*1440,0)))</f>
        <v/>
      </c>
      <c r="L168" s="4" t="str">
        <f aca="false">IF($A168="","",IFERROR(INDEX(Status_Log!$F:$F,MATCH($A168&amp;"|"&amp;$B168&amp;"|"&amp;$C168&amp;"|Changed to the status of Calculated|"&amp;TEXT(_xlfn.MAXIFS(Status_Log!$E:$E,Status_Log!$A:$A,$A168,Status_Log!$B:$B,$B168,Status_Log!$C:$C,$C168,Status_Log!$D:$D,"Changed to the status of Calculated"),"0.000000"),Status_Log!$H:$H,0)),""))</f>
        <v/>
      </c>
      <c r="M168" s="4" t="str">
        <f aca="false">IF($A168="","",IF(E168="Client","n/a — no control step",IFERROR(INDEX(Status_Log!$F:$F,MATCH($A168&amp;"|"&amp;$B168&amp;"|"&amp;$C168&amp;"|Changed to the status of Controlled|"&amp;TEXT(_xlfn.MAXIFS(Status_Log!$E:$E,Status_Log!$A:$A,$A168,Status_Log!$B:$B,$B168,Status_Log!$C:$C,$C168,Status_Log!$D:$D,"Changed to the status of Controlled"),"0.000000"),Status_Log!$H:$H,0)),"")))</f>
        <v/>
      </c>
      <c r="N168" s="4" t="str">
        <f aca="false">IF($A168="","",IFERROR(VLOOKUP($C168,Dim_Fund!$A:$G,7,0),""))</f>
        <v/>
      </c>
      <c r="O168" s="4" t="str">
        <f aca="false">IF($A168="","",IF(L168=N168,"No","Yes"))</f>
        <v/>
      </c>
      <c r="P168" s="4" t="str">
        <f aca="false">IF($A168="","",IF(E168="Client","n/a",IF(L168=M168,"YES — four-eyes breach","No")))</f>
        <v/>
      </c>
      <c r="Q168" s="38" t="str">
        <f aca="false">IF($A168="","",IFERROR(VLOOKUP($C168,Dim_Fund!$A:$AB,28,0),""))</f>
        <v/>
      </c>
      <c r="R168" s="38" t="str">
        <f aca="false">IF($A168="","",IFERROR(VLOOKUP($C168,Dim_Fund!$A:$AC,29,0),""))</f>
        <v/>
      </c>
      <c r="S168" s="38" t="str">
        <f aca="false">IF($A168="","",IFERROR(VLOOKUP($C168,Dim_Fund!$A:$AD,30,0),""))</f>
        <v/>
      </c>
      <c r="T168" s="38" t="str">
        <f aca="false">IF($A168="","",IFERROR(VLOOKUP($C168,Dim_Fund!$A:$AL,38,0),""))</f>
        <v/>
      </c>
      <c r="U168" s="37" t="str">
        <f aca="false">IF($A168="","",IF(AL168="","",IFERROR(IF(COUNTIFS(Fact_Milestone!$A:$A,$B168,Fact_Milestone!$B:$B,AL168)=0,"",_xlfn.MAXIFS(Fact_Milestone!$C:$C,Fact_Milestone!$A:$A,$B168,Fact_Milestone!$B:$B,AL168)),"")))</f>
        <v/>
      </c>
      <c r="V168" s="37" t="str">
        <f aca="false">IF($A168="","",IFERROR(IF(VLOOKUP($C168,Dim_Fund!$A:$AI,35,0)&gt;0,$B168+VLOOKUP($C168,Dim_Fund!$A:$AI,35,0)/24,""),""))</f>
        <v/>
      </c>
      <c r="W168" s="37" t="str">
        <f aca="false">IF($A168="","",F168)</f>
        <v/>
      </c>
      <c r="X168" s="37" t="str">
        <f aca="false">IF($A168="","",IF(E168="Client",H168,G168))</f>
        <v/>
      </c>
      <c r="Y168" s="37" t="str">
        <f aca="false">IF($A168="","",I168)</f>
        <v/>
      </c>
      <c r="Z168" s="37" t="str">
        <f aca="false">IF($A168="","",IFERROR(W168-R168/1440,""))</f>
        <v/>
      </c>
      <c r="AA168" s="38" t="str">
        <f aca="false">IF($A168="","",IF(OR(U168="",V168=""),"",ROUND((V168-U168)*1440,0)))</f>
        <v/>
      </c>
      <c r="AB168" s="38" t="str">
        <f aca="false">IF($A168="","",IF(U168="","",ROUND((W168-U168)*1440,0)))</f>
        <v/>
      </c>
      <c r="AC168" s="38" t="str">
        <f aca="false">IF($A168="","",IF(AB168="","",MAX(0,AB168)))</f>
        <v/>
      </c>
      <c r="AD168" s="38" t="str">
        <f aca="false">IF($A168="","",IFERROR(ROUND((X168-W168)*1440,0),""))</f>
        <v/>
      </c>
      <c r="AE168" s="38" t="str">
        <f aca="false">IF($A168="","",IF(E168="Client","n/a",IFERROR(ROUND((H168-G168)*1440,0),"")))</f>
        <v/>
      </c>
      <c r="AF168" s="38" t="str">
        <f aca="false">IF($A168="","",IFERROR(ROUND((Y168-H168)*1440,0),""))</f>
        <v/>
      </c>
      <c r="AG168" s="38" t="str">
        <f aca="false">IF($A168="","",IFERROR(ROUND((H168-F168)*1440,0),""))</f>
        <v/>
      </c>
      <c r="AH168" s="38" t="str">
        <f aca="false">IF($A168="","",IFERROR(ROUND((Y168-V168)*1440,0),""))</f>
        <v/>
      </c>
      <c r="AI168" s="4" t="str">
        <f aca="false">IF($A168="","",IF(AH168="","",IF(AH168&gt;0,"Yes","No")))</f>
        <v/>
      </c>
      <c r="AJ168" s="4" t="str">
        <f aca="false">IF($A168="","",IF(AI168&lt;&gt;"Yes","On time",IF(N(AC168)&gt;=MAX(N(AF168),N(K168)),"Wait for analyst",IF(N(AF168)&gt;=N(K168),"External sign-off","Rework"))))</f>
        <v/>
      </c>
      <c r="AK168" s="4" t="str">
        <f aca="false">IF($A168="","",IF(OR(F168="",Y168="",ISNA(MATCH(L168,Dim_Analyst!$A:$A,0))),"CHECK","OK"))</f>
        <v/>
      </c>
      <c r="AL168" s="4" t="str">
        <f aca="false">IF($A168="","",IFERROR(VLOOKUP($C168,Dim_Fund!$A:$U,21,0),""))</f>
        <v/>
      </c>
      <c r="AM168" s="4" t="str">
        <f aca="false">IF($A168="","",IF($U168="","",IF($U168&gt;$B168+IFERROR(VLOOKUP($C168,Dim_Fund!$A:$AH,34,0),0)/24,"Yes","No")))</f>
        <v/>
      </c>
      <c r="AN168" s="22" t="str">
        <f aca="false">IF($A168="","",IFERROR(VLOOKUP($C168,Dim_Fund!$A:$AH,34,0),""))</f>
        <v/>
      </c>
      <c r="AO168" s="22" t="str">
        <f aca="false">IF($A168="","",IF($AL168="","",IFERROR(FLOOR(IF(COUNTIFS(Fact_Milestone!$A:$A,$B168,Fact_Milestone!$B:$B,$AL168,Fact_Milestone!$F:$F,"&gt;0")&gt;0,_xlfn.MINIFS(Fact_Milestone!$F:$F,Fact_Milestone!$A:$A,$B168,Fact_Milestone!$B:$B,$AL168,Fact_Milestone!$F:$F,"&gt;0"),VLOOKUP($AL168,Dim_TOP!$A:$E,5,0)),0.5),"")))</f>
        <v/>
      </c>
      <c r="AP168" s="22" t="str">
        <f aca="false">IF($A168="","",IF($U168="","",ROUND(($U168-INT($U168))*24,4)))</f>
        <v/>
      </c>
      <c r="AQ168" s="22" t="str">
        <f aca="false">IF($A168="","",IF($W168="","",ROUND(($W168-INT($W168))*24,4)))</f>
        <v/>
      </c>
      <c r="AR168" s="22" t="str">
        <f aca="false">IF($A168="","",IF($X168="","",ROUND(($X168-INT($X168))*24,4)))</f>
        <v/>
      </c>
      <c r="AS168" s="38" t="str">
        <f aca="false">IF($A168="","",IF(OR($AN168="",$V168="",$S168="",$T168=""),"",ROUND(($V168-($B168+$AN168/24))*1440-$S168-$T168,0)))</f>
        <v/>
      </c>
      <c r="AT168" s="38" t="str">
        <f aca="false">IF($A168="","",IF(OR($AN168="",$U168=""),"",ROUND(($U168-($B168+$AN168/24))*1440,0)))</f>
        <v/>
      </c>
      <c r="AU168" s="38" t="str">
        <f aca="false">IF($A168="","",IF(OR($AD168="",$S168=""),"",ROUND($AD168-$S168,0)))</f>
        <v/>
      </c>
      <c r="AV168" s="38" t="str">
        <f aca="false">IF($A168="","",N($AE168))</f>
        <v/>
      </c>
      <c r="AW168" s="38" t="str">
        <f aca="false">IF($A168="","",IF(OR($AF168="",$T168=""),"",$AF168-$T168))</f>
        <v/>
      </c>
      <c r="AX168" s="38" t="str">
        <f aca="false">IF($A168="","",IF(COUNT($AT168,$AB168,$AU168,$AW168,$AS168,$AH168)&lt;6,"",ROUND($AT168+$AB168+$AU168+$AV168+$AW168-$AS168-$AH168,0)))</f>
        <v/>
      </c>
      <c r="AY168" s="4" t="str">
        <f aca="false">IF($A168="","",IF($AX168="","No",IF(ABS($AX168)&lt;=2,"Yes","No")))</f>
        <v/>
      </c>
      <c r="AZ168" s="4" t="str">
        <f aca="false">IF($A168="","",IF($AI168&lt;&gt;"Yes","n/a",IF(OR($AA168="",$S168="",$T168=""),"Unknown",IF($AA168&lt;$S168+$T168,"Lost on arrival","Lost after arrival"))))</f>
        <v/>
      </c>
      <c r="BA168" s="10" t="str">
        <f aca="false">IF($A168="","",IFERROR(VLOOKUP($C168,Dim_Fund!$A:$D,4,0),""))</f>
        <v/>
      </c>
      <c r="BB168" s="10" t="str">
        <f aca="false">IF($A168="","",IF($AL168="","",IF(COUNTIFS(Fact_Milestone!$A:$A,$B168,Fact_Milestone!$B:$B,$AL168,Fact_Milestone!$I:$I,"No")&gt;0,"No",IF(COUNTIFS(Fact_Milestone!$A:$A,$B168,Fact_Milestone!$B:$B,$AL168,Fact_Milestone!$I:$I,"Yes")&gt;0,"Yes",""))))</f>
        <v/>
      </c>
      <c r="BC168" s="45" t="str">
        <f aca="false">IF($A168="","",IF(OR($L168="",$W168=""),"",IF(COUNTIFS($L:$L,$L168,$B:$B,$B168,$W:$W,"&lt;"&amp;$W168)=0,"",_xlfn.MAXIFS($W:$W,$L:$L,$L168,$B:$B,$B168,$W:$W,"&lt;"&amp;$W168))))</f>
        <v/>
      </c>
      <c r="BD168" s="39" t="str">
        <f aca="false">IF($A168="","",IF($AC168="","",IF(OR($L168="",$AC168=0),0,MIN($AC168,ROUND(ROUND(1440*SUMPRODUCT(($L$2:INDEX($L:$L,COUNTA($C:$C))=$L168)*($B$2:INDEX($B:$B,COUNTA($C:$C))=$B168)*(ROW($L$2:INDEX($L:$L,COUNTA($C:$C)))&lt;&gt;ROW())*((((($W168+$BT$2:INDEX($BT:$BT,COUNTA($C:$C))-ABS($W168-$BT$2:INDEX($BT:$BT,COUNTA($C:$C))))/2)-(($U168+$BS$2:INDEX($BS:$BS,COUNTA($C:$C))+ABS($U168-$BS$2:INDEX($BS:$BS,COUNTA($C:$C))))/2))+ABS(((($W168+$BT$2:INDEX($BT:$BT,COUNTA($C:$C))-ABS($W168-$BT$2:INDEX($BT:$BT,COUNTA($C:$C))))/2)-(($U168+$BS$2:INDEX($BS:$BS,COUNTA($C:$C))+ABS($U168-$BS$2:INDEX($BS:$BS,COUNTA($C:$C))))/2))))/2)),4),0)))))</f>
        <v/>
      </c>
      <c r="BE168" s="39" t="str">
        <f aca="false">IF($A168="","",IF($AC168="","",ROUND(MIN($AC168-$BD168,N($R168)),0)))</f>
        <v/>
      </c>
      <c r="BF168" s="10" t="str">
        <f aca="false">IF($A168="","",IFERROR(VLOOKUP($C168,Dim_Fund!$A:$BD,56,0),""))</f>
        <v/>
      </c>
      <c r="BG168" s="10" t="str">
        <f aca="false">IF($A168="","",IFERROR(VLOOKUP($C168,Dim_Fund!$A:$BH,60,0),""))</f>
        <v/>
      </c>
      <c r="BH168" s="10" t="str">
        <f aca="false">IF($A168="","",IF($AI168&lt;&gt;"Yes","Not breached",IF($AM168="Yes","Pricing late",IF($BG168="Thin custody slack","Thin custody slack",IF($BF168="Yes","Broker-dependent","None of these")))))</f>
        <v/>
      </c>
      <c r="BI168" s="23" t="str">
        <f aca="false">IF($A168="","",IFERROR(IF(VLOOKUP($C168,Dim_Fund!$A:$AI,35,0)&gt;0,VLOOKUP($C168,Dim_Fund!$A:$AI,35,0),""),""))</f>
        <v/>
      </c>
      <c r="BJ168" s="10" t="str">
        <f aca="false">IF($A168="","",$C168&amp;IF($E168="Client","*",""))</f>
        <v/>
      </c>
      <c r="BK168" s="39" t="str">
        <f aca="false">IF($A168="","",IFERROR(ROUND(($Y168-$X168)*1440,0),""))</f>
        <v/>
      </c>
      <c r="BL168" s="39" t="str">
        <f aca="false">IF($A168="","",IF($AH168="","",-$AH168))</f>
        <v/>
      </c>
      <c r="BM168" s="46" t="str">
        <f aca="false">IF($A168="","",IF($AQ168="","",IF($AP168="",$AQ168,MIN($AP168,$AQ168))))</f>
        <v/>
      </c>
      <c r="BN168" s="46" t="str">
        <f aca="false">IF($A168="","",IF($BM168="","",ROUND(N($AC168)/60,4)))</f>
        <v/>
      </c>
      <c r="BO168" s="46" t="str">
        <f aca="false">IF($A168="","",IF(OR($BM168="",$AD168=""),"",ROUND($AD168/60,4)))</f>
        <v/>
      </c>
      <c r="BP168" s="46" t="str">
        <f aca="false">IF($A168="","",IF($BM168="","",ROUND(N($AE168)/60,4)))</f>
        <v/>
      </c>
      <c r="BQ168" s="46" t="str">
        <f aca="false">IF($A168="","",IF(OR($BM168="",$AF168=""),"",ROUND($AF168/60,4)))</f>
        <v/>
      </c>
      <c r="BR168" s="39" t="str">
        <f aca="false">IF($A168="","",IF($AC168="","",$AC168-$BD168-$BE168))</f>
        <v/>
      </c>
      <c r="BS168" s="45" t="str">
        <f aca="false">IF($A168="","",IF(AND(ISNUMBER($Z168),ISNUMBER($W168)),$Z168,0))</f>
        <v/>
      </c>
      <c r="BT168" s="45" t="str">
        <f aca="false">IF($A168="","",IF(ISNUMBER($W168),$W168,0))</f>
        <v/>
      </c>
      <c r="BU168" s="23" t="str">
        <f aca="false">IF($A168="","",IF(ISNUMBER($W168),ROUND(($W168-$B168)*24,4),""))</f>
        <v/>
      </c>
      <c r="BV168" s="23" t="str">
        <f aca="false">IF($A168="","",IF(ISNUMBER($X168),ROUND(($X168-$B168)*24,4),""))</f>
        <v/>
      </c>
      <c r="BW168" s="10" t="str">
        <f aca="false">IF($A168="","",IF(NOT(ISNUMBER($W168)),"Missing Calculated",IF(NOT(ISNUMBER($X168)),IF($E168="Client","Missing FA signed off","Missing Controlled"),IF($X168&lt;$W168,"End before start","OK"))))</f>
        <v/>
      </c>
      <c r="BX168" s="23" t="str">
        <f aca="false">IF($A168="","",IF(NOT(ISNUMBER($Z168)),"",ROUND((IF(ISNUMBER($U168),MIN($U168,$Z168),$Z168)-$B168)*24,4)))</f>
        <v/>
      </c>
      <c r="BY168" s="23" t="str">
        <f aca="false">IF($A168="","",IF(ISNUMBER($Z168),ROUND(($Z168-$B168)*24,4),""))</f>
        <v/>
      </c>
      <c r="BZ168" s="23" t="str">
        <f aca="false">IF($A168="","",IF(AND(ISNUMBER($W168),ISNUMBER($S168)),ROUND(($W168+$S168/1440-$B168)*24,4),""))</f>
        <v/>
      </c>
    </row>
    <row r="169" customFormat="false" ht="15" hidden="false" customHeight="true" outlineLevel="0" collapsed="false">
      <c r="A169" s="47"/>
      <c r="B169" s="47"/>
      <c r="D169" s="4" t="str">
        <f aca="false">IF($A169="","",$B169-$A169)</f>
        <v/>
      </c>
      <c r="E169" s="4" t="str">
        <f aca="false">IF($A169="","",IFERROR(VLOOKUP($C169,Dim_Fund!$A:$X,24,0),""))</f>
        <v/>
      </c>
      <c r="F169" s="37" t="str">
        <f aca="false">IF($A169="","",IF(COUNTIFS(Status_Log!$A:$A,$A169,Status_Log!$B:$B,$B169,Status_Log!$C:$C,$C169,Status_Log!$D:$D,"Changed to the status of Calculated")=0,"",_xlfn.MINIFS(Status_Log!$E:$E,Status_Log!$A:$A,$A169,Status_Log!$B:$B,$B169,Status_Log!$C:$C,$C169,Status_Log!$D:$D,"Changed to the status of Calculated")))</f>
        <v/>
      </c>
      <c r="G169" s="37" t="str">
        <f aca="false">IF($A169="","",IF(COUNTIFS(Status_Log!$A:$A,$A169,Status_Log!$B:$B,$B169,Status_Log!$C:$C,$C169,Status_Log!$D:$D,"Changed to the status of Controlled")=0,"",_xlfn.MAXIFS(Status_Log!$E:$E,Status_Log!$A:$A,$A169,Status_Log!$B:$B,$B169,Status_Log!$C:$C,$C169,Status_Log!$D:$D,"Changed to the status of Controlled")))</f>
        <v/>
      </c>
      <c r="H169" s="37" t="str">
        <f aca="false">IF($A169="","",IF(COUNTIFS(Status_Log!$A:$A,$A169,Status_Log!$B:$B,$B169,Status_Log!$C:$C,$C169,Status_Log!$D:$D,"Changed to the status of Fund accounting signed off")=0,"",_xlfn.MAXIFS(Status_Log!$E:$E,Status_Log!$A:$A,$A169,Status_Log!$B:$B,$B169,Status_Log!$C:$C,$C169,Status_Log!$D:$D,"Changed to the status of Fund accounting signed off")))</f>
        <v/>
      </c>
      <c r="I169" s="37" t="str">
        <f aca="false">IF($A169="","",IF(COUNTIFS(Status_Log!$A:$A,$A169,Status_Log!$B:$B,$B169,Status_Log!$C:$C,$C169,Status_Log!$D:$D,"Changed to the status of signed off")=0,"",_xlfn.MAXIFS(Status_Log!$E:$E,Status_Log!$A:$A,$A169,Status_Log!$B:$B,$B169,Status_Log!$C:$C,$C169,Status_Log!$D:$D,"Changed to the status of signed off")))</f>
        <v/>
      </c>
      <c r="J169" s="4" t="str">
        <f aca="false">IF($A169="","",COUNTIFS(Status_Log!$A:$A,$A169,Status_Log!$B:$B,$B169,Status_Log!$C:$C,$C169,Status_Log!$D:$D,"Changed to the status of Calculated"))</f>
        <v/>
      </c>
      <c r="K169" s="38" t="str">
        <f aca="false">IF($A169="","",IF(J169&lt;=1,0,ROUND((_xlfn.MAXIFS(Status_Log!$E:$E,Status_Log!$A:$A,$A169,Status_Log!$B:$B,$B169,Status_Log!$C:$C,$C169,Status_Log!$D:$D,"Changed to the status of Calculated")-F169)*1440,0)))</f>
        <v/>
      </c>
      <c r="L169" s="4" t="str">
        <f aca="false">IF($A169="","",IFERROR(INDEX(Status_Log!$F:$F,MATCH($A169&amp;"|"&amp;$B169&amp;"|"&amp;$C169&amp;"|Changed to the status of Calculated|"&amp;TEXT(_xlfn.MAXIFS(Status_Log!$E:$E,Status_Log!$A:$A,$A169,Status_Log!$B:$B,$B169,Status_Log!$C:$C,$C169,Status_Log!$D:$D,"Changed to the status of Calculated"),"0.000000"),Status_Log!$H:$H,0)),""))</f>
        <v/>
      </c>
      <c r="M169" s="4" t="str">
        <f aca="false">IF($A169="","",IF(E169="Client","n/a — no control step",IFERROR(INDEX(Status_Log!$F:$F,MATCH($A169&amp;"|"&amp;$B169&amp;"|"&amp;$C169&amp;"|Changed to the status of Controlled|"&amp;TEXT(_xlfn.MAXIFS(Status_Log!$E:$E,Status_Log!$A:$A,$A169,Status_Log!$B:$B,$B169,Status_Log!$C:$C,$C169,Status_Log!$D:$D,"Changed to the status of Controlled"),"0.000000"),Status_Log!$H:$H,0)),"")))</f>
        <v/>
      </c>
      <c r="N169" s="4" t="str">
        <f aca="false">IF($A169="","",IFERROR(VLOOKUP($C169,Dim_Fund!$A:$G,7,0),""))</f>
        <v/>
      </c>
      <c r="O169" s="4" t="str">
        <f aca="false">IF($A169="","",IF(L169=N169,"No","Yes"))</f>
        <v/>
      </c>
      <c r="P169" s="4" t="str">
        <f aca="false">IF($A169="","",IF(E169="Client","n/a",IF(L169=M169,"YES — four-eyes breach","No")))</f>
        <v/>
      </c>
      <c r="Q169" s="38" t="str">
        <f aca="false">IF($A169="","",IFERROR(VLOOKUP($C169,Dim_Fund!$A:$AB,28,0),""))</f>
        <v/>
      </c>
      <c r="R169" s="38" t="str">
        <f aca="false">IF($A169="","",IFERROR(VLOOKUP($C169,Dim_Fund!$A:$AC,29,0),""))</f>
        <v/>
      </c>
      <c r="S169" s="38" t="str">
        <f aca="false">IF($A169="","",IFERROR(VLOOKUP($C169,Dim_Fund!$A:$AD,30,0),""))</f>
        <v/>
      </c>
      <c r="T169" s="38" t="str">
        <f aca="false">IF($A169="","",IFERROR(VLOOKUP($C169,Dim_Fund!$A:$AL,38,0),""))</f>
        <v/>
      </c>
      <c r="U169" s="37" t="str">
        <f aca="false">IF($A169="","",IF(AL169="","",IFERROR(IF(COUNTIFS(Fact_Milestone!$A:$A,$B169,Fact_Milestone!$B:$B,AL169)=0,"",_xlfn.MAXIFS(Fact_Milestone!$C:$C,Fact_Milestone!$A:$A,$B169,Fact_Milestone!$B:$B,AL169)),"")))</f>
        <v/>
      </c>
      <c r="V169" s="37" t="str">
        <f aca="false">IF($A169="","",IFERROR(IF(VLOOKUP($C169,Dim_Fund!$A:$AI,35,0)&gt;0,$B169+VLOOKUP($C169,Dim_Fund!$A:$AI,35,0)/24,""),""))</f>
        <v/>
      </c>
      <c r="W169" s="37" t="str">
        <f aca="false">IF($A169="","",F169)</f>
        <v/>
      </c>
      <c r="X169" s="37" t="str">
        <f aca="false">IF($A169="","",IF(E169="Client",H169,G169))</f>
        <v/>
      </c>
      <c r="Y169" s="37" t="str">
        <f aca="false">IF($A169="","",I169)</f>
        <v/>
      </c>
      <c r="Z169" s="37" t="str">
        <f aca="false">IF($A169="","",IFERROR(W169-R169/1440,""))</f>
        <v/>
      </c>
      <c r="AA169" s="38" t="str">
        <f aca="false">IF($A169="","",IF(OR(U169="",V169=""),"",ROUND((V169-U169)*1440,0)))</f>
        <v/>
      </c>
      <c r="AB169" s="38" t="str">
        <f aca="false">IF($A169="","",IF(U169="","",ROUND((W169-U169)*1440,0)))</f>
        <v/>
      </c>
      <c r="AC169" s="38" t="str">
        <f aca="false">IF($A169="","",IF(AB169="","",MAX(0,AB169)))</f>
        <v/>
      </c>
      <c r="AD169" s="38" t="str">
        <f aca="false">IF($A169="","",IFERROR(ROUND((X169-W169)*1440,0),""))</f>
        <v/>
      </c>
      <c r="AE169" s="38" t="str">
        <f aca="false">IF($A169="","",IF(E169="Client","n/a",IFERROR(ROUND((H169-G169)*1440,0),"")))</f>
        <v/>
      </c>
      <c r="AF169" s="38" t="str">
        <f aca="false">IF($A169="","",IFERROR(ROUND((Y169-H169)*1440,0),""))</f>
        <v/>
      </c>
      <c r="AG169" s="38" t="str">
        <f aca="false">IF($A169="","",IFERROR(ROUND((H169-F169)*1440,0),""))</f>
        <v/>
      </c>
      <c r="AH169" s="38" t="str">
        <f aca="false">IF($A169="","",IFERROR(ROUND((Y169-V169)*1440,0),""))</f>
        <v/>
      </c>
      <c r="AI169" s="4" t="str">
        <f aca="false">IF($A169="","",IF(AH169="","",IF(AH169&gt;0,"Yes","No")))</f>
        <v/>
      </c>
      <c r="AJ169" s="4" t="str">
        <f aca="false">IF($A169="","",IF(AI169&lt;&gt;"Yes","On time",IF(N(AC169)&gt;=MAX(N(AF169),N(K169)),"Wait for analyst",IF(N(AF169)&gt;=N(K169),"External sign-off","Rework"))))</f>
        <v/>
      </c>
      <c r="AK169" s="4" t="str">
        <f aca="false">IF($A169="","",IF(OR(F169="",Y169="",ISNA(MATCH(L169,Dim_Analyst!$A:$A,0))),"CHECK","OK"))</f>
        <v/>
      </c>
      <c r="AL169" s="4" t="str">
        <f aca="false">IF($A169="","",IFERROR(VLOOKUP($C169,Dim_Fund!$A:$U,21,0),""))</f>
        <v/>
      </c>
      <c r="AM169" s="4" t="str">
        <f aca="false">IF($A169="","",IF($U169="","",IF($U169&gt;$B169+IFERROR(VLOOKUP($C169,Dim_Fund!$A:$AH,34,0),0)/24,"Yes","No")))</f>
        <v/>
      </c>
      <c r="AN169" s="22" t="str">
        <f aca="false">IF($A169="","",IFERROR(VLOOKUP($C169,Dim_Fund!$A:$AH,34,0),""))</f>
        <v/>
      </c>
      <c r="AO169" s="22" t="str">
        <f aca="false">IF($A169="","",IF($AL169="","",IFERROR(FLOOR(IF(COUNTIFS(Fact_Milestone!$A:$A,$B169,Fact_Milestone!$B:$B,$AL169,Fact_Milestone!$F:$F,"&gt;0")&gt;0,_xlfn.MINIFS(Fact_Milestone!$F:$F,Fact_Milestone!$A:$A,$B169,Fact_Milestone!$B:$B,$AL169,Fact_Milestone!$F:$F,"&gt;0"),VLOOKUP($AL169,Dim_TOP!$A:$E,5,0)),0.5),"")))</f>
        <v/>
      </c>
      <c r="AP169" s="22" t="str">
        <f aca="false">IF($A169="","",IF($U169="","",ROUND(($U169-INT($U169))*24,4)))</f>
        <v/>
      </c>
      <c r="AQ169" s="22" t="str">
        <f aca="false">IF($A169="","",IF($W169="","",ROUND(($W169-INT($W169))*24,4)))</f>
        <v/>
      </c>
      <c r="AR169" s="22" t="str">
        <f aca="false">IF($A169="","",IF($X169="","",ROUND(($X169-INT($X169))*24,4)))</f>
        <v/>
      </c>
      <c r="AS169" s="38" t="str">
        <f aca="false">IF($A169="","",IF(OR($AN169="",$V169="",$S169="",$T169=""),"",ROUND(($V169-($B169+$AN169/24))*1440-$S169-$T169,0)))</f>
        <v/>
      </c>
      <c r="AT169" s="38" t="str">
        <f aca="false">IF($A169="","",IF(OR($AN169="",$U169=""),"",ROUND(($U169-($B169+$AN169/24))*1440,0)))</f>
        <v/>
      </c>
      <c r="AU169" s="38" t="str">
        <f aca="false">IF($A169="","",IF(OR($AD169="",$S169=""),"",ROUND($AD169-$S169,0)))</f>
        <v/>
      </c>
      <c r="AV169" s="38" t="str">
        <f aca="false">IF($A169="","",N($AE169))</f>
        <v/>
      </c>
      <c r="AW169" s="38" t="str">
        <f aca="false">IF($A169="","",IF(OR($AF169="",$T169=""),"",$AF169-$T169))</f>
        <v/>
      </c>
      <c r="AX169" s="38" t="str">
        <f aca="false">IF($A169="","",IF(COUNT($AT169,$AB169,$AU169,$AW169,$AS169,$AH169)&lt;6,"",ROUND($AT169+$AB169+$AU169+$AV169+$AW169-$AS169-$AH169,0)))</f>
        <v/>
      </c>
      <c r="AY169" s="4" t="str">
        <f aca="false">IF($A169="","",IF($AX169="","No",IF(ABS($AX169)&lt;=2,"Yes","No")))</f>
        <v/>
      </c>
      <c r="AZ169" s="4" t="str">
        <f aca="false">IF($A169="","",IF($AI169&lt;&gt;"Yes","n/a",IF(OR($AA169="",$S169="",$T169=""),"Unknown",IF($AA169&lt;$S169+$T169,"Lost on arrival","Lost after arrival"))))</f>
        <v/>
      </c>
      <c r="BA169" s="10" t="str">
        <f aca="false">IF($A169="","",IFERROR(VLOOKUP($C169,Dim_Fund!$A:$D,4,0),""))</f>
        <v/>
      </c>
      <c r="BB169" s="10" t="str">
        <f aca="false">IF($A169="","",IF($AL169="","",IF(COUNTIFS(Fact_Milestone!$A:$A,$B169,Fact_Milestone!$B:$B,$AL169,Fact_Milestone!$I:$I,"No")&gt;0,"No",IF(COUNTIFS(Fact_Milestone!$A:$A,$B169,Fact_Milestone!$B:$B,$AL169,Fact_Milestone!$I:$I,"Yes")&gt;0,"Yes",""))))</f>
        <v/>
      </c>
      <c r="BC169" s="45" t="str">
        <f aca="false">IF($A169="","",IF(OR($L169="",$W169=""),"",IF(COUNTIFS($L:$L,$L169,$B:$B,$B169,$W:$W,"&lt;"&amp;$W169)=0,"",_xlfn.MAXIFS($W:$W,$L:$L,$L169,$B:$B,$B169,$W:$W,"&lt;"&amp;$W169))))</f>
        <v/>
      </c>
      <c r="BD169" s="39" t="str">
        <f aca="false">IF($A169="","",IF($AC169="","",IF(OR($L169="",$AC169=0),0,MIN($AC169,ROUND(ROUND(1440*SUMPRODUCT(($L$2:INDEX($L:$L,COUNTA($C:$C))=$L169)*($B$2:INDEX($B:$B,COUNTA($C:$C))=$B169)*(ROW($L$2:INDEX($L:$L,COUNTA($C:$C)))&lt;&gt;ROW())*((((($W169+$BT$2:INDEX($BT:$BT,COUNTA($C:$C))-ABS($W169-$BT$2:INDEX($BT:$BT,COUNTA($C:$C))))/2)-(($U169+$BS$2:INDEX($BS:$BS,COUNTA($C:$C))+ABS($U169-$BS$2:INDEX($BS:$BS,COUNTA($C:$C))))/2))+ABS(((($W169+$BT$2:INDEX($BT:$BT,COUNTA($C:$C))-ABS($W169-$BT$2:INDEX($BT:$BT,COUNTA($C:$C))))/2)-(($U169+$BS$2:INDEX($BS:$BS,COUNTA($C:$C))+ABS($U169-$BS$2:INDEX($BS:$BS,COUNTA($C:$C))))/2))))/2)),4),0)))))</f>
        <v/>
      </c>
      <c r="BE169" s="39" t="str">
        <f aca="false">IF($A169="","",IF($AC169="","",ROUND(MIN($AC169-$BD169,N($R169)),0)))</f>
        <v/>
      </c>
      <c r="BF169" s="10" t="str">
        <f aca="false">IF($A169="","",IFERROR(VLOOKUP($C169,Dim_Fund!$A:$BD,56,0),""))</f>
        <v/>
      </c>
      <c r="BG169" s="10" t="str">
        <f aca="false">IF($A169="","",IFERROR(VLOOKUP($C169,Dim_Fund!$A:$BH,60,0),""))</f>
        <v/>
      </c>
      <c r="BH169" s="10" t="str">
        <f aca="false">IF($A169="","",IF($AI169&lt;&gt;"Yes","Not breached",IF($AM169="Yes","Pricing late",IF($BG169="Thin custody slack","Thin custody slack",IF($BF169="Yes","Broker-dependent","None of these")))))</f>
        <v/>
      </c>
      <c r="BI169" s="23" t="str">
        <f aca="false">IF($A169="","",IFERROR(IF(VLOOKUP($C169,Dim_Fund!$A:$AI,35,0)&gt;0,VLOOKUP($C169,Dim_Fund!$A:$AI,35,0),""),""))</f>
        <v/>
      </c>
      <c r="BJ169" s="10" t="str">
        <f aca="false">IF($A169="","",$C169&amp;IF($E169="Client","*",""))</f>
        <v/>
      </c>
      <c r="BK169" s="39" t="str">
        <f aca="false">IF($A169="","",IFERROR(ROUND(($Y169-$X169)*1440,0),""))</f>
        <v/>
      </c>
      <c r="BL169" s="39" t="str">
        <f aca="false">IF($A169="","",IF($AH169="","",-$AH169))</f>
        <v/>
      </c>
      <c r="BM169" s="46" t="str">
        <f aca="false">IF($A169="","",IF($AQ169="","",IF($AP169="",$AQ169,MIN($AP169,$AQ169))))</f>
        <v/>
      </c>
      <c r="BN169" s="46" t="str">
        <f aca="false">IF($A169="","",IF($BM169="","",ROUND(N($AC169)/60,4)))</f>
        <v/>
      </c>
      <c r="BO169" s="46" t="str">
        <f aca="false">IF($A169="","",IF(OR($BM169="",$AD169=""),"",ROUND($AD169/60,4)))</f>
        <v/>
      </c>
      <c r="BP169" s="46" t="str">
        <f aca="false">IF($A169="","",IF($BM169="","",ROUND(N($AE169)/60,4)))</f>
        <v/>
      </c>
      <c r="BQ169" s="46" t="str">
        <f aca="false">IF($A169="","",IF(OR($BM169="",$AF169=""),"",ROUND($AF169/60,4)))</f>
        <v/>
      </c>
      <c r="BR169" s="39" t="str">
        <f aca="false">IF($A169="","",IF($AC169="","",$AC169-$BD169-$BE169))</f>
        <v/>
      </c>
      <c r="BS169" s="45" t="str">
        <f aca="false">IF($A169="","",IF(AND(ISNUMBER($Z169),ISNUMBER($W169)),$Z169,0))</f>
        <v/>
      </c>
      <c r="BT169" s="45" t="str">
        <f aca="false">IF($A169="","",IF(ISNUMBER($W169),$W169,0))</f>
        <v/>
      </c>
      <c r="BU169" s="23" t="str">
        <f aca="false">IF($A169="","",IF(ISNUMBER($W169),ROUND(($W169-$B169)*24,4),""))</f>
        <v/>
      </c>
      <c r="BV169" s="23" t="str">
        <f aca="false">IF($A169="","",IF(ISNUMBER($X169),ROUND(($X169-$B169)*24,4),""))</f>
        <v/>
      </c>
      <c r="BW169" s="10" t="str">
        <f aca="false">IF($A169="","",IF(NOT(ISNUMBER($W169)),"Missing Calculated",IF(NOT(ISNUMBER($X169)),IF($E169="Client","Missing FA signed off","Missing Controlled"),IF($X169&lt;$W169,"End before start","OK"))))</f>
        <v/>
      </c>
      <c r="BX169" s="23" t="str">
        <f aca="false">IF($A169="","",IF(NOT(ISNUMBER($Z169)),"",ROUND((IF(ISNUMBER($U169),MIN($U169,$Z169),$Z169)-$B169)*24,4)))</f>
        <v/>
      </c>
      <c r="BY169" s="23" t="str">
        <f aca="false">IF($A169="","",IF(ISNUMBER($Z169),ROUND(($Z169-$B169)*24,4),""))</f>
        <v/>
      </c>
      <c r="BZ169" s="23" t="str">
        <f aca="false">IF($A169="","",IF(AND(ISNUMBER($W169),ISNUMBER($S169)),ROUND(($W169+$S169/1440-$B169)*24,4),""))</f>
        <v/>
      </c>
    </row>
    <row r="170" customFormat="false" ht="15" hidden="false" customHeight="true" outlineLevel="0" collapsed="false">
      <c r="A170" s="47"/>
      <c r="B170" s="47"/>
      <c r="D170" s="4" t="str">
        <f aca="false">IF($A170="","",$B170-$A170)</f>
        <v/>
      </c>
      <c r="E170" s="4" t="str">
        <f aca="false">IF($A170="","",IFERROR(VLOOKUP($C170,Dim_Fund!$A:$X,24,0),""))</f>
        <v/>
      </c>
      <c r="F170" s="37" t="str">
        <f aca="false">IF($A170="","",IF(COUNTIFS(Status_Log!$A:$A,$A170,Status_Log!$B:$B,$B170,Status_Log!$C:$C,$C170,Status_Log!$D:$D,"Changed to the status of Calculated")=0,"",_xlfn.MINIFS(Status_Log!$E:$E,Status_Log!$A:$A,$A170,Status_Log!$B:$B,$B170,Status_Log!$C:$C,$C170,Status_Log!$D:$D,"Changed to the status of Calculated")))</f>
        <v/>
      </c>
      <c r="G170" s="37" t="str">
        <f aca="false">IF($A170="","",IF(COUNTIFS(Status_Log!$A:$A,$A170,Status_Log!$B:$B,$B170,Status_Log!$C:$C,$C170,Status_Log!$D:$D,"Changed to the status of Controlled")=0,"",_xlfn.MAXIFS(Status_Log!$E:$E,Status_Log!$A:$A,$A170,Status_Log!$B:$B,$B170,Status_Log!$C:$C,$C170,Status_Log!$D:$D,"Changed to the status of Controlled")))</f>
        <v/>
      </c>
      <c r="H170" s="37" t="str">
        <f aca="false">IF($A170="","",IF(COUNTIFS(Status_Log!$A:$A,$A170,Status_Log!$B:$B,$B170,Status_Log!$C:$C,$C170,Status_Log!$D:$D,"Changed to the status of Fund accounting signed off")=0,"",_xlfn.MAXIFS(Status_Log!$E:$E,Status_Log!$A:$A,$A170,Status_Log!$B:$B,$B170,Status_Log!$C:$C,$C170,Status_Log!$D:$D,"Changed to the status of Fund accounting signed off")))</f>
        <v/>
      </c>
      <c r="I170" s="37" t="str">
        <f aca="false">IF($A170="","",IF(COUNTIFS(Status_Log!$A:$A,$A170,Status_Log!$B:$B,$B170,Status_Log!$C:$C,$C170,Status_Log!$D:$D,"Changed to the status of signed off")=0,"",_xlfn.MAXIFS(Status_Log!$E:$E,Status_Log!$A:$A,$A170,Status_Log!$B:$B,$B170,Status_Log!$C:$C,$C170,Status_Log!$D:$D,"Changed to the status of signed off")))</f>
        <v/>
      </c>
      <c r="J170" s="4" t="str">
        <f aca="false">IF($A170="","",COUNTIFS(Status_Log!$A:$A,$A170,Status_Log!$B:$B,$B170,Status_Log!$C:$C,$C170,Status_Log!$D:$D,"Changed to the status of Calculated"))</f>
        <v/>
      </c>
      <c r="K170" s="38" t="str">
        <f aca="false">IF($A170="","",IF(J170&lt;=1,0,ROUND((_xlfn.MAXIFS(Status_Log!$E:$E,Status_Log!$A:$A,$A170,Status_Log!$B:$B,$B170,Status_Log!$C:$C,$C170,Status_Log!$D:$D,"Changed to the status of Calculated")-F170)*1440,0)))</f>
        <v/>
      </c>
      <c r="L170" s="4" t="str">
        <f aca="false">IF($A170="","",IFERROR(INDEX(Status_Log!$F:$F,MATCH($A170&amp;"|"&amp;$B170&amp;"|"&amp;$C170&amp;"|Changed to the status of Calculated|"&amp;TEXT(_xlfn.MAXIFS(Status_Log!$E:$E,Status_Log!$A:$A,$A170,Status_Log!$B:$B,$B170,Status_Log!$C:$C,$C170,Status_Log!$D:$D,"Changed to the status of Calculated"),"0.000000"),Status_Log!$H:$H,0)),""))</f>
        <v/>
      </c>
      <c r="M170" s="4" t="str">
        <f aca="false">IF($A170="","",IF(E170="Client","n/a — no control step",IFERROR(INDEX(Status_Log!$F:$F,MATCH($A170&amp;"|"&amp;$B170&amp;"|"&amp;$C170&amp;"|Changed to the status of Controlled|"&amp;TEXT(_xlfn.MAXIFS(Status_Log!$E:$E,Status_Log!$A:$A,$A170,Status_Log!$B:$B,$B170,Status_Log!$C:$C,$C170,Status_Log!$D:$D,"Changed to the status of Controlled"),"0.000000"),Status_Log!$H:$H,0)),"")))</f>
        <v/>
      </c>
      <c r="N170" s="4" t="str">
        <f aca="false">IF($A170="","",IFERROR(VLOOKUP($C170,Dim_Fund!$A:$G,7,0),""))</f>
        <v/>
      </c>
      <c r="O170" s="4" t="str">
        <f aca="false">IF($A170="","",IF(L170=N170,"No","Yes"))</f>
        <v/>
      </c>
      <c r="P170" s="4" t="str">
        <f aca="false">IF($A170="","",IF(E170="Client","n/a",IF(L170=M170,"YES — four-eyes breach","No")))</f>
        <v/>
      </c>
      <c r="Q170" s="38" t="str">
        <f aca="false">IF($A170="","",IFERROR(VLOOKUP($C170,Dim_Fund!$A:$AB,28,0),""))</f>
        <v/>
      </c>
      <c r="R170" s="38" t="str">
        <f aca="false">IF($A170="","",IFERROR(VLOOKUP($C170,Dim_Fund!$A:$AC,29,0),""))</f>
        <v/>
      </c>
      <c r="S170" s="38" t="str">
        <f aca="false">IF($A170="","",IFERROR(VLOOKUP($C170,Dim_Fund!$A:$AD,30,0),""))</f>
        <v/>
      </c>
      <c r="T170" s="38" t="str">
        <f aca="false">IF($A170="","",IFERROR(VLOOKUP($C170,Dim_Fund!$A:$AL,38,0),""))</f>
        <v/>
      </c>
      <c r="U170" s="37" t="str">
        <f aca="false">IF($A170="","",IF(AL170="","",IFERROR(IF(COUNTIFS(Fact_Milestone!$A:$A,$B170,Fact_Milestone!$B:$B,AL170)=0,"",_xlfn.MAXIFS(Fact_Milestone!$C:$C,Fact_Milestone!$A:$A,$B170,Fact_Milestone!$B:$B,AL170)),"")))</f>
        <v/>
      </c>
      <c r="V170" s="37" t="str">
        <f aca="false">IF($A170="","",IFERROR(IF(VLOOKUP($C170,Dim_Fund!$A:$AI,35,0)&gt;0,$B170+VLOOKUP($C170,Dim_Fund!$A:$AI,35,0)/24,""),""))</f>
        <v/>
      </c>
      <c r="W170" s="37" t="str">
        <f aca="false">IF($A170="","",F170)</f>
        <v/>
      </c>
      <c r="X170" s="37" t="str">
        <f aca="false">IF($A170="","",IF(E170="Client",H170,G170))</f>
        <v/>
      </c>
      <c r="Y170" s="37" t="str">
        <f aca="false">IF($A170="","",I170)</f>
        <v/>
      </c>
      <c r="Z170" s="37" t="str">
        <f aca="false">IF($A170="","",IFERROR(W170-R170/1440,""))</f>
        <v/>
      </c>
      <c r="AA170" s="38" t="str">
        <f aca="false">IF($A170="","",IF(OR(U170="",V170=""),"",ROUND((V170-U170)*1440,0)))</f>
        <v/>
      </c>
      <c r="AB170" s="38" t="str">
        <f aca="false">IF($A170="","",IF(U170="","",ROUND((W170-U170)*1440,0)))</f>
        <v/>
      </c>
      <c r="AC170" s="38" t="str">
        <f aca="false">IF($A170="","",IF(AB170="","",MAX(0,AB170)))</f>
        <v/>
      </c>
      <c r="AD170" s="38" t="str">
        <f aca="false">IF($A170="","",IFERROR(ROUND((X170-W170)*1440,0),""))</f>
        <v/>
      </c>
      <c r="AE170" s="38" t="str">
        <f aca="false">IF($A170="","",IF(E170="Client","n/a",IFERROR(ROUND((H170-G170)*1440,0),"")))</f>
        <v/>
      </c>
      <c r="AF170" s="38" t="str">
        <f aca="false">IF($A170="","",IFERROR(ROUND((Y170-H170)*1440,0),""))</f>
        <v/>
      </c>
      <c r="AG170" s="38" t="str">
        <f aca="false">IF($A170="","",IFERROR(ROUND((H170-F170)*1440,0),""))</f>
        <v/>
      </c>
      <c r="AH170" s="38" t="str">
        <f aca="false">IF($A170="","",IFERROR(ROUND((Y170-V170)*1440,0),""))</f>
        <v/>
      </c>
      <c r="AI170" s="4" t="str">
        <f aca="false">IF($A170="","",IF(AH170="","",IF(AH170&gt;0,"Yes","No")))</f>
        <v/>
      </c>
      <c r="AJ170" s="4" t="str">
        <f aca="false">IF($A170="","",IF(AI170&lt;&gt;"Yes","On time",IF(N(AC170)&gt;=MAX(N(AF170),N(K170)),"Wait for analyst",IF(N(AF170)&gt;=N(K170),"External sign-off","Rework"))))</f>
        <v/>
      </c>
      <c r="AK170" s="4" t="str">
        <f aca="false">IF($A170="","",IF(OR(F170="",Y170="",ISNA(MATCH(L170,Dim_Analyst!$A:$A,0))),"CHECK","OK"))</f>
        <v/>
      </c>
      <c r="AL170" s="4" t="str">
        <f aca="false">IF($A170="","",IFERROR(VLOOKUP($C170,Dim_Fund!$A:$U,21,0),""))</f>
        <v/>
      </c>
      <c r="AM170" s="4" t="str">
        <f aca="false">IF($A170="","",IF($U170="","",IF($U170&gt;$B170+IFERROR(VLOOKUP($C170,Dim_Fund!$A:$AH,34,0),0)/24,"Yes","No")))</f>
        <v/>
      </c>
      <c r="AN170" s="22" t="str">
        <f aca="false">IF($A170="","",IFERROR(VLOOKUP($C170,Dim_Fund!$A:$AH,34,0),""))</f>
        <v/>
      </c>
      <c r="AO170" s="22" t="str">
        <f aca="false">IF($A170="","",IF($AL170="","",IFERROR(FLOOR(IF(COUNTIFS(Fact_Milestone!$A:$A,$B170,Fact_Milestone!$B:$B,$AL170,Fact_Milestone!$F:$F,"&gt;0")&gt;0,_xlfn.MINIFS(Fact_Milestone!$F:$F,Fact_Milestone!$A:$A,$B170,Fact_Milestone!$B:$B,$AL170,Fact_Milestone!$F:$F,"&gt;0"),VLOOKUP($AL170,Dim_TOP!$A:$E,5,0)),0.5),"")))</f>
        <v/>
      </c>
      <c r="AP170" s="22" t="str">
        <f aca="false">IF($A170="","",IF($U170="","",ROUND(($U170-INT($U170))*24,4)))</f>
        <v/>
      </c>
      <c r="AQ170" s="22" t="str">
        <f aca="false">IF($A170="","",IF($W170="","",ROUND(($W170-INT($W170))*24,4)))</f>
        <v/>
      </c>
      <c r="AR170" s="22" t="str">
        <f aca="false">IF($A170="","",IF($X170="","",ROUND(($X170-INT($X170))*24,4)))</f>
        <v/>
      </c>
      <c r="AS170" s="38" t="str">
        <f aca="false">IF($A170="","",IF(OR($AN170="",$V170="",$S170="",$T170=""),"",ROUND(($V170-($B170+$AN170/24))*1440-$S170-$T170,0)))</f>
        <v/>
      </c>
      <c r="AT170" s="38" t="str">
        <f aca="false">IF($A170="","",IF(OR($AN170="",$U170=""),"",ROUND(($U170-($B170+$AN170/24))*1440,0)))</f>
        <v/>
      </c>
      <c r="AU170" s="38" t="str">
        <f aca="false">IF($A170="","",IF(OR($AD170="",$S170=""),"",ROUND($AD170-$S170,0)))</f>
        <v/>
      </c>
      <c r="AV170" s="38" t="str">
        <f aca="false">IF($A170="","",N($AE170))</f>
        <v/>
      </c>
      <c r="AW170" s="38" t="str">
        <f aca="false">IF($A170="","",IF(OR($AF170="",$T170=""),"",$AF170-$T170))</f>
        <v/>
      </c>
      <c r="AX170" s="38" t="str">
        <f aca="false">IF($A170="","",IF(COUNT($AT170,$AB170,$AU170,$AW170,$AS170,$AH170)&lt;6,"",ROUND($AT170+$AB170+$AU170+$AV170+$AW170-$AS170-$AH170,0)))</f>
        <v/>
      </c>
      <c r="AY170" s="4" t="str">
        <f aca="false">IF($A170="","",IF($AX170="","No",IF(ABS($AX170)&lt;=2,"Yes","No")))</f>
        <v/>
      </c>
      <c r="AZ170" s="4" t="str">
        <f aca="false">IF($A170="","",IF($AI170&lt;&gt;"Yes","n/a",IF(OR($AA170="",$S170="",$T170=""),"Unknown",IF($AA170&lt;$S170+$T170,"Lost on arrival","Lost after arrival"))))</f>
        <v/>
      </c>
      <c r="BA170" s="10" t="str">
        <f aca="false">IF($A170="","",IFERROR(VLOOKUP($C170,Dim_Fund!$A:$D,4,0),""))</f>
        <v/>
      </c>
      <c r="BB170" s="10" t="str">
        <f aca="false">IF($A170="","",IF($AL170="","",IF(COUNTIFS(Fact_Milestone!$A:$A,$B170,Fact_Milestone!$B:$B,$AL170,Fact_Milestone!$I:$I,"No")&gt;0,"No",IF(COUNTIFS(Fact_Milestone!$A:$A,$B170,Fact_Milestone!$B:$B,$AL170,Fact_Milestone!$I:$I,"Yes")&gt;0,"Yes",""))))</f>
        <v/>
      </c>
      <c r="BC170" s="45" t="str">
        <f aca="false">IF($A170="","",IF(OR($L170="",$W170=""),"",IF(COUNTIFS($L:$L,$L170,$B:$B,$B170,$W:$W,"&lt;"&amp;$W170)=0,"",_xlfn.MAXIFS($W:$W,$L:$L,$L170,$B:$B,$B170,$W:$W,"&lt;"&amp;$W170))))</f>
        <v/>
      </c>
      <c r="BD170" s="39" t="str">
        <f aca="false">IF($A170="","",IF($AC170="","",IF(OR($L170="",$AC170=0),0,MIN($AC170,ROUND(ROUND(1440*SUMPRODUCT(($L$2:INDEX($L:$L,COUNTA($C:$C))=$L170)*($B$2:INDEX($B:$B,COUNTA($C:$C))=$B170)*(ROW($L$2:INDEX($L:$L,COUNTA($C:$C)))&lt;&gt;ROW())*((((($W170+$BT$2:INDEX($BT:$BT,COUNTA($C:$C))-ABS($W170-$BT$2:INDEX($BT:$BT,COUNTA($C:$C))))/2)-(($U170+$BS$2:INDEX($BS:$BS,COUNTA($C:$C))+ABS($U170-$BS$2:INDEX($BS:$BS,COUNTA($C:$C))))/2))+ABS(((($W170+$BT$2:INDEX($BT:$BT,COUNTA($C:$C))-ABS($W170-$BT$2:INDEX($BT:$BT,COUNTA($C:$C))))/2)-(($U170+$BS$2:INDEX($BS:$BS,COUNTA($C:$C))+ABS($U170-$BS$2:INDEX($BS:$BS,COUNTA($C:$C))))/2))))/2)),4),0)))))</f>
        <v/>
      </c>
      <c r="BE170" s="39" t="str">
        <f aca="false">IF($A170="","",IF($AC170="","",ROUND(MIN($AC170-$BD170,N($R170)),0)))</f>
        <v/>
      </c>
      <c r="BF170" s="10" t="str">
        <f aca="false">IF($A170="","",IFERROR(VLOOKUP($C170,Dim_Fund!$A:$BD,56,0),""))</f>
        <v/>
      </c>
      <c r="BG170" s="10" t="str">
        <f aca="false">IF($A170="","",IFERROR(VLOOKUP($C170,Dim_Fund!$A:$BH,60,0),""))</f>
        <v/>
      </c>
      <c r="BH170" s="10" t="str">
        <f aca="false">IF($A170="","",IF($AI170&lt;&gt;"Yes","Not breached",IF($AM170="Yes","Pricing late",IF($BG170="Thin custody slack","Thin custody slack",IF($BF170="Yes","Broker-dependent","None of these")))))</f>
        <v/>
      </c>
      <c r="BI170" s="23" t="str">
        <f aca="false">IF($A170="","",IFERROR(IF(VLOOKUP($C170,Dim_Fund!$A:$AI,35,0)&gt;0,VLOOKUP($C170,Dim_Fund!$A:$AI,35,0),""),""))</f>
        <v/>
      </c>
      <c r="BJ170" s="10" t="str">
        <f aca="false">IF($A170="","",$C170&amp;IF($E170="Client","*",""))</f>
        <v/>
      </c>
      <c r="BK170" s="39" t="str">
        <f aca="false">IF($A170="","",IFERROR(ROUND(($Y170-$X170)*1440,0),""))</f>
        <v/>
      </c>
      <c r="BL170" s="39" t="str">
        <f aca="false">IF($A170="","",IF($AH170="","",-$AH170))</f>
        <v/>
      </c>
      <c r="BM170" s="46" t="str">
        <f aca="false">IF($A170="","",IF($AQ170="","",IF($AP170="",$AQ170,MIN($AP170,$AQ170))))</f>
        <v/>
      </c>
      <c r="BN170" s="46" t="str">
        <f aca="false">IF($A170="","",IF($BM170="","",ROUND(N($AC170)/60,4)))</f>
        <v/>
      </c>
      <c r="BO170" s="46" t="str">
        <f aca="false">IF($A170="","",IF(OR($BM170="",$AD170=""),"",ROUND($AD170/60,4)))</f>
        <v/>
      </c>
      <c r="BP170" s="46" t="str">
        <f aca="false">IF($A170="","",IF($BM170="","",ROUND(N($AE170)/60,4)))</f>
        <v/>
      </c>
      <c r="BQ170" s="46" t="str">
        <f aca="false">IF($A170="","",IF(OR($BM170="",$AF170=""),"",ROUND($AF170/60,4)))</f>
        <v/>
      </c>
      <c r="BR170" s="39" t="str">
        <f aca="false">IF($A170="","",IF($AC170="","",$AC170-$BD170-$BE170))</f>
        <v/>
      </c>
      <c r="BS170" s="45" t="str">
        <f aca="false">IF($A170="","",IF(AND(ISNUMBER($Z170),ISNUMBER($W170)),$Z170,0))</f>
        <v/>
      </c>
      <c r="BT170" s="45" t="str">
        <f aca="false">IF($A170="","",IF(ISNUMBER($W170),$W170,0))</f>
        <v/>
      </c>
      <c r="BU170" s="23" t="str">
        <f aca="false">IF($A170="","",IF(ISNUMBER($W170),ROUND(($W170-$B170)*24,4),""))</f>
        <v/>
      </c>
      <c r="BV170" s="23" t="str">
        <f aca="false">IF($A170="","",IF(ISNUMBER($X170),ROUND(($X170-$B170)*24,4),""))</f>
        <v/>
      </c>
      <c r="BW170" s="10" t="str">
        <f aca="false">IF($A170="","",IF(NOT(ISNUMBER($W170)),"Missing Calculated",IF(NOT(ISNUMBER($X170)),IF($E170="Client","Missing FA signed off","Missing Controlled"),IF($X170&lt;$W170,"End before start","OK"))))</f>
        <v/>
      </c>
      <c r="BX170" s="23" t="str">
        <f aca="false">IF($A170="","",IF(NOT(ISNUMBER($Z170)),"",ROUND((IF(ISNUMBER($U170),MIN($U170,$Z170),$Z170)-$B170)*24,4)))</f>
        <v/>
      </c>
      <c r="BY170" s="23" t="str">
        <f aca="false">IF($A170="","",IF(ISNUMBER($Z170),ROUND(($Z170-$B170)*24,4),""))</f>
        <v/>
      </c>
      <c r="BZ170" s="23" t="str">
        <f aca="false">IF($A170="","",IF(AND(ISNUMBER($W170),ISNUMBER($S170)),ROUND(($W170+$S170/1440-$B170)*24,4),""))</f>
        <v/>
      </c>
    </row>
    <row r="171" customFormat="false" ht="15" hidden="false" customHeight="true" outlineLevel="0" collapsed="false">
      <c r="A171" s="47"/>
      <c r="B171" s="47"/>
      <c r="D171" s="4" t="str">
        <f aca="false">IF($A171="","",$B171-$A171)</f>
        <v/>
      </c>
      <c r="E171" s="4" t="str">
        <f aca="false">IF($A171="","",IFERROR(VLOOKUP($C171,Dim_Fund!$A:$X,24,0),""))</f>
        <v/>
      </c>
      <c r="F171" s="37" t="str">
        <f aca="false">IF($A171="","",IF(COUNTIFS(Status_Log!$A:$A,$A171,Status_Log!$B:$B,$B171,Status_Log!$C:$C,$C171,Status_Log!$D:$D,"Changed to the status of Calculated")=0,"",_xlfn.MINIFS(Status_Log!$E:$E,Status_Log!$A:$A,$A171,Status_Log!$B:$B,$B171,Status_Log!$C:$C,$C171,Status_Log!$D:$D,"Changed to the status of Calculated")))</f>
        <v/>
      </c>
      <c r="G171" s="37" t="str">
        <f aca="false">IF($A171="","",IF(COUNTIFS(Status_Log!$A:$A,$A171,Status_Log!$B:$B,$B171,Status_Log!$C:$C,$C171,Status_Log!$D:$D,"Changed to the status of Controlled")=0,"",_xlfn.MAXIFS(Status_Log!$E:$E,Status_Log!$A:$A,$A171,Status_Log!$B:$B,$B171,Status_Log!$C:$C,$C171,Status_Log!$D:$D,"Changed to the status of Controlled")))</f>
        <v/>
      </c>
      <c r="H171" s="37" t="str">
        <f aca="false">IF($A171="","",IF(COUNTIFS(Status_Log!$A:$A,$A171,Status_Log!$B:$B,$B171,Status_Log!$C:$C,$C171,Status_Log!$D:$D,"Changed to the status of Fund accounting signed off")=0,"",_xlfn.MAXIFS(Status_Log!$E:$E,Status_Log!$A:$A,$A171,Status_Log!$B:$B,$B171,Status_Log!$C:$C,$C171,Status_Log!$D:$D,"Changed to the status of Fund accounting signed off")))</f>
        <v/>
      </c>
      <c r="I171" s="37" t="str">
        <f aca="false">IF($A171="","",IF(COUNTIFS(Status_Log!$A:$A,$A171,Status_Log!$B:$B,$B171,Status_Log!$C:$C,$C171,Status_Log!$D:$D,"Changed to the status of signed off")=0,"",_xlfn.MAXIFS(Status_Log!$E:$E,Status_Log!$A:$A,$A171,Status_Log!$B:$B,$B171,Status_Log!$C:$C,$C171,Status_Log!$D:$D,"Changed to the status of signed off")))</f>
        <v/>
      </c>
      <c r="J171" s="4" t="str">
        <f aca="false">IF($A171="","",COUNTIFS(Status_Log!$A:$A,$A171,Status_Log!$B:$B,$B171,Status_Log!$C:$C,$C171,Status_Log!$D:$D,"Changed to the status of Calculated"))</f>
        <v/>
      </c>
      <c r="K171" s="38" t="str">
        <f aca="false">IF($A171="","",IF(J171&lt;=1,0,ROUND((_xlfn.MAXIFS(Status_Log!$E:$E,Status_Log!$A:$A,$A171,Status_Log!$B:$B,$B171,Status_Log!$C:$C,$C171,Status_Log!$D:$D,"Changed to the status of Calculated")-F171)*1440,0)))</f>
        <v/>
      </c>
      <c r="L171" s="4" t="str">
        <f aca="false">IF($A171="","",IFERROR(INDEX(Status_Log!$F:$F,MATCH($A171&amp;"|"&amp;$B171&amp;"|"&amp;$C171&amp;"|Changed to the status of Calculated|"&amp;TEXT(_xlfn.MAXIFS(Status_Log!$E:$E,Status_Log!$A:$A,$A171,Status_Log!$B:$B,$B171,Status_Log!$C:$C,$C171,Status_Log!$D:$D,"Changed to the status of Calculated"),"0.000000"),Status_Log!$H:$H,0)),""))</f>
        <v/>
      </c>
      <c r="M171" s="4" t="str">
        <f aca="false">IF($A171="","",IF(E171="Client","n/a — no control step",IFERROR(INDEX(Status_Log!$F:$F,MATCH($A171&amp;"|"&amp;$B171&amp;"|"&amp;$C171&amp;"|Changed to the status of Controlled|"&amp;TEXT(_xlfn.MAXIFS(Status_Log!$E:$E,Status_Log!$A:$A,$A171,Status_Log!$B:$B,$B171,Status_Log!$C:$C,$C171,Status_Log!$D:$D,"Changed to the status of Controlled"),"0.000000"),Status_Log!$H:$H,0)),"")))</f>
        <v/>
      </c>
      <c r="N171" s="4" t="str">
        <f aca="false">IF($A171="","",IFERROR(VLOOKUP($C171,Dim_Fund!$A:$G,7,0),""))</f>
        <v/>
      </c>
      <c r="O171" s="4" t="str">
        <f aca="false">IF($A171="","",IF(L171=N171,"No","Yes"))</f>
        <v/>
      </c>
      <c r="P171" s="4" t="str">
        <f aca="false">IF($A171="","",IF(E171="Client","n/a",IF(L171=M171,"YES — four-eyes breach","No")))</f>
        <v/>
      </c>
      <c r="Q171" s="38" t="str">
        <f aca="false">IF($A171="","",IFERROR(VLOOKUP($C171,Dim_Fund!$A:$AB,28,0),""))</f>
        <v/>
      </c>
      <c r="R171" s="38" t="str">
        <f aca="false">IF($A171="","",IFERROR(VLOOKUP($C171,Dim_Fund!$A:$AC,29,0),""))</f>
        <v/>
      </c>
      <c r="S171" s="38" t="str">
        <f aca="false">IF($A171="","",IFERROR(VLOOKUP($C171,Dim_Fund!$A:$AD,30,0),""))</f>
        <v/>
      </c>
      <c r="T171" s="38" t="str">
        <f aca="false">IF($A171="","",IFERROR(VLOOKUP($C171,Dim_Fund!$A:$AL,38,0),""))</f>
        <v/>
      </c>
      <c r="U171" s="37" t="str">
        <f aca="false">IF($A171="","",IF(AL171="","",IFERROR(IF(COUNTIFS(Fact_Milestone!$A:$A,$B171,Fact_Milestone!$B:$B,AL171)=0,"",_xlfn.MAXIFS(Fact_Milestone!$C:$C,Fact_Milestone!$A:$A,$B171,Fact_Milestone!$B:$B,AL171)),"")))</f>
        <v/>
      </c>
      <c r="V171" s="37" t="str">
        <f aca="false">IF($A171="","",IFERROR(IF(VLOOKUP($C171,Dim_Fund!$A:$AI,35,0)&gt;0,$B171+VLOOKUP($C171,Dim_Fund!$A:$AI,35,0)/24,""),""))</f>
        <v/>
      </c>
      <c r="W171" s="37" t="str">
        <f aca="false">IF($A171="","",F171)</f>
        <v/>
      </c>
      <c r="X171" s="37" t="str">
        <f aca="false">IF($A171="","",IF(E171="Client",H171,G171))</f>
        <v/>
      </c>
      <c r="Y171" s="37" t="str">
        <f aca="false">IF($A171="","",I171)</f>
        <v/>
      </c>
      <c r="Z171" s="37" t="str">
        <f aca="false">IF($A171="","",IFERROR(W171-R171/1440,""))</f>
        <v/>
      </c>
      <c r="AA171" s="38" t="str">
        <f aca="false">IF($A171="","",IF(OR(U171="",V171=""),"",ROUND((V171-U171)*1440,0)))</f>
        <v/>
      </c>
      <c r="AB171" s="38" t="str">
        <f aca="false">IF($A171="","",IF(U171="","",ROUND((W171-U171)*1440,0)))</f>
        <v/>
      </c>
      <c r="AC171" s="38" t="str">
        <f aca="false">IF($A171="","",IF(AB171="","",MAX(0,AB171)))</f>
        <v/>
      </c>
      <c r="AD171" s="38" t="str">
        <f aca="false">IF($A171="","",IFERROR(ROUND((X171-W171)*1440,0),""))</f>
        <v/>
      </c>
      <c r="AE171" s="38" t="str">
        <f aca="false">IF($A171="","",IF(E171="Client","n/a",IFERROR(ROUND((H171-G171)*1440,0),"")))</f>
        <v/>
      </c>
      <c r="AF171" s="38" t="str">
        <f aca="false">IF($A171="","",IFERROR(ROUND((Y171-H171)*1440,0),""))</f>
        <v/>
      </c>
      <c r="AG171" s="38" t="str">
        <f aca="false">IF($A171="","",IFERROR(ROUND((H171-F171)*1440,0),""))</f>
        <v/>
      </c>
      <c r="AH171" s="38" t="str">
        <f aca="false">IF($A171="","",IFERROR(ROUND((Y171-V171)*1440,0),""))</f>
        <v/>
      </c>
      <c r="AI171" s="4" t="str">
        <f aca="false">IF($A171="","",IF(AH171="","",IF(AH171&gt;0,"Yes","No")))</f>
        <v/>
      </c>
      <c r="AJ171" s="4" t="str">
        <f aca="false">IF($A171="","",IF(AI171&lt;&gt;"Yes","On time",IF(N(AC171)&gt;=MAX(N(AF171),N(K171)),"Wait for analyst",IF(N(AF171)&gt;=N(K171),"External sign-off","Rework"))))</f>
        <v/>
      </c>
      <c r="AK171" s="4" t="str">
        <f aca="false">IF($A171="","",IF(OR(F171="",Y171="",ISNA(MATCH(L171,Dim_Analyst!$A:$A,0))),"CHECK","OK"))</f>
        <v/>
      </c>
      <c r="AL171" s="4" t="str">
        <f aca="false">IF($A171="","",IFERROR(VLOOKUP($C171,Dim_Fund!$A:$U,21,0),""))</f>
        <v/>
      </c>
      <c r="AM171" s="4" t="str">
        <f aca="false">IF($A171="","",IF($U171="","",IF($U171&gt;$B171+IFERROR(VLOOKUP($C171,Dim_Fund!$A:$AH,34,0),0)/24,"Yes","No")))</f>
        <v/>
      </c>
      <c r="AN171" s="22" t="str">
        <f aca="false">IF($A171="","",IFERROR(VLOOKUP($C171,Dim_Fund!$A:$AH,34,0),""))</f>
        <v/>
      </c>
      <c r="AO171" s="22" t="str">
        <f aca="false">IF($A171="","",IF($AL171="","",IFERROR(FLOOR(IF(COUNTIFS(Fact_Milestone!$A:$A,$B171,Fact_Milestone!$B:$B,$AL171,Fact_Milestone!$F:$F,"&gt;0")&gt;0,_xlfn.MINIFS(Fact_Milestone!$F:$F,Fact_Milestone!$A:$A,$B171,Fact_Milestone!$B:$B,$AL171,Fact_Milestone!$F:$F,"&gt;0"),VLOOKUP($AL171,Dim_TOP!$A:$E,5,0)),0.5),"")))</f>
        <v/>
      </c>
      <c r="AP171" s="22" t="str">
        <f aca="false">IF($A171="","",IF($U171="","",ROUND(($U171-INT($U171))*24,4)))</f>
        <v/>
      </c>
      <c r="AQ171" s="22" t="str">
        <f aca="false">IF($A171="","",IF($W171="","",ROUND(($W171-INT($W171))*24,4)))</f>
        <v/>
      </c>
      <c r="AR171" s="22" t="str">
        <f aca="false">IF($A171="","",IF($X171="","",ROUND(($X171-INT($X171))*24,4)))</f>
        <v/>
      </c>
      <c r="AS171" s="38" t="str">
        <f aca="false">IF($A171="","",IF(OR($AN171="",$V171="",$S171="",$T171=""),"",ROUND(($V171-($B171+$AN171/24))*1440-$S171-$T171,0)))</f>
        <v/>
      </c>
      <c r="AT171" s="38" t="str">
        <f aca="false">IF($A171="","",IF(OR($AN171="",$U171=""),"",ROUND(($U171-($B171+$AN171/24))*1440,0)))</f>
        <v/>
      </c>
      <c r="AU171" s="38" t="str">
        <f aca="false">IF($A171="","",IF(OR($AD171="",$S171=""),"",ROUND($AD171-$S171,0)))</f>
        <v/>
      </c>
      <c r="AV171" s="38" t="str">
        <f aca="false">IF($A171="","",N($AE171))</f>
        <v/>
      </c>
      <c r="AW171" s="38" t="str">
        <f aca="false">IF($A171="","",IF(OR($AF171="",$T171=""),"",$AF171-$T171))</f>
        <v/>
      </c>
      <c r="AX171" s="38" t="str">
        <f aca="false">IF($A171="","",IF(COUNT($AT171,$AB171,$AU171,$AW171,$AS171,$AH171)&lt;6,"",ROUND($AT171+$AB171+$AU171+$AV171+$AW171-$AS171-$AH171,0)))</f>
        <v/>
      </c>
      <c r="AY171" s="4" t="str">
        <f aca="false">IF($A171="","",IF($AX171="","No",IF(ABS($AX171)&lt;=2,"Yes","No")))</f>
        <v/>
      </c>
      <c r="AZ171" s="4" t="str">
        <f aca="false">IF($A171="","",IF($AI171&lt;&gt;"Yes","n/a",IF(OR($AA171="",$S171="",$T171=""),"Unknown",IF($AA171&lt;$S171+$T171,"Lost on arrival","Lost after arrival"))))</f>
        <v/>
      </c>
      <c r="BA171" s="10" t="str">
        <f aca="false">IF($A171="","",IFERROR(VLOOKUP($C171,Dim_Fund!$A:$D,4,0),""))</f>
        <v/>
      </c>
      <c r="BB171" s="10" t="str">
        <f aca="false">IF($A171="","",IF($AL171="","",IF(COUNTIFS(Fact_Milestone!$A:$A,$B171,Fact_Milestone!$B:$B,$AL171,Fact_Milestone!$I:$I,"No")&gt;0,"No",IF(COUNTIFS(Fact_Milestone!$A:$A,$B171,Fact_Milestone!$B:$B,$AL171,Fact_Milestone!$I:$I,"Yes")&gt;0,"Yes",""))))</f>
        <v/>
      </c>
      <c r="BC171" s="45" t="str">
        <f aca="false">IF($A171="","",IF(OR($L171="",$W171=""),"",IF(COUNTIFS($L:$L,$L171,$B:$B,$B171,$W:$W,"&lt;"&amp;$W171)=0,"",_xlfn.MAXIFS($W:$W,$L:$L,$L171,$B:$B,$B171,$W:$W,"&lt;"&amp;$W171))))</f>
        <v/>
      </c>
      <c r="BD171" s="39" t="str">
        <f aca="false">IF($A171="","",IF($AC171="","",IF(OR($L171="",$AC171=0),0,MIN($AC171,ROUND(ROUND(1440*SUMPRODUCT(($L$2:INDEX($L:$L,COUNTA($C:$C))=$L171)*($B$2:INDEX($B:$B,COUNTA($C:$C))=$B171)*(ROW($L$2:INDEX($L:$L,COUNTA($C:$C)))&lt;&gt;ROW())*((((($W171+$BT$2:INDEX($BT:$BT,COUNTA($C:$C))-ABS($W171-$BT$2:INDEX($BT:$BT,COUNTA($C:$C))))/2)-(($U171+$BS$2:INDEX($BS:$BS,COUNTA($C:$C))+ABS($U171-$BS$2:INDEX($BS:$BS,COUNTA($C:$C))))/2))+ABS(((($W171+$BT$2:INDEX($BT:$BT,COUNTA($C:$C))-ABS($W171-$BT$2:INDEX($BT:$BT,COUNTA($C:$C))))/2)-(($U171+$BS$2:INDEX($BS:$BS,COUNTA($C:$C))+ABS($U171-$BS$2:INDEX($BS:$BS,COUNTA($C:$C))))/2))))/2)),4),0)))))</f>
        <v/>
      </c>
      <c r="BE171" s="39" t="str">
        <f aca="false">IF($A171="","",IF($AC171="","",ROUND(MIN($AC171-$BD171,N($R171)),0)))</f>
        <v/>
      </c>
      <c r="BF171" s="10" t="str">
        <f aca="false">IF($A171="","",IFERROR(VLOOKUP($C171,Dim_Fund!$A:$BD,56,0),""))</f>
        <v/>
      </c>
      <c r="BG171" s="10" t="str">
        <f aca="false">IF($A171="","",IFERROR(VLOOKUP($C171,Dim_Fund!$A:$BH,60,0),""))</f>
        <v/>
      </c>
      <c r="BH171" s="10" t="str">
        <f aca="false">IF($A171="","",IF($AI171&lt;&gt;"Yes","Not breached",IF($AM171="Yes","Pricing late",IF($BG171="Thin custody slack","Thin custody slack",IF($BF171="Yes","Broker-dependent","None of these")))))</f>
        <v/>
      </c>
      <c r="BI171" s="23" t="str">
        <f aca="false">IF($A171="","",IFERROR(IF(VLOOKUP($C171,Dim_Fund!$A:$AI,35,0)&gt;0,VLOOKUP($C171,Dim_Fund!$A:$AI,35,0),""),""))</f>
        <v/>
      </c>
      <c r="BJ171" s="10" t="str">
        <f aca="false">IF($A171="","",$C171&amp;IF($E171="Client","*",""))</f>
        <v/>
      </c>
      <c r="BK171" s="39" t="str">
        <f aca="false">IF($A171="","",IFERROR(ROUND(($Y171-$X171)*1440,0),""))</f>
        <v/>
      </c>
      <c r="BL171" s="39" t="str">
        <f aca="false">IF($A171="","",IF($AH171="","",-$AH171))</f>
        <v/>
      </c>
      <c r="BM171" s="46" t="str">
        <f aca="false">IF($A171="","",IF($AQ171="","",IF($AP171="",$AQ171,MIN($AP171,$AQ171))))</f>
        <v/>
      </c>
      <c r="BN171" s="46" t="str">
        <f aca="false">IF($A171="","",IF($BM171="","",ROUND(N($AC171)/60,4)))</f>
        <v/>
      </c>
      <c r="BO171" s="46" t="str">
        <f aca="false">IF($A171="","",IF(OR($BM171="",$AD171=""),"",ROUND($AD171/60,4)))</f>
        <v/>
      </c>
      <c r="BP171" s="46" t="str">
        <f aca="false">IF($A171="","",IF($BM171="","",ROUND(N($AE171)/60,4)))</f>
        <v/>
      </c>
      <c r="BQ171" s="46" t="str">
        <f aca="false">IF($A171="","",IF(OR($BM171="",$AF171=""),"",ROUND($AF171/60,4)))</f>
        <v/>
      </c>
      <c r="BR171" s="39" t="str">
        <f aca="false">IF($A171="","",IF($AC171="","",$AC171-$BD171-$BE171))</f>
        <v/>
      </c>
      <c r="BS171" s="45" t="str">
        <f aca="false">IF($A171="","",IF(AND(ISNUMBER($Z171),ISNUMBER($W171)),$Z171,0))</f>
        <v/>
      </c>
      <c r="BT171" s="45" t="str">
        <f aca="false">IF($A171="","",IF(ISNUMBER($W171),$W171,0))</f>
        <v/>
      </c>
      <c r="BU171" s="23" t="str">
        <f aca="false">IF($A171="","",IF(ISNUMBER($W171),ROUND(($W171-$B171)*24,4),""))</f>
        <v/>
      </c>
      <c r="BV171" s="23" t="str">
        <f aca="false">IF($A171="","",IF(ISNUMBER($X171),ROUND(($X171-$B171)*24,4),""))</f>
        <v/>
      </c>
      <c r="BW171" s="10" t="str">
        <f aca="false">IF($A171="","",IF(NOT(ISNUMBER($W171)),"Missing Calculated",IF(NOT(ISNUMBER($X171)),IF($E171="Client","Missing FA signed off","Missing Controlled"),IF($X171&lt;$W171,"End before start","OK"))))</f>
        <v/>
      </c>
      <c r="BX171" s="23" t="str">
        <f aca="false">IF($A171="","",IF(NOT(ISNUMBER($Z171)),"",ROUND((IF(ISNUMBER($U171),MIN($U171,$Z171),$Z171)-$B171)*24,4)))</f>
        <v/>
      </c>
      <c r="BY171" s="23" t="str">
        <f aca="false">IF($A171="","",IF(ISNUMBER($Z171),ROUND(($Z171-$B171)*24,4),""))</f>
        <v/>
      </c>
      <c r="BZ171" s="23" t="str">
        <f aca="false">IF($A171="","",IF(AND(ISNUMBER($W171),ISNUMBER($S171)),ROUND(($W171+$S171/1440-$B171)*24,4),""))</f>
        <v/>
      </c>
    </row>
    <row r="172" customFormat="false" ht="15" hidden="false" customHeight="true" outlineLevel="0" collapsed="false">
      <c r="A172" s="47"/>
      <c r="B172" s="47"/>
      <c r="D172" s="4" t="str">
        <f aca="false">IF($A172="","",$B172-$A172)</f>
        <v/>
      </c>
      <c r="E172" s="4" t="str">
        <f aca="false">IF($A172="","",IFERROR(VLOOKUP($C172,Dim_Fund!$A:$X,24,0),""))</f>
        <v/>
      </c>
      <c r="F172" s="37" t="str">
        <f aca="false">IF($A172="","",IF(COUNTIFS(Status_Log!$A:$A,$A172,Status_Log!$B:$B,$B172,Status_Log!$C:$C,$C172,Status_Log!$D:$D,"Changed to the status of Calculated")=0,"",_xlfn.MINIFS(Status_Log!$E:$E,Status_Log!$A:$A,$A172,Status_Log!$B:$B,$B172,Status_Log!$C:$C,$C172,Status_Log!$D:$D,"Changed to the status of Calculated")))</f>
        <v/>
      </c>
      <c r="G172" s="37" t="str">
        <f aca="false">IF($A172="","",IF(COUNTIFS(Status_Log!$A:$A,$A172,Status_Log!$B:$B,$B172,Status_Log!$C:$C,$C172,Status_Log!$D:$D,"Changed to the status of Controlled")=0,"",_xlfn.MAXIFS(Status_Log!$E:$E,Status_Log!$A:$A,$A172,Status_Log!$B:$B,$B172,Status_Log!$C:$C,$C172,Status_Log!$D:$D,"Changed to the status of Controlled")))</f>
        <v/>
      </c>
      <c r="H172" s="37" t="str">
        <f aca="false">IF($A172="","",IF(COUNTIFS(Status_Log!$A:$A,$A172,Status_Log!$B:$B,$B172,Status_Log!$C:$C,$C172,Status_Log!$D:$D,"Changed to the status of Fund accounting signed off")=0,"",_xlfn.MAXIFS(Status_Log!$E:$E,Status_Log!$A:$A,$A172,Status_Log!$B:$B,$B172,Status_Log!$C:$C,$C172,Status_Log!$D:$D,"Changed to the status of Fund accounting signed off")))</f>
        <v/>
      </c>
      <c r="I172" s="37" t="str">
        <f aca="false">IF($A172="","",IF(COUNTIFS(Status_Log!$A:$A,$A172,Status_Log!$B:$B,$B172,Status_Log!$C:$C,$C172,Status_Log!$D:$D,"Changed to the status of signed off")=0,"",_xlfn.MAXIFS(Status_Log!$E:$E,Status_Log!$A:$A,$A172,Status_Log!$B:$B,$B172,Status_Log!$C:$C,$C172,Status_Log!$D:$D,"Changed to the status of signed off")))</f>
        <v/>
      </c>
      <c r="J172" s="4" t="str">
        <f aca="false">IF($A172="","",COUNTIFS(Status_Log!$A:$A,$A172,Status_Log!$B:$B,$B172,Status_Log!$C:$C,$C172,Status_Log!$D:$D,"Changed to the status of Calculated"))</f>
        <v/>
      </c>
      <c r="K172" s="38" t="str">
        <f aca="false">IF($A172="","",IF(J172&lt;=1,0,ROUND((_xlfn.MAXIFS(Status_Log!$E:$E,Status_Log!$A:$A,$A172,Status_Log!$B:$B,$B172,Status_Log!$C:$C,$C172,Status_Log!$D:$D,"Changed to the status of Calculated")-F172)*1440,0)))</f>
        <v/>
      </c>
      <c r="L172" s="4" t="str">
        <f aca="false">IF($A172="","",IFERROR(INDEX(Status_Log!$F:$F,MATCH($A172&amp;"|"&amp;$B172&amp;"|"&amp;$C172&amp;"|Changed to the status of Calculated|"&amp;TEXT(_xlfn.MAXIFS(Status_Log!$E:$E,Status_Log!$A:$A,$A172,Status_Log!$B:$B,$B172,Status_Log!$C:$C,$C172,Status_Log!$D:$D,"Changed to the status of Calculated"),"0.000000"),Status_Log!$H:$H,0)),""))</f>
        <v/>
      </c>
      <c r="M172" s="4" t="str">
        <f aca="false">IF($A172="","",IF(E172="Client","n/a — no control step",IFERROR(INDEX(Status_Log!$F:$F,MATCH($A172&amp;"|"&amp;$B172&amp;"|"&amp;$C172&amp;"|Changed to the status of Controlled|"&amp;TEXT(_xlfn.MAXIFS(Status_Log!$E:$E,Status_Log!$A:$A,$A172,Status_Log!$B:$B,$B172,Status_Log!$C:$C,$C172,Status_Log!$D:$D,"Changed to the status of Controlled"),"0.000000"),Status_Log!$H:$H,0)),"")))</f>
        <v/>
      </c>
      <c r="N172" s="4" t="str">
        <f aca="false">IF($A172="","",IFERROR(VLOOKUP($C172,Dim_Fund!$A:$G,7,0),""))</f>
        <v/>
      </c>
      <c r="O172" s="4" t="str">
        <f aca="false">IF($A172="","",IF(L172=N172,"No","Yes"))</f>
        <v/>
      </c>
      <c r="P172" s="4" t="str">
        <f aca="false">IF($A172="","",IF(E172="Client","n/a",IF(L172=M172,"YES — four-eyes breach","No")))</f>
        <v/>
      </c>
      <c r="Q172" s="38" t="str">
        <f aca="false">IF($A172="","",IFERROR(VLOOKUP($C172,Dim_Fund!$A:$AB,28,0),""))</f>
        <v/>
      </c>
      <c r="R172" s="38" t="str">
        <f aca="false">IF($A172="","",IFERROR(VLOOKUP($C172,Dim_Fund!$A:$AC,29,0),""))</f>
        <v/>
      </c>
      <c r="S172" s="38" t="str">
        <f aca="false">IF($A172="","",IFERROR(VLOOKUP($C172,Dim_Fund!$A:$AD,30,0),""))</f>
        <v/>
      </c>
      <c r="T172" s="38" t="str">
        <f aca="false">IF($A172="","",IFERROR(VLOOKUP($C172,Dim_Fund!$A:$AL,38,0),""))</f>
        <v/>
      </c>
      <c r="U172" s="37" t="str">
        <f aca="false">IF($A172="","",IF(AL172="","",IFERROR(IF(COUNTIFS(Fact_Milestone!$A:$A,$B172,Fact_Milestone!$B:$B,AL172)=0,"",_xlfn.MAXIFS(Fact_Milestone!$C:$C,Fact_Milestone!$A:$A,$B172,Fact_Milestone!$B:$B,AL172)),"")))</f>
        <v/>
      </c>
      <c r="V172" s="37" t="str">
        <f aca="false">IF($A172="","",IFERROR(IF(VLOOKUP($C172,Dim_Fund!$A:$AI,35,0)&gt;0,$B172+VLOOKUP($C172,Dim_Fund!$A:$AI,35,0)/24,""),""))</f>
        <v/>
      </c>
      <c r="W172" s="37" t="str">
        <f aca="false">IF($A172="","",F172)</f>
        <v/>
      </c>
      <c r="X172" s="37" t="str">
        <f aca="false">IF($A172="","",IF(E172="Client",H172,G172))</f>
        <v/>
      </c>
      <c r="Y172" s="37" t="str">
        <f aca="false">IF($A172="","",I172)</f>
        <v/>
      </c>
      <c r="Z172" s="37" t="str">
        <f aca="false">IF($A172="","",IFERROR(W172-R172/1440,""))</f>
        <v/>
      </c>
      <c r="AA172" s="38" t="str">
        <f aca="false">IF($A172="","",IF(OR(U172="",V172=""),"",ROUND((V172-U172)*1440,0)))</f>
        <v/>
      </c>
      <c r="AB172" s="38" t="str">
        <f aca="false">IF($A172="","",IF(U172="","",ROUND((W172-U172)*1440,0)))</f>
        <v/>
      </c>
      <c r="AC172" s="38" t="str">
        <f aca="false">IF($A172="","",IF(AB172="","",MAX(0,AB172)))</f>
        <v/>
      </c>
      <c r="AD172" s="38" t="str">
        <f aca="false">IF($A172="","",IFERROR(ROUND((X172-W172)*1440,0),""))</f>
        <v/>
      </c>
      <c r="AE172" s="38" t="str">
        <f aca="false">IF($A172="","",IF(E172="Client","n/a",IFERROR(ROUND((H172-G172)*1440,0),"")))</f>
        <v/>
      </c>
      <c r="AF172" s="38" t="str">
        <f aca="false">IF($A172="","",IFERROR(ROUND((Y172-H172)*1440,0),""))</f>
        <v/>
      </c>
      <c r="AG172" s="38" t="str">
        <f aca="false">IF($A172="","",IFERROR(ROUND((H172-F172)*1440,0),""))</f>
        <v/>
      </c>
      <c r="AH172" s="38" t="str">
        <f aca="false">IF($A172="","",IFERROR(ROUND((Y172-V172)*1440,0),""))</f>
        <v/>
      </c>
      <c r="AI172" s="4" t="str">
        <f aca="false">IF($A172="","",IF(AH172="","",IF(AH172&gt;0,"Yes","No")))</f>
        <v/>
      </c>
      <c r="AJ172" s="4" t="str">
        <f aca="false">IF($A172="","",IF(AI172&lt;&gt;"Yes","On time",IF(N(AC172)&gt;=MAX(N(AF172),N(K172)),"Wait for analyst",IF(N(AF172)&gt;=N(K172),"External sign-off","Rework"))))</f>
        <v/>
      </c>
      <c r="AK172" s="4" t="str">
        <f aca="false">IF($A172="","",IF(OR(F172="",Y172="",ISNA(MATCH(L172,Dim_Analyst!$A:$A,0))),"CHECK","OK"))</f>
        <v/>
      </c>
      <c r="AL172" s="4" t="str">
        <f aca="false">IF($A172="","",IFERROR(VLOOKUP($C172,Dim_Fund!$A:$U,21,0),""))</f>
        <v/>
      </c>
      <c r="AM172" s="4" t="str">
        <f aca="false">IF($A172="","",IF($U172="","",IF($U172&gt;$B172+IFERROR(VLOOKUP($C172,Dim_Fund!$A:$AH,34,0),0)/24,"Yes","No")))</f>
        <v/>
      </c>
      <c r="AN172" s="22" t="str">
        <f aca="false">IF($A172="","",IFERROR(VLOOKUP($C172,Dim_Fund!$A:$AH,34,0),""))</f>
        <v/>
      </c>
      <c r="AO172" s="22" t="str">
        <f aca="false">IF($A172="","",IF($AL172="","",IFERROR(FLOOR(IF(COUNTIFS(Fact_Milestone!$A:$A,$B172,Fact_Milestone!$B:$B,$AL172,Fact_Milestone!$F:$F,"&gt;0")&gt;0,_xlfn.MINIFS(Fact_Milestone!$F:$F,Fact_Milestone!$A:$A,$B172,Fact_Milestone!$B:$B,$AL172,Fact_Milestone!$F:$F,"&gt;0"),VLOOKUP($AL172,Dim_TOP!$A:$E,5,0)),0.5),"")))</f>
        <v/>
      </c>
      <c r="AP172" s="22" t="str">
        <f aca="false">IF($A172="","",IF($U172="","",ROUND(($U172-INT($U172))*24,4)))</f>
        <v/>
      </c>
      <c r="AQ172" s="22" t="str">
        <f aca="false">IF($A172="","",IF($W172="","",ROUND(($W172-INT($W172))*24,4)))</f>
        <v/>
      </c>
      <c r="AR172" s="22" t="str">
        <f aca="false">IF($A172="","",IF($X172="","",ROUND(($X172-INT($X172))*24,4)))</f>
        <v/>
      </c>
      <c r="AS172" s="38" t="str">
        <f aca="false">IF($A172="","",IF(OR($AN172="",$V172="",$S172="",$T172=""),"",ROUND(($V172-($B172+$AN172/24))*1440-$S172-$T172,0)))</f>
        <v/>
      </c>
      <c r="AT172" s="38" t="str">
        <f aca="false">IF($A172="","",IF(OR($AN172="",$U172=""),"",ROUND(($U172-($B172+$AN172/24))*1440,0)))</f>
        <v/>
      </c>
      <c r="AU172" s="38" t="str">
        <f aca="false">IF($A172="","",IF(OR($AD172="",$S172=""),"",ROUND($AD172-$S172,0)))</f>
        <v/>
      </c>
      <c r="AV172" s="38" t="str">
        <f aca="false">IF($A172="","",N($AE172))</f>
        <v/>
      </c>
      <c r="AW172" s="38" t="str">
        <f aca="false">IF($A172="","",IF(OR($AF172="",$T172=""),"",$AF172-$T172))</f>
        <v/>
      </c>
      <c r="AX172" s="38" t="str">
        <f aca="false">IF($A172="","",IF(COUNT($AT172,$AB172,$AU172,$AW172,$AS172,$AH172)&lt;6,"",ROUND($AT172+$AB172+$AU172+$AV172+$AW172-$AS172-$AH172,0)))</f>
        <v/>
      </c>
      <c r="AY172" s="4" t="str">
        <f aca="false">IF($A172="","",IF($AX172="","No",IF(ABS($AX172)&lt;=2,"Yes","No")))</f>
        <v/>
      </c>
      <c r="AZ172" s="4" t="str">
        <f aca="false">IF($A172="","",IF($AI172&lt;&gt;"Yes","n/a",IF(OR($AA172="",$S172="",$T172=""),"Unknown",IF($AA172&lt;$S172+$T172,"Lost on arrival","Lost after arrival"))))</f>
        <v/>
      </c>
      <c r="BA172" s="10" t="str">
        <f aca="false">IF($A172="","",IFERROR(VLOOKUP($C172,Dim_Fund!$A:$D,4,0),""))</f>
        <v/>
      </c>
      <c r="BB172" s="10" t="str">
        <f aca="false">IF($A172="","",IF($AL172="","",IF(COUNTIFS(Fact_Milestone!$A:$A,$B172,Fact_Milestone!$B:$B,$AL172,Fact_Milestone!$I:$I,"No")&gt;0,"No",IF(COUNTIFS(Fact_Milestone!$A:$A,$B172,Fact_Milestone!$B:$B,$AL172,Fact_Milestone!$I:$I,"Yes")&gt;0,"Yes",""))))</f>
        <v/>
      </c>
      <c r="BC172" s="45" t="str">
        <f aca="false">IF($A172="","",IF(OR($L172="",$W172=""),"",IF(COUNTIFS($L:$L,$L172,$B:$B,$B172,$W:$W,"&lt;"&amp;$W172)=0,"",_xlfn.MAXIFS($W:$W,$L:$L,$L172,$B:$B,$B172,$W:$W,"&lt;"&amp;$W172))))</f>
        <v/>
      </c>
      <c r="BD172" s="39" t="str">
        <f aca="false">IF($A172="","",IF($AC172="","",IF(OR($L172="",$AC172=0),0,MIN($AC172,ROUND(ROUND(1440*SUMPRODUCT(($L$2:INDEX($L:$L,COUNTA($C:$C))=$L172)*($B$2:INDEX($B:$B,COUNTA($C:$C))=$B172)*(ROW($L$2:INDEX($L:$L,COUNTA($C:$C)))&lt;&gt;ROW())*((((($W172+$BT$2:INDEX($BT:$BT,COUNTA($C:$C))-ABS($W172-$BT$2:INDEX($BT:$BT,COUNTA($C:$C))))/2)-(($U172+$BS$2:INDEX($BS:$BS,COUNTA($C:$C))+ABS($U172-$BS$2:INDEX($BS:$BS,COUNTA($C:$C))))/2))+ABS(((($W172+$BT$2:INDEX($BT:$BT,COUNTA($C:$C))-ABS($W172-$BT$2:INDEX($BT:$BT,COUNTA($C:$C))))/2)-(($U172+$BS$2:INDEX($BS:$BS,COUNTA($C:$C))+ABS($U172-$BS$2:INDEX($BS:$BS,COUNTA($C:$C))))/2))))/2)),4),0)))))</f>
        <v/>
      </c>
      <c r="BE172" s="39" t="str">
        <f aca="false">IF($A172="","",IF($AC172="","",ROUND(MIN($AC172-$BD172,N($R172)),0)))</f>
        <v/>
      </c>
      <c r="BF172" s="10" t="str">
        <f aca="false">IF($A172="","",IFERROR(VLOOKUP($C172,Dim_Fund!$A:$BD,56,0),""))</f>
        <v/>
      </c>
      <c r="BG172" s="10" t="str">
        <f aca="false">IF($A172="","",IFERROR(VLOOKUP($C172,Dim_Fund!$A:$BH,60,0),""))</f>
        <v/>
      </c>
      <c r="BH172" s="10" t="str">
        <f aca="false">IF($A172="","",IF($AI172&lt;&gt;"Yes","Not breached",IF($AM172="Yes","Pricing late",IF($BG172="Thin custody slack","Thin custody slack",IF($BF172="Yes","Broker-dependent","None of these")))))</f>
        <v/>
      </c>
      <c r="BI172" s="23" t="str">
        <f aca="false">IF($A172="","",IFERROR(IF(VLOOKUP($C172,Dim_Fund!$A:$AI,35,0)&gt;0,VLOOKUP($C172,Dim_Fund!$A:$AI,35,0),""),""))</f>
        <v/>
      </c>
      <c r="BJ172" s="10" t="str">
        <f aca="false">IF($A172="","",$C172&amp;IF($E172="Client","*",""))</f>
        <v/>
      </c>
      <c r="BK172" s="39" t="str">
        <f aca="false">IF($A172="","",IFERROR(ROUND(($Y172-$X172)*1440,0),""))</f>
        <v/>
      </c>
      <c r="BL172" s="39" t="str">
        <f aca="false">IF($A172="","",IF($AH172="","",-$AH172))</f>
        <v/>
      </c>
      <c r="BM172" s="46" t="str">
        <f aca="false">IF($A172="","",IF($AQ172="","",IF($AP172="",$AQ172,MIN($AP172,$AQ172))))</f>
        <v/>
      </c>
      <c r="BN172" s="46" t="str">
        <f aca="false">IF($A172="","",IF($BM172="","",ROUND(N($AC172)/60,4)))</f>
        <v/>
      </c>
      <c r="BO172" s="46" t="str">
        <f aca="false">IF($A172="","",IF(OR($BM172="",$AD172=""),"",ROUND($AD172/60,4)))</f>
        <v/>
      </c>
      <c r="BP172" s="46" t="str">
        <f aca="false">IF($A172="","",IF($BM172="","",ROUND(N($AE172)/60,4)))</f>
        <v/>
      </c>
      <c r="BQ172" s="46" t="str">
        <f aca="false">IF($A172="","",IF(OR($BM172="",$AF172=""),"",ROUND($AF172/60,4)))</f>
        <v/>
      </c>
      <c r="BR172" s="39" t="str">
        <f aca="false">IF($A172="","",IF($AC172="","",$AC172-$BD172-$BE172))</f>
        <v/>
      </c>
      <c r="BS172" s="45" t="str">
        <f aca="false">IF($A172="","",IF(AND(ISNUMBER($Z172),ISNUMBER($W172)),$Z172,0))</f>
        <v/>
      </c>
      <c r="BT172" s="45" t="str">
        <f aca="false">IF($A172="","",IF(ISNUMBER($W172),$W172,0))</f>
        <v/>
      </c>
      <c r="BU172" s="23" t="str">
        <f aca="false">IF($A172="","",IF(ISNUMBER($W172),ROUND(($W172-$B172)*24,4),""))</f>
        <v/>
      </c>
      <c r="BV172" s="23" t="str">
        <f aca="false">IF($A172="","",IF(ISNUMBER($X172),ROUND(($X172-$B172)*24,4),""))</f>
        <v/>
      </c>
      <c r="BW172" s="10" t="str">
        <f aca="false">IF($A172="","",IF(NOT(ISNUMBER($W172)),"Missing Calculated",IF(NOT(ISNUMBER($X172)),IF($E172="Client","Missing FA signed off","Missing Controlled"),IF($X172&lt;$W172,"End before start","OK"))))</f>
        <v/>
      </c>
      <c r="BX172" s="23" t="str">
        <f aca="false">IF($A172="","",IF(NOT(ISNUMBER($Z172)),"",ROUND((IF(ISNUMBER($U172),MIN($U172,$Z172),$Z172)-$B172)*24,4)))</f>
        <v/>
      </c>
      <c r="BY172" s="23" t="str">
        <f aca="false">IF($A172="","",IF(ISNUMBER($Z172),ROUND(($Z172-$B172)*24,4),""))</f>
        <v/>
      </c>
      <c r="BZ172" s="23" t="str">
        <f aca="false">IF($A172="","",IF(AND(ISNUMBER($W172),ISNUMBER($S172)),ROUND(($W172+$S172/1440-$B172)*24,4),""))</f>
        <v/>
      </c>
    </row>
    <row r="173" customFormat="false" ht="15" hidden="false" customHeight="true" outlineLevel="0" collapsed="false">
      <c r="A173" s="47"/>
      <c r="B173" s="47"/>
      <c r="D173" s="4" t="str">
        <f aca="false">IF($A173="","",$B173-$A173)</f>
        <v/>
      </c>
      <c r="E173" s="4" t="str">
        <f aca="false">IF($A173="","",IFERROR(VLOOKUP($C173,Dim_Fund!$A:$X,24,0),""))</f>
        <v/>
      </c>
      <c r="F173" s="37" t="str">
        <f aca="false">IF($A173="","",IF(COUNTIFS(Status_Log!$A:$A,$A173,Status_Log!$B:$B,$B173,Status_Log!$C:$C,$C173,Status_Log!$D:$D,"Changed to the status of Calculated")=0,"",_xlfn.MINIFS(Status_Log!$E:$E,Status_Log!$A:$A,$A173,Status_Log!$B:$B,$B173,Status_Log!$C:$C,$C173,Status_Log!$D:$D,"Changed to the status of Calculated")))</f>
        <v/>
      </c>
      <c r="G173" s="37" t="str">
        <f aca="false">IF($A173="","",IF(COUNTIFS(Status_Log!$A:$A,$A173,Status_Log!$B:$B,$B173,Status_Log!$C:$C,$C173,Status_Log!$D:$D,"Changed to the status of Controlled")=0,"",_xlfn.MAXIFS(Status_Log!$E:$E,Status_Log!$A:$A,$A173,Status_Log!$B:$B,$B173,Status_Log!$C:$C,$C173,Status_Log!$D:$D,"Changed to the status of Controlled")))</f>
        <v/>
      </c>
      <c r="H173" s="37" t="str">
        <f aca="false">IF($A173="","",IF(COUNTIFS(Status_Log!$A:$A,$A173,Status_Log!$B:$B,$B173,Status_Log!$C:$C,$C173,Status_Log!$D:$D,"Changed to the status of Fund accounting signed off")=0,"",_xlfn.MAXIFS(Status_Log!$E:$E,Status_Log!$A:$A,$A173,Status_Log!$B:$B,$B173,Status_Log!$C:$C,$C173,Status_Log!$D:$D,"Changed to the status of Fund accounting signed off")))</f>
        <v/>
      </c>
      <c r="I173" s="37" t="str">
        <f aca="false">IF($A173="","",IF(COUNTIFS(Status_Log!$A:$A,$A173,Status_Log!$B:$B,$B173,Status_Log!$C:$C,$C173,Status_Log!$D:$D,"Changed to the status of signed off")=0,"",_xlfn.MAXIFS(Status_Log!$E:$E,Status_Log!$A:$A,$A173,Status_Log!$B:$B,$B173,Status_Log!$C:$C,$C173,Status_Log!$D:$D,"Changed to the status of signed off")))</f>
        <v/>
      </c>
      <c r="J173" s="4" t="str">
        <f aca="false">IF($A173="","",COUNTIFS(Status_Log!$A:$A,$A173,Status_Log!$B:$B,$B173,Status_Log!$C:$C,$C173,Status_Log!$D:$D,"Changed to the status of Calculated"))</f>
        <v/>
      </c>
      <c r="K173" s="38" t="str">
        <f aca="false">IF($A173="","",IF(J173&lt;=1,0,ROUND((_xlfn.MAXIFS(Status_Log!$E:$E,Status_Log!$A:$A,$A173,Status_Log!$B:$B,$B173,Status_Log!$C:$C,$C173,Status_Log!$D:$D,"Changed to the status of Calculated")-F173)*1440,0)))</f>
        <v/>
      </c>
      <c r="L173" s="4" t="str">
        <f aca="false">IF($A173="","",IFERROR(INDEX(Status_Log!$F:$F,MATCH($A173&amp;"|"&amp;$B173&amp;"|"&amp;$C173&amp;"|Changed to the status of Calculated|"&amp;TEXT(_xlfn.MAXIFS(Status_Log!$E:$E,Status_Log!$A:$A,$A173,Status_Log!$B:$B,$B173,Status_Log!$C:$C,$C173,Status_Log!$D:$D,"Changed to the status of Calculated"),"0.000000"),Status_Log!$H:$H,0)),""))</f>
        <v/>
      </c>
      <c r="M173" s="4" t="str">
        <f aca="false">IF($A173="","",IF(E173="Client","n/a — no control step",IFERROR(INDEX(Status_Log!$F:$F,MATCH($A173&amp;"|"&amp;$B173&amp;"|"&amp;$C173&amp;"|Changed to the status of Controlled|"&amp;TEXT(_xlfn.MAXIFS(Status_Log!$E:$E,Status_Log!$A:$A,$A173,Status_Log!$B:$B,$B173,Status_Log!$C:$C,$C173,Status_Log!$D:$D,"Changed to the status of Controlled"),"0.000000"),Status_Log!$H:$H,0)),"")))</f>
        <v/>
      </c>
      <c r="N173" s="4" t="str">
        <f aca="false">IF($A173="","",IFERROR(VLOOKUP($C173,Dim_Fund!$A:$G,7,0),""))</f>
        <v/>
      </c>
      <c r="O173" s="4" t="str">
        <f aca="false">IF($A173="","",IF(L173=N173,"No","Yes"))</f>
        <v/>
      </c>
      <c r="P173" s="4" t="str">
        <f aca="false">IF($A173="","",IF(E173="Client","n/a",IF(L173=M173,"YES — four-eyes breach","No")))</f>
        <v/>
      </c>
      <c r="Q173" s="38" t="str">
        <f aca="false">IF($A173="","",IFERROR(VLOOKUP($C173,Dim_Fund!$A:$AB,28,0),""))</f>
        <v/>
      </c>
      <c r="R173" s="38" t="str">
        <f aca="false">IF($A173="","",IFERROR(VLOOKUP($C173,Dim_Fund!$A:$AC,29,0),""))</f>
        <v/>
      </c>
      <c r="S173" s="38" t="str">
        <f aca="false">IF($A173="","",IFERROR(VLOOKUP($C173,Dim_Fund!$A:$AD,30,0),""))</f>
        <v/>
      </c>
      <c r="T173" s="38" t="str">
        <f aca="false">IF($A173="","",IFERROR(VLOOKUP($C173,Dim_Fund!$A:$AL,38,0),""))</f>
        <v/>
      </c>
      <c r="U173" s="37" t="str">
        <f aca="false">IF($A173="","",IF(AL173="","",IFERROR(IF(COUNTIFS(Fact_Milestone!$A:$A,$B173,Fact_Milestone!$B:$B,AL173)=0,"",_xlfn.MAXIFS(Fact_Milestone!$C:$C,Fact_Milestone!$A:$A,$B173,Fact_Milestone!$B:$B,AL173)),"")))</f>
        <v/>
      </c>
      <c r="V173" s="37" t="str">
        <f aca="false">IF($A173="","",IFERROR(IF(VLOOKUP($C173,Dim_Fund!$A:$AI,35,0)&gt;0,$B173+VLOOKUP($C173,Dim_Fund!$A:$AI,35,0)/24,""),""))</f>
        <v/>
      </c>
      <c r="W173" s="37" t="str">
        <f aca="false">IF($A173="","",F173)</f>
        <v/>
      </c>
      <c r="X173" s="37" t="str">
        <f aca="false">IF($A173="","",IF(E173="Client",H173,G173))</f>
        <v/>
      </c>
      <c r="Y173" s="37" t="str">
        <f aca="false">IF($A173="","",I173)</f>
        <v/>
      </c>
      <c r="Z173" s="37" t="str">
        <f aca="false">IF($A173="","",IFERROR(W173-R173/1440,""))</f>
        <v/>
      </c>
      <c r="AA173" s="38" t="str">
        <f aca="false">IF($A173="","",IF(OR(U173="",V173=""),"",ROUND((V173-U173)*1440,0)))</f>
        <v/>
      </c>
      <c r="AB173" s="38" t="str">
        <f aca="false">IF($A173="","",IF(U173="","",ROUND((W173-U173)*1440,0)))</f>
        <v/>
      </c>
      <c r="AC173" s="38" t="str">
        <f aca="false">IF($A173="","",IF(AB173="","",MAX(0,AB173)))</f>
        <v/>
      </c>
      <c r="AD173" s="38" t="str">
        <f aca="false">IF($A173="","",IFERROR(ROUND((X173-W173)*1440,0),""))</f>
        <v/>
      </c>
      <c r="AE173" s="38" t="str">
        <f aca="false">IF($A173="","",IF(E173="Client","n/a",IFERROR(ROUND((H173-G173)*1440,0),"")))</f>
        <v/>
      </c>
      <c r="AF173" s="38" t="str">
        <f aca="false">IF($A173="","",IFERROR(ROUND((Y173-H173)*1440,0),""))</f>
        <v/>
      </c>
      <c r="AG173" s="38" t="str">
        <f aca="false">IF($A173="","",IFERROR(ROUND((H173-F173)*1440,0),""))</f>
        <v/>
      </c>
      <c r="AH173" s="38" t="str">
        <f aca="false">IF($A173="","",IFERROR(ROUND((Y173-V173)*1440,0),""))</f>
        <v/>
      </c>
      <c r="AI173" s="4" t="str">
        <f aca="false">IF($A173="","",IF(AH173="","",IF(AH173&gt;0,"Yes","No")))</f>
        <v/>
      </c>
      <c r="AJ173" s="4" t="str">
        <f aca="false">IF($A173="","",IF(AI173&lt;&gt;"Yes","On time",IF(N(AC173)&gt;=MAX(N(AF173),N(K173)),"Wait for analyst",IF(N(AF173)&gt;=N(K173),"External sign-off","Rework"))))</f>
        <v/>
      </c>
      <c r="AK173" s="4" t="str">
        <f aca="false">IF($A173="","",IF(OR(F173="",Y173="",ISNA(MATCH(L173,Dim_Analyst!$A:$A,0))),"CHECK","OK"))</f>
        <v/>
      </c>
      <c r="AL173" s="4" t="str">
        <f aca="false">IF($A173="","",IFERROR(VLOOKUP($C173,Dim_Fund!$A:$U,21,0),""))</f>
        <v/>
      </c>
      <c r="AM173" s="4" t="str">
        <f aca="false">IF($A173="","",IF($U173="","",IF($U173&gt;$B173+IFERROR(VLOOKUP($C173,Dim_Fund!$A:$AH,34,0),0)/24,"Yes","No")))</f>
        <v/>
      </c>
      <c r="AN173" s="22" t="str">
        <f aca="false">IF($A173="","",IFERROR(VLOOKUP($C173,Dim_Fund!$A:$AH,34,0),""))</f>
        <v/>
      </c>
      <c r="AO173" s="22" t="str">
        <f aca="false">IF($A173="","",IF($AL173="","",IFERROR(FLOOR(IF(COUNTIFS(Fact_Milestone!$A:$A,$B173,Fact_Milestone!$B:$B,$AL173,Fact_Milestone!$F:$F,"&gt;0")&gt;0,_xlfn.MINIFS(Fact_Milestone!$F:$F,Fact_Milestone!$A:$A,$B173,Fact_Milestone!$B:$B,$AL173,Fact_Milestone!$F:$F,"&gt;0"),VLOOKUP($AL173,Dim_TOP!$A:$E,5,0)),0.5),"")))</f>
        <v/>
      </c>
      <c r="AP173" s="22" t="str">
        <f aca="false">IF($A173="","",IF($U173="","",ROUND(($U173-INT($U173))*24,4)))</f>
        <v/>
      </c>
      <c r="AQ173" s="22" t="str">
        <f aca="false">IF($A173="","",IF($W173="","",ROUND(($W173-INT($W173))*24,4)))</f>
        <v/>
      </c>
      <c r="AR173" s="22" t="str">
        <f aca="false">IF($A173="","",IF($X173="","",ROUND(($X173-INT($X173))*24,4)))</f>
        <v/>
      </c>
      <c r="AS173" s="38" t="str">
        <f aca="false">IF($A173="","",IF(OR($AN173="",$V173="",$S173="",$T173=""),"",ROUND(($V173-($B173+$AN173/24))*1440-$S173-$T173,0)))</f>
        <v/>
      </c>
      <c r="AT173" s="38" t="str">
        <f aca="false">IF($A173="","",IF(OR($AN173="",$U173=""),"",ROUND(($U173-($B173+$AN173/24))*1440,0)))</f>
        <v/>
      </c>
      <c r="AU173" s="38" t="str">
        <f aca="false">IF($A173="","",IF(OR($AD173="",$S173=""),"",ROUND($AD173-$S173,0)))</f>
        <v/>
      </c>
      <c r="AV173" s="38" t="str">
        <f aca="false">IF($A173="","",N($AE173))</f>
        <v/>
      </c>
      <c r="AW173" s="38" t="str">
        <f aca="false">IF($A173="","",IF(OR($AF173="",$T173=""),"",$AF173-$T173))</f>
        <v/>
      </c>
      <c r="AX173" s="38" t="str">
        <f aca="false">IF($A173="","",IF(COUNT($AT173,$AB173,$AU173,$AW173,$AS173,$AH173)&lt;6,"",ROUND($AT173+$AB173+$AU173+$AV173+$AW173-$AS173-$AH173,0)))</f>
        <v/>
      </c>
      <c r="AY173" s="4" t="str">
        <f aca="false">IF($A173="","",IF($AX173="","No",IF(ABS($AX173)&lt;=2,"Yes","No")))</f>
        <v/>
      </c>
      <c r="AZ173" s="4" t="str">
        <f aca="false">IF($A173="","",IF($AI173&lt;&gt;"Yes","n/a",IF(OR($AA173="",$S173="",$T173=""),"Unknown",IF($AA173&lt;$S173+$T173,"Lost on arrival","Lost after arrival"))))</f>
        <v/>
      </c>
      <c r="BA173" s="10" t="str">
        <f aca="false">IF($A173="","",IFERROR(VLOOKUP($C173,Dim_Fund!$A:$D,4,0),""))</f>
        <v/>
      </c>
      <c r="BB173" s="10" t="str">
        <f aca="false">IF($A173="","",IF($AL173="","",IF(COUNTIFS(Fact_Milestone!$A:$A,$B173,Fact_Milestone!$B:$B,$AL173,Fact_Milestone!$I:$I,"No")&gt;0,"No",IF(COUNTIFS(Fact_Milestone!$A:$A,$B173,Fact_Milestone!$B:$B,$AL173,Fact_Milestone!$I:$I,"Yes")&gt;0,"Yes",""))))</f>
        <v/>
      </c>
      <c r="BC173" s="45" t="str">
        <f aca="false">IF($A173="","",IF(OR($L173="",$W173=""),"",IF(COUNTIFS($L:$L,$L173,$B:$B,$B173,$W:$W,"&lt;"&amp;$W173)=0,"",_xlfn.MAXIFS($W:$W,$L:$L,$L173,$B:$B,$B173,$W:$W,"&lt;"&amp;$W173))))</f>
        <v/>
      </c>
      <c r="BD173" s="39" t="str">
        <f aca="false">IF($A173="","",IF($AC173="","",IF(OR($L173="",$AC173=0),0,MIN($AC173,ROUND(ROUND(1440*SUMPRODUCT(($L$2:INDEX($L:$L,COUNTA($C:$C))=$L173)*($B$2:INDEX($B:$B,COUNTA($C:$C))=$B173)*(ROW($L$2:INDEX($L:$L,COUNTA($C:$C)))&lt;&gt;ROW())*((((($W173+$BT$2:INDEX($BT:$BT,COUNTA($C:$C))-ABS($W173-$BT$2:INDEX($BT:$BT,COUNTA($C:$C))))/2)-(($U173+$BS$2:INDEX($BS:$BS,COUNTA($C:$C))+ABS($U173-$BS$2:INDEX($BS:$BS,COUNTA($C:$C))))/2))+ABS(((($W173+$BT$2:INDEX($BT:$BT,COUNTA($C:$C))-ABS($W173-$BT$2:INDEX($BT:$BT,COUNTA($C:$C))))/2)-(($U173+$BS$2:INDEX($BS:$BS,COUNTA($C:$C))+ABS($U173-$BS$2:INDEX($BS:$BS,COUNTA($C:$C))))/2))))/2)),4),0)))))</f>
        <v/>
      </c>
      <c r="BE173" s="39" t="str">
        <f aca="false">IF($A173="","",IF($AC173="","",ROUND(MIN($AC173-$BD173,N($R173)),0)))</f>
        <v/>
      </c>
      <c r="BF173" s="10" t="str">
        <f aca="false">IF($A173="","",IFERROR(VLOOKUP($C173,Dim_Fund!$A:$BD,56,0),""))</f>
        <v/>
      </c>
      <c r="BG173" s="10" t="str">
        <f aca="false">IF($A173="","",IFERROR(VLOOKUP($C173,Dim_Fund!$A:$BH,60,0),""))</f>
        <v/>
      </c>
      <c r="BH173" s="10" t="str">
        <f aca="false">IF($A173="","",IF($AI173&lt;&gt;"Yes","Not breached",IF($AM173="Yes","Pricing late",IF($BG173="Thin custody slack","Thin custody slack",IF($BF173="Yes","Broker-dependent","None of these")))))</f>
        <v/>
      </c>
      <c r="BI173" s="23" t="str">
        <f aca="false">IF($A173="","",IFERROR(IF(VLOOKUP($C173,Dim_Fund!$A:$AI,35,0)&gt;0,VLOOKUP($C173,Dim_Fund!$A:$AI,35,0),""),""))</f>
        <v/>
      </c>
      <c r="BJ173" s="10" t="str">
        <f aca="false">IF($A173="","",$C173&amp;IF($E173="Client","*",""))</f>
        <v/>
      </c>
      <c r="BK173" s="39" t="str">
        <f aca="false">IF($A173="","",IFERROR(ROUND(($Y173-$X173)*1440,0),""))</f>
        <v/>
      </c>
      <c r="BL173" s="39" t="str">
        <f aca="false">IF($A173="","",IF($AH173="","",-$AH173))</f>
        <v/>
      </c>
      <c r="BM173" s="46" t="str">
        <f aca="false">IF($A173="","",IF($AQ173="","",IF($AP173="",$AQ173,MIN($AP173,$AQ173))))</f>
        <v/>
      </c>
      <c r="BN173" s="46" t="str">
        <f aca="false">IF($A173="","",IF($BM173="","",ROUND(N($AC173)/60,4)))</f>
        <v/>
      </c>
      <c r="BO173" s="46" t="str">
        <f aca="false">IF($A173="","",IF(OR($BM173="",$AD173=""),"",ROUND($AD173/60,4)))</f>
        <v/>
      </c>
      <c r="BP173" s="46" t="str">
        <f aca="false">IF($A173="","",IF($BM173="","",ROUND(N($AE173)/60,4)))</f>
        <v/>
      </c>
      <c r="BQ173" s="46" t="str">
        <f aca="false">IF($A173="","",IF(OR($BM173="",$AF173=""),"",ROUND($AF173/60,4)))</f>
        <v/>
      </c>
      <c r="BR173" s="39" t="str">
        <f aca="false">IF($A173="","",IF($AC173="","",$AC173-$BD173-$BE173))</f>
        <v/>
      </c>
      <c r="BS173" s="45" t="str">
        <f aca="false">IF($A173="","",IF(AND(ISNUMBER($Z173),ISNUMBER($W173)),$Z173,0))</f>
        <v/>
      </c>
      <c r="BT173" s="45" t="str">
        <f aca="false">IF($A173="","",IF(ISNUMBER($W173),$W173,0))</f>
        <v/>
      </c>
      <c r="BU173" s="23" t="str">
        <f aca="false">IF($A173="","",IF(ISNUMBER($W173),ROUND(($W173-$B173)*24,4),""))</f>
        <v/>
      </c>
      <c r="BV173" s="23" t="str">
        <f aca="false">IF($A173="","",IF(ISNUMBER($X173),ROUND(($X173-$B173)*24,4),""))</f>
        <v/>
      </c>
      <c r="BW173" s="10" t="str">
        <f aca="false">IF($A173="","",IF(NOT(ISNUMBER($W173)),"Missing Calculated",IF(NOT(ISNUMBER($X173)),IF($E173="Client","Missing FA signed off","Missing Controlled"),IF($X173&lt;$W173,"End before start","OK"))))</f>
        <v/>
      </c>
      <c r="BX173" s="23" t="str">
        <f aca="false">IF($A173="","",IF(NOT(ISNUMBER($Z173)),"",ROUND((IF(ISNUMBER($U173),MIN($U173,$Z173),$Z173)-$B173)*24,4)))</f>
        <v/>
      </c>
      <c r="BY173" s="23" t="str">
        <f aca="false">IF($A173="","",IF(ISNUMBER($Z173),ROUND(($Z173-$B173)*24,4),""))</f>
        <v/>
      </c>
      <c r="BZ173" s="23" t="str">
        <f aca="false">IF($A173="","",IF(AND(ISNUMBER($W173),ISNUMBER($S173)),ROUND(($W173+$S173/1440-$B173)*24,4),""))</f>
        <v/>
      </c>
    </row>
    <row r="174" customFormat="false" ht="15" hidden="false" customHeight="true" outlineLevel="0" collapsed="false">
      <c r="A174" s="47"/>
      <c r="B174" s="47"/>
      <c r="D174" s="4" t="str">
        <f aca="false">IF($A174="","",$B174-$A174)</f>
        <v/>
      </c>
      <c r="E174" s="4" t="str">
        <f aca="false">IF($A174="","",IFERROR(VLOOKUP($C174,Dim_Fund!$A:$X,24,0),""))</f>
        <v/>
      </c>
      <c r="F174" s="37" t="str">
        <f aca="false">IF($A174="","",IF(COUNTIFS(Status_Log!$A:$A,$A174,Status_Log!$B:$B,$B174,Status_Log!$C:$C,$C174,Status_Log!$D:$D,"Changed to the status of Calculated")=0,"",_xlfn.MINIFS(Status_Log!$E:$E,Status_Log!$A:$A,$A174,Status_Log!$B:$B,$B174,Status_Log!$C:$C,$C174,Status_Log!$D:$D,"Changed to the status of Calculated")))</f>
        <v/>
      </c>
      <c r="G174" s="37" t="str">
        <f aca="false">IF($A174="","",IF(COUNTIFS(Status_Log!$A:$A,$A174,Status_Log!$B:$B,$B174,Status_Log!$C:$C,$C174,Status_Log!$D:$D,"Changed to the status of Controlled")=0,"",_xlfn.MAXIFS(Status_Log!$E:$E,Status_Log!$A:$A,$A174,Status_Log!$B:$B,$B174,Status_Log!$C:$C,$C174,Status_Log!$D:$D,"Changed to the status of Controlled")))</f>
        <v/>
      </c>
      <c r="H174" s="37" t="str">
        <f aca="false">IF($A174="","",IF(COUNTIFS(Status_Log!$A:$A,$A174,Status_Log!$B:$B,$B174,Status_Log!$C:$C,$C174,Status_Log!$D:$D,"Changed to the status of Fund accounting signed off")=0,"",_xlfn.MAXIFS(Status_Log!$E:$E,Status_Log!$A:$A,$A174,Status_Log!$B:$B,$B174,Status_Log!$C:$C,$C174,Status_Log!$D:$D,"Changed to the status of Fund accounting signed off")))</f>
        <v/>
      </c>
      <c r="I174" s="37" t="str">
        <f aca="false">IF($A174="","",IF(COUNTIFS(Status_Log!$A:$A,$A174,Status_Log!$B:$B,$B174,Status_Log!$C:$C,$C174,Status_Log!$D:$D,"Changed to the status of signed off")=0,"",_xlfn.MAXIFS(Status_Log!$E:$E,Status_Log!$A:$A,$A174,Status_Log!$B:$B,$B174,Status_Log!$C:$C,$C174,Status_Log!$D:$D,"Changed to the status of signed off")))</f>
        <v/>
      </c>
      <c r="J174" s="4" t="str">
        <f aca="false">IF($A174="","",COUNTIFS(Status_Log!$A:$A,$A174,Status_Log!$B:$B,$B174,Status_Log!$C:$C,$C174,Status_Log!$D:$D,"Changed to the status of Calculated"))</f>
        <v/>
      </c>
      <c r="K174" s="38" t="str">
        <f aca="false">IF($A174="","",IF(J174&lt;=1,0,ROUND((_xlfn.MAXIFS(Status_Log!$E:$E,Status_Log!$A:$A,$A174,Status_Log!$B:$B,$B174,Status_Log!$C:$C,$C174,Status_Log!$D:$D,"Changed to the status of Calculated")-F174)*1440,0)))</f>
        <v/>
      </c>
      <c r="L174" s="4" t="str">
        <f aca="false">IF($A174="","",IFERROR(INDEX(Status_Log!$F:$F,MATCH($A174&amp;"|"&amp;$B174&amp;"|"&amp;$C174&amp;"|Changed to the status of Calculated|"&amp;TEXT(_xlfn.MAXIFS(Status_Log!$E:$E,Status_Log!$A:$A,$A174,Status_Log!$B:$B,$B174,Status_Log!$C:$C,$C174,Status_Log!$D:$D,"Changed to the status of Calculated"),"0.000000"),Status_Log!$H:$H,0)),""))</f>
        <v/>
      </c>
      <c r="M174" s="4" t="str">
        <f aca="false">IF($A174="","",IF(E174="Client","n/a — no control step",IFERROR(INDEX(Status_Log!$F:$F,MATCH($A174&amp;"|"&amp;$B174&amp;"|"&amp;$C174&amp;"|Changed to the status of Controlled|"&amp;TEXT(_xlfn.MAXIFS(Status_Log!$E:$E,Status_Log!$A:$A,$A174,Status_Log!$B:$B,$B174,Status_Log!$C:$C,$C174,Status_Log!$D:$D,"Changed to the status of Controlled"),"0.000000"),Status_Log!$H:$H,0)),"")))</f>
        <v/>
      </c>
      <c r="N174" s="4" t="str">
        <f aca="false">IF($A174="","",IFERROR(VLOOKUP($C174,Dim_Fund!$A:$G,7,0),""))</f>
        <v/>
      </c>
      <c r="O174" s="4" t="str">
        <f aca="false">IF($A174="","",IF(L174=N174,"No","Yes"))</f>
        <v/>
      </c>
      <c r="P174" s="4" t="str">
        <f aca="false">IF($A174="","",IF(E174="Client","n/a",IF(L174=M174,"YES — four-eyes breach","No")))</f>
        <v/>
      </c>
      <c r="Q174" s="38" t="str">
        <f aca="false">IF($A174="","",IFERROR(VLOOKUP($C174,Dim_Fund!$A:$AB,28,0),""))</f>
        <v/>
      </c>
      <c r="R174" s="38" t="str">
        <f aca="false">IF($A174="","",IFERROR(VLOOKUP($C174,Dim_Fund!$A:$AC,29,0),""))</f>
        <v/>
      </c>
      <c r="S174" s="38" t="str">
        <f aca="false">IF($A174="","",IFERROR(VLOOKUP($C174,Dim_Fund!$A:$AD,30,0),""))</f>
        <v/>
      </c>
      <c r="T174" s="38" t="str">
        <f aca="false">IF($A174="","",IFERROR(VLOOKUP($C174,Dim_Fund!$A:$AL,38,0),""))</f>
        <v/>
      </c>
      <c r="U174" s="37" t="str">
        <f aca="false">IF($A174="","",IF(AL174="","",IFERROR(IF(COUNTIFS(Fact_Milestone!$A:$A,$B174,Fact_Milestone!$B:$B,AL174)=0,"",_xlfn.MAXIFS(Fact_Milestone!$C:$C,Fact_Milestone!$A:$A,$B174,Fact_Milestone!$B:$B,AL174)),"")))</f>
        <v/>
      </c>
      <c r="V174" s="37" t="str">
        <f aca="false">IF($A174="","",IFERROR(IF(VLOOKUP($C174,Dim_Fund!$A:$AI,35,0)&gt;0,$B174+VLOOKUP($C174,Dim_Fund!$A:$AI,35,0)/24,""),""))</f>
        <v/>
      </c>
      <c r="W174" s="37" t="str">
        <f aca="false">IF($A174="","",F174)</f>
        <v/>
      </c>
      <c r="X174" s="37" t="str">
        <f aca="false">IF($A174="","",IF(E174="Client",H174,G174))</f>
        <v/>
      </c>
      <c r="Y174" s="37" t="str">
        <f aca="false">IF($A174="","",I174)</f>
        <v/>
      </c>
      <c r="Z174" s="37" t="str">
        <f aca="false">IF($A174="","",IFERROR(W174-R174/1440,""))</f>
        <v/>
      </c>
      <c r="AA174" s="38" t="str">
        <f aca="false">IF($A174="","",IF(OR(U174="",V174=""),"",ROUND((V174-U174)*1440,0)))</f>
        <v/>
      </c>
      <c r="AB174" s="38" t="str">
        <f aca="false">IF($A174="","",IF(U174="","",ROUND((W174-U174)*1440,0)))</f>
        <v/>
      </c>
      <c r="AC174" s="38" t="str">
        <f aca="false">IF($A174="","",IF(AB174="","",MAX(0,AB174)))</f>
        <v/>
      </c>
      <c r="AD174" s="38" t="str">
        <f aca="false">IF($A174="","",IFERROR(ROUND((X174-W174)*1440,0),""))</f>
        <v/>
      </c>
      <c r="AE174" s="38" t="str">
        <f aca="false">IF($A174="","",IF(E174="Client","n/a",IFERROR(ROUND((H174-G174)*1440,0),"")))</f>
        <v/>
      </c>
      <c r="AF174" s="38" t="str">
        <f aca="false">IF($A174="","",IFERROR(ROUND((Y174-H174)*1440,0),""))</f>
        <v/>
      </c>
      <c r="AG174" s="38" t="str">
        <f aca="false">IF($A174="","",IFERROR(ROUND((H174-F174)*1440,0),""))</f>
        <v/>
      </c>
      <c r="AH174" s="38" t="str">
        <f aca="false">IF($A174="","",IFERROR(ROUND((Y174-V174)*1440,0),""))</f>
        <v/>
      </c>
      <c r="AI174" s="4" t="str">
        <f aca="false">IF($A174="","",IF(AH174="","",IF(AH174&gt;0,"Yes","No")))</f>
        <v/>
      </c>
      <c r="AJ174" s="4" t="str">
        <f aca="false">IF($A174="","",IF(AI174&lt;&gt;"Yes","On time",IF(N(AC174)&gt;=MAX(N(AF174),N(K174)),"Wait for analyst",IF(N(AF174)&gt;=N(K174),"External sign-off","Rework"))))</f>
        <v/>
      </c>
      <c r="AK174" s="4" t="str">
        <f aca="false">IF($A174="","",IF(OR(F174="",Y174="",ISNA(MATCH(L174,Dim_Analyst!$A:$A,0))),"CHECK","OK"))</f>
        <v/>
      </c>
      <c r="AL174" s="4" t="str">
        <f aca="false">IF($A174="","",IFERROR(VLOOKUP($C174,Dim_Fund!$A:$U,21,0),""))</f>
        <v/>
      </c>
      <c r="AM174" s="4" t="str">
        <f aca="false">IF($A174="","",IF($U174="","",IF($U174&gt;$B174+IFERROR(VLOOKUP($C174,Dim_Fund!$A:$AH,34,0),0)/24,"Yes","No")))</f>
        <v/>
      </c>
      <c r="AN174" s="22" t="str">
        <f aca="false">IF($A174="","",IFERROR(VLOOKUP($C174,Dim_Fund!$A:$AH,34,0),""))</f>
        <v/>
      </c>
      <c r="AO174" s="22" t="str">
        <f aca="false">IF($A174="","",IF($AL174="","",IFERROR(FLOOR(IF(COUNTIFS(Fact_Milestone!$A:$A,$B174,Fact_Milestone!$B:$B,$AL174,Fact_Milestone!$F:$F,"&gt;0")&gt;0,_xlfn.MINIFS(Fact_Milestone!$F:$F,Fact_Milestone!$A:$A,$B174,Fact_Milestone!$B:$B,$AL174,Fact_Milestone!$F:$F,"&gt;0"),VLOOKUP($AL174,Dim_TOP!$A:$E,5,0)),0.5),"")))</f>
        <v/>
      </c>
      <c r="AP174" s="22" t="str">
        <f aca="false">IF($A174="","",IF($U174="","",ROUND(($U174-INT($U174))*24,4)))</f>
        <v/>
      </c>
      <c r="AQ174" s="22" t="str">
        <f aca="false">IF($A174="","",IF($W174="","",ROUND(($W174-INT($W174))*24,4)))</f>
        <v/>
      </c>
      <c r="AR174" s="22" t="str">
        <f aca="false">IF($A174="","",IF($X174="","",ROUND(($X174-INT($X174))*24,4)))</f>
        <v/>
      </c>
      <c r="AS174" s="38" t="str">
        <f aca="false">IF($A174="","",IF(OR($AN174="",$V174="",$S174="",$T174=""),"",ROUND(($V174-($B174+$AN174/24))*1440-$S174-$T174,0)))</f>
        <v/>
      </c>
      <c r="AT174" s="38" t="str">
        <f aca="false">IF($A174="","",IF(OR($AN174="",$U174=""),"",ROUND(($U174-($B174+$AN174/24))*1440,0)))</f>
        <v/>
      </c>
      <c r="AU174" s="38" t="str">
        <f aca="false">IF($A174="","",IF(OR($AD174="",$S174=""),"",ROUND($AD174-$S174,0)))</f>
        <v/>
      </c>
      <c r="AV174" s="38" t="str">
        <f aca="false">IF($A174="","",N($AE174))</f>
        <v/>
      </c>
      <c r="AW174" s="38" t="str">
        <f aca="false">IF($A174="","",IF(OR($AF174="",$T174=""),"",$AF174-$T174))</f>
        <v/>
      </c>
      <c r="AX174" s="38" t="str">
        <f aca="false">IF($A174="","",IF(COUNT($AT174,$AB174,$AU174,$AW174,$AS174,$AH174)&lt;6,"",ROUND($AT174+$AB174+$AU174+$AV174+$AW174-$AS174-$AH174,0)))</f>
        <v/>
      </c>
      <c r="AY174" s="4" t="str">
        <f aca="false">IF($A174="","",IF($AX174="","No",IF(ABS($AX174)&lt;=2,"Yes","No")))</f>
        <v/>
      </c>
      <c r="AZ174" s="4" t="str">
        <f aca="false">IF($A174="","",IF($AI174&lt;&gt;"Yes","n/a",IF(OR($AA174="",$S174="",$T174=""),"Unknown",IF($AA174&lt;$S174+$T174,"Lost on arrival","Lost after arrival"))))</f>
        <v/>
      </c>
      <c r="BA174" s="10" t="str">
        <f aca="false">IF($A174="","",IFERROR(VLOOKUP($C174,Dim_Fund!$A:$D,4,0),""))</f>
        <v/>
      </c>
      <c r="BB174" s="10" t="str">
        <f aca="false">IF($A174="","",IF($AL174="","",IF(COUNTIFS(Fact_Milestone!$A:$A,$B174,Fact_Milestone!$B:$B,$AL174,Fact_Milestone!$I:$I,"No")&gt;0,"No",IF(COUNTIFS(Fact_Milestone!$A:$A,$B174,Fact_Milestone!$B:$B,$AL174,Fact_Milestone!$I:$I,"Yes")&gt;0,"Yes",""))))</f>
        <v/>
      </c>
      <c r="BC174" s="45" t="str">
        <f aca="false">IF($A174="","",IF(OR($L174="",$W174=""),"",IF(COUNTIFS($L:$L,$L174,$B:$B,$B174,$W:$W,"&lt;"&amp;$W174)=0,"",_xlfn.MAXIFS($W:$W,$L:$L,$L174,$B:$B,$B174,$W:$W,"&lt;"&amp;$W174))))</f>
        <v/>
      </c>
      <c r="BD174" s="39" t="str">
        <f aca="false">IF($A174="","",IF($AC174="","",IF(OR($L174="",$AC174=0),0,MIN($AC174,ROUND(ROUND(1440*SUMPRODUCT(($L$2:INDEX($L:$L,COUNTA($C:$C))=$L174)*($B$2:INDEX($B:$B,COUNTA($C:$C))=$B174)*(ROW($L$2:INDEX($L:$L,COUNTA($C:$C)))&lt;&gt;ROW())*((((($W174+$BT$2:INDEX($BT:$BT,COUNTA($C:$C))-ABS($W174-$BT$2:INDEX($BT:$BT,COUNTA($C:$C))))/2)-(($U174+$BS$2:INDEX($BS:$BS,COUNTA($C:$C))+ABS($U174-$BS$2:INDEX($BS:$BS,COUNTA($C:$C))))/2))+ABS(((($W174+$BT$2:INDEX($BT:$BT,COUNTA($C:$C))-ABS($W174-$BT$2:INDEX($BT:$BT,COUNTA($C:$C))))/2)-(($U174+$BS$2:INDEX($BS:$BS,COUNTA($C:$C))+ABS($U174-$BS$2:INDEX($BS:$BS,COUNTA($C:$C))))/2))))/2)),4),0)))))</f>
        <v/>
      </c>
      <c r="BE174" s="39" t="str">
        <f aca="false">IF($A174="","",IF($AC174="","",ROUND(MIN($AC174-$BD174,N($R174)),0)))</f>
        <v/>
      </c>
      <c r="BF174" s="10" t="str">
        <f aca="false">IF($A174="","",IFERROR(VLOOKUP($C174,Dim_Fund!$A:$BD,56,0),""))</f>
        <v/>
      </c>
      <c r="BG174" s="10" t="str">
        <f aca="false">IF($A174="","",IFERROR(VLOOKUP($C174,Dim_Fund!$A:$BH,60,0),""))</f>
        <v/>
      </c>
      <c r="BH174" s="10" t="str">
        <f aca="false">IF($A174="","",IF($AI174&lt;&gt;"Yes","Not breached",IF($AM174="Yes","Pricing late",IF($BG174="Thin custody slack","Thin custody slack",IF($BF174="Yes","Broker-dependent","None of these")))))</f>
        <v/>
      </c>
      <c r="BI174" s="23" t="str">
        <f aca="false">IF($A174="","",IFERROR(IF(VLOOKUP($C174,Dim_Fund!$A:$AI,35,0)&gt;0,VLOOKUP($C174,Dim_Fund!$A:$AI,35,0),""),""))</f>
        <v/>
      </c>
      <c r="BJ174" s="10" t="str">
        <f aca="false">IF($A174="","",$C174&amp;IF($E174="Client","*",""))</f>
        <v/>
      </c>
      <c r="BK174" s="39" t="str">
        <f aca="false">IF($A174="","",IFERROR(ROUND(($Y174-$X174)*1440,0),""))</f>
        <v/>
      </c>
      <c r="BL174" s="39" t="str">
        <f aca="false">IF($A174="","",IF($AH174="","",-$AH174))</f>
        <v/>
      </c>
      <c r="BM174" s="46" t="str">
        <f aca="false">IF($A174="","",IF($AQ174="","",IF($AP174="",$AQ174,MIN($AP174,$AQ174))))</f>
        <v/>
      </c>
      <c r="BN174" s="46" t="str">
        <f aca="false">IF($A174="","",IF($BM174="","",ROUND(N($AC174)/60,4)))</f>
        <v/>
      </c>
      <c r="BO174" s="46" t="str">
        <f aca="false">IF($A174="","",IF(OR($BM174="",$AD174=""),"",ROUND($AD174/60,4)))</f>
        <v/>
      </c>
      <c r="BP174" s="46" t="str">
        <f aca="false">IF($A174="","",IF($BM174="","",ROUND(N($AE174)/60,4)))</f>
        <v/>
      </c>
      <c r="BQ174" s="46" t="str">
        <f aca="false">IF($A174="","",IF(OR($BM174="",$AF174=""),"",ROUND($AF174/60,4)))</f>
        <v/>
      </c>
      <c r="BR174" s="39" t="str">
        <f aca="false">IF($A174="","",IF($AC174="","",$AC174-$BD174-$BE174))</f>
        <v/>
      </c>
      <c r="BS174" s="45" t="str">
        <f aca="false">IF($A174="","",IF(AND(ISNUMBER($Z174),ISNUMBER($W174)),$Z174,0))</f>
        <v/>
      </c>
      <c r="BT174" s="45" t="str">
        <f aca="false">IF($A174="","",IF(ISNUMBER($W174),$W174,0))</f>
        <v/>
      </c>
      <c r="BU174" s="23" t="str">
        <f aca="false">IF($A174="","",IF(ISNUMBER($W174),ROUND(($W174-$B174)*24,4),""))</f>
        <v/>
      </c>
      <c r="BV174" s="23" t="str">
        <f aca="false">IF($A174="","",IF(ISNUMBER($X174),ROUND(($X174-$B174)*24,4),""))</f>
        <v/>
      </c>
      <c r="BW174" s="10" t="str">
        <f aca="false">IF($A174="","",IF(NOT(ISNUMBER($W174)),"Missing Calculated",IF(NOT(ISNUMBER($X174)),IF($E174="Client","Missing FA signed off","Missing Controlled"),IF($X174&lt;$W174,"End before start","OK"))))</f>
        <v/>
      </c>
      <c r="BX174" s="23" t="str">
        <f aca="false">IF($A174="","",IF(NOT(ISNUMBER($Z174)),"",ROUND((IF(ISNUMBER($U174),MIN($U174,$Z174),$Z174)-$B174)*24,4)))</f>
        <v/>
      </c>
      <c r="BY174" s="23" t="str">
        <f aca="false">IF($A174="","",IF(ISNUMBER($Z174),ROUND(($Z174-$B174)*24,4),""))</f>
        <v/>
      </c>
      <c r="BZ174" s="23" t="str">
        <f aca="false">IF($A174="","",IF(AND(ISNUMBER($W174),ISNUMBER($S174)),ROUND(($W174+$S174/1440-$B174)*24,4),""))</f>
        <v/>
      </c>
    </row>
    <row r="175" customFormat="false" ht="15" hidden="false" customHeight="true" outlineLevel="0" collapsed="false">
      <c r="A175" s="47"/>
      <c r="B175" s="47"/>
      <c r="D175" s="4" t="str">
        <f aca="false">IF($A175="","",$B175-$A175)</f>
        <v/>
      </c>
      <c r="E175" s="4" t="str">
        <f aca="false">IF($A175="","",IFERROR(VLOOKUP($C175,Dim_Fund!$A:$X,24,0),""))</f>
        <v/>
      </c>
      <c r="F175" s="37" t="str">
        <f aca="false">IF($A175="","",IF(COUNTIFS(Status_Log!$A:$A,$A175,Status_Log!$B:$B,$B175,Status_Log!$C:$C,$C175,Status_Log!$D:$D,"Changed to the status of Calculated")=0,"",_xlfn.MINIFS(Status_Log!$E:$E,Status_Log!$A:$A,$A175,Status_Log!$B:$B,$B175,Status_Log!$C:$C,$C175,Status_Log!$D:$D,"Changed to the status of Calculated")))</f>
        <v/>
      </c>
      <c r="G175" s="37" t="str">
        <f aca="false">IF($A175="","",IF(COUNTIFS(Status_Log!$A:$A,$A175,Status_Log!$B:$B,$B175,Status_Log!$C:$C,$C175,Status_Log!$D:$D,"Changed to the status of Controlled")=0,"",_xlfn.MAXIFS(Status_Log!$E:$E,Status_Log!$A:$A,$A175,Status_Log!$B:$B,$B175,Status_Log!$C:$C,$C175,Status_Log!$D:$D,"Changed to the status of Controlled")))</f>
        <v/>
      </c>
      <c r="H175" s="37" t="str">
        <f aca="false">IF($A175="","",IF(COUNTIFS(Status_Log!$A:$A,$A175,Status_Log!$B:$B,$B175,Status_Log!$C:$C,$C175,Status_Log!$D:$D,"Changed to the status of Fund accounting signed off")=0,"",_xlfn.MAXIFS(Status_Log!$E:$E,Status_Log!$A:$A,$A175,Status_Log!$B:$B,$B175,Status_Log!$C:$C,$C175,Status_Log!$D:$D,"Changed to the status of Fund accounting signed off")))</f>
        <v/>
      </c>
      <c r="I175" s="37" t="str">
        <f aca="false">IF($A175="","",IF(COUNTIFS(Status_Log!$A:$A,$A175,Status_Log!$B:$B,$B175,Status_Log!$C:$C,$C175,Status_Log!$D:$D,"Changed to the status of signed off")=0,"",_xlfn.MAXIFS(Status_Log!$E:$E,Status_Log!$A:$A,$A175,Status_Log!$B:$B,$B175,Status_Log!$C:$C,$C175,Status_Log!$D:$D,"Changed to the status of signed off")))</f>
        <v/>
      </c>
      <c r="J175" s="4" t="str">
        <f aca="false">IF($A175="","",COUNTIFS(Status_Log!$A:$A,$A175,Status_Log!$B:$B,$B175,Status_Log!$C:$C,$C175,Status_Log!$D:$D,"Changed to the status of Calculated"))</f>
        <v/>
      </c>
      <c r="K175" s="38" t="str">
        <f aca="false">IF($A175="","",IF(J175&lt;=1,0,ROUND((_xlfn.MAXIFS(Status_Log!$E:$E,Status_Log!$A:$A,$A175,Status_Log!$B:$B,$B175,Status_Log!$C:$C,$C175,Status_Log!$D:$D,"Changed to the status of Calculated")-F175)*1440,0)))</f>
        <v/>
      </c>
      <c r="L175" s="4" t="str">
        <f aca="false">IF($A175="","",IFERROR(INDEX(Status_Log!$F:$F,MATCH($A175&amp;"|"&amp;$B175&amp;"|"&amp;$C175&amp;"|Changed to the status of Calculated|"&amp;TEXT(_xlfn.MAXIFS(Status_Log!$E:$E,Status_Log!$A:$A,$A175,Status_Log!$B:$B,$B175,Status_Log!$C:$C,$C175,Status_Log!$D:$D,"Changed to the status of Calculated"),"0.000000"),Status_Log!$H:$H,0)),""))</f>
        <v/>
      </c>
      <c r="M175" s="4" t="str">
        <f aca="false">IF($A175="","",IF(E175="Client","n/a — no control step",IFERROR(INDEX(Status_Log!$F:$F,MATCH($A175&amp;"|"&amp;$B175&amp;"|"&amp;$C175&amp;"|Changed to the status of Controlled|"&amp;TEXT(_xlfn.MAXIFS(Status_Log!$E:$E,Status_Log!$A:$A,$A175,Status_Log!$B:$B,$B175,Status_Log!$C:$C,$C175,Status_Log!$D:$D,"Changed to the status of Controlled"),"0.000000"),Status_Log!$H:$H,0)),"")))</f>
        <v/>
      </c>
      <c r="N175" s="4" t="str">
        <f aca="false">IF($A175="","",IFERROR(VLOOKUP($C175,Dim_Fund!$A:$G,7,0),""))</f>
        <v/>
      </c>
      <c r="O175" s="4" t="str">
        <f aca="false">IF($A175="","",IF(L175=N175,"No","Yes"))</f>
        <v/>
      </c>
      <c r="P175" s="4" t="str">
        <f aca="false">IF($A175="","",IF(E175="Client","n/a",IF(L175=M175,"YES — four-eyes breach","No")))</f>
        <v/>
      </c>
      <c r="Q175" s="38" t="str">
        <f aca="false">IF($A175="","",IFERROR(VLOOKUP($C175,Dim_Fund!$A:$AB,28,0),""))</f>
        <v/>
      </c>
      <c r="R175" s="38" t="str">
        <f aca="false">IF($A175="","",IFERROR(VLOOKUP($C175,Dim_Fund!$A:$AC,29,0),""))</f>
        <v/>
      </c>
      <c r="S175" s="38" t="str">
        <f aca="false">IF($A175="","",IFERROR(VLOOKUP($C175,Dim_Fund!$A:$AD,30,0),""))</f>
        <v/>
      </c>
      <c r="T175" s="38" t="str">
        <f aca="false">IF($A175="","",IFERROR(VLOOKUP($C175,Dim_Fund!$A:$AL,38,0),""))</f>
        <v/>
      </c>
      <c r="U175" s="37" t="str">
        <f aca="false">IF($A175="","",IF(AL175="","",IFERROR(IF(COUNTIFS(Fact_Milestone!$A:$A,$B175,Fact_Milestone!$B:$B,AL175)=0,"",_xlfn.MAXIFS(Fact_Milestone!$C:$C,Fact_Milestone!$A:$A,$B175,Fact_Milestone!$B:$B,AL175)),"")))</f>
        <v/>
      </c>
      <c r="V175" s="37" t="str">
        <f aca="false">IF($A175="","",IFERROR(IF(VLOOKUP($C175,Dim_Fund!$A:$AI,35,0)&gt;0,$B175+VLOOKUP($C175,Dim_Fund!$A:$AI,35,0)/24,""),""))</f>
        <v/>
      </c>
      <c r="W175" s="37" t="str">
        <f aca="false">IF($A175="","",F175)</f>
        <v/>
      </c>
      <c r="X175" s="37" t="str">
        <f aca="false">IF($A175="","",IF(E175="Client",H175,G175))</f>
        <v/>
      </c>
      <c r="Y175" s="37" t="str">
        <f aca="false">IF($A175="","",I175)</f>
        <v/>
      </c>
      <c r="Z175" s="37" t="str">
        <f aca="false">IF($A175="","",IFERROR(W175-R175/1440,""))</f>
        <v/>
      </c>
      <c r="AA175" s="38" t="str">
        <f aca="false">IF($A175="","",IF(OR(U175="",V175=""),"",ROUND((V175-U175)*1440,0)))</f>
        <v/>
      </c>
      <c r="AB175" s="38" t="str">
        <f aca="false">IF($A175="","",IF(U175="","",ROUND((W175-U175)*1440,0)))</f>
        <v/>
      </c>
      <c r="AC175" s="38" t="str">
        <f aca="false">IF($A175="","",IF(AB175="","",MAX(0,AB175)))</f>
        <v/>
      </c>
      <c r="AD175" s="38" t="str">
        <f aca="false">IF($A175="","",IFERROR(ROUND((X175-W175)*1440,0),""))</f>
        <v/>
      </c>
      <c r="AE175" s="38" t="str">
        <f aca="false">IF($A175="","",IF(E175="Client","n/a",IFERROR(ROUND((H175-G175)*1440,0),"")))</f>
        <v/>
      </c>
      <c r="AF175" s="38" t="str">
        <f aca="false">IF($A175="","",IFERROR(ROUND((Y175-H175)*1440,0),""))</f>
        <v/>
      </c>
      <c r="AG175" s="38" t="str">
        <f aca="false">IF($A175="","",IFERROR(ROUND((H175-F175)*1440,0),""))</f>
        <v/>
      </c>
      <c r="AH175" s="38" t="str">
        <f aca="false">IF($A175="","",IFERROR(ROUND((Y175-V175)*1440,0),""))</f>
        <v/>
      </c>
      <c r="AI175" s="4" t="str">
        <f aca="false">IF($A175="","",IF(AH175="","",IF(AH175&gt;0,"Yes","No")))</f>
        <v/>
      </c>
      <c r="AJ175" s="4" t="str">
        <f aca="false">IF($A175="","",IF(AI175&lt;&gt;"Yes","On time",IF(N(AC175)&gt;=MAX(N(AF175),N(K175)),"Wait for analyst",IF(N(AF175)&gt;=N(K175),"External sign-off","Rework"))))</f>
        <v/>
      </c>
      <c r="AK175" s="4" t="str">
        <f aca="false">IF($A175="","",IF(OR(F175="",Y175="",ISNA(MATCH(L175,Dim_Analyst!$A:$A,0))),"CHECK","OK"))</f>
        <v/>
      </c>
      <c r="AL175" s="4" t="str">
        <f aca="false">IF($A175="","",IFERROR(VLOOKUP($C175,Dim_Fund!$A:$U,21,0),""))</f>
        <v/>
      </c>
      <c r="AM175" s="4" t="str">
        <f aca="false">IF($A175="","",IF($U175="","",IF($U175&gt;$B175+IFERROR(VLOOKUP($C175,Dim_Fund!$A:$AH,34,0),0)/24,"Yes","No")))</f>
        <v/>
      </c>
      <c r="AN175" s="22" t="str">
        <f aca="false">IF($A175="","",IFERROR(VLOOKUP($C175,Dim_Fund!$A:$AH,34,0),""))</f>
        <v/>
      </c>
      <c r="AO175" s="22" t="str">
        <f aca="false">IF($A175="","",IF($AL175="","",IFERROR(FLOOR(IF(COUNTIFS(Fact_Milestone!$A:$A,$B175,Fact_Milestone!$B:$B,$AL175,Fact_Milestone!$F:$F,"&gt;0")&gt;0,_xlfn.MINIFS(Fact_Milestone!$F:$F,Fact_Milestone!$A:$A,$B175,Fact_Milestone!$B:$B,$AL175,Fact_Milestone!$F:$F,"&gt;0"),VLOOKUP($AL175,Dim_TOP!$A:$E,5,0)),0.5),"")))</f>
        <v/>
      </c>
      <c r="AP175" s="22" t="str">
        <f aca="false">IF($A175="","",IF($U175="","",ROUND(($U175-INT($U175))*24,4)))</f>
        <v/>
      </c>
      <c r="AQ175" s="22" t="str">
        <f aca="false">IF($A175="","",IF($W175="","",ROUND(($W175-INT($W175))*24,4)))</f>
        <v/>
      </c>
      <c r="AR175" s="22" t="str">
        <f aca="false">IF($A175="","",IF($X175="","",ROUND(($X175-INT($X175))*24,4)))</f>
        <v/>
      </c>
      <c r="AS175" s="38" t="str">
        <f aca="false">IF($A175="","",IF(OR($AN175="",$V175="",$S175="",$T175=""),"",ROUND(($V175-($B175+$AN175/24))*1440-$S175-$T175,0)))</f>
        <v/>
      </c>
      <c r="AT175" s="38" t="str">
        <f aca="false">IF($A175="","",IF(OR($AN175="",$U175=""),"",ROUND(($U175-($B175+$AN175/24))*1440,0)))</f>
        <v/>
      </c>
      <c r="AU175" s="38" t="str">
        <f aca="false">IF($A175="","",IF(OR($AD175="",$S175=""),"",ROUND($AD175-$S175,0)))</f>
        <v/>
      </c>
      <c r="AV175" s="38" t="str">
        <f aca="false">IF($A175="","",N($AE175))</f>
        <v/>
      </c>
      <c r="AW175" s="38" t="str">
        <f aca="false">IF($A175="","",IF(OR($AF175="",$T175=""),"",$AF175-$T175))</f>
        <v/>
      </c>
      <c r="AX175" s="38" t="str">
        <f aca="false">IF($A175="","",IF(COUNT($AT175,$AB175,$AU175,$AW175,$AS175,$AH175)&lt;6,"",ROUND($AT175+$AB175+$AU175+$AV175+$AW175-$AS175-$AH175,0)))</f>
        <v/>
      </c>
      <c r="AY175" s="4" t="str">
        <f aca="false">IF($A175="","",IF($AX175="","No",IF(ABS($AX175)&lt;=2,"Yes","No")))</f>
        <v/>
      </c>
      <c r="AZ175" s="4" t="str">
        <f aca="false">IF($A175="","",IF($AI175&lt;&gt;"Yes","n/a",IF(OR($AA175="",$S175="",$T175=""),"Unknown",IF($AA175&lt;$S175+$T175,"Lost on arrival","Lost after arrival"))))</f>
        <v/>
      </c>
      <c r="BA175" s="10" t="str">
        <f aca="false">IF($A175="","",IFERROR(VLOOKUP($C175,Dim_Fund!$A:$D,4,0),""))</f>
        <v/>
      </c>
      <c r="BB175" s="10" t="str">
        <f aca="false">IF($A175="","",IF($AL175="","",IF(COUNTIFS(Fact_Milestone!$A:$A,$B175,Fact_Milestone!$B:$B,$AL175,Fact_Milestone!$I:$I,"No")&gt;0,"No",IF(COUNTIFS(Fact_Milestone!$A:$A,$B175,Fact_Milestone!$B:$B,$AL175,Fact_Milestone!$I:$I,"Yes")&gt;0,"Yes",""))))</f>
        <v/>
      </c>
      <c r="BC175" s="45" t="str">
        <f aca="false">IF($A175="","",IF(OR($L175="",$W175=""),"",IF(COUNTIFS($L:$L,$L175,$B:$B,$B175,$W:$W,"&lt;"&amp;$W175)=0,"",_xlfn.MAXIFS($W:$W,$L:$L,$L175,$B:$B,$B175,$W:$W,"&lt;"&amp;$W175))))</f>
        <v/>
      </c>
      <c r="BD175" s="39" t="str">
        <f aca="false">IF($A175="","",IF($AC175="","",IF(OR($L175="",$AC175=0),0,MIN($AC175,ROUND(ROUND(1440*SUMPRODUCT(($L$2:INDEX($L:$L,COUNTA($C:$C))=$L175)*($B$2:INDEX($B:$B,COUNTA($C:$C))=$B175)*(ROW($L$2:INDEX($L:$L,COUNTA($C:$C)))&lt;&gt;ROW())*((((($W175+$BT$2:INDEX($BT:$BT,COUNTA($C:$C))-ABS($W175-$BT$2:INDEX($BT:$BT,COUNTA($C:$C))))/2)-(($U175+$BS$2:INDEX($BS:$BS,COUNTA($C:$C))+ABS($U175-$BS$2:INDEX($BS:$BS,COUNTA($C:$C))))/2))+ABS(((($W175+$BT$2:INDEX($BT:$BT,COUNTA($C:$C))-ABS($W175-$BT$2:INDEX($BT:$BT,COUNTA($C:$C))))/2)-(($U175+$BS$2:INDEX($BS:$BS,COUNTA($C:$C))+ABS($U175-$BS$2:INDEX($BS:$BS,COUNTA($C:$C))))/2))))/2)),4),0)))))</f>
        <v/>
      </c>
      <c r="BE175" s="39" t="str">
        <f aca="false">IF($A175="","",IF($AC175="","",ROUND(MIN($AC175-$BD175,N($R175)),0)))</f>
        <v/>
      </c>
      <c r="BF175" s="10" t="str">
        <f aca="false">IF($A175="","",IFERROR(VLOOKUP($C175,Dim_Fund!$A:$BD,56,0),""))</f>
        <v/>
      </c>
      <c r="BG175" s="10" t="str">
        <f aca="false">IF($A175="","",IFERROR(VLOOKUP($C175,Dim_Fund!$A:$BH,60,0),""))</f>
        <v/>
      </c>
      <c r="BH175" s="10" t="str">
        <f aca="false">IF($A175="","",IF($AI175&lt;&gt;"Yes","Not breached",IF($AM175="Yes","Pricing late",IF($BG175="Thin custody slack","Thin custody slack",IF($BF175="Yes","Broker-dependent","None of these")))))</f>
        <v/>
      </c>
      <c r="BI175" s="23" t="str">
        <f aca="false">IF($A175="","",IFERROR(IF(VLOOKUP($C175,Dim_Fund!$A:$AI,35,0)&gt;0,VLOOKUP($C175,Dim_Fund!$A:$AI,35,0),""),""))</f>
        <v/>
      </c>
      <c r="BJ175" s="10" t="str">
        <f aca="false">IF($A175="","",$C175&amp;IF($E175="Client","*",""))</f>
        <v/>
      </c>
      <c r="BK175" s="39" t="str">
        <f aca="false">IF($A175="","",IFERROR(ROUND(($Y175-$X175)*1440,0),""))</f>
        <v/>
      </c>
      <c r="BL175" s="39" t="str">
        <f aca="false">IF($A175="","",IF($AH175="","",-$AH175))</f>
        <v/>
      </c>
      <c r="BM175" s="46" t="str">
        <f aca="false">IF($A175="","",IF($AQ175="","",IF($AP175="",$AQ175,MIN($AP175,$AQ175))))</f>
        <v/>
      </c>
      <c r="BN175" s="46" t="str">
        <f aca="false">IF($A175="","",IF($BM175="","",ROUND(N($AC175)/60,4)))</f>
        <v/>
      </c>
      <c r="BO175" s="46" t="str">
        <f aca="false">IF($A175="","",IF(OR($BM175="",$AD175=""),"",ROUND($AD175/60,4)))</f>
        <v/>
      </c>
      <c r="BP175" s="46" t="str">
        <f aca="false">IF($A175="","",IF($BM175="","",ROUND(N($AE175)/60,4)))</f>
        <v/>
      </c>
      <c r="BQ175" s="46" t="str">
        <f aca="false">IF($A175="","",IF(OR($BM175="",$AF175=""),"",ROUND($AF175/60,4)))</f>
        <v/>
      </c>
      <c r="BR175" s="39" t="str">
        <f aca="false">IF($A175="","",IF($AC175="","",$AC175-$BD175-$BE175))</f>
        <v/>
      </c>
      <c r="BS175" s="45" t="str">
        <f aca="false">IF($A175="","",IF(AND(ISNUMBER($Z175),ISNUMBER($W175)),$Z175,0))</f>
        <v/>
      </c>
      <c r="BT175" s="45" t="str">
        <f aca="false">IF($A175="","",IF(ISNUMBER($W175),$W175,0))</f>
        <v/>
      </c>
      <c r="BU175" s="23" t="str">
        <f aca="false">IF($A175="","",IF(ISNUMBER($W175),ROUND(($W175-$B175)*24,4),""))</f>
        <v/>
      </c>
      <c r="BV175" s="23" t="str">
        <f aca="false">IF($A175="","",IF(ISNUMBER($X175),ROUND(($X175-$B175)*24,4),""))</f>
        <v/>
      </c>
      <c r="BW175" s="10" t="str">
        <f aca="false">IF($A175="","",IF(NOT(ISNUMBER($W175)),"Missing Calculated",IF(NOT(ISNUMBER($X175)),IF($E175="Client","Missing FA signed off","Missing Controlled"),IF($X175&lt;$W175,"End before start","OK"))))</f>
        <v/>
      </c>
      <c r="BX175" s="23" t="str">
        <f aca="false">IF($A175="","",IF(NOT(ISNUMBER($Z175)),"",ROUND((IF(ISNUMBER($U175),MIN($U175,$Z175),$Z175)-$B175)*24,4)))</f>
        <v/>
      </c>
      <c r="BY175" s="23" t="str">
        <f aca="false">IF($A175="","",IF(ISNUMBER($Z175),ROUND(($Z175-$B175)*24,4),""))</f>
        <v/>
      </c>
      <c r="BZ175" s="23" t="str">
        <f aca="false">IF($A175="","",IF(AND(ISNUMBER($W175),ISNUMBER($S175)),ROUND(($W175+$S175/1440-$B175)*24,4),""))</f>
        <v/>
      </c>
    </row>
    <row r="176" customFormat="false" ht="15" hidden="false" customHeight="true" outlineLevel="0" collapsed="false">
      <c r="A176" s="47"/>
      <c r="B176" s="47"/>
      <c r="D176" s="4" t="str">
        <f aca="false">IF($A176="","",$B176-$A176)</f>
        <v/>
      </c>
      <c r="E176" s="4" t="str">
        <f aca="false">IF($A176="","",IFERROR(VLOOKUP($C176,Dim_Fund!$A:$X,24,0),""))</f>
        <v/>
      </c>
      <c r="F176" s="37" t="str">
        <f aca="false">IF($A176="","",IF(COUNTIFS(Status_Log!$A:$A,$A176,Status_Log!$B:$B,$B176,Status_Log!$C:$C,$C176,Status_Log!$D:$D,"Changed to the status of Calculated")=0,"",_xlfn.MINIFS(Status_Log!$E:$E,Status_Log!$A:$A,$A176,Status_Log!$B:$B,$B176,Status_Log!$C:$C,$C176,Status_Log!$D:$D,"Changed to the status of Calculated")))</f>
        <v/>
      </c>
      <c r="G176" s="37" t="str">
        <f aca="false">IF($A176="","",IF(COUNTIFS(Status_Log!$A:$A,$A176,Status_Log!$B:$B,$B176,Status_Log!$C:$C,$C176,Status_Log!$D:$D,"Changed to the status of Controlled")=0,"",_xlfn.MAXIFS(Status_Log!$E:$E,Status_Log!$A:$A,$A176,Status_Log!$B:$B,$B176,Status_Log!$C:$C,$C176,Status_Log!$D:$D,"Changed to the status of Controlled")))</f>
        <v/>
      </c>
      <c r="H176" s="37" t="str">
        <f aca="false">IF($A176="","",IF(COUNTIFS(Status_Log!$A:$A,$A176,Status_Log!$B:$B,$B176,Status_Log!$C:$C,$C176,Status_Log!$D:$D,"Changed to the status of Fund accounting signed off")=0,"",_xlfn.MAXIFS(Status_Log!$E:$E,Status_Log!$A:$A,$A176,Status_Log!$B:$B,$B176,Status_Log!$C:$C,$C176,Status_Log!$D:$D,"Changed to the status of Fund accounting signed off")))</f>
        <v/>
      </c>
      <c r="I176" s="37" t="str">
        <f aca="false">IF($A176="","",IF(COUNTIFS(Status_Log!$A:$A,$A176,Status_Log!$B:$B,$B176,Status_Log!$C:$C,$C176,Status_Log!$D:$D,"Changed to the status of signed off")=0,"",_xlfn.MAXIFS(Status_Log!$E:$E,Status_Log!$A:$A,$A176,Status_Log!$B:$B,$B176,Status_Log!$C:$C,$C176,Status_Log!$D:$D,"Changed to the status of signed off")))</f>
        <v/>
      </c>
      <c r="J176" s="4" t="str">
        <f aca="false">IF($A176="","",COUNTIFS(Status_Log!$A:$A,$A176,Status_Log!$B:$B,$B176,Status_Log!$C:$C,$C176,Status_Log!$D:$D,"Changed to the status of Calculated"))</f>
        <v/>
      </c>
      <c r="K176" s="38" t="str">
        <f aca="false">IF($A176="","",IF(J176&lt;=1,0,ROUND((_xlfn.MAXIFS(Status_Log!$E:$E,Status_Log!$A:$A,$A176,Status_Log!$B:$B,$B176,Status_Log!$C:$C,$C176,Status_Log!$D:$D,"Changed to the status of Calculated")-F176)*1440,0)))</f>
        <v/>
      </c>
      <c r="L176" s="4" t="str">
        <f aca="false">IF($A176="","",IFERROR(INDEX(Status_Log!$F:$F,MATCH($A176&amp;"|"&amp;$B176&amp;"|"&amp;$C176&amp;"|Changed to the status of Calculated|"&amp;TEXT(_xlfn.MAXIFS(Status_Log!$E:$E,Status_Log!$A:$A,$A176,Status_Log!$B:$B,$B176,Status_Log!$C:$C,$C176,Status_Log!$D:$D,"Changed to the status of Calculated"),"0.000000"),Status_Log!$H:$H,0)),""))</f>
        <v/>
      </c>
      <c r="M176" s="4" t="str">
        <f aca="false">IF($A176="","",IF(E176="Client","n/a — no control step",IFERROR(INDEX(Status_Log!$F:$F,MATCH($A176&amp;"|"&amp;$B176&amp;"|"&amp;$C176&amp;"|Changed to the status of Controlled|"&amp;TEXT(_xlfn.MAXIFS(Status_Log!$E:$E,Status_Log!$A:$A,$A176,Status_Log!$B:$B,$B176,Status_Log!$C:$C,$C176,Status_Log!$D:$D,"Changed to the status of Controlled"),"0.000000"),Status_Log!$H:$H,0)),"")))</f>
        <v/>
      </c>
      <c r="N176" s="4" t="str">
        <f aca="false">IF($A176="","",IFERROR(VLOOKUP($C176,Dim_Fund!$A:$G,7,0),""))</f>
        <v/>
      </c>
      <c r="O176" s="4" t="str">
        <f aca="false">IF($A176="","",IF(L176=N176,"No","Yes"))</f>
        <v/>
      </c>
      <c r="P176" s="4" t="str">
        <f aca="false">IF($A176="","",IF(E176="Client","n/a",IF(L176=M176,"YES — four-eyes breach","No")))</f>
        <v/>
      </c>
      <c r="Q176" s="38" t="str">
        <f aca="false">IF($A176="","",IFERROR(VLOOKUP($C176,Dim_Fund!$A:$AB,28,0),""))</f>
        <v/>
      </c>
      <c r="R176" s="38" t="str">
        <f aca="false">IF($A176="","",IFERROR(VLOOKUP($C176,Dim_Fund!$A:$AC,29,0),""))</f>
        <v/>
      </c>
      <c r="S176" s="38" t="str">
        <f aca="false">IF($A176="","",IFERROR(VLOOKUP($C176,Dim_Fund!$A:$AD,30,0),""))</f>
        <v/>
      </c>
      <c r="T176" s="38" t="str">
        <f aca="false">IF($A176="","",IFERROR(VLOOKUP($C176,Dim_Fund!$A:$AL,38,0),""))</f>
        <v/>
      </c>
      <c r="U176" s="37" t="str">
        <f aca="false">IF($A176="","",IF(AL176="","",IFERROR(IF(COUNTIFS(Fact_Milestone!$A:$A,$B176,Fact_Milestone!$B:$B,AL176)=0,"",_xlfn.MAXIFS(Fact_Milestone!$C:$C,Fact_Milestone!$A:$A,$B176,Fact_Milestone!$B:$B,AL176)),"")))</f>
        <v/>
      </c>
      <c r="V176" s="37" t="str">
        <f aca="false">IF($A176="","",IFERROR(IF(VLOOKUP($C176,Dim_Fund!$A:$AI,35,0)&gt;0,$B176+VLOOKUP($C176,Dim_Fund!$A:$AI,35,0)/24,""),""))</f>
        <v/>
      </c>
      <c r="W176" s="37" t="str">
        <f aca="false">IF($A176="","",F176)</f>
        <v/>
      </c>
      <c r="X176" s="37" t="str">
        <f aca="false">IF($A176="","",IF(E176="Client",H176,G176))</f>
        <v/>
      </c>
      <c r="Y176" s="37" t="str">
        <f aca="false">IF($A176="","",I176)</f>
        <v/>
      </c>
      <c r="Z176" s="37" t="str">
        <f aca="false">IF($A176="","",IFERROR(W176-R176/1440,""))</f>
        <v/>
      </c>
      <c r="AA176" s="38" t="str">
        <f aca="false">IF($A176="","",IF(OR(U176="",V176=""),"",ROUND((V176-U176)*1440,0)))</f>
        <v/>
      </c>
      <c r="AB176" s="38" t="str">
        <f aca="false">IF($A176="","",IF(U176="","",ROUND((W176-U176)*1440,0)))</f>
        <v/>
      </c>
      <c r="AC176" s="38" t="str">
        <f aca="false">IF($A176="","",IF(AB176="","",MAX(0,AB176)))</f>
        <v/>
      </c>
      <c r="AD176" s="38" t="str">
        <f aca="false">IF($A176="","",IFERROR(ROUND((X176-W176)*1440,0),""))</f>
        <v/>
      </c>
      <c r="AE176" s="38" t="str">
        <f aca="false">IF($A176="","",IF(E176="Client","n/a",IFERROR(ROUND((H176-G176)*1440,0),"")))</f>
        <v/>
      </c>
      <c r="AF176" s="38" t="str">
        <f aca="false">IF($A176="","",IFERROR(ROUND((Y176-H176)*1440,0),""))</f>
        <v/>
      </c>
      <c r="AG176" s="38" t="str">
        <f aca="false">IF($A176="","",IFERROR(ROUND((H176-F176)*1440,0),""))</f>
        <v/>
      </c>
      <c r="AH176" s="38" t="str">
        <f aca="false">IF($A176="","",IFERROR(ROUND((Y176-V176)*1440,0),""))</f>
        <v/>
      </c>
      <c r="AI176" s="4" t="str">
        <f aca="false">IF($A176="","",IF(AH176="","",IF(AH176&gt;0,"Yes","No")))</f>
        <v/>
      </c>
      <c r="AJ176" s="4" t="str">
        <f aca="false">IF($A176="","",IF(AI176&lt;&gt;"Yes","On time",IF(N(AC176)&gt;=MAX(N(AF176),N(K176)),"Wait for analyst",IF(N(AF176)&gt;=N(K176),"External sign-off","Rework"))))</f>
        <v/>
      </c>
      <c r="AK176" s="4" t="str">
        <f aca="false">IF($A176="","",IF(OR(F176="",Y176="",ISNA(MATCH(L176,Dim_Analyst!$A:$A,0))),"CHECK","OK"))</f>
        <v/>
      </c>
      <c r="AL176" s="4" t="str">
        <f aca="false">IF($A176="","",IFERROR(VLOOKUP($C176,Dim_Fund!$A:$U,21,0),""))</f>
        <v/>
      </c>
      <c r="AM176" s="4" t="str">
        <f aca="false">IF($A176="","",IF($U176="","",IF($U176&gt;$B176+IFERROR(VLOOKUP($C176,Dim_Fund!$A:$AH,34,0),0)/24,"Yes","No")))</f>
        <v/>
      </c>
      <c r="AN176" s="22" t="str">
        <f aca="false">IF($A176="","",IFERROR(VLOOKUP($C176,Dim_Fund!$A:$AH,34,0),""))</f>
        <v/>
      </c>
      <c r="AO176" s="22" t="str">
        <f aca="false">IF($A176="","",IF($AL176="","",IFERROR(FLOOR(IF(COUNTIFS(Fact_Milestone!$A:$A,$B176,Fact_Milestone!$B:$B,$AL176,Fact_Milestone!$F:$F,"&gt;0")&gt;0,_xlfn.MINIFS(Fact_Milestone!$F:$F,Fact_Milestone!$A:$A,$B176,Fact_Milestone!$B:$B,$AL176,Fact_Milestone!$F:$F,"&gt;0"),VLOOKUP($AL176,Dim_TOP!$A:$E,5,0)),0.5),"")))</f>
        <v/>
      </c>
      <c r="AP176" s="22" t="str">
        <f aca="false">IF($A176="","",IF($U176="","",ROUND(($U176-INT($U176))*24,4)))</f>
        <v/>
      </c>
      <c r="AQ176" s="22" t="str">
        <f aca="false">IF($A176="","",IF($W176="","",ROUND(($W176-INT($W176))*24,4)))</f>
        <v/>
      </c>
      <c r="AR176" s="22" t="str">
        <f aca="false">IF($A176="","",IF($X176="","",ROUND(($X176-INT($X176))*24,4)))</f>
        <v/>
      </c>
      <c r="AS176" s="38" t="str">
        <f aca="false">IF($A176="","",IF(OR($AN176="",$V176="",$S176="",$T176=""),"",ROUND(($V176-($B176+$AN176/24))*1440-$S176-$T176,0)))</f>
        <v/>
      </c>
      <c r="AT176" s="38" t="str">
        <f aca="false">IF($A176="","",IF(OR($AN176="",$U176=""),"",ROUND(($U176-($B176+$AN176/24))*1440,0)))</f>
        <v/>
      </c>
      <c r="AU176" s="38" t="str">
        <f aca="false">IF($A176="","",IF(OR($AD176="",$S176=""),"",ROUND($AD176-$S176,0)))</f>
        <v/>
      </c>
      <c r="AV176" s="38" t="str">
        <f aca="false">IF($A176="","",N($AE176))</f>
        <v/>
      </c>
      <c r="AW176" s="38" t="str">
        <f aca="false">IF($A176="","",IF(OR($AF176="",$T176=""),"",$AF176-$T176))</f>
        <v/>
      </c>
      <c r="AX176" s="38" t="str">
        <f aca="false">IF($A176="","",IF(COUNT($AT176,$AB176,$AU176,$AW176,$AS176,$AH176)&lt;6,"",ROUND($AT176+$AB176+$AU176+$AV176+$AW176-$AS176-$AH176,0)))</f>
        <v/>
      </c>
      <c r="AY176" s="4" t="str">
        <f aca="false">IF($A176="","",IF($AX176="","No",IF(ABS($AX176)&lt;=2,"Yes","No")))</f>
        <v/>
      </c>
      <c r="AZ176" s="4" t="str">
        <f aca="false">IF($A176="","",IF($AI176&lt;&gt;"Yes","n/a",IF(OR($AA176="",$S176="",$T176=""),"Unknown",IF($AA176&lt;$S176+$T176,"Lost on arrival","Lost after arrival"))))</f>
        <v/>
      </c>
      <c r="BA176" s="10" t="str">
        <f aca="false">IF($A176="","",IFERROR(VLOOKUP($C176,Dim_Fund!$A:$D,4,0),""))</f>
        <v/>
      </c>
      <c r="BB176" s="10" t="str">
        <f aca="false">IF($A176="","",IF($AL176="","",IF(COUNTIFS(Fact_Milestone!$A:$A,$B176,Fact_Milestone!$B:$B,$AL176,Fact_Milestone!$I:$I,"No")&gt;0,"No",IF(COUNTIFS(Fact_Milestone!$A:$A,$B176,Fact_Milestone!$B:$B,$AL176,Fact_Milestone!$I:$I,"Yes")&gt;0,"Yes",""))))</f>
        <v/>
      </c>
      <c r="BC176" s="45" t="str">
        <f aca="false">IF($A176="","",IF(OR($L176="",$W176=""),"",IF(COUNTIFS($L:$L,$L176,$B:$B,$B176,$W:$W,"&lt;"&amp;$W176)=0,"",_xlfn.MAXIFS($W:$W,$L:$L,$L176,$B:$B,$B176,$W:$W,"&lt;"&amp;$W176))))</f>
        <v/>
      </c>
      <c r="BD176" s="39" t="str">
        <f aca="false">IF($A176="","",IF($AC176="","",IF(OR($L176="",$AC176=0),0,MIN($AC176,ROUND(ROUND(1440*SUMPRODUCT(($L$2:INDEX($L:$L,COUNTA($C:$C))=$L176)*($B$2:INDEX($B:$B,COUNTA($C:$C))=$B176)*(ROW($L$2:INDEX($L:$L,COUNTA($C:$C)))&lt;&gt;ROW())*((((($W176+$BT$2:INDEX($BT:$BT,COUNTA($C:$C))-ABS($W176-$BT$2:INDEX($BT:$BT,COUNTA($C:$C))))/2)-(($U176+$BS$2:INDEX($BS:$BS,COUNTA($C:$C))+ABS($U176-$BS$2:INDEX($BS:$BS,COUNTA($C:$C))))/2))+ABS(((($W176+$BT$2:INDEX($BT:$BT,COUNTA($C:$C))-ABS($W176-$BT$2:INDEX($BT:$BT,COUNTA($C:$C))))/2)-(($U176+$BS$2:INDEX($BS:$BS,COUNTA($C:$C))+ABS($U176-$BS$2:INDEX($BS:$BS,COUNTA($C:$C))))/2))))/2)),4),0)))))</f>
        <v/>
      </c>
      <c r="BE176" s="39" t="str">
        <f aca="false">IF($A176="","",IF($AC176="","",ROUND(MIN($AC176-$BD176,N($R176)),0)))</f>
        <v/>
      </c>
      <c r="BF176" s="10" t="str">
        <f aca="false">IF($A176="","",IFERROR(VLOOKUP($C176,Dim_Fund!$A:$BD,56,0),""))</f>
        <v/>
      </c>
      <c r="BG176" s="10" t="str">
        <f aca="false">IF($A176="","",IFERROR(VLOOKUP($C176,Dim_Fund!$A:$BH,60,0),""))</f>
        <v/>
      </c>
      <c r="BH176" s="10" t="str">
        <f aca="false">IF($A176="","",IF($AI176&lt;&gt;"Yes","Not breached",IF($AM176="Yes","Pricing late",IF($BG176="Thin custody slack","Thin custody slack",IF($BF176="Yes","Broker-dependent","None of these")))))</f>
        <v/>
      </c>
      <c r="BI176" s="23" t="str">
        <f aca="false">IF($A176="","",IFERROR(IF(VLOOKUP($C176,Dim_Fund!$A:$AI,35,0)&gt;0,VLOOKUP($C176,Dim_Fund!$A:$AI,35,0),""),""))</f>
        <v/>
      </c>
      <c r="BJ176" s="10" t="str">
        <f aca="false">IF($A176="","",$C176&amp;IF($E176="Client","*",""))</f>
        <v/>
      </c>
      <c r="BK176" s="39" t="str">
        <f aca="false">IF($A176="","",IFERROR(ROUND(($Y176-$X176)*1440,0),""))</f>
        <v/>
      </c>
      <c r="BL176" s="39" t="str">
        <f aca="false">IF($A176="","",IF($AH176="","",-$AH176))</f>
        <v/>
      </c>
      <c r="BM176" s="46" t="str">
        <f aca="false">IF($A176="","",IF($AQ176="","",IF($AP176="",$AQ176,MIN($AP176,$AQ176))))</f>
        <v/>
      </c>
      <c r="BN176" s="46" t="str">
        <f aca="false">IF($A176="","",IF($BM176="","",ROUND(N($AC176)/60,4)))</f>
        <v/>
      </c>
      <c r="BO176" s="46" t="str">
        <f aca="false">IF($A176="","",IF(OR($BM176="",$AD176=""),"",ROUND($AD176/60,4)))</f>
        <v/>
      </c>
      <c r="BP176" s="46" t="str">
        <f aca="false">IF($A176="","",IF($BM176="","",ROUND(N($AE176)/60,4)))</f>
        <v/>
      </c>
      <c r="BQ176" s="46" t="str">
        <f aca="false">IF($A176="","",IF(OR($BM176="",$AF176=""),"",ROUND($AF176/60,4)))</f>
        <v/>
      </c>
      <c r="BR176" s="39" t="str">
        <f aca="false">IF($A176="","",IF($AC176="","",$AC176-$BD176-$BE176))</f>
        <v/>
      </c>
      <c r="BS176" s="45" t="str">
        <f aca="false">IF($A176="","",IF(AND(ISNUMBER($Z176),ISNUMBER($W176)),$Z176,0))</f>
        <v/>
      </c>
      <c r="BT176" s="45" t="str">
        <f aca="false">IF($A176="","",IF(ISNUMBER($W176),$W176,0))</f>
        <v/>
      </c>
      <c r="BU176" s="23" t="str">
        <f aca="false">IF($A176="","",IF(ISNUMBER($W176),ROUND(($W176-$B176)*24,4),""))</f>
        <v/>
      </c>
      <c r="BV176" s="23" t="str">
        <f aca="false">IF($A176="","",IF(ISNUMBER($X176),ROUND(($X176-$B176)*24,4),""))</f>
        <v/>
      </c>
      <c r="BW176" s="10" t="str">
        <f aca="false">IF($A176="","",IF(NOT(ISNUMBER($W176)),"Missing Calculated",IF(NOT(ISNUMBER($X176)),IF($E176="Client","Missing FA signed off","Missing Controlled"),IF($X176&lt;$W176,"End before start","OK"))))</f>
        <v/>
      </c>
      <c r="BX176" s="23" t="str">
        <f aca="false">IF($A176="","",IF(NOT(ISNUMBER($Z176)),"",ROUND((IF(ISNUMBER($U176),MIN($U176,$Z176),$Z176)-$B176)*24,4)))</f>
        <v/>
      </c>
      <c r="BY176" s="23" t="str">
        <f aca="false">IF($A176="","",IF(ISNUMBER($Z176),ROUND(($Z176-$B176)*24,4),""))</f>
        <v/>
      </c>
      <c r="BZ176" s="23" t="str">
        <f aca="false">IF($A176="","",IF(AND(ISNUMBER($W176),ISNUMBER($S176)),ROUND(($W176+$S176/1440-$B176)*24,4),""))</f>
        <v/>
      </c>
    </row>
    <row r="177" customFormat="false" ht="15" hidden="false" customHeight="true" outlineLevel="0" collapsed="false">
      <c r="A177" s="47"/>
      <c r="B177" s="47"/>
      <c r="D177" s="4" t="str">
        <f aca="false">IF($A177="","",$B177-$A177)</f>
        <v/>
      </c>
      <c r="E177" s="4" t="str">
        <f aca="false">IF($A177="","",IFERROR(VLOOKUP($C177,Dim_Fund!$A:$X,24,0),""))</f>
        <v/>
      </c>
      <c r="F177" s="37" t="str">
        <f aca="false">IF($A177="","",IF(COUNTIFS(Status_Log!$A:$A,$A177,Status_Log!$B:$B,$B177,Status_Log!$C:$C,$C177,Status_Log!$D:$D,"Changed to the status of Calculated")=0,"",_xlfn.MINIFS(Status_Log!$E:$E,Status_Log!$A:$A,$A177,Status_Log!$B:$B,$B177,Status_Log!$C:$C,$C177,Status_Log!$D:$D,"Changed to the status of Calculated")))</f>
        <v/>
      </c>
      <c r="G177" s="37" t="str">
        <f aca="false">IF($A177="","",IF(COUNTIFS(Status_Log!$A:$A,$A177,Status_Log!$B:$B,$B177,Status_Log!$C:$C,$C177,Status_Log!$D:$D,"Changed to the status of Controlled")=0,"",_xlfn.MAXIFS(Status_Log!$E:$E,Status_Log!$A:$A,$A177,Status_Log!$B:$B,$B177,Status_Log!$C:$C,$C177,Status_Log!$D:$D,"Changed to the status of Controlled")))</f>
        <v/>
      </c>
      <c r="H177" s="37" t="str">
        <f aca="false">IF($A177="","",IF(COUNTIFS(Status_Log!$A:$A,$A177,Status_Log!$B:$B,$B177,Status_Log!$C:$C,$C177,Status_Log!$D:$D,"Changed to the status of Fund accounting signed off")=0,"",_xlfn.MAXIFS(Status_Log!$E:$E,Status_Log!$A:$A,$A177,Status_Log!$B:$B,$B177,Status_Log!$C:$C,$C177,Status_Log!$D:$D,"Changed to the status of Fund accounting signed off")))</f>
        <v/>
      </c>
      <c r="I177" s="37" t="str">
        <f aca="false">IF($A177="","",IF(COUNTIFS(Status_Log!$A:$A,$A177,Status_Log!$B:$B,$B177,Status_Log!$C:$C,$C177,Status_Log!$D:$D,"Changed to the status of signed off")=0,"",_xlfn.MAXIFS(Status_Log!$E:$E,Status_Log!$A:$A,$A177,Status_Log!$B:$B,$B177,Status_Log!$C:$C,$C177,Status_Log!$D:$D,"Changed to the status of signed off")))</f>
        <v/>
      </c>
      <c r="J177" s="4" t="str">
        <f aca="false">IF($A177="","",COUNTIFS(Status_Log!$A:$A,$A177,Status_Log!$B:$B,$B177,Status_Log!$C:$C,$C177,Status_Log!$D:$D,"Changed to the status of Calculated"))</f>
        <v/>
      </c>
      <c r="K177" s="38" t="str">
        <f aca="false">IF($A177="","",IF(J177&lt;=1,0,ROUND((_xlfn.MAXIFS(Status_Log!$E:$E,Status_Log!$A:$A,$A177,Status_Log!$B:$B,$B177,Status_Log!$C:$C,$C177,Status_Log!$D:$D,"Changed to the status of Calculated")-F177)*1440,0)))</f>
        <v/>
      </c>
      <c r="L177" s="4" t="str">
        <f aca="false">IF($A177="","",IFERROR(INDEX(Status_Log!$F:$F,MATCH($A177&amp;"|"&amp;$B177&amp;"|"&amp;$C177&amp;"|Changed to the status of Calculated|"&amp;TEXT(_xlfn.MAXIFS(Status_Log!$E:$E,Status_Log!$A:$A,$A177,Status_Log!$B:$B,$B177,Status_Log!$C:$C,$C177,Status_Log!$D:$D,"Changed to the status of Calculated"),"0.000000"),Status_Log!$H:$H,0)),""))</f>
        <v/>
      </c>
      <c r="M177" s="4" t="str">
        <f aca="false">IF($A177="","",IF(E177="Client","n/a — no control step",IFERROR(INDEX(Status_Log!$F:$F,MATCH($A177&amp;"|"&amp;$B177&amp;"|"&amp;$C177&amp;"|Changed to the status of Controlled|"&amp;TEXT(_xlfn.MAXIFS(Status_Log!$E:$E,Status_Log!$A:$A,$A177,Status_Log!$B:$B,$B177,Status_Log!$C:$C,$C177,Status_Log!$D:$D,"Changed to the status of Controlled"),"0.000000"),Status_Log!$H:$H,0)),"")))</f>
        <v/>
      </c>
      <c r="N177" s="4" t="str">
        <f aca="false">IF($A177="","",IFERROR(VLOOKUP($C177,Dim_Fund!$A:$G,7,0),""))</f>
        <v/>
      </c>
      <c r="O177" s="4" t="str">
        <f aca="false">IF($A177="","",IF(L177=N177,"No","Yes"))</f>
        <v/>
      </c>
      <c r="P177" s="4" t="str">
        <f aca="false">IF($A177="","",IF(E177="Client","n/a",IF(L177=M177,"YES — four-eyes breach","No")))</f>
        <v/>
      </c>
      <c r="Q177" s="38" t="str">
        <f aca="false">IF($A177="","",IFERROR(VLOOKUP($C177,Dim_Fund!$A:$AB,28,0),""))</f>
        <v/>
      </c>
      <c r="R177" s="38" t="str">
        <f aca="false">IF($A177="","",IFERROR(VLOOKUP($C177,Dim_Fund!$A:$AC,29,0),""))</f>
        <v/>
      </c>
      <c r="S177" s="38" t="str">
        <f aca="false">IF($A177="","",IFERROR(VLOOKUP($C177,Dim_Fund!$A:$AD,30,0),""))</f>
        <v/>
      </c>
      <c r="T177" s="38" t="str">
        <f aca="false">IF($A177="","",IFERROR(VLOOKUP($C177,Dim_Fund!$A:$AL,38,0),""))</f>
        <v/>
      </c>
      <c r="U177" s="37" t="str">
        <f aca="false">IF($A177="","",IF(AL177="","",IFERROR(IF(COUNTIFS(Fact_Milestone!$A:$A,$B177,Fact_Milestone!$B:$B,AL177)=0,"",_xlfn.MAXIFS(Fact_Milestone!$C:$C,Fact_Milestone!$A:$A,$B177,Fact_Milestone!$B:$B,AL177)),"")))</f>
        <v/>
      </c>
      <c r="V177" s="37" t="str">
        <f aca="false">IF($A177="","",IFERROR(IF(VLOOKUP($C177,Dim_Fund!$A:$AI,35,0)&gt;0,$B177+VLOOKUP($C177,Dim_Fund!$A:$AI,35,0)/24,""),""))</f>
        <v/>
      </c>
      <c r="W177" s="37" t="str">
        <f aca="false">IF($A177="","",F177)</f>
        <v/>
      </c>
      <c r="X177" s="37" t="str">
        <f aca="false">IF($A177="","",IF(E177="Client",H177,G177))</f>
        <v/>
      </c>
      <c r="Y177" s="37" t="str">
        <f aca="false">IF($A177="","",I177)</f>
        <v/>
      </c>
      <c r="Z177" s="37" t="str">
        <f aca="false">IF($A177="","",IFERROR(W177-R177/1440,""))</f>
        <v/>
      </c>
      <c r="AA177" s="38" t="str">
        <f aca="false">IF($A177="","",IF(OR(U177="",V177=""),"",ROUND((V177-U177)*1440,0)))</f>
        <v/>
      </c>
      <c r="AB177" s="38" t="str">
        <f aca="false">IF($A177="","",IF(U177="","",ROUND((W177-U177)*1440,0)))</f>
        <v/>
      </c>
      <c r="AC177" s="38" t="str">
        <f aca="false">IF($A177="","",IF(AB177="","",MAX(0,AB177)))</f>
        <v/>
      </c>
      <c r="AD177" s="38" t="str">
        <f aca="false">IF($A177="","",IFERROR(ROUND((X177-W177)*1440,0),""))</f>
        <v/>
      </c>
      <c r="AE177" s="38" t="str">
        <f aca="false">IF($A177="","",IF(E177="Client","n/a",IFERROR(ROUND((H177-G177)*1440,0),"")))</f>
        <v/>
      </c>
      <c r="AF177" s="38" t="str">
        <f aca="false">IF($A177="","",IFERROR(ROUND((Y177-H177)*1440,0),""))</f>
        <v/>
      </c>
      <c r="AG177" s="38" t="str">
        <f aca="false">IF($A177="","",IFERROR(ROUND((H177-F177)*1440,0),""))</f>
        <v/>
      </c>
      <c r="AH177" s="38" t="str">
        <f aca="false">IF($A177="","",IFERROR(ROUND((Y177-V177)*1440,0),""))</f>
        <v/>
      </c>
      <c r="AI177" s="4" t="str">
        <f aca="false">IF($A177="","",IF(AH177="","",IF(AH177&gt;0,"Yes","No")))</f>
        <v/>
      </c>
      <c r="AJ177" s="4" t="str">
        <f aca="false">IF($A177="","",IF(AI177&lt;&gt;"Yes","On time",IF(N(AC177)&gt;=MAX(N(AF177),N(K177)),"Wait for analyst",IF(N(AF177)&gt;=N(K177),"External sign-off","Rework"))))</f>
        <v/>
      </c>
      <c r="AK177" s="4" t="str">
        <f aca="false">IF($A177="","",IF(OR(F177="",Y177="",ISNA(MATCH(L177,Dim_Analyst!$A:$A,0))),"CHECK","OK"))</f>
        <v/>
      </c>
      <c r="AL177" s="4" t="str">
        <f aca="false">IF($A177="","",IFERROR(VLOOKUP($C177,Dim_Fund!$A:$U,21,0),""))</f>
        <v/>
      </c>
      <c r="AM177" s="4" t="str">
        <f aca="false">IF($A177="","",IF($U177="","",IF($U177&gt;$B177+IFERROR(VLOOKUP($C177,Dim_Fund!$A:$AH,34,0),0)/24,"Yes","No")))</f>
        <v/>
      </c>
      <c r="AN177" s="22" t="str">
        <f aca="false">IF($A177="","",IFERROR(VLOOKUP($C177,Dim_Fund!$A:$AH,34,0),""))</f>
        <v/>
      </c>
      <c r="AO177" s="22" t="str">
        <f aca="false">IF($A177="","",IF($AL177="","",IFERROR(FLOOR(IF(COUNTIFS(Fact_Milestone!$A:$A,$B177,Fact_Milestone!$B:$B,$AL177,Fact_Milestone!$F:$F,"&gt;0")&gt;0,_xlfn.MINIFS(Fact_Milestone!$F:$F,Fact_Milestone!$A:$A,$B177,Fact_Milestone!$B:$B,$AL177,Fact_Milestone!$F:$F,"&gt;0"),VLOOKUP($AL177,Dim_TOP!$A:$E,5,0)),0.5),"")))</f>
        <v/>
      </c>
      <c r="AP177" s="22" t="str">
        <f aca="false">IF($A177="","",IF($U177="","",ROUND(($U177-INT($U177))*24,4)))</f>
        <v/>
      </c>
      <c r="AQ177" s="22" t="str">
        <f aca="false">IF($A177="","",IF($W177="","",ROUND(($W177-INT($W177))*24,4)))</f>
        <v/>
      </c>
      <c r="AR177" s="22" t="str">
        <f aca="false">IF($A177="","",IF($X177="","",ROUND(($X177-INT($X177))*24,4)))</f>
        <v/>
      </c>
      <c r="AS177" s="38" t="str">
        <f aca="false">IF($A177="","",IF(OR($AN177="",$V177="",$S177="",$T177=""),"",ROUND(($V177-($B177+$AN177/24))*1440-$S177-$T177,0)))</f>
        <v/>
      </c>
      <c r="AT177" s="38" t="str">
        <f aca="false">IF($A177="","",IF(OR($AN177="",$U177=""),"",ROUND(($U177-($B177+$AN177/24))*1440,0)))</f>
        <v/>
      </c>
      <c r="AU177" s="38" t="str">
        <f aca="false">IF($A177="","",IF(OR($AD177="",$S177=""),"",ROUND($AD177-$S177,0)))</f>
        <v/>
      </c>
      <c r="AV177" s="38" t="str">
        <f aca="false">IF($A177="","",N($AE177))</f>
        <v/>
      </c>
      <c r="AW177" s="38" t="str">
        <f aca="false">IF($A177="","",IF(OR($AF177="",$T177=""),"",$AF177-$T177))</f>
        <v/>
      </c>
      <c r="AX177" s="38" t="str">
        <f aca="false">IF($A177="","",IF(COUNT($AT177,$AB177,$AU177,$AW177,$AS177,$AH177)&lt;6,"",ROUND($AT177+$AB177+$AU177+$AV177+$AW177-$AS177-$AH177,0)))</f>
        <v/>
      </c>
      <c r="AY177" s="4" t="str">
        <f aca="false">IF($A177="","",IF($AX177="","No",IF(ABS($AX177)&lt;=2,"Yes","No")))</f>
        <v/>
      </c>
      <c r="AZ177" s="4" t="str">
        <f aca="false">IF($A177="","",IF($AI177&lt;&gt;"Yes","n/a",IF(OR($AA177="",$S177="",$T177=""),"Unknown",IF($AA177&lt;$S177+$T177,"Lost on arrival","Lost after arrival"))))</f>
        <v/>
      </c>
      <c r="BA177" s="10" t="str">
        <f aca="false">IF($A177="","",IFERROR(VLOOKUP($C177,Dim_Fund!$A:$D,4,0),""))</f>
        <v/>
      </c>
      <c r="BB177" s="10" t="str">
        <f aca="false">IF($A177="","",IF($AL177="","",IF(COUNTIFS(Fact_Milestone!$A:$A,$B177,Fact_Milestone!$B:$B,$AL177,Fact_Milestone!$I:$I,"No")&gt;0,"No",IF(COUNTIFS(Fact_Milestone!$A:$A,$B177,Fact_Milestone!$B:$B,$AL177,Fact_Milestone!$I:$I,"Yes")&gt;0,"Yes",""))))</f>
        <v/>
      </c>
      <c r="BC177" s="45" t="str">
        <f aca="false">IF($A177="","",IF(OR($L177="",$W177=""),"",IF(COUNTIFS($L:$L,$L177,$B:$B,$B177,$W:$W,"&lt;"&amp;$W177)=0,"",_xlfn.MAXIFS($W:$W,$L:$L,$L177,$B:$B,$B177,$W:$W,"&lt;"&amp;$W177))))</f>
        <v/>
      </c>
      <c r="BD177" s="39" t="str">
        <f aca="false">IF($A177="","",IF($AC177="","",IF(OR($L177="",$AC177=0),0,MIN($AC177,ROUND(ROUND(1440*SUMPRODUCT(($L$2:INDEX($L:$L,COUNTA($C:$C))=$L177)*($B$2:INDEX($B:$B,COUNTA($C:$C))=$B177)*(ROW($L$2:INDEX($L:$L,COUNTA($C:$C)))&lt;&gt;ROW())*((((($W177+$BT$2:INDEX($BT:$BT,COUNTA($C:$C))-ABS($W177-$BT$2:INDEX($BT:$BT,COUNTA($C:$C))))/2)-(($U177+$BS$2:INDEX($BS:$BS,COUNTA($C:$C))+ABS($U177-$BS$2:INDEX($BS:$BS,COUNTA($C:$C))))/2))+ABS(((($W177+$BT$2:INDEX($BT:$BT,COUNTA($C:$C))-ABS($W177-$BT$2:INDEX($BT:$BT,COUNTA($C:$C))))/2)-(($U177+$BS$2:INDEX($BS:$BS,COUNTA($C:$C))+ABS($U177-$BS$2:INDEX($BS:$BS,COUNTA($C:$C))))/2))))/2)),4),0)))))</f>
        <v/>
      </c>
      <c r="BE177" s="39" t="str">
        <f aca="false">IF($A177="","",IF($AC177="","",ROUND(MIN($AC177-$BD177,N($R177)),0)))</f>
        <v/>
      </c>
      <c r="BF177" s="10" t="str">
        <f aca="false">IF($A177="","",IFERROR(VLOOKUP($C177,Dim_Fund!$A:$BD,56,0),""))</f>
        <v/>
      </c>
      <c r="BG177" s="10" t="str">
        <f aca="false">IF($A177="","",IFERROR(VLOOKUP($C177,Dim_Fund!$A:$BH,60,0),""))</f>
        <v/>
      </c>
      <c r="BH177" s="10" t="str">
        <f aca="false">IF($A177="","",IF($AI177&lt;&gt;"Yes","Not breached",IF($AM177="Yes","Pricing late",IF($BG177="Thin custody slack","Thin custody slack",IF($BF177="Yes","Broker-dependent","None of these")))))</f>
        <v/>
      </c>
      <c r="BI177" s="23" t="str">
        <f aca="false">IF($A177="","",IFERROR(IF(VLOOKUP($C177,Dim_Fund!$A:$AI,35,0)&gt;0,VLOOKUP($C177,Dim_Fund!$A:$AI,35,0),""),""))</f>
        <v/>
      </c>
      <c r="BJ177" s="10" t="str">
        <f aca="false">IF($A177="","",$C177&amp;IF($E177="Client","*",""))</f>
        <v/>
      </c>
      <c r="BK177" s="39" t="str">
        <f aca="false">IF($A177="","",IFERROR(ROUND(($Y177-$X177)*1440,0),""))</f>
        <v/>
      </c>
      <c r="BL177" s="39" t="str">
        <f aca="false">IF($A177="","",IF($AH177="","",-$AH177))</f>
        <v/>
      </c>
      <c r="BM177" s="46" t="str">
        <f aca="false">IF($A177="","",IF($AQ177="","",IF($AP177="",$AQ177,MIN($AP177,$AQ177))))</f>
        <v/>
      </c>
      <c r="BN177" s="46" t="str">
        <f aca="false">IF($A177="","",IF($BM177="","",ROUND(N($AC177)/60,4)))</f>
        <v/>
      </c>
      <c r="BO177" s="46" t="str">
        <f aca="false">IF($A177="","",IF(OR($BM177="",$AD177=""),"",ROUND($AD177/60,4)))</f>
        <v/>
      </c>
      <c r="BP177" s="46" t="str">
        <f aca="false">IF($A177="","",IF($BM177="","",ROUND(N($AE177)/60,4)))</f>
        <v/>
      </c>
      <c r="BQ177" s="46" t="str">
        <f aca="false">IF($A177="","",IF(OR($BM177="",$AF177=""),"",ROUND($AF177/60,4)))</f>
        <v/>
      </c>
      <c r="BR177" s="39" t="str">
        <f aca="false">IF($A177="","",IF($AC177="","",$AC177-$BD177-$BE177))</f>
        <v/>
      </c>
      <c r="BS177" s="45" t="str">
        <f aca="false">IF($A177="","",IF(AND(ISNUMBER($Z177),ISNUMBER($W177)),$Z177,0))</f>
        <v/>
      </c>
      <c r="BT177" s="45" t="str">
        <f aca="false">IF($A177="","",IF(ISNUMBER($W177),$W177,0))</f>
        <v/>
      </c>
      <c r="BU177" s="23" t="str">
        <f aca="false">IF($A177="","",IF(ISNUMBER($W177),ROUND(($W177-$B177)*24,4),""))</f>
        <v/>
      </c>
      <c r="BV177" s="23" t="str">
        <f aca="false">IF($A177="","",IF(ISNUMBER($X177),ROUND(($X177-$B177)*24,4),""))</f>
        <v/>
      </c>
      <c r="BW177" s="10" t="str">
        <f aca="false">IF($A177="","",IF(NOT(ISNUMBER($W177)),"Missing Calculated",IF(NOT(ISNUMBER($X177)),IF($E177="Client","Missing FA signed off","Missing Controlled"),IF($X177&lt;$W177,"End before start","OK"))))</f>
        <v/>
      </c>
      <c r="BX177" s="23" t="str">
        <f aca="false">IF($A177="","",IF(NOT(ISNUMBER($Z177)),"",ROUND((IF(ISNUMBER($U177),MIN($U177,$Z177),$Z177)-$B177)*24,4)))</f>
        <v/>
      </c>
      <c r="BY177" s="23" t="str">
        <f aca="false">IF($A177="","",IF(ISNUMBER($Z177),ROUND(($Z177-$B177)*24,4),""))</f>
        <v/>
      </c>
      <c r="BZ177" s="23" t="str">
        <f aca="false">IF($A177="","",IF(AND(ISNUMBER($W177),ISNUMBER($S177)),ROUND(($W177+$S177/1440-$B177)*24,4),""))</f>
        <v/>
      </c>
    </row>
    <row r="178" customFormat="false" ht="15" hidden="false" customHeight="true" outlineLevel="0" collapsed="false">
      <c r="A178" s="47"/>
      <c r="B178" s="47"/>
      <c r="D178" s="4" t="str">
        <f aca="false">IF($A178="","",$B178-$A178)</f>
        <v/>
      </c>
      <c r="E178" s="4" t="str">
        <f aca="false">IF($A178="","",IFERROR(VLOOKUP($C178,Dim_Fund!$A:$X,24,0),""))</f>
        <v/>
      </c>
      <c r="F178" s="37" t="str">
        <f aca="false">IF($A178="","",IF(COUNTIFS(Status_Log!$A:$A,$A178,Status_Log!$B:$B,$B178,Status_Log!$C:$C,$C178,Status_Log!$D:$D,"Changed to the status of Calculated")=0,"",_xlfn.MINIFS(Status_Log!$E:$E,Status_Log!$A:$A,$A178,Status_Log!$B:$B,$B178,Status_Log!$C:$C,$C178,Status_Log!$D:$D,"Changed to the status of Calculated")))</f>
        <v/>
      </c>
      <c r="G178" s="37" t="str">
        <f aca="false">IF($A178="","",IF(COUNTIFS(Status_Log!$A:$A,$A178,Status_Log!$B:$B,$B178,Status_Log!$C:$C,$C178,Status_Log!$D:$D,"Changed to the status of Controlled")=0,"",_xlfn.MAXIFS(Status_Log!$E:$E,Status_Log!$A:$A,$A178,Status_Log!$B:$B,$B178,Status_Log!$C:$C,$C178,Status_Log!$D:$D,"Changed to the status of Controlled")))</f>
        <v/>
      </c>
      <c r="H178" s="37" t="str">
        <f aca="false">IF($A178="","",IF(COUNTIFS(Status_Log!$A:$A,$A178,Status_Log!$B:$B,$B178,Status_Log!$C:$C,$C178,Status_Log!$D:$D,"Changed to the status of Fund accounting signed off")=0,"",_xlfn.MAXIFS(Status_Log!$E:$E,Status_Log!$A:$A,$A178,Status_Log!$B:$B,$B178,Status_Log!$C:$C,$C178,Status_Log!$D:$D,"Changed to the status of Fund accounting signed off")))</f>
        <v/>
      </c>
      <c r="I178" s="37" t="str">
        <f aca="false">IF($A178="","",IF(COUNTIFS(Status_Log!$A:$A,$A178,Status_Log!$B:$B,$B178,Status_Log!$C:$C,$C178,Status_Log!$D:$D,"Changed to the status of signed off")=0,"",_xlfn.MAXIFS(Status_Log!$E:$E,Status_Log!$A:$A,$A178,Status_Log!$B:$B,$B178,Status_Log!$C:$C,$C178,Status_Log!$D:$D,"Changed to the status of signed off")))</f>
        <v/>
      </c>
      <c r="J178" s="4" t="str">
        <f aca="false">IF($A178="","",COUNTIFS(Status_Log!$A:$A,$A178,Status_Log!$B:$B,$B178,Status_Log!$C:$C,$C178,Status_Log!$D:$D,"Changed to the status of Calculated"))</f>
        <v/>
      </c>
      <c r="K178" s="38" t="str">
        <f aca="false">IF($A178="","",IF(J178&lt;=1,0,ROUND((_xlfn.MAXIFS(Status_Log!$E:$E,Status_Log!$A:$A,$A178,Status_Log!$B:$B,$B178,Status_Log!$C:$C,$C178,Status_Log!$D:$D,"Changed to the status of Calculated")-F178)*1440,0)))</f>
        <v/>
      </c>
      <c r="L178" s="4" t="str">
        <f aca="false">IF($A178="","",IFERROR(INDEX(Status_Log!$F:$F,MATCH($A178&amp;"|"&amp;$B178&amp;"|"&amp;$C178&amp;"|Changed to the status of Calculated|"&amp;TEXT(_xlfn.MAXIFS(Status_Log!$E:$E,Status_Log!$A:$A,$A178,Status_Log!$B:$B,$B178,Status_Log!$C:$C,$C178,Status_Log!$D:$D,"Changed to the status of Calculated"),"0.000000"),Status_Log!$H:$H,0)),""))</f>
        <v/>
      </c>
      <c r="M178" s="4" t="str">
        <f aca="false">IF($A178="","",IF(E178="Client","n/a — no control step",IFERROR(INDEX(Status_Log!$F:$F,MATCH($A178&amp;"|"&amp;$B178&amp;"|"&amp;$C178&amp;"|Changed to the status of Controlled|"&amp;TEXT(_xlfn.MAXIFS(Status_Log!$E:$E,Status_Log!$A:$A,$A178,Status_Log!$B:$B,$B178,Status_Log!$C:$C,$C178,Status_Log!$D:$D,"Changed to the status of Controlled"),"0.000000"),Status_Log!$H:$H,0)),"")))</f>
        <v/>
      </c>
      <c r="N178" s="4" t="str">
        <f aca="false">IF($A178="","",IFERROR(VLOOKUP($C178,Dim_Fund!$A:$G,7,0),""))</f>
        <v/>
      </c>
      <c r="O178" s="4" t="str">
        <f aca="false">IF($A178="","",IF(L178=N178,"No","Yes"))</f>
        <v/>
      </c>
      <c r="P178" s="4" t="str">
        <f aca="false">IF($A178="","",IF(E178="Client","n/a",IF(L178=M178,"YES — four-eyes breach","No")))</f>
        <v/>
      </c>
      <c r="Q178" s="38" t="str">
        <f aca="false">IF($A178="","",IFERROR(VLOOKUP($C178,Dim_Fund!$A:$AB,28,0),""))</f>
        <v/>
      </c>
      <c r="R178" s="38" t="str">
        <f aca="false">IF($A178="","",IFERROR(VLOOKUP($C178,Dim_Fund!$A:$AC,29,0),""))</f>
        <v/>
      </c>
      <c r="S178" s="38" t="str">
        <f aca="false">IF($A178="","",IFERROR(VLOOKUP($C178,Dim_Fund!$A:$AD,30,0),""))</f>
        <v/>
      </c>
      <c r="T178" s="38" t="str">
        <f aca="false">IF($A178="","",IFERROR(VLOOKUP($C178,Dim_Fund!$A:$AL,38,0),""))</f>
        <v/>
      </c>
      <c r="U178" s="37" t="str">
        <f aca="false">IF($A178="","",IF(AL178="","",IFERROR(IF(COUNTIFS(Fact_Milestone!$A:$A,$B178,Fact_Milestone!$B:$B,AL178)=0,"",_xlfn.MAXIFS(Fact_Milestone!$C:$C,Fact_Milestone!$A:$A,$B178,Fact_Milestone!$B:$B,AL178)),"")))</f>
        <v/>
      </c>
      <c r="V178" s="37" t="str">
        <f aca="false">IF($A178="","",IFERROR(IF(VLOOKUP($C178,Dim_Fund!$A:$AI,35,0)&gt;0,$B178+VLOOKUP($C178,Dim_Fund!$A:$AI,35,0)/24,""),""))</f>
        <v/>
      </c>
      <c r="W178" s="37" t="str">
        <f aca="false">IF($A178="","",F178)</f>
        <v/>
      </c>
      <c r="X178" s="37" t="str">
        <f aca="false">IF($A178="","",IF(E178="Client",H178,G178))</f>
        <v/>
      </c>
      <c r="Y178" s="37" t="str">
        <f aca="false">IF($A178="","",I178)</f>
        <v/>
      </c>
      <c r="Z178" s="37" t="str">
        <f aca="false">IF($A178="","",IFERROR(W178-R178/1440,""))</f>
        <v/>
      </c>
      <c r="AA178" s="38" t="str">
        <f aca="false">IF($A178="","",IF(OR(U178="",V178=""),"",ROUND((V178-U178)*1440,0)))</f>
        <v/>
      </c>
      <c r="AB178" s="38" t="str">
        <f aca="false">IF($A178="","",IF(U178="","",ROUND((W178-U178)*1440,0)))</f>
        <v/>
      </c>
      <c r="AC178" s="38" t="str">
        <f aca="false">IF($A178="","",IF(AB178="","",MAX(0,AB178)))</f>
        <v/>
      </c>
      <c r="AD178" s="38" t="str">
        <f aca="false">IF($A178="","",IFERROR(ROUND((X178-W178)*1440,0),""))</f>
        <v/>
      </c>
      <c r="AE178" s="38" t="str">
        <f aca="false">IF($A178="","",IF(E178="Client","n/a",IFERROR(ROUND((H178-G178)*1440,0),"")))</f>
        <v/>
      </c>
      <c r="AF178" s="38" t="str">
        <f aca="false">IF($A178="","",IFERROR(ROUND((Y178-H178)*1440,0),""))</f>
        <v/>
      </c>
      <c r="AG178" s="38" t="str">
        <f aca="false">IF($A178="","",IFERROR(ROUND((H178-F178)*1440,0),""))</f>
        <v/>
      </c>
      <c r="AH178" s="38" t="str">
        <f aca="false">IF($A178="","",IFERROR(ROUND((Y178-V178)*1440,0),""))</f>
        <v/>
      </c>
      <c r="AI178" s="4" t="str">
        <f aca="false">IF($A178="","",IF(AH178="","",IF(AH178&gt;0,"Yes","No")))</f>
        <v/>
      </c>
      <c r="AJ178" s="4" t="str">
        <f aca="false">IF($A178="","",IF(AI178&lt;&gt;"Yes","On time",IF(N(AC178)&gt;=MAX(N(AF178),N(K178)),"Wait for analyst",IF(N(AF178)&gt;=N(K178),"External sign-off","Rework"))))</f>
        <v/>
      </c>
      <c r="AK178" s="4" t="str">
        <f aca="false">IF($A178="","",IF(OR(F178="",Y178="",ISNA(MATCH(L178,Dim_Analyst!$A:$A,0))),"CHECK","OK"))</f>
        <v/>
      </c>
      <c r="AL178" s="4" t="str">
        <f aca="false">IF($A178="","",IFERROR(VLOOKUP($C178,Dim_Fund!$A:$U,21,0),""))</f>
        <v/>
      </c>
      <c r="AM178" s="4" t="str">
        <f aca="false">IF($A178="","",IF($U178="","",IF($U178&gt;$B178+IFERROR(VLOOKUP($C178,Dim_Fund!$A:$AH,34,0),0)/24,"Yes","No")))</f>
        <v/>
      </c>
      <c r="AN178" s="22" t="str">
        <f aca="false">IF($A178="","",IFERROR(VLOOKUP($C178,Dim_Fund!$A:$AH,34,0),""))</f>
        <v/>
      </c>
      <c r="AO178" s="22" t="str">
        <f aca="false">IF($A178="","",IF($AL178="","",IFERROR(FLOOR(IF(COUNTIFS(Fact_Milestone!$A:$A,$B178,Fact_Milestone!$B:$B,$AL178,Fact_Milestone!$F:$F,"&gt;0")&gt;0,_xlfn.MINIFS(Fact_Milestone!$F:$F,Fact_Milestone!$A:$A,$B178,Fact_Milestone!$B:$B,$AL178,Fact_Milestone!$F:$F,"&gt;0"),VLOOKUP($AL178,Dim_TOP!$A:$E,5,0)),0.5),"")))</f>
        <v/>
      </c>
      <c r="AP178" s="22" t="str">
        <f aca="false">IF($A178="","",IF($U178="","",ROUND(($U178-INT($U178))*24,4)))</f>
        <v/>
      </c>
      <c r="AQ178" s="22" t="str">
        <f aca="false">IF($A178="","",IF($W178="","",ROUND(($W178-INT($W178))*24,4)))</f>
        <v/>
      </c>
      <c r="AR178" s="22" t="str">
        <f aca="false">IF($A178="","",IF($X178="","",ROUND(($X178-INT($X178))*24,4)))</f>
        <v/>
      </c>
      <c r="AS178" s="38" t="str">
        <f aca="false">IF($A178="","",IF(OR($AN178="",$V178="",$S178="",$T178=""),"",ROUND(($V178-($B178+$AN178/24))*1440-$S178-$T178,0)))</f>
        <v/>
      </c>
      <c r="AT178" s="38" t="str">
        <f aca="false">IF($A178="","",IF(OR($AN178="",$U178=""),"",ROUND(($U178-($B178+$AN178/24))*1440,0)))</f>
        <v/>
      </c>
      <c r="AU178" s="38" t="str">
        <f aca="false">IF($A178="","",IF(OR($AD178="",$S178=""),"",ROUND($AD178-$S178,0)))</f>
        <v/>
      </c>
      <c r="AV178" s="38" t="str">
        <f aca="false">IF($A178="","",N($AE178))</f>
        <v/>
      </c>
      <c r="AW178" s="38" t="str">
        <f aca="false">IF($A178="","",IF(OR($AF178="",$T178=""),"",$AF178-$T178))</f>
        <v/>
      </c>
      <c r="AX178" s="38" t="str">
        <f aca="false">IF($A178="","",IF(COUNT($AT178,$AB178,$AU178,$AW178,$AS178,$AH178)&lt;6,"",ROUND($AT178+$AB178+$AU178+$AV178+$AW178-$AS178-$AH178,0)))</f>
        <v/>
      </c>
      <c r="AY178" s="4" t="str">
        <f aca="false">IF($A178="","",IF($AX178="","No",IF(ABS($AX178)&lt;=2,"Yes","No")))</f>
        <v/>
      </c>
      <c r="AZ178" s="4" t="str">
        <f aca="false">IF($A178="","",IF($AI178&lt;&gt;"Yes","n/a",IF(OR($AA178="",$S178="",$T178=""),"Unknown",IF($AA178&lt;$S178+$T178,"Lost on arrival","Lost after arrival"))))</f>
        <v/>
      </c>
      <c r="BA178" s="10" t="str">
        <f aca="false">IF($A178="","",IFERROR(VLOOKUP($C178,Dim_Fund!$A:$D,4,0),""))</f>
        <v/>
      </c>
      <c r="BB178" s="10" t="str">
        <f aca="false">IF($A178="","",IF($AL178="","",IF(COUNTIFS(Fact_Milestone!$A:$A,$B178,Fact_Milestone!$B:$B,$AL178,Fact_Milestone!$I:$I,"No")&gt;0,"No",IF(COUNTIFS(Fact_Milestone!$A:$A,$B178,Fact_Milestone!$B:$B,$AL178,Fact_Milestone!$I:$I,"Yes")&gt;0,"Yes",""))))</f>
        <v/>
      </c>
      <c r="BC178" s="45" t="str">
        <f aca="false">IF($A178="","",IF(OR($L178="",$W178=""),"",IF(COUNTIFS($L:$L,$L178,$B:$B,$B178,$W:$W,"&lt;"&amp;$W178)=0,"",_xlfn.MAXIFS($W:$W,$L:$L,$L178,$B:$B,$B178,$W:$W,"&lt;"&amp;$W178))))</f>
        <v/>
      </c>
      <c r="BD178" s="39" t="str">
        <f aca="false">IF($A178="","",IF($AC178="","",IF(OR($L178="",$AC178=0),0,MIN($AC178,ROUND(ROUND(1440*SUMPRODUCT(($L$2:INDEX($L:$L,COUNTA($C:$C))=$L178)*($B$2:INDEX($B:$B,COUNTA($C:$C))=$B178)*(ROW($L$2:INDEX($L:$L,COUNTA($C:$C)))&lt;&gt;ROW())*((((($W178+$BT$2:INDEX($BT:$BT,COUNTA($C:$C))-ABS($W178-$BT$2:INDEX($BT:$BT,COUNTA($C:$C))))/2)-(($U178+$BS$2:INDEX($BS:$BS,COUNTA($C:$C))+ABS($U178-$BS$2:INDEX($BS:$BS,COUNTA($C:$C))))/2))+ABS(((($W178+$BT$2:INDEX($BT:$BT,COUNTA($C:$C))-ABS($W178-$BT$2:INDEX($BT:$BT,COUNTA($C:$C))))/2)-(($U178+$BS$2:INDEX($BS:$BS,COUNTA($C:$C))+ABS($U178-$BS$2:INDEX($BS:$BS,COUNTA($C:$C))))/2))))/2)),4),0)))))</f>
        <v/>
      </c>
      <c r="BE178" s="39" t="str">
        <f aca="false">IF($A178="","",IF($AC178="","",ROUND(MIN($AC178-$BD178,N($R178)),0)))</f>
        <v/>
      </c>
      <c r="BF178" s="10" t="str">
        <f aca="false">IF($A178="","",IFERROR(VLOOKUP($C178,Dim_Fund!$A:$BD,56,0),""))</f>
        <v/>
      </c>
      <c r="BG178" s="10" t="str">
        <f aca="false">IF($A178="","",IFERROR(VLOOKUP($C178,Dim_Fund!$A:$BH,60,0),""))</f>
        <v/>
      </c>
      <c r="BH178" s="10" t="str">
        <f aca="false">IF($A178="","",IF($AI178&lt;&gt;"Yes","Not breached",IF($AM178="Yes","Pricing late",IF($BG178="Thin custody slack","Thin custody slack",IF($BF178="Yes","Broker-dependent","None of these")))))</f>
        <v/>
      </c>
      <c r="BI178" s="23" t="str">
        <f aca="false">IF($A178="","",IFERROR(IF(VLOOKUP($C178,Dim_Fund!$A:$AI,35,0)&gt;0,VLOOKUP($C178,Dim_Fund!$A:$AI,35,0),""),""))</f>
        <v/>
      </c>
      <c r="BJ178" s="10" t="str">
        <f aca="false">IF($A178="","",$C178&amp;IF($E178="Client","*",""))</f>
        <v/>
      </c>
      <c r="BK178" s="39" t="str">
        <f aca="false">IF($A178="","",IFERROR(ROUND(($Y178-$X178)*1440,0),""))</f>
        <v/>
      </c>
      <c r="BL178" s="39" t="str">
        <f aca="false">IF($A178="","",IF($AH178="","",-$AH178))</f>
        <v/>
      </c>
      <c r="BM178" s="46" t="str">
        <f aca="false">IF($A178="","",IF($AQ178="","",IF($AP178="",$AQ178,MIN($AP178,$AQ178))))</f>
        <v/>
      </c>
      <c r="BN178" s="46" t="str">
        <f aca="false">IF($A178="","",IF($BM178="","",ROUND(N($AC178)/60,4)))</f>
        <v/>
      </c>
      <c r="BO178" s="46" t="str">
        <f aca="false">IF($A178="","",IF(OR($BM178="",$AD178=""),"",ROUND($AD178/60,4)))</f>
        <v/>
      </c>
      <c r="BP178" s="46" t="str">
        <f aca="false">IF($A178="","",IF($BM178="","",ROUND(N($AE178)/60,4)))</f>
        <v/>
      </c>
      <c r="BQ178" s="46" t="str">
        <f aca="false">IF($A178="","",IF(OR($BM178="",$AF178=""),"",ROUND($AF178/60,4)))</f>
        <v/>
      </c>
      <c r="BR178" s="39" t="str">
        <f aca="false">IF($A178="","",IF($AC178="","",$AC178-$BD178-$BE178))</f>
        <v/>
      </c>
      <c r="BS178" s="45" t="str">
        <f aca="false">IF($A178="","",IF(AND(ISNUMBER($Z178),ISNUMBER($W178)),$Z178,0))</f>
        <v/>
      </c>
      <c r="BT178" s="45" t="str">
        <f aca="false">IF($A178="","",IF(ISNUMBER($W178),$W178,0))</f>
        <v/>
      </c>
      <c r="BU178" s="23" t="str">
        <f aca="false">IF($A178="","",IF(ISNUMBER($W178),ROUND(($W178-$B178)*24,4),""))</f>
        <v/>
      </c>
      <c r="BV178" s="23" t="str">
        <f aca="false">IF($A178="","",IF(ISNUMBER($X178),ROUND(($X178-$B178)*24,4),""))</f>
        <v/>
      </c>
      <c r="BW178" s="10" t="str">
        <f aca="false">IF($A178="","",IF(NOT(ISNUMBER($W178)),"Missing Calculated",IF(NOT(ISNUMBER($X178)),IF($E178="Client","Missing FA signed off","Missing Controlled"),IF($X178&lt;$W178,"End before start","OK"))))</f>
        <v/>
      </c>
      <c r="BX178" s="23" t="str">
        <f aca="false">IF($A178="","",IF(NOT(ISNUMBER($Z178)),"",ROUND((IF(ISNUMBER($U178),MIN($U178,$Z178),$Z178)-$B178)*24,4)))</f>
        <v/>
      </c>
      <c r="BY178" s="23" t="str">
        <f aca="false">IF($A178="","",IF(ISNUMBER($Z178),ROUND(($Z178-$B178)*24,4),""))</f>
        <v/>
      </c>
      <c r="BZ178" s="23" t="str">
        <f aca="false">IF($A178="","",IF(AND(ISNUMBER($W178),ISNUMBER($S178)),ROUND(($W178+$S178/1440-$B178)*24,4),""))</f>
        <v/>
      </c>
    </row>
    <row r="179" customFormat="false" ht="15" hidden="false" customHeight="true" outlineLevel="0" collapsed="false">
      <c r="A179" s="47"/>
      <c r="B179" s="47"/>
      <c r="D179" s="4" t="str">
        <f aca="false">IF($A179="","",$B179-$A179)</f>
        <v/>
      </c>
      <c r="E179" s="4" t="str">
        <f aca="false">IF($A179="","",IFERROR(VLOOKUP($C179,Dim_Fund!$A:$X,24,0),""))</f>
        <v/>
      </c>
      <c r="F179" s="37" t="str">
        <f aca="false">IF($A179="","",IF(COUNTIFS(Status_Log!$A:$A,$A179,Status_Log!$B:$B,$B179,Status_Log!$C:$C,$C179,Status_Log!$D:$D,"Changed to the status of Calculated")=0,"",_xlfn.MINIFS(Status_Log!$E:$E,Status_Log!$A:$A,$A179,Status_Log!$B:$B,$B179,Status_Log!$C:$C,$C179,Status_Log!$D:$D,"Changed to the status of Calculated")))</f>
        <v/>
      </c>
      <c r="G179" s="37" t="str">
        <f aca="false">IF($A179="","",IF(COUNTIFS(Status_Log!$A:$A,$A179,Status_Log!$B:$B,$B179,Status_Log!$C:$C,$C179,Status_Log!$D:$D,"Changed to the status of Controlled")=0,"",_xlfn.MAXIFS(Status_Log!$E:$E,Status_Log!$A:$A,$A179,Status_Log!$B:$B,$B179,Status_Log!$C:$C,$C179,Status_Log!$D:$D,"Changed to the status of Controlled")))</f>
        <v/>
      </c>
      <c r="H179" s="37" t="str">
        <f aca="false">IF($A179="","",IF(COUNTIFS(Status_Log!$A:$A,$A179,Status_Log!$B:$B,$B179,Status_Log!$C:$C,$C179,Status_Log!$D:$D,"Changed to the status of Fund accounting signed off")=0,"",_xlfn.MAXIFS(Status_Log!$E:$E,Status_Log!$A:$A,$A179,Status_Log!$B:$B,$B179,Status_Log!$C:$C,$C179,Status_Log!$D:$D,"Changed to the status of Fund accounting signed off")))</f>
        <v/>
      </c>
      <c r="I179" s="37" t="str">
        <f aca="false">IF($A179="","",IF(COUNTIFS(Status_Log!$A:$A,$A179,Status_Log!$B:$B,$B179,Status_Log!$C:$C,$C179,Status_Log!$D:$D,"Changed to the status of signed off")=0,"",_xlfn.MAXIFS(Status_Log!$E:$E,Status_Log!$A:$A,$A179,Status_Log!$B:$B,$B179,Status_Log!$C:$C,$C179,Status_Log!$D:$D,"Changed to the status of signed off")))</f>
        <v/>
      </c>
      <c r="J179" s="4" t="str">
        <f aca="false">IF($A179="","",COUNTIFS(Status_Log!$A:$A,$A179,Status_Log!$B:$B,$B179,Status_Log!$C:$C,$C179,Status_Log!$D:$D,"Changed to the status of Calculated"))</f>
        <v/>
      </c>
      <c r="K179" s="38" t="str">
        <f aca="false">IF($A179="","",IF(J179&lt;=1,0,ROUND((_xlfn.MAXIFS(Status_Log!$E:$E,Status_Log!$A:$A,$A179,Status_Log!$B:$B,$B179,Status_Log!$C:$C,$C179,Status_Log!$D:$D,"Changed to the status of Calculated")-F179)*1440,0)))</f>
        <v/>
      </c>
      <c r="L179" s="4" t="str">
        <f aca="false">IF($A179="","",IFERROR(INDEX(Status_Log!$F:$F,MATCH($A179&amp;"|"&amp;$B179&amp;"|"&amp;$C179&amp;"|Changed to the status of Calculated|"&amp;TEXT(_xlfn.MAXIFS(Status_Log!$E:$E,Status_Log!$A:$A,$A179,Status_Log!$B:$B,$B179,Status_Log!$C:$C,$C179,Status_Log!$D:$D,"Changed to the status of Calculated"),"0.000000"),Status_Log!$H:$H,0)),""))</f>
        <v/>
      </c>
      <c r="M179" s="4" t="str">
        <f aca="false">IF($A179="","",IF(E179="Client","n/a — no control step",IFERROR(INDEX(Status_Log!$F:$F,MATCH($A179&amp;"|"&amp;$B179&amp;"|"&amp;$C179&amp;"|Changed to the status of Controlled|"&amp;TEXT(_xlfn.MAXIFS(Status_Log!$E:$E,Status_Log!$A:$A,$A179,Status_Log!$B:$B,$B179,Status_Log!$C:$C,$C179,Status_Log!$D:$D,"Changed to the status of Controlled"),"0.000000"),Status_Log!$H:$H,0)),"")))</f>
        <v/>
      </c>
      <c r="N179" s="4" t="str">
        <f aca="false">IF($A179="","",IFERROR(VLOOKUP($C179,Dim_Fund!$A:$G,7,0),""))</f>
        <v/>
      </c>
      <c r="O179" s="4" t="str">
        <f aca="false">IF($A179="","",IF(L179=N179,"No","Yes"))</f>
        <v/>
      </c>
      <c r="P179" s="4" t="str">
        <f aca="false">IF($A179="","",IF(E179="Client","n/a",IF(L179=M179,"YES — four-eyes breach","No")))</f>
        <v/>
      </c>
      <c r="Q179" s="38" t="str">
        <f aca="false">IF($A179="","",IFERROR(VLOOKUP($C179,Dim_Fund!$A:$AB,28,0),""))</f>
        <v/>
      </c>
      <c r="R179" s="38" t="str">
        <f aca="false">IF($A179="","",IFERROR(VLOOKUP($C179,Dim_Fund!$A:$AC,29,0),""))</f>
        <v/>
      </c>
      <c r="S179" s="38" t="str">
        <f aca="false">IF($A179="","",IFERROR(VLOOKUP($C179,Dim_Fund!$A:$AD,30,0),""))</f>
        <v/>
      </c>
      <c r="T179" s="38" t="str">
        <f aca="false">IF($A179="","",IFERROR(VLOOKUP($C179,Dim_Fund!$A:$AL,38,0),""))</f>
        <v/>
      </c>
      <c r="U179" s="37" t="str">
        <f aca="false">IF($A179="","",IF(AL179="","",IFERROR(IF(COUNTIFS(Fact_Milestone!$A:$A,$B179,Fact_Milestone!$B:$B,AL179)=0,"",_xlfn.MAXIFS(Fact_Milestone!$C:$C,Fact_Milestone!$A:$A,$B179,Fact_Milestone!$B:$B,AL179)),"")))</f>
        <v/>
      </c>
      <c r="V179" s="37" t="str">
        <f aca="false">IF($A179="","",IFERROR(IF(VLOOKUP($C179,Dim_Fund!$A:$AI,35,0)&gt;0,$B179+VLOOKUP($C179,Dim_Fund!$A:$AI,35,0)/24,""),""))</f>
        <v/>
      </c>
      <c r="W179" s="37" t="str">
        <f aca="false">IF($A179="","",F179)</f>
        <v/>
      </c>
      <c r="X179" s="37" t="str">
        <f aca="false">IF($A179="","",IF(E179="Client",H179,G179))</f>
        <v/>
      </c>
      <c r="Y179" s="37" t="str">
        <f aca="false">IF($A179="","",I179)</f>
        <v/>
      </c>
      <c r="Z179" s="37" t="str">
        <f aca="false">IF($A179="","",IFERROR(W179-R179/1440,""))</f>
        <v/>
      </c>
      <c r="AA179" s="38" t="str">
        <f aca="false">IF($A179="","",IF(OR(U179="",V179=""),"",ROUND((V179-U179)*1440,0)))</f>
        <v/>
      </c>
      <c r="AB179" s="38" t="str">
        <f aca="false">IF($A179="","",IF(U179="","",ROUND((W179-U179)*1440,0)))</f>
        <v/>
      </c>
      <c r="AC179" s="38" t="str">
        <f aca="false">IF($A179="","",IF(AB179="","",MAX(0,AB179)))</f>
        <v/>
      </c>
      <c r="AD179" s="38" t="str">
        <f aca="false">IF($A179="","",IFERROR(ROUND((X179-W179)*1440,0),""))</f>
        <v/>
      </c>
      <c r="AE179" s="38" t="str">
        <f aca="false">IF($A179="","",IF(E179="Client","n/a",IFERROR(ROUND((H179-G179)*1440,0),"")))</f>
        <v/>
      </c>
      <c r="AF179" s="38" t="str">
        <f aca="false">IF($A179="","",IFERROR(ROUND((Y179-H179)*1440,0),""))</f>
        <v/>
      </c>
      <c r="AG179" s="38" t="str">
        <f aca="false">IF($A179="","",IFERROR(ROUND((H179-F179)*1440,0),""))</f>
        <v/>
      </c>
      <c r="AH179" s="38" t="str">
        <f aca="false">IF($A179="","",IFERROR(ROUND((Y179-V179)*1440,0),""))</f>
        <v/>
      </c>
      <c r="AI179" s="4" t="str">
        <f aca="false">IF($A179="","",IF(AH179="","",IF(AH179&gt;0,"Yes","No")))</f>
        <v/>
      </c>
      <c r="AJ179" s="4" t="str">
        <f aca="false">IF($A179="","",IF(AI179&lt;&gt;"Yes","On time",IF(N(AC179)&gt;=MAX(N(AF179),N(K179)),"Wait for analyst",IF(N(AF179)&gt;=N(K179),"External sign-off","Rework"))))</f>
        <v/>
      </c>
      <c r="AK179" s="4" t="str">
        <f aca="false">IF($A179="","",IF(OR(F179="",Y179="",ISNA(MATCH(L179,Dim_Analyst!$A:$A,0))),"CHECK","OK"))</f>
        <v/>
      </c>
      <c r="AL179" s="4" t="str">
        <f aca="false">IF($A179="","",IFERROR(VLOOKUP($C179,Dim_Fund!$A:$U,21,0),""))</f>
        <v/>
      </c>
      <c r="AM179" s="4" t="str">
        <f aca="false">IF($A179="","",IF($U179="","",IF($U179&gt;$B179+IFERROR(VLOOKUP($C179,Dim_Fund!$A:$AH,34,0),0)/24,"Yes","No")))</f>
        <v/>
      </c>
      <c r="AN179" s="22" t="str">
        <f aca="false">IF($A179="","",IFERROR(VLOOKUP($C179,Dim_Fund!$A:$AH,34,0),""))</f>
        <v/>
      </c>
      <c r="AO179" s="22" t="str">
        <f aca="false">IF($A179="","",IF($AL179="","",IFERROR(FLOOR(IF(COUNTIFS(Fact_Milestone!$A:$A,$B179,Fact_Milestone!$B:$B,$AL179,Fact_Milestone!$F:$F,"&gt;0")&gt;0,_xlfn.MINIFS(Fact_Milestone!$F:$F,Fact_Milestone!$A:$A,$B179,Fact_Milestone!$B:$B,$AL179,Fact_Milestone!$F:$F,"&gt;0"),VLOOKUP($AL179,Dim_TOP!$A:$E,5,0)),0.5),"")))</f>
        <v/>
      </c>
      <c r="AP179" s="22" t="str">
        <f aca="false">IF($A179="","",IF($U179="","",ROUND(($U179-INT($U179))*24,4)))</f>
        <v/>
      </c>
      <c r="AQ179" s="22" t="str">
        <f aca="false">IF($A179="","",IF($W179="","",ROUND(($W179-INT($W179))*24,4)))</f>
        <v/>
      </c>
      <c r="AR179" s="22" t="str">
        <f aca="false">IF($A179="","",IF($X179="","",ROUND(($X179-INT($X179))*24,4)))</f>
        <v/>
      </c>
      <c r="AS179" s="38" t="str">
        <f aca="false">IF($A179="","",IF(OR($AN179="",$V179="",$S179="",$T179=""),"",ROUND(($V179-($B179+$AN179/24))*1440-$S179-$T179,0)))</f>
        <v/>
      </c>
      <c r="AT179" s="38" t="str">
        <f aca="false">IF($A179="","",IF(OR($AN179="",$U179=""),"",ROUND(($U179-($B179+$AN179/24))*1440,0)))</f>
        <v/>
      </c>
      <c r="AU179" s="38" t="str">
        <f aca="false">IF($A179="","",IF(OR($AD179="",$S179=""),"",ROUND($AD179-$S179,0)))</f>
        <v/>
      </c>
      <c r="AV179" s="38" t="str">
        <f aca="false">IF($A179="","",N($AE179))</f>
        <v/>
      </c>
      <c r="AW179" s="38" t="str">
        <f aca="false">IF($A179="","",IF(OR($AF179="",$T179=""),"",$AF179-$T179))</f>
        <v/>
      </c>
      <c r="AX179" s="38" t="str">
        <f aca="false">IF($A179="","",IF(COUNT($AT179,$AB179,$AU179,$AW179,$AS179,$AH179)&lt;6,"",ROUND($AT179+$AB179+$AU179+$AV179+$AW179-$AS179-$AH179,0)))</f>
        <v/>
      </c>
      <c r="AY179" s="4" t="str">
        <f aca="false">IF($A179="","",IF($AX179="","No",IF(ABS($AX179)&lt;=2,"Yes","No")))</f>
        <v/>
      </c>
      <c r="AZ179" s="4" t="str">
        <f aca="false">IF($A179="","",IF($AI179&lt;&gt;"Yes","n/a",IF(OR($AA179="",$S179="",$T179=""),"Unknown",IF($AA179&lt;$S179+$T179,"Lost on arrival","Lost after arrival"))))</f>
        <v/>
      </c>
      <c r="BA179" s="10" t="str">
        <f aca="false">IF($A179="","",IFERROR(VLOOKUP($C179,Dim_Fund!$A:$D,4,0),""))</f>
        <v/>
      </c>
      <c r="BB179" s="10" t="str">
        <f aca="false">IF($A179="","",IF($AL179="","",IF(COUNTIFS(Fact_Milestone!$A:$A,$B179,Fact_Milestone!$B:$B,$AL179,Fact_Milestone!$I:$I,"No")&gt;0,"No",IF(COUNTIFS(Fact_Milestone!$A:$A,$B179,Fact_Milestone!$B:$B,$AL179,Fact_Milestone!$I:$I,"Yes")&gt;0,"Yes",""))))</f>
        <v/>
      </c>
      <c r="BC179" s="45" t="str">
        <f aca="false">IF($A179="","",IF(OR($L179="",$W179=""),"",IF(COUNTIFS($L:$L,$L179,$B:$B,$B179,$W:$W,"&lt;"&amp;$W179)=0,"",_xlfn.MAXIFS($W:$W,$L:$L,$L179,$B:$B,$B179,$W:$W,"&lt;"&amp;$W179))))</f>
        <v/>
      </c>
      <c r="BD179" s="39" t="str">
        <f aca="false">IF($A179="","",IF($AC179="","",IF(OR($L179="",$AC179=0),0,MIN($AC179,ROUND(ROUND(1440*SUMPRODUCT(($L$2:INDEX($L:$L,COUNTA($C:$C))=$L179)*($B$2:INDEX($B:$B,COUNTA($C:$C))=$B179)*(ROW($L$2:INDEX($L:$L,COUNTA($C:$C)))&lt;&gt;ROW())*((((($W179+$BT$2:INDEX($BT:$BT,COUNTA($C:$C))-ABS($W179-$BT$2:INDEX($BT:$BT,COUNTA($C:$C))))/2)-(($U179+$BS$2:INDEX($BS:$BS,COUNTA($C:$C))+ABS($U179-$BS$2:INDEX($BS:$BS,COUNTA($C:$C))))/2))+ABS(((($W179+$BT$2:INDEX($BT:$BT,COUNTA($C:$C))-ABS($W179-$BT$2:INDEX($BT:$BT,COUNTA($C:$C))))/2)-(($U179+$BS$2:INDEX($BS:$BS,COUNTA($C:$C))+ABS($U179-$BS$2:INDEX($BS:$BS,COUNTA($C:$C))))/2))))/2)),4),0)))))</f>
        <v/>
      </c>
      <c r="BE179" s="39" t="str">
        <f aca="false">IF($A179="","",IF($AC179="","",ROUND(MIN($AC179-$BD179,N($R179)),0)))</f>
        <v/>
      </c>
      <c r="BF179" s="10" t="str">
        <f aca="false">IF($A179="","",IFERROR(VLOOKUP($C179,Dim_Fund!$A:$BD,56,0),""))</f>
        <v/>
      </c>
      <c r="BG179" s="10" t="str">
        <f aca="false">IF($A179="","",IFERROR(VLOOKUP($C179,Dim_Fund!$A:$BH,60,0),""))</f>
        <v/>
      </c>
      <c r="BH179" s="10" t="str">
        <f aca="false">IF($A179="","",IF($AI179&lt;&gt;"Yes","Not breached",IF($AM179="Yes","Pricing late",IF($BG179="Thin custody slack","Thin custody slack",IF($BF179="Yes","Broker-dependent","None of these")))))</f>
        <v/>
      </c>
      <c r="BI179" s="23" t="str">
        <f aca="false">IF($A179="","",IFERROR(IF(VLOOKUP($C179,Dim_Fund!$A:$AI,35,0)&gt;0,VLOOKUP($C179,Dim_Fund!$A:$AI,35,0),""),""))</f>
        <v/>
      </c>
      <c r="BJ179" s="10" t="str">
        <f aca="false">IF($A179="","",$C179&amp;IF($E179="Client","*",""))</f>
        <v/>
      </c>
      <c r="BK179" s="39" t="str">
        <f aca="false">IF($A179="","",IFERROR(ROUND(($Y179-$X179)*1440,0),""))</f>
        <v/>
      </c>
      <c r="BL179" s="39" t="str">
        <f aca="false">IF($A179="","",IF($AH179="","",-$AH179))</f>
        <v/>
      </c>
      <c r="BM179" s="46" t="str">
        <f aca="false">IF($A179="","",IF($AQ179="","",IF($AP179="",$AQ179,MIN($AP179,$AQ179))))</f>
        <v/>
      </c>
      <c r="BN179" s="46" t="str">
        <f aca="false">IF($A179="","",IF($BM179="","",ROUND(N($AC179)/60,4)))</f>
        <v/>
      </c>
      <c r="BO179" s="46" t="str">
        <f aca="false">IF($A179="","",IF(OR($BM179="",$AD179=""),"",ROUND($AD179/60,4)))</f>
        <v/>
      </c>
      <c r="BP179" s="46" t="str">
        <f aca="false">IF($A179="","",IF($BM179="","",ROUND(N($AE179)/60,4)))</f>
        <v/>
      </c>
      <c r="BQ179" s="46" t="str">
        <f aca="false">IF($A179="","",IF(OR($BM179="",$AF179=""),"",ROUND($AF179/60,4)))</f>
        <v/>
      </c>
      <c r="BR179" s="39" t="str">
        <f aca="false">IF($A179="","",IF($AC179="","",$AC179-$BD179-$BE179))</f>
        <v/>
      </c>
      <c r="BS179" s="45" t="str">
        <f aca="false">IF($A179="","",IF(AND(ISNUMBER($Z179),ISNUMBER($W179)),$Z179,0))</f>
        <v/>
      </c>
      <c r="BT179" s="45" t="str">
        <f aca="false">IF($A179="","",IF(ISNUMBER($W179),$W179,0))</f>
        <v/>
      </c>
      <c r="BU179" s="23" t="str">
        <f aca="false">IF($A179="","",IF(ISNUMBER($W179),ROUND(($W179-$B179)*24,4),""))</f>
        <v/>
      </c>
      <c r="BV179" s="23" t="str">
        <f aca="false">IF($A179="","",IF(ISNUMBER($X179),ROUND(($X179-$B179)*24,4),""))</f>
        <v/>
      </c>
      <c r="BW179" s="10" t="str">
        <f aca="false">IF($A179="","",IF(NOT(ISNUMBER($W179)),"Missing Calculated",IF(NOT(ISNUMBER($X179)),IF($E179="Client","Missing FA signed off","Missing Controlled"),IF($X179&lt;$W179,"End before start","OK"))))</f>
        <v/>
      </c>
      <c r="BX179" s="23" t="str">
        <f aca="false">IF($A179="","",IF(NOT(ISNUMBER($Z179)),"",ROUND((IF(ISNUMBER($U179),MIN($U179,$Z179),$Z179)-$B179)*24,4)))</f>
        <v/>
      </c>
      <c r="BY179" s="23" t="str">
        <f aca="false">IF($A179="","",IF(ISNUMBER($Z179),ROUND(($Z179-$B179)*24,4),""))</f>
        <v/>
      </c>
      <c r="BZ179" s="23" t="str">
        <f aca="false">IF($A179="","",IF(AND(ISNUMBER($W179),ISNUMBER($S179)),ROUND(($W179+$S179/1440-$B179)*24,4),""))</f>
        <v/>
      </c>
    </row>
    <row r="180" customFormat="false" ht="15" hidden="false" customHeight="true" outlineLevel="0" collapsed="false">
      <c r="A180" s="47"/>
      <c r="B180" s="47"/>
      <c r="D180" s="4" t="str">
        <f aca="false">IF($A180="","",$B180-$A180)</f>
        <v/>
      </c>
      <c r="E180" s="4" t="str">
        <f aca="false">IF($A180="","",IFERROR(VLOOKUP($C180,Dim_Fund!$A:$X,24,0),""))</f>
        <v/>
      </c>
      <c r="F180" s="37" t="str">
        <f aca="false">IF($A180="","",IF(COUNTIFS(Status_Log!$A:$A,$A180,Status_Log!$B:$B,$B180,Status_Log!$C:$C,$C180,Status_Log!$D:$D,"Changed to the status of Calculated")=0,"",_xlfn.MINIFS(Status_Log!$E:$E,Status_Log!$A:$A,$A180,Status_Log!$B:$B,$B180,Status_Log!$C:$C,$C180,Status_Log!$D:$D,"Changed to the status of Calculated")))</f>
        <v/>
      </c>
      <c r="G180" s="37" t="str">
        <f aca="false">IF($A180="","",IF(COUNTIFS(Status_Log!$A:$A,$A180,Status_Log!$B:$B,$B180,Status_Log!$C:$C,$C180,Status_Log!$D:$D,"Changed to the status of Controlled")=0,"",_xlfn.MAXIFS(Status_Log!$E:$E,Status_Log!$A:$A,$A180,Status_Log!$B:$B,$B180,Status_Log!$C:$C,$C180,Status_Log!$D:$D,"Changed to the status of Controlled")))</f>
        <v/>
      </c>
      <c r="H180" s="37" t="str">
        <f aca="false">IF($A180="","",IF(COUNTIFS(Status_Log!$A:$A,$A180,Status_Log!$B:$B,$B180,Status_Log!$C:$C,$C180,Status_Log!$D:$D,"Changed to the status of Fund accounting signed off")=0,"",_xlfn.MAXIFS(Status_Log!$E:$E,Status_Log!$A:$A,$A180,Status_Log!$B:$B,$B180,Status_Log!$C:$C,$C180,Status_Log!$D:$D,"Changed to the status of Fund accounting signed off")))</f>
        <v/>
      </c>
      <c r="I180" s="37" t="str">
        <f aca="false">IF($A180="","",IF(COUNTIFS(Status_Log!$A:$A,$A180,Status_Log!$B:$B,$B180,Status_Log!$C:$C,$C180,Status_Log!$D:$D,"Changed to the status of signed off")=0,"",_xlfn.MAXIFS(Status_Log!$E:$E,Status_Log!$A:$A,$A180,Status_Log!$B:$B,$B180,Status_Log!$C:$C,$C180,Status_Log!$D:$D,"Changed to the status of signed off")))</f>
        <v/>
      </c>
      <c r="J180" s="4" t="str">
        <f aca="false">IF($A180="","",COUNTIFS(Status_Log!$A:$A,$A180,Status_Log!$B:$B,$B180,Status_Log!$C:$C,$C180,Status_Log!$D:$D,"Changed to the status of Calculated"))</f>
        <v/>
      </c>
      <c r="K180" s="38" t="str">
        <f aca="false">IF($A180="","",IF(J180&lt;=1,0,ROUND((_xlfn.MAXIFS(Status_Log!$E:$E,Status_Log!$A:$A,$A180,Status_Log!$B:$B,$B180,Status_Log!$C:$C,$C180,Status_Log!$D:$D,"Changed to the status of Calculated")-F180)*1440,0)))</f>
        <v/>
      </c>
      <c r="L180" s="4" t="str">
        <f aca="false">IF($A180="","",IFERROR(INDEX(Status_Log!$F:$F,MATCH($A180&amp;"|"&amp;$B180&amp;"|"&amp;$C180&amp;"|Changed to the status of Calculated|"&amp;TEXT(_xlfn.MAXIFS(Status_Log!$E:$E,Status_Log!$A:$A,$A180,Status_Log!$B:$B,$B180,Status_Log!$C:$C,$C180,Status_Log!$D:$D,"Changed to the status of Calculated"),"0.000000"),Status_Log!$H:$H,0)),""))</f>
        <v/>
      </c>
      <c r="M180" s="4" t="str">
        <f aca="false">IF($A180="","",IF(E180="Client","n/a — no control step",IFERROR(INDEX(Status_Log!$F:$F,MATCH($A180&amp;"|"&amp;$B180&amp;"|"&amp;$C180&amp;"|Changed to the status of Controlled|"&amp;TEXT(_xlfn.MAXIFS(Status_Log!$E:$E,Status_Log!$A:$A,$A180,Status_Log!$B:$B,$B180,Status_Log!$C:$C,$C180,Status_Log!$D:$D,"Changed to the status of Controlled"),"0.000000"),Status_Log!$H:$H,0)),"")))</f>
        <v/>
      </c>
      <c r="N180" s="4" t="str">
        <f aca="false">IF($A180="","",IFERROR(VLOOKUP($C180,Dim_Fund!$A:$G,7,0),""))</f>
        <v/>
      </c>
      <c r="O180" s="4" t="str">
        <f aca="false">IF($A180="","",IF(L180=N180,"No","Yes"))</f>
        <v/>
      </c>
      <c r="P180" s="4" t="str">
        <f aca="false">IF($A180="","",IF(E180="Client","n/a",IF(L180=M180,"YES — four-eyes breach","No")))</f>
        <v/>
      </c>
      <c r="Q180" s="38" t="str">
        <f aca="false">IF($A180="","",IFERROR(VLOOKUP($C180,Dim_Fund!$A:$AB,28,0),""))</f>
        <v/>
      </c>
      <c r="R180" s="38" t="str">
        <f aca="false">IF($A180="","",IFERROR(VLOOKUP($C180,Dim_Fund!$A:$AC,29,0),""))</f>
        <v/>
      </c>
      <c r="S180" s="38" t="str">
        <f aca="false">IF($A180="","",IFERROR(VLOOKUP($C180,Dim_Fund!$A:$AD,30,0),""))</f>
        <v/>
      </c>
      <c r="T180" s="38" t="str">
        <f aca="false">IF($A180="","",IFERROR(VLOOKUP($C180,Dim_Fund!$A:$AL,38,0),""))</f>
        <v/>
      </c>
      <c r="U180" s="37" t="str">
        <f aca="false">IF($A180="","",IF(AL180="","",IFERROR(IF(COUNTIFS(Fact_Milestone!$A:$A,$B180,Fact_Milestone!$B:$B,AL180)=0,"",_xlfn.MAXIFS(Fact_Milestone!$C:$C,Fact_Milestone!$A:$A,$B180,Fact_Milestone!$B:$B,AL180)),"")))</f>
        <v/>
      </c>
      <c r="V180" s="37" t="str">
        <f aca="false">IF($A180="","",IFERROR(IF(VLOOKUP($C180,Dim_Fund!$A:$AI,35,0)&gt;0,$B180+VLOOKUP($C180,Dim_Fund!$A:$AI,35,0)/24,""),""))</f>
        <v/>
      </c>
      <c r="W180" s="37" t="str">
        <f aca="false">IF($A180="","",F180)</f>
        <v/>
      </c>
      <c r="X180" s="37" t="str">
        <f aca="false">IF($A180="","",IF(E180="Client",H180,G180))</f>
        <v/>
      </c>
      <c r="Y180" s="37" t="str">
        <f aca="false">IF($A180="","",I180)</f>
        <v/>
      </c>
      <c r="Z180" s="37" t="str">
        <f aca="false">IF($A180="","",IFERROR(W180-R180/1440,""))</f>
        <v/>
      </c>
      <c r="AA180" s="38" t="str">
        <f aca="false">IF($A180="","",IF(OR(U180="",V180=""),"",ROUND((V180-U180)*1440,0)))</f>
        <v/>
      </c>
      <c r="AB180" s="38" t="str">
        <f aca="false">IF($A180="","",IF(U180="","",ROUND((W180-U180)*1440,0)))</f>
        <v/>
      </c>
      <c r="AC180" s="38" t="str">
        <f aca="false">IF($A180="","",IF(AB180="","",MAX(0,AB180)))</f>
        <v/>
      </c>
      <c r="AD180" s="38" t="str">
        <f aca="false">IF($A180="","",IFERROR(ROUND((X180-W180)*1440,0),""))</f>
        <v/>
      </c>
      <c r="AE180" s="38" t="str">
        <f aca="false">IF($A180="","",IF(E180="Client","n/a",IFERROR(ROUND((H180-G180)*1440,0),"")))</f>
        <v/>
      </c>
      <c r="AF180" s="38" t="str">
        <f aca="false">IF($A180="","",IFERROR(ROUND((Y180-H180)*1440,0),""))</f>
        <v/>
      </c>
      <c r="AG180" s="38" t="str">
        <f aca="false">IF($A180="","",IFERROR(ROUND((H180-F180)*1440,0),""))</f>
        <v/>
      </c>
      <c r="AH180" s="38" t="str">
        <f aca="false">IF($A180="","",IFERROR(ROUND((Y180-V180)*1440,0),""))</f>
        <v/>
      </c>
      <c r="AI180" s="4" t="str">
        <f aca="false">IF($A180="","",IF(AH180="","",IF(AH180&gt;0,"Yes","No")))</f>
        <v/>
      </c>
      <c r="AJ180" s="4" t="str">
        <f aca="false">IF($A180="","",IF(AI180&lt;&gt;"Yes","On time",IF(N(AC180)&gt;=MAX(N(AF180),N(K180)),"Wait for analyst",IF(N(AF180)&gt;=N(K180),"External sign-off","Rework"))))</f>
        <v/>
      </c>
      <c r="AK180" s="4" t="str">
        <f aca="false">IF($A180="","",IF(OR(F180="",Y180="",ISNA(MATCH(L180,Dim_Analyst!$A:$A,0))),"CHECK","OK"))</f>
        <v/>
      </c>
      <c r="AL180" s="4" t="str">
        <f aca="false">IF($A180="","",IFERROR(VLOOKUP($C180,Dim_Fund!$A:$U,21,0),""))</f>
        <v/>
      </c>
      <c r="AM180" s="4" t="str">
        <f aca="false">IF($A180="","",IF($U180="","",IF($U180&gt;$B180+IFERROR(VLOOKUP($C180,Dim_Fund!$A:$AH,34,0),0)/24,"Yes","No")))</f>
        <v/>
      </c>
      <c r="AN180" s="22" t="str">
        <f aca="false">IF($A180="","",IFERROR(VLOOKUP($C180,Dim_Fund!$A:$AH,34,0),""))</f>
        <v/>
      </c>
      <c r="AO180" s="22" t="str">
        <f aca="false">IF($A180="","",IF($AL180="","",IFERROR(FLOOR(IF(COUNTIFS(Fact_Milestone!$A:$A,$B180,Fact_Milestone!$B:$B,$AL180,Fact_Milestone!$F:$F,"&gt;0")&gt;0,_xlfn.MINIFS(Fact_Milestone!$F:$F,Fact_Milestone!$A:$A,$B180,Fact_Milestone!$B:$B,$AL180,Fact_Milestone!$F:$F,"&gt;0"),VLOOKUP($AL180,Dim_TOP!$A:$E,5,0)),0.5),"")))</f>
        <v/>
      </c>
      <c r="AP180" s="22" t="str">
        <f aca="false">IF($A180="","",IF($U180="","",ROUND(($U180-INT($U180))*24,4)))</f>
        <v/>
      </c>
      <c r="AQ180" s="22" t="str">
        <f aca="false">IF($A180="","",IF($W180="","",ROUND(($W180-INT($W180))*24,4)))</f>
        <v/>
      </c>
      <c r="AR180" s="22" t="str">
        <f aca="false">IF($A180="","",IF($X180="","",ROUND(($X180-INT($X180))*24,4)))</f>
        <v/>
      </c>
      <c r="AS180" s="38" t="str">
        <f aca="false">IF($A180="","",IF(OR($AN180="",$V180="",$S180="",$T180=""),"",ROUND(($V180-($B180+$AN180/24))*1440-$S180-$T180,0)))</f>
        <v/>
      </c>
      <c r="AT180" s="38" t="str">
        <f aca="false">IF($A180="","",IF(OR($AN180="",$U180=""),"",ROUND(($U180-($B180+$AN180/24))*1440,0)))</f>
        <v/>
      </c>
      <c r="AU180" s="38" t="str">
        <f aca="false">IF($A180="","",IF(OR($AD180="",$S180=""),"",ROUND($AD180-$S180,0)))</f>
        <v/>
      </c>
      <c r="AV180" s="38" t="str">
        <f aca="false">IF($A180="","",N($AE180))</f>
        <v/>
      </c>
      <c r="AW180" s="38" t="str">
        <f aca="false">IF($A180="","",IF(OR($AF180="",$T180=""),"",$AF180-$T180))</f>
        <v/>
      </c>
      <c r="AX180" s="38" t="str">
        <f aca="false">IF($A180="","",IF(COUNT($AT180,$AB180,$AU180,$AW180,$AS180,$AH180)&lt;6,"",ROUND($AT180+$AB180+$AU180+$AV180+$AW180-$AS180-$AH180,0)))</f>
        <v/>
      </c>
      <c r="AY180" s="4" t="str">
        <f aca="false">IF($A180="","",IF($AX180="","No",IF(ABS($AX180)&lt;=2,"Yes","No")))</f>
        <v/>
      </c>
      <c r="AZ180" s="4" t="str">
        <f aca="false">IF($A180="","",IF($AI180&lt;&gt;"Yes","n/a",IF(OR($AA180="",$S180="",$T180=""),"Unknown",IF($AA180&lt;$S180+$T180,"Lost on arrival","Lost after arrival"))))</f>
        <v/>
      </c>
      <c r="BA180" s="10" t="str">
        <f aca="false">IF($A180="","",IFERROR(VLOOKUP($C180,Dim_Fund!$A:$D,4,0),""))</f>
        <v/>
      </c>
      <c r="BB180" s="10" t="str">
        <f aca="false">IF($A180="","",IF($AL180="","",IF(COUNTIFS(Fact_Milestone!$A:$A,$B180,Fact_Milestone!$B:$B,$AL180,Fact_Milestone!$I:$I,"No")&gt;0,"No",IF(COUNTIFS(Fact_Milestone!$A:$A,$B180,Fact_Milestone!$B:$B,$AL180,Fact_Milestone!$I:$I,"Yes")&gt;0,"Yes",""))))</f>
        <v/>
      </c>
      <c r="BC180" s="45" t="str">
        <f aca="false">IF($A180="","",IF(OR($L180="",$W180=""),"",IF(COUNTIFS($L:$L,$L180,$B:$B,$B180,$W:$W,"&lt;"&amp;$W180)=0,"",_xlfn.MAXIFS($W:$W,$L:$L,$L180,$B:$B,$B180,$W:$W,"&lt;"&amp;$W180))))</f>
        <v/>
      </c>
      <c r="BD180" s="39" t="str">
        <f aca="false">IF($A180="","",IF($AC180="","",IF(OR($L180="",$AC180=0),0,MIN($AC180,ROUND(ROUND(1440*SUMPRODUCT(($L$2:INDEX($L:$L,COUNTA($C:$C))=$L180)*($B$2:INDEX($B:$B,COUNTA($C:$C))=$B180)*(ROW($L$2:INDEX($L:$L,COUNTA($C:$C)))&lt;&gt;ROW())*((((($W180+$BT$2:INDEX($BT:$BT,COUNTA($C:$C))-ABS($W180-$BT$2:INDEX($BT:$BT,COUNTA($C:$C))))/2)-(($U180+$BS$2:INDEX($BS:$BS,COUNTA($C:$C))+ABS($U180-$BS$2:INDEX($BS:$BS,COUNTA($C:$C))))/2))+ABS(((($W180+$BT$2:INDEX($BT:$BT,COUNTA($C:$C))-ABS($W180-$BT$2:INDEX($BT:$BT,COUNTA($C:$C))))/2)-(($U180+$BS$2:INDEX($BS:$BS,COUNTA($C:$C))+ABS($U180-$BS$2:INDEX($BS:$BS,COUNTA($C:$C))))/2))))/2)),4),0)))))</f>
        <v/>
      </c>
      <c r="BE180" s="39" t="str">
        <f aca="false">IF($A180="","",IF($AC180="","",ROUND(MIN($AC180-$BD180,N($R180)),0)))</f>
        <v/>
      </c>
      <c r="BF180" s="10" t="str">
        <f aca="false">IF($A180="","",IFERROR(VLOOKUP($C180,Dim_Fund!$A:$BD,56,0),""))</f>
        <v/>
      </c>
      <c r="BG180" s="10" t="str">
        <f aca="false">IF($A180="","",IFERROR(VLOOKUP($C180,Dim_Fund!$A:$BH,60,0),""))</f>
        <v/>
      </c>
      <c r="BH180" s="10" t="str">
        <f aca="false">IF($A180="","",IF($AI180&lt;&gt;"Yes","Not breached",IF($AM180="Yes","Pricing late",IF($BG180="Thin custody slack","Thin custody slack",IF($BF180="Yes","Broker-dependent","None of these")))))</f>
        <v/>
      </c>
      <c r="BI180" s="23" t="str">
        <f aca="false">IF($A180="","",IFERROR(IF(VLOOKUP($C180,Dim_Fund!$A:$AI,35,0)&gt;0,VLOOKUP($C180,Dim_Fund!$A:$AI,35,0),""),""))</f>
        <v/>
      </c>
      <c r="BJ180" s="10" t="str">
        <f aca="false">IF($A180="","",$C180&amp;IF($E180="Client","*",""))</f>
        <v/>
      </c>
      <c r="BK180" s="39" t="str">
        <f aca="false">IF($A180="","",IFERROR(ROUND(($Y180-$X180)*1440,0),""))</f>
        <v/>
      </c>
      <c r="BL180" s="39" t="str">
        <f aca="false">IF($A180="","",IF($AH180="","",-$AH180))</f>
        <v/>
      </c>
      <c r="BM180" s="46" t="str">
        <f aca="false">IF($A180="","",IF($AQ180="","",IF($AP180="",$AQ180,MIN($AP180,$AQ180))))</f>
        <v/>
      </c>
      <c r="BN180" s="46" t="str">
        <f aca="false">IF($A180="","",IF($BM180="","",ROUND(N($AC180)/60,4)))</f>
        <v/>
      </c>
      <c r="BO180" s="46" t="str">
        <f aca="false">IF($A180="","",IF(OR($BM180="",$AD180=""),"",ROUND($AD180/60,4)))</f>
        <v/>
      </c>
      <c r="BP180" s="46" t="str">
        <f aca="false">IF($A180="","",IF($BM180="","",ROUND(N($AE180)/60,4)))</f>
        <v/>
      </c>
      <c r="BQ180" s="46" t="str">
        <f aca="false">IF($A180="","",IF(OR($BM180="",$AF180=""),"",ROUND($AF180/60,4)))</f>
        <v/>
      </c>
      <c r="BR180" s="39" t="str">
        <f aca="false">IF($A180="","",IF($AC180="","",$AC180-$BD180-$BE180))</f>
        <v/>
      </c>
      <c r="BS180" s="45" t="str">
        <f aca="false">IF($A180="","",IF(AND(ISNUMBER($Z180),ISNUMBER($W180)),$Z180,0))</f>
        <v/>
      </c>
      <c r="BT180" s="45" t="str">
        <f aca="false">IF($A180="","",IF(ISNUMBER($W180),$W180,0))</f>
        <v/>
      </c>
      <c r="BU180" s="23" t="str">
        <f aca="false">IF($A180="","",IF(ISNUMBER($W180),ROUND(($W180-$B180)*24,4),""))</f>
        <v/>
      </c>
      <c r="BV180" s="23" t="str">
        <f aca="false">IF($A180="","",IF(ISNUMBER($X180),ROUND(($X180-$B180)*24,4),""))</f>
        <v/>
      </c>
      <c r="BW180" s="10" t="str">
        <f aca="false">IF($A180="","",IF(NOT(ISNUMBER($W180)),"Missing Calculated",IF(NOT(ISNUMBER($X180)),IF($E180="Client","Missing FA signed off","Missing Controlled"),IF($X180&lt;$W180,"End before start","OK"))))</f>
        <v/>
      </c>
      <c r="BX180" s="23" t="str">
        <f aca="false">IF($A180="","",IF(NOT(ISNUMBER($Z180)),"",ROUND((IF(ISNUMBER($U180),MIN($U180,$Z180),$Z180)-$B180)*24,4)))</f>
        <v/>
      </c>
      <c r="BY180" s="23" t="str">
        <f aca="false">IF($A180="","",IF(ISNUMBER($Z180),ROUND(($Z180-$B180)*24,4),""))</f>
        <v/>
      </c>
      <c r="BZ180" s="23" t="str">
        <f aca="false">IF($A180="","",IF(AND(ISNUMBER($W180),ISNUMBER($S180)),ROUND(($W180+$S180/1440-$B180)*24,4),""))</f>
        <v/>
      </c>
    </row>
    <row r="181" customFormat="false" ht="15" hidden="false" customHeight="true" outlineLevel="0" collapsed="false">
      <c r="A181" s="47"/>
      <c r="B181" s="47"/>
      <c r="D181" s="4" t="str">
        <f aca="false">IF($A181="","",$B181-$A181)</f>
        <v/>
      </c>
      <c r="E181" s="4" t="str">
        <f aca="false">IF($A181="","",IFERROR(VLOOKUP($C181,Dim_Fund!$A:$X,24,0),""))</f>
        <v/>
      </c>
      <c r="F181" s="37" t="str">
        <f aca="false">IF($A181="","",IF(COUNTIFS(Status_Log!$A:$A,$A181,Status_Log!$B:$B,$B181,Status_Log!$C:$C,$C181,Status_Log!$D:$D,"Changed to the status of Calculated")=0,"",_xlfn.MINIFS(Status_Log!$E:$E,Status_Log!$A:$A,$A181,Status_Log!$B:$B,$B181,Status_Log!$C:$C,$C181,Status_Log!$D:$D,"Changed to the status of Calculated")))</f>
        <v/>
      </c>
      <c r="G181" s="37" t="str">
        <f aca="false">IF($A181="","",IF(COUNTIFS(Status_Log!$A:$A,$A181,Status_Log!$B:$B,$B181,Status_Log!$C:$C,$C181,Status_Log!$D:$D,"Changed to the status of Controlled")=0,"",_xlfn.MAXIFS(Status_Log!$E:$E,Status_Log!$A:$A,$A181,Status_Log!$B:$B,$B181,Status_Log!$C:$C,$C181,Status_Log!$D:$D,"Changed to the status of Controlled")))</f>
        <v/>
      </c>
      <c r="H181" s="37" t="str">
        <f aca="false">IF($A181="","",IF(COUNTIFS(Status_Log!$A:$A,$A181,Status_Log!$B:$B,$B181,Status_Log!$C:$C,$C181,Status_Log!$D:$D,"Changed to the status of Fund accounting signed off")=0,"",_xlfn.MAXIFS(Status_Log!$E:$E,Status_Log!$A:$A,$A181,Status_Log!$B:$B,$B181,Status_Log!$C:$C,$C181,Status_Log!$D:$D,"Changed to the status of Fund accounting signed off")))</f>
        <v/>
      </c>
      <c r="I181" s="37" t="str">
        <f aca="false">IF($A181="","",IF(COUNTIFS(Status_Log!$A:$A,$A181,Status_Log!$B:$B,$B181,Status_Log!$C:$C,$C181,Status_Log!$D:$D,"Changed to the status of signed off")=0,"",_xlfn.MAXIFS(Status_Log!$E:$E,Status_Log!$A:$A,$A181,Status_Log!$B:$B,$B181,Status_Log!$C:$C,$C181,Status_Log!$D:$D,"Changed to the status of signed off")))</f>
        <v/>
      </c>
      <c r="J181" s="4" t="str">
        <f aca="false">IF($A181="","",COUNTIFS(Status_Log!$A:$A,$A181,Status_Log!$B:$B,$B181,Status_Log!$C:$C,$C181,Status_Log!$D:$D,"Changed to the status of Calculated"))</f>
        <v/>
      </c>
      <c r="K181" s="38" t="str">
        <f aca="false">IF($A181="","",IF(J181&lt;=1,0,ROUND((_xlfn.MAXIFS(Status_Log!$E:$E,Status_Log!$A:$A,$A181,Status_Log!$B:$B,$B181,Status_Log!$C:$C,$C181,Status_Log!$D:$D,"Changed to the status of Calculated")-F181)*1440,0)))</f>
        <v/>
      </c>
      <c r="L181" s="4" t="str">
        <f aca="false">IF($A181="","",IFERROR(INDEX(Status_Log!$F:$F,MATCH($A181&amp;"|"&amp;$B181&amp;"|"&amp;$C181&amp;"|Changed to the status of Calculated|"&amp;TEXT(_xlfn.MAXIFS(Status_Log!$E:$E,Status_Log!$A:$A,$A181,Status_Log!$B:$B,$B181,Status_Log!$C:$C,$C181,Status_Log!$D:$D,"Changed to the status of Calculated"),"0.000000"),Status_Log!$H:$H,0)),""))</f>
        <v/>
      </c>
      <c r="M181" s="4" t="str">
        <f aca="false">IF($A181="","",IF(E181="Client","n/a — no control step",IFERROR(INDEX(Status_Log!$F:$F,MATCH($A181&amp;"|"&amp;$B181&amp;"|"&amp;$C181&amp;"|Changed to the status of Controlled|"&amp;TEXT(_xlfn.MAXIFS(Status_Log!$E:$E,Status_Log!$A:$A,$A181,Status_Log!$B:$B,$B181,Status_Log!$C:$C,$C181,Status_Log!$D:$D,"Changed to the status of Controlled"),"0.000000"),Status_Log!$H:$H,0)),"")))</f>
        <v/>
      </c>
      <c r="N181" s="4" t="str">
        <f aca="false">IF($A181="","",IFERROR(VLOOKUP($C181,Dim_Fund!$A:$G,7,0),""))</f>
        <v/>
      </c>
      <c r="O181" s="4" t="str">
        <f aca="false">IF($A181="","",IF(L181=N181,"No","Yes"))</f>
        <v/>
      </c>
      <c r="P181" s="4" t="str">
        <f aca="false">IF($A181="","",IF(E181="Client","n/a",IF(L181=M181,"YES — four-eyes breach","No")))</f>
        <v/>
      </c>
      <c r="Q181" s="38" t="str">
        <f aca="false">IF($A181="","",IFERROR(VLOOKUP($C181,Dim_Fund!$A:$AB,28,0),""))</f>
        <v/>
      </c>
      <c r="R181" s="38" t="str">
        <f aca="false">IF($A181="","",IFERROR(VLOOKUP($C181,Dim_Fund!$A:$AC,29,0),""))</f>
        <v/>
      </c>
      <c r="S181" s="38" t="str">
        <f aca="false">IF($A181="","",IFERROR(VLOOKUP($C181,Dim_Fund!$A:$AD,30,0),""))</f>
        <v/>
      </c>
      <c r="T181" s="38" t="str">
        <f aca="false">IF($A181="","",IFERROR(VLOOKUP($C181,Dim_Fund!$A:$AL,38,0),""))</f>
        <v/>
      </c>
      <c r="U181" s="37" t="str">
        <f aca="false">IF($A181="","",IF(AL181="","",IFERROR(IF(COUNTIFS(Fact_Milestone!$A:$A,$B181,Fact_Milestone!$B:$B,AL181)=0,"",_xlfn.MAXIFS(Fact_Milestone!$C:$C,Fact_Milestone!$A:$A,$B181,Fact_Milestone!$B:$B,AL181)),"")))</f>
        <v/>
      </c>
      <c r="V181" s="37" t="str">
        <f aca="false">IF($A181="","",IFERROR(IF(VLOOKUP($C181,Dim_Fund!$A:$AI,35,0)&gt;0,$B181+VLOOKUP($C181,Dim_Fund!$A:$AI,35,0)/24,""),""))</f>
        <v/>
      </c>
      <c r="W181" s="37" t="str">
        <f aca="false">IF($A181="","",F181)</f>
        <v/>
      </c>
      <c r="X181" s="37" t="str">
        <f aca="false">IF($A181="","",IF(E181="Client",H181,G181))</f>
        <v/>
      </c>
      <c r="Y181" s="37" t="str">
        <f aca="false">IF($A181="","",I181)</f>
        <v/>
      </c>
      <c r="Z181" s="37" t="str">
        <f aca="false">IF($A181="","",IFERROR(W181-R181/1440,""))</f>
        <v/>
      </c>
      <c r="AA181" s="38" t="str">
        <f aca="false">IF($A181="","",IF(OR(U181="",V181=""),"",ROUND((V181-U181)*1440,0)))</f>
        <v/>
      </c>
      <c r="AB181" s="38" t="str">
        <f aca="false">IF($A181="","",IF(U181="","",ROUND((W181-U181)*1440,0)))</f>
        <v/>
      </c>
      <c r="AC181" s="38" t="str">
        <f aca="false">IF($A181="","",IF(AB181="","",MAX(0,AB181)))</f>
        <v/>
      </c>
      <c r="AD181" s="38" t="str">
        <f aca="false">IF($A181="","",IFERROR(ROUND((X181-W181)*1440,0),""))</f>
        <v/>
      </c>
      <c r="AE181" s="38" t="str">
        <f aca="false">IF($A181="","",IF(E181="Client","n/a",IFERROR(ROUND((H181-G181)*1440,0),"")))</f>
        <v/>
      </c>
      <c r="AF181" s="38" t="str">
        <f aca="false">IF($A181="","",IFERROR(ROUND((Y181-H181)*1440,0),""))</f>
        <v/>
      </c>
      <c r="AG181" s="38" t="str">
        <f aca="false">IF($A181="","",IFERROR(ROUND((H181-F181)*1440,0),""))</f>
        <v/>
      </c>
      <c r="AH181" s="38" t="str">
        <f aca="false">IF($A181="","",IFERROR(ROUND((Y181-V181)*1440,0),""))</f>
        <v/>
      </c>
      <c r="AI181" s="4" t="str">
        <f aca="false">IF($A181="","",IF(AH181="","",IF(AH181&gt;0,"Yes","No")))</f>
        <v/>
      </c>
      <c r="AJ181" s="4" t="str">
        <f aca="false">IF($A181="","",IF(AI181&lt;&gt;"Yes","On time",IF(N(AC181)&gt;=MAX(N(AF181),N(K181)),"Wait for analyst",IF(N(AF181)&gt;=N(K181),"External sign-off","Rework"))))</f>
        <v/>
      </c>
      <c r="AK181" s="4" t="str">
        <f aca="false">IF($A181="","",IF(OR(F181="",Y181="",ISNA(MATCH(L181,Dim_Analyst!$A:$A,0))),"CHECK","OK"))</f>
        <v/>
      </c>
      <c r="AL181" s="4" t="str">
        <f aca="false">IF($A181="","",IFERROR(VLOOKUP($C181,Dim_Fund!$A:$U,21,0),""))</f>
        <v/>
      </c>
      <c r="AM181" s="4" t="str">
        <f aca="false">IF($A181="","",IF($U181="","",IF($U181&gt;$B181+IFERROR(VLOOKUP($C181,Dim_Fund!$A:$AH,34,0),0)/24,"Yes","No")))</f>
        <v/>
      </c>
      <c r="AN181" s="22" t="str">
        <f aca="false">IF($A181="","",IFERROR(VLOOKUP($C181,Dim_Fund!$A:$AH,34,0),""))</f>
        <v/>
      </c>
      <c r="AO181" s="22" t="str">
        <f aca="false">IF($A181="","",IF($AL181="","",IFERROR(FLOOR(IF(COUNTIFS(Fact_Milestone!$A:$A,$B181,Fact_Milestone!$B:$B,$AL181,Fact_Milestone!$F:$F,"&gt;0")&gt;0,_xlfn.MINIFS(Fact_Milestone!$F:$F,Fact_Milestone!$A:$A,$B181,Fact_Milestone!$B:$B,$AL181,Fact_Milestone!$F:$F,"&gt;0"),VLOOKUP($AL181,Dim_TOP!$A:$E,5,0)),0.5),"")))</f>
        <v/>
      </c>
      <c r="AP181" s="22" t="str">
        <f aca="false">IF($A181="","",IF($U181="","",ROUND(($U181-INT($U181))*24,4)))</f>
        <v/>
      </c>
      <c r="AQ181" s="22" t="str">
        <f aca="false">IF($A181="","",IF($W181="","",ROUND(($W181-INT($W181))*24,4)))</f>
        <v/>
      </c>
      <c r="AR181" s="22" t="str">
        <f aca="false">IF($A181="","",IF($X181="","",ROUND(($X181-INT($X181))*24,4)))</f>
        <v/>
      </c>
      <c r="AS181" s="38" t="str">
        <f aca="false">IF($A181="","",IF(OR($AN181="",$V181="",$S181="",$T181=""),"",ROUND(($V181-($B181+$AN181/24))*1440-$S181-$T181,0)))</f>
        <v/>
      </c>
      <c r="AT181" s="38" t="str">
        <f aca="false">IF($A181="","",IF(OR($AN181="",$U181=""),"",ROUND(($U181-($B181+$AN181/24))*1440,0)))</f>
        <v/>
      </c>
      <c r="AU181" s="38" t="str">
        <f aca="false">IF($A181="","",IF(OR($AD181="",$S181=""),"",ROUND($AD181-$S181,0)))</f>
        <v/>
      </c>
      <c r="AV181" s="38" t="str">
        <f aca="false">IF($A181="","",N($AE181))</f>
        <v/>
      </c>
      <c r="AW181" s="38" t="str">
        <f aca="false">IF($A181="","",IF(OR($AF181="",$T181=""),"",$AF181-$T181))</f>
        <v/>
      </c>
      <c r="AX181" s="38" t="str">
        <f aca="false">IF($A181="","",IF(COUNT($AT181,$AB181,$AU181,$AW181,$AS181,$AH181)&lt;6,"",ROUND($AT181+$AB181+$AU181+$AV181+$AW181-$AS181-$AH181,0)))</f>
        <v/>
      </c>
      <c r="AY181" s="4" t="str">
        <f aca="false">IF($A181="","",IF($AX181="","No",IF(ABS($AX181)&lt;=2,"Yes","No")))</f>
        <v/>
      </c>
      <c r="AZ181" s="4" t="str">
        <f aca="false">IF($A181="","",IF($AI181&lt;&gt;"Yes","n/a",IF(OR($AA181="",$S181="",$T181=""),"Unknown",IF($AA181&lt;$S181+$T181,"Lost on arrival","Lost after arrival"))))</f>
        <v/>
      </c>
      <c r="BA181" s="10" t="str">
        <f aca="false">IF($A181="","",IFERROR(VLOOKUP($C181,Dim_Fund!$A:$D,4,0),""))</f>
        <v/>
      </c>
      <c r="BB181" s="10" t="str">
        <f aca="false">IF($A181="","",IF($AL181="","",IF(COUNTIFS(Fact_Milestone!$A:$A,$B181,Fact_Milestone!$B:$B,$AL181,Fact_Milestone!$I:$I,"No")&gt;0,"No",IF(COUNTIFS(Fact_Milestone!$A:$A,$B181,Fact_Milestone!$B:$B,$AL181,Fact_Milestone!$I:$I,"Yes")&gt;0,"Yes",""))))</f>
        <v/>
      </c>
      <c r="BC181" s="45" t="str">
        <f aca="false">IF($A181="","",IF(OR($L181="",$W181=""),"",IF(COUNTIFS($L:$L,$L181,$B:$B,$B181,$W:$W,"&lt;"&amp;$W181)=0,"",_xlfn.MAXIFS($W:$W,$L:$L,$L181,$B:$B,$B181,$W:$W,"&lt;"&amp;$W181))))</f>
        <v/>
      </c>
      <c r="BD181" s="39" t="str">
        <f aca="false">IF($A181="","",IF($AC181="","",IF(OR($L181="",$AC181=0),0,MIN($AC181,ROUND(ROUND(1440*SUMPRODUCT(($L$2:INDEX($L:$L,COUNTA($C:$C))=$L181)*($B$2:INDEX($B:$B,COUNTA($C:$C))=$B181)*(ROW($L$2:INDEX($L:$L,COUNTA($C:$C)))&lt;&gt;ROW())*((((($W181+$BT$2:INDEX($BT:$BT,COUNTA($C:$C))-ABS($W181-$BT$2:INDEX($BT:$BT,COUNTA($C:$C))))/2)-(($U181+$BS$2:INDEX($BS:$BS,COUNTA($C:$C))+ABS($U181-$BS$2:INDEX($BS:$BS,COUNTA($C:$C))))/2))+ABS(((($W181+$BT$2:INDEX($BT:$BT,COUNTA($C:$C))-ABS($W181-$BT$2:INDEX($BT:$BT,COUNTA($C:$C))))/2)-(($U181+$BS$2:INDEX($BS:$BS,COUNTA($C:$C))+ABS($U181-$BS$2:INDEX($BS:$BS,COUNTA($C:$C))))/2))))/2)),4),0)))))</f>
        <v/>
      </c>
      <c r="BE181" s="39" t="str">
        <f aca="false">IF($A181="","",IF($AC181="","",ROUND(MIN($AC181-$BD181,N($R181)),0)))</f>
        <v/>
      </c>
      <c r="BF181" s="10" t="str">
        <f aca="false">IF($A181="","",IFERROR(VLOOKUP($C181,Dim_Fund!$A:$BD,56,0),""))</f>
        <v/>
      </c>
      <c r="BG181" s="10" t="str">
        <f aca="false">IF($A181="","",IFERROR(VLOOKUP($C181,Dim_Fund!$A:$BH,60,0),""))</f>
        <v/>
      </c>
      <c r="BH181" s="10" t="str">
        <f aca="false">IF($A181="","",IF($AI181&lt;&gt;"Yes","Not breached",IF($AM181="Yes","Pricing late",IF($BG181="Thin custody slack","Thin custody slack",IF($BF181="Yes","Broker-dependent","None of these")))))</f>
        <v/>
      </c>
      <c r="BI181" s="23" t="str">
        <f aca="false">IF($A181="","",IFERROR(IF(VLOOKUP($C181,Dim_Fund!$A:$AI,35,0)&gt;0,VLOOKUP($C181,Dim_Fund!$A:$AI,35,0),""),""))</f>
        <v/>
      </c>
      <c r="BJ181" s="10" t="str">
        <f aca="false">IF($A181="","",$C181&amp;IF($E181="Client","*",""))</f>
        <v/>
      </c>
      <c r="BK181" s="39" t="str">
        <f aca="false">IF($A181="","",IFERROR(ROUND(($Y181-$X181)*1440,0),""))</f>
        <v/>
      </c>
      <c r="BL181" s="39" t="str">
        <f aca="false">IF($A181="","",IF($AH181="","",-$AH181))</f>
        <v/>
      </c>
      <c r="BM181" s="46" t="str">
        <f aca="false">IF($A181="","",IF($AQ181="","",IF($AP181="",$AQ181,MIN($AP181,$AQ181))))</f>
        <v/>
      </c>
      <c r="BN181" s="46" t="str">
        <f aca="false">IF($A181="","",IF($BM181="","",ROUND(N($AC181)/60,4)))</f>
        <v/>
      </c>
      <c r="BO181" s="46" t="str">
        <f aca="false">IF($A181="","",IF(OR($BM181="",$AD181=""),"",ROUND($AD181/60,4)))</f>
        <v/>
      </c>
      <c r="BP181" s="46" t="str">
        <f aca="false">IF($A181="","",IF($BM181="","",ROUND(N($AE181)/60,4)))</f>
        <v/>
      </c>
      <c r="BQ181" s="46" t="str">
        <f aca="false">IF($A181="","",IF(OR($BM181="",$AF181=""),"",ROUND($AF181/60,4)))</f>
        <v/>
      </c>
      <c r="BR181" s="39" t="str">
        <f aca="false">IF($A181="","",IF($AC181="","",$AC181-$BD181-$BE181))</f>
        <v/>
      </c>
      <c r="BS181" s="45" t="str">
        <f aca="false">IF($A181="","",IF(AND(ISNUMBER($Z181),ISNUMBER($W181)),$Z181,0))</f>
        <v/>
      </c>
      <c r="BT181" s="45" t="str">
        <f aca="false">IF($A181="","",IF(ISNUMBER($W181),$W181,0))</f>
        <v/>
      </c>
      <c r="BU181" s="23" t="str">
        <f aca="false">IF($A181="","",IF(ISNUMBER($W181),ROUND(($W181-$B181)*24,4),""))</f>
        <v/>
      </c>
      <c r="BV181" s="23" t="str">
        <f aca="false">IF($A181="","",IF(ISNUMBER($X181),ROUND(($X181-$B181)*24,4),""))</f>
        <v/>
      </c>
      <c r="BW181" s="10" t="str">
        <f aca="false">IF($A181="","",IF(NOT(ISNUMBER($W181)),"Missing Calculated",IF(NOT(ISNUMBER($X181)),IF($E181="Client","Missing FA signed off","Missing Controlled"),IF($X181&lt;$W181,"End before start","OK"))))</f>
        <v/>
      </c>
      <c r="BX181" s="23" t="str">
        <f aca="false">IF($A181="","",IF(NOT(ISNUMBER($Z181)),"",ROUND((IF(ISNUMBER($U181),MIN($U181,$Z181),$Z181)-$B181)*24,4)))</f>
        <v/>
      </c>
      <c r="BY181" s="23" t="str">
        <f aca="false">IF($A181="","",IF(ISNUMBER($Z181),ROUND(($Z181-$B181)*24,4),""))</f>
        <v/>
      </c>
      <c r="BZ181" s="23" t="str">
        <f aca="false">IF($A181="","",IF(AND(ISNUMBER($W181),ISNUMBER($S181)),ROUND(($W181+$S181/1440-$B181)*24,4),""))</f>
        <v/>
      </c>
    </row>
    <row r="182" customFormat="false" ht="15" hidden="false" customHeight="true" outlineLevel="0" collapsed="false">
      <c r="A182" s="47"/>
      <c r="B182" s="47"/>
      <c r="D182" s="4" t="str">
        <f aca="false">IF($A182="","",$B182-$A182)</f>
        <v/>
      </c>
      <c r="E182" s="4" t="str">
        <f aca="false">IF($A182="","",IFERROR(VLOOKUP($C182,Dim_Fund!$A:$X,24,0),""))</f>
        <v/>
      </c>
      <c r="F182" s="37" t="str">
        <f aca="false">IF($A182="","",IF(COUNTIFS(Status_Log!$A:$A,$A182,Status_Log!$B:$B,$B182,Status_Log!$C:$C,$C182,Status_Log!$D:$D,"Changed to the status of Calculated")=0,"",_xlfn.MINIFS(Status_Log!$E:$E,Status_Log!$A:$A,$A182,Status_Log!$B:$B,$B182,Status_Log!$C:$C,$C182,Status_Log!$D:$D,"Changed to the status of Calculated")))</f>
        <v/>
      </c>
      <c r="G182" s="37" t="str">
        <f aca="false">IF($A182="","",IF(COUNTIFS(Status_Log!$A:$A,$A182,Status_Log!$B:$B,$B182,Status_Log!$C:$C,$C182,Status_Log!$D:$D,"Changed to the status of Controlled")=0,"",_xlfn.MAXIFS(Status_Log!$E:$E,Status_Log!$A:$A,$A182,Status_Log!$B:$B,$B182,Status_Log!$C:$C,$C182,Status_Log!$D:$D,"Changed to the status of Controlled")))</f>
        <v/>
      </c>
      <c r="H182" s="37" t="str">
        <f aca="false">IF($A182="","",IF(COUNTIFS(Status_Log!$A:$A,$A182,Status_Log!$B:$B,$B182,Status_Log!$C:$C,$C182,Status_Log!$D:$D,"Changed to the status of Fund accounting signed off")=0,"",_xlfn.MAXIFS(Status_Log!$E:$E,Status_Log!$A:$A,$A182,Status_Log!$B:$B,$B182,Status_Log!$C:$C,$C182,Status_Log!$D:$D,"Changed to the status of Fund accounting signed off")))</f>
        <v/>
      </c>
      <c r="I182" s="37" t="str">
        <f aca="false">IF($A182="","",IF(COUNTIFS(Status_Log!$A:$A,$A182,Status_Log!$B:$B,$B182,Status_Log!$C:$C,$C182,Status_Log!$D:$D,"Changed to the status of signed off")=0,"",_xlfn.MAXIFS(Status_Log!$E:$E,Status_Log!$A:$A,$A182,Status_Log!$B:$B,$B182,Status_Log!$C:$C,$C182,Status_Log!$D:$D,"Changed to the status of signed off")))</f>
        <v/>
      </c>
      <c r="J182" s="4" t="str">
        <f aca="false">IF($A182="","",COUNTIFS(Status_Log!$A:$A,$A182,Status_Log!$B:$B,$B182,Status_Log!$C:$C,$C182,Status_Log!$D:$D,"Changed to the status of Calculated"))</f>
        <v/>
      </c>
      <c r="K182" s="38" t="str">
        <f aca="false">IF($A182="","",IF(J182&lt;=1,0,ROUND((_xlfn.MAXIFS(Status_Log!$E:$E,Status_Log!$A:$A,$A182,Status_Log!$B:$B,$B182,Status_Log!$C:$C,$C182,Status_Log!$D:$D,"Changed to the status of Calculated")-F182)*1440,0)))</f>
        <v/>
      </c>
      <c r="L182" s="4" t="str">
        <f aca="false">IF($A182="","",IFERROR(INDEX(Status_Log!$F:$F,MATCH($A182&amp;"|"&amp;$B182&amp;"|"&amp;$C182&amp;"|Changed to the status of Calculated|"&amp;TEXT(_xlfn.MAXIFS(Status_Log!$E:$E,Status_Log!$A:$A,$A182,Status_Log!$B:$B,$B182,Status_Log!$C:$C,$C182,Status_Log!$D:$D,"Changed to the status of Calculated"),"0.000000"),Status_Log!$H:$H,0)),""))</f>
        <v/>
      </c>
      <c r="M182" s="4" t="str">
        <f aca="false">IF($A182="","",IF(E182="Client","n/a — no control step",IFERROR(INDEX(Status_Log!$F:$F,MATCH($A182&amp;"|"&amp;$B182&amp;"|"&amp;$C182&amp;"|Changed to the status of Controlled|"&amp;TEXT(_xlfn.MAXIFS(Status_Log!$E:$E,Status_Log!$A:$A,$A182,Status_Log!$B:$B,$B182,Status_Log!$C:$C,$C182,Status_Log!$D:$D,"Changed to the status of Controlled"),"0.000000"),Status_Log!$H:$H,0)),"")))</f>
        <v/>
      </c>
      <c r="N182" s="4" t="str">
        <f aca="false">IF($A182="","",IFERROR(VLOOKUP($C182,Dim_Fund!$A:$G,7,0),""))</f>
        <v/>
      </c>
      <c r="O182" s="4" t="str">
        <f aca="false">IF($A182="","",IF(L182=N182,"No","Yes"))</f>
        <v/>
      </c>
      <c r="P182" s="4" t="str">
        <f aca="false">IF($A182="","",IF(E182="Client","n/a",IF(L182=M182,"YES — four-eyes breach","No")))</f>
        <v/>
      </c>
      <c r="Q182" s="38" t="str">
        <f aca="false">IF($A182="","",IFERROR(VLOOKUP($C182,Dim_Fund!$A:$AB,28,0),""))</f>
        <v/>
      </c>
      <c r="R182" s="38" t="str">
        <f aca="false">IF($A182="","",IFERROR(VLOOKUP($C182,Dim_Fund!$A:$AC,29,0),""))</f>
        <v/>
      </c>
      <c r="S182" s="38" t="str">
        <f aca="false">IF($A182="","",IFERROR(VLOOKUP($C182,Dim_Fund!$A:$AD,30,0),""))</f>
        <v/>
      </c>
      <c r="T182" s="38" t="str">
        <f aca="false">IF($A182="","",IFERROR(VLOOKUP($C182,Dim_Fund!$A:$AL,38,0),""))</f>
        <v/>
      </c>
      <c r="U182" s="37" t="str">
        <f aca="false">IF($A182="","",IF(AL182="","",IFERROR(IF(COUNTIFS(Fact_Milestone!$A:$A,$B182,Fact_Milestone!$B:$B,AL182)=0,"",_xlfn.MAXIFS(Fact_Milestone!$C:$C,Fact_Milestone!$A:$A,$B182,Fact_Milestone!$B:$B,AL182)),"")))</f>
        <v/>
      </c>
      <c r="V182" s="37" t="str">
        <f aca="false">IF($A182="","",IFERROR(IF(VLOOKUP($C182,Dim_Fund!$A:$AI,35,0)&gt;0,$B182+VLOOKUP($C182,Dim_Fund!$A:$AI,35,0)/24,""),""))</f>
        <v/>
      </c>
      <c r="W182" s="37" t="str">
        <f aca="false">IF($A182="","",F182)</f>
        <v/>
      </c>
      <c r="X182" s="37" t="str">
        <f aca="false">IF($A182="","",IF(E182="Client",H182,G182))</f>
        <v/>
      </c>
      <c r="Y182" s="37" t="str">
        <f aca="false">IF($A182="","",I182)</f>
        <v/>
      </c>
      <c r="Z182" s="37" t="str">
        <f aca="false">IF($A182="","",IFERROR(W182-R182/1440,""))</f>
        <v/>
      </c>
      <c r="AA182" s="38" t="str">
        <f aca="false">IF($A182="","",IF(OR(U182="",V182=""),"",ROUND((V182-U182)*1440,0)))</f>
        <v/>
      </c>
      <c r="AB182" s="38" t="str">
        <f aca="false">IF($A182="","",IF(U182="","",ROUND((W182-U182)*1440,0)))</f>
        <v/>
      </c>
      <c r="AC182" s="38" t="str">
        <f aca="false">IF($A182="","",IF(AB182="","",MAX(0,AB182)))</f>
        <v/>
      </c>
      <c r="AD182" s="38" t="str">
        <f aca="false">IF($A182="","",IFERROR(ROUND((X182-W182)*1440,0),""))</f>
        <v/>
      </c>
      <c r="AE182" s="38" t="str">
        <f aca="false">IF($A182="","",IF(E182="Client","n/a",IFERROR(ROUND((H182-G182)*1440,0),"")))</f>
        <v/>
      </c>
      <c r="AF182" s="38" t="str">
        <f aca="false">IF($A182="","",IFERROR(ROUND((Y182-H182)*1440,0),""))</f>
        <v/>
      </c>
      <c r="AG182" s="38" t="str">
        <f aca="false">IF($A182="","",IFERROR(ROUND((H182-F182)*1440,0),""))</f>
        <v/>
      </c>
      <c r="AH182" s="38" t="str">
        <f aca="false">IF($A182="","",IFERROR(ROUND((Y182-V182)*1440,0),""))</f>
        <v/>
      </c>
      <c r="AI182" s="4" t="str">
        <f aca="false">IF($A182="","",IF(AH182="","",IF(AH182&gt;0,"Yes","No")))</f>
        <v/>
      </c>
      <c r="AJ182" s="4" t="str">
        <f aca="false">IF($A182="","",IF(AI182&lt;&gt;"Yes","On time",IF(N(AC182)&gt;=MAX(N(AF182),N(K182)),"Wait for analyst",IF(N(AF182)&gt;=N(K182),"External sign-off","Rework"))))</f>
        <v/>
      </c>
      <c r="AK182" s="4" t="str">
        <f aca="false">IF($A182="","",IF(OR(F182="",Y182="",ISNA(MATCH(L182,Dim_Analyst!$A:$A,0))),"CHECK","OK"))</f>
        <v/>
      </c>
      <c r="AL182" s="4" t="str">
        <f aca="false">IF($A182="","",IFERROR(VLOOKUP($C182,Dim_Fund!$A:$U,21,0),""))</f>
        <v/>
      </c>
      <c r="AM182" s="4" t="str">
        <f aca="false">IF($A182="","",IF($U182="","",IF($U182&gt;$B182+IFERROR(VLOOKUP($C182,Dim_Fund!$A:$AH,34,0),0)/24,"Yes","No")))</f>
        <v/>
      </c>
      <c r="AN182" s="22" t="str">
        <f aca="false">IF($A182="","",IFERROR(VLOOKUP($C182,Dim_Fund!$A:$AH,34,0),""))</f>
        <v/>
      </c>
      <c r="AO182" s="22" t="str">
        <f aca="false">IF($A182="","",IF($AL182="","",IFERROR(FLOOR(IF(COUNTIFS(Fact_Milestone!$A:$A,$B182,Fact_Milestone!$B:$B,$AL182,Fact_Milestone!$F:$F,"&gt;0")&gt;0,_xlfn.MINIFS(Fact_Milestone!$F:$F,Fact_Milestone!$A:$A,$B182,Fact_Milestone!$B:$B,$AL182,Fact_Milestone!$F:$F,"&gt;0"),VLOOKUP($AL182,Dim_TOP!$A:$E,5,0)),0.5),"")))</f>
        <v/>
      </c>
      <c r="AP182" s="22" t="str">
        <f aca="false">IF($A182="","",IF($U182="","",ROUND(($U182-INT($U182))*24,4)))</f>
        <v/>
      </c>
      <c r="AQ182" s="22" t="str">
        <f aca="false">IF($A182="","",IF($W182="","",ROUND(($W182-INT($W182))*24,4)))</f>
        <v/>
      </c>
      <c r="AR182" s="22" t="str">
        <f aca="false">IF($A182="","",IF($X182="","",ROUND(($X182-INT($X182))*24,4)))</f>
        <v/>
      </c>
      <c r="AS182" s="38" t="str">
        <f aca="false">IF($A182="","",IF(OR($AN182="",$V182="",$S182="",$T182=""),"",ROUND(($V182-($B182+$AN182/24))*1440-$S182-$T182,0)))</f>
        <v/>
      </c>
      <c r="AT182" s="38" t="str">
        <f aca="false">IF($A182="","",IF(OR($AN182="",$U182=""),"",ROUND(($U182-($B182+$AN182/24))*1440,0)))</f>
        <v/>
      </c>
      <c r="AU182" s="38" t="str">
        <f aca="false">IF($A182="","",IF(OR($AD182="",$S182=""),"",ROUND($AD182-$S182,0)))</f>
        <v/>
      </c>
      <c r="AV182" s="38" t="str">
        <f aca="false">IF($A182="","",N($AE182))</f>
        <v/>
      </c>
      <c r="AW182" s="38" t="str">
        <f aca="false">IF($A182="","",IF(OR($AF182="",$T182=""),"",$AF182-$T182))</f>
        <v/>
      </c>
      <c r="AX182" s="38" t="str">
        <f aca="false">IF($A182="","",IF(COUNT($AT182,$AB182,$AU182,$AW182,$AS182,$AH182)&lt;6,"",ROUND($AT182+$AB182+$AU182+$AV182+$AW182-$AS182-$AH182,0)))</f>
        <v/>
      </c>
      <c r="AY182" s="4" t="str">
        <f aca="false">IF($A182="","",IF($AX182="","No",IF(ABS($AX182)&lt;=2,"Yes","No")))</f>
        <v/>
      </c>
      <c r="AZ182" s="4" t="str">
        <f aca="false">IF($A182="","",IF($AI182&lt;&gt;"Yes","n/a",IF(OR($AA182="",$S182="",$T182=""),"Unknown",IF($AA182&lt;$S182+$T182,"Lost on arrival","Lost after arrival"))))</f>
        <v/>
      </c>
      <c r="BA182" s="10" t="str">
        <f aca="false">IF($A182="","",IFERROR(VLOOKUP($C182,Dim_Fund!$A:$D,4,0),""))</f>
        <v/>
      </c>
      <c r="BB182" s="10" t="str">
        <f aca="false">IF($A182="","",IF($AL182="","",IF(COUNTIFS(Fact_Milestone!$A:$A,$B182,Fact_Milestone!$B:$B,$AL182,Fact_Milestone!$I:$I,"No")&gt;0,"No",IF(COUNTIFS(Fact_Milestone!$A:$A,$B182,Fact_Milestone!$B:$B,$AL182,Fact_Milestone!$I:$I,"Yes")&gt;0,"Yes",""))))</f>
        <v/>
      </c>
      <c r="BC182" s="45" t="str">
        <f aca="false">IF($A182="","",IF(OR($L182="",$W182=""),"",IF(COUNTIFS($L:$L,$L182,$B:$B,$B182,$W:$W,"&lt;"&amp;$W182)=0,"",_xlfn.MAXIFS($W:$W,$L:$L,$L182,$B:$B,$B182,$W:$W,"&lt;"&amp;$W182))))</f>
        <v/>
      </c>
      <c r="BD182" s="39" t="str">
        <f aca="false">IF($A182="","",IF($AC182="","",IF(OR($L182="",$AC182=0),0,MIN($AC182,ROUND(ROUND(1440*SUMPRODUCT(($L$2:INDEX($L:$L,COUNTA($C:$C))=$L182)*($B$2:INDEX($B:$B,COUNTA($C:$C))=$B182)*(ROW($L$2:INDEX($L:$L,COUNTA($C:$C)))&lt;&gt;ROW())*((((($W182+$BT$2:INDEX($BT:$BT,COUNTA($C:$C))-ABS($W182-$BT$2:INDEX($BT:$BT,COUNTA($C:$C))))/2)-(($U182+$BS$2:INDEX($BS:$BS,COUNTA($C:$C))+ABS($U182-$BS$2:INDEX($BS:$BS,COUNTA($C:$C))))/2))+ABS(((($W182+$BT$2:INDEX($BT:$BT,COUNTA($C:$C))-ABS($W182-$BT$2:INDEX($BT:$BT,COUNTA($C:$C))))/2)-(($U182+$BS$2:INDEX($BS:$BS,COUNTA($C:$C))+ABS($U182-$BS$2:INDEX($BS:$BS,COUNTA($C:$C))))/2))))/2)),4),0)))))</f>
        <v/>
      </c>
      <c r="BE182" s="39" t="str">
        <f aca="false">IF($A182="","",IF($AC182="","",ROUND(MIN($AC182-$BD182,N($R182)),0)))</f>
        <v/>
      </c>
      <c r="BF182" s="10" t="str">
        <f aca="false">IF($A182="","",IFERROR(VLOOKUP($C182,Dim_Fund!$A:$BD,56,0),""))</f>
        <v/>
      </c>
      <c r="BG182" s="10" t="str">
        <f aca="false">IF($A182="","",IFERROR(VLOOKUP($C182,Dim_Fund!$A:$BH,60,0),""))</f>
        <v/>
      </c>
      <c r="BH182" s="10" t="str">
        <f aca="false">IF($A182="","",IF($AI182&lt;&gt;"Yes","Not breached",IF($AM182="Yes","Pricing late",IF($BG182="Thin custody slack","Thin custody slack",IF($BF182="Yes","Broker-dependent","None of these")))))</f>
        <v/>
      </c>
      <c r="BI182" s="23" t="str">
        <f aca="false">IF($A182="","",IFERROR(IF(VLOOKUP($C182,Dim_Fund!$A:$AI,35,0)&gt;0,VLOOKUP($C182,Dim_Fund!$A:$AI,35,0),""),""))</f>
        <v/>
      </c>
      <c r="BJ182" s="10" t="str">
        <f aca="false">IF($A182="","",$C182&amp;IF($E182="Client","*",""))</f>
        <v/>
      </c>
      <c r="BK182" s="39" t="str">
        <f aca="false">IF($A182="","",IFERROR(ROUND(($Y182-$X182)*1440,0),""))</f>
        <v/>
      </c>
      <c r="BL182" s="39" t="str">
        <f aca="false">IF($A182="","",IF($AH182="","",-$AH182))</f>
        <v/>
      </c>
      <c r="BM182" s="46" t="str">
        <f aca="false">IF($A182="","",IF($AQ182="","",IF($AP182="",$AQ182,MIN($AP182,$AQ182))))</f>
        <v/>
      </c>
      <c r="BN182" s="46" t="str">
        <f aca="false">IF($A182="","",IF($BM182="","",ROUND(N($AC182)/60,4)))</f>
        <v/>
      </c>
      <c r="BO182" s="46" t="str">
        <f aca="false">IF($A182="","",IF(OR($BM182="",$AD182=""),"",ROUND($AD182/60,4)))</f>
        <v/>
      </c>
      <c r="BP182" s="46" t="str">
        <f aca="false">IF($A182="","",IF($BM182="","",ROUND(N($AE182)/60,4)))</f>
        <v/>
      </c>
      <c r="BQ182" s="46" t="str">
        <f aca="false">IF($A182="","",IF(OR($BM182="",$AF182=""),"",ROUND($AF182/60,4)))</f>
        <v/>
      </c>
      <c r="BR182" s="39" t="str">
        <f aca="false">IF($A182="","",IF($AC182="","",$AC182-$BD182-$BE182))</f>
        <v/>
      </c>
      <c r="BS182" s="45" t="str">
        <f aca="false">IF($A182="","",IF(AND(ISNUMBER($Z182),ISNUMBER($W182)),$Z182,0))</f>
        <v/>
      </c>
      <c r="BT182" s="45" t="str">
        <f aca="false">IF($A182="","",IF(ISNUMBER($W182),$W182,0))</f>
        <v/>
      </c>
      <c r="BU182" s="23" t="str">
        <f aca="false">IF($A182="","",IF(ISNUMBER($W182),ROUND(($W182-$B182)*24,4),""))</f>
        <v/>
      </c>
      <c r="BV182" s="23" t="str">
        <f aca="false">IF($A182="","",IF(ISNUMBER($X182),ROUND(($X182-$B182)*24,4),""))</f>
        <v/>
      </c>
      <c r="BW182" s="10" t="str">
        <f aca="false">IF($A182="","",IF(NOT(ISNUMBER($W182)),"Missing Calculated",IF(NOT(ISNUMBER($X182)),IF($E182="Client","Missing FA signed off","Missing Controlled"),IF($X182&lt;$W182,"End before start","OK"))))</f>
        <v/>
      </c>
      <c r="BX182" s="23" t="str">
        <f aca="false">IF($A182="","",IF(NOT(ISNUMBER($Z182)),"",ROUND((IF(ISNUMBER($U182),MIN($U182,$Z182),$Z182)-$B182)*24,4)))</f>
        <v/>
      </c>
      <c r="BY182" s="23" t="str">
        <f aca="false">IF($A182="","",IF(ISNUMBER($Z182),ROUND(($Z182-$B182)*24,4),""))</f>
        <v/>
      </c>
      <c r="BZ182" s="23" t="str">
        <f aca="false">IF($A182="","",IF(AND(ISNUMBER($W182),ISNUMBER($S182)),ROUND(($W182+$S182/1440-$B182)*24,4),""))</f>
        <v/>
      </c>
    </row>
    <row r="183" customFormat="false" ht="15" hidden="false" customHeight="true" outlineLevel="0" collapsed="false">
      <c r="A183" s="47"/>
      <c r="B183" s="47"/>
      <c r="D183" s="4" t="str">
        <f aca="false">IF($A183="","",$B183-$A183)</f>
        <v/>
      </c>
      <c r="E183" s="4" t="str">
        <f aca="false">IF($A183="","",IFERROR(VLOOKUP($C183,Dim_Fund!$A:$X,24,0),""))</f>
        <v/>
      </c>
      <c r="F183" s="37" t="str">
        <f aca="false">IF($A183="","",IF(COUNTIFS(Status_Log!$A:$A,$A183,Status_Log!$B:$B,$B183,Status_Log!$C:$C,$C183,Status_Log!$D:$D,"Changed to the status of Calculated")=0,"",_xlfn.MINIFS(Status_Log!$E:$E,Status_Log!$A:$A,$A183,Status_Log!$B:$B,$B183,Status_Log!$C:$C,$C183,Status_Log!$D:$D,"Changed to the status of Calculated")))</f>
        <v/>
      </c>
      <c r="G183" s="37" t="str">
        <f aca="false">IF($A183="","",IF(COUNTIFS(Status_Log!$A:$A,$A183,Status_Log!$B:$B,$B183,Status_Log!$C:$C,$C183,Status_Log!$D:$D,"Changed to the status of Controlled")=0,"",_xlfn.MAXIFS(Status_Log!$E:$E,Status_Log!$A:$A,$A183,Status_Log!$B:$B,$B183,Status_Log!$C:$C,$C183,Status_Log!$D:$D,"Changed to the status of Controlled")))</f>
        <v/>
      </c>
      <c r="H183" s="37" t="str">
        <f aca="false">IF($A183="","",IF(COUNTIFS(Status_Log!$A:$A,$A183,Status_Log!$B:$B,$B183,Status_Log!$C:$C,$C183,Status_Log!$D:$D,"Changed to the status of Fund accounting signed off")=0,"",_xlfn.MAXIFS(Status_Log!$E:$E,Status_Log!$A:$A,$A183,Status_Log!$B:$B,$B183,Status_Log!$C:$C,$C183,Status_Log!$D:$D,"Changed to the status of Fund accounting signed off")))</f>
        <v/>
      </c>
      <c r="I183" s="37" t="str">
        <f aca="false">IF($A183="","",IF(COUNTIFS(Status_Log!$A:$A,$A183,Status_Log!$B:$B,$B183,Status_Log!$C:$C,$C183,Status_Log!$D:$D,"Changed to the status of signed off")=0,"",_xlfn.MAXIFS(Status_Log!$E:$E,Status_Log!$A:$A,$A183,Status_Log!$B:$B,$B183,Status_Log!$C:$C,$C183,Status_Log!$D:$D,"Changed to the status of signed off")))</f>
        <v/>
      </c>
      <c r="J183" s="4" t="str">
        <f aca="false">IF($A183="","",COUNTIFS(Status_Log!$A:$A,$A183,Status_Log!$B:$B,$B183,Status_Log!$C:$C,$C183,Status_Log!$D:$D,"Changed to the status of Calculated"))</f>
        <v/>
      </c>
      <c r="K183" s="38" t="str">
        <f aca="false">IF($A183="","",IF(J183&lt;=1,0,ROUND((_xlfn.MAXIFS(Status_Log!$E:$E,Status_Log!$A:$A,$A183,Status_Log!$B:$B,$B183,Status_Log!$C:$C,$C183,Status_Log!$D:$D,"Changed to the status of Calculated")-F183)*1440,0)))</f>
        <v/>
      </c>
      <c r="L183" s="4" t="str">
        <f aca="false">IF($A183="","",IFERROR(INDEX(Status_Log!$F:$F,MATCH($A183&amp;"|"&amp;$B183&amp;"|"&amp;$C183&amp;"|Changed to the status of Calculated|"&amp;TEXT(_xlfn.MAXIFS(Status_Log!$E:$E,Status_Log!$A:$A,$A183,Status_Log!$B:$B,$B183,Status_Log!$C:$C,$C183,Status_Log!$D:$D,"Changed to the status of Calculated"),"0.000000"),Status_Log!$H:$H,0)),""))</f>
        <v/>
      </c>
      <c r="M183" s="4" t="str">
        <f aca="false">IF($A183="","",IF(E183="Client","n/a — no control step",IFERROR(INDEX(Status_Log!$F:$F,MATCH($A183&amp;"|"&amp;$B183&amp;"|"&amp;$C183&amp;"|Changed to the status of Controlled|"&amp;TEXT(_xlfn.MAXIFS(Status_Log!$E:$E,Status_Log!$A:$A,$A183,Status_Log!$B:$B,$B183,Status_Log!$C:$C,$C183,Status_Log!$D:$D,"Changed to the status of Controlled"),"0.000000"),Status_Log!$H:$H,0)),"")))</f>
        <v/>
      </c>
      <c r="N183" s="4" t="str">
        <f aca="false">IF($A183="","",IFERROR(VLOOKUP($C183,Dim_Fund!$A:$G,7,0),""))</f>
        <v/>
      </c>
      <c r="O183" s="4" t="str">
        <f aca="false">IF($A183="","",IF(L183=N183,"No","Yes"))</f>
        <v/>
      </c>
      <c r="P183" s="4" t="str">
        <f aca="false">IF($A183="","",IF(E183="Client","n/a",IF(L183=M183,"YES — four-eyes breach","No")))</f>
        <v/>
      </c>
      <c r="Q183" s="38" t="str">
        <f aca="false">IF($A183="","",IFERROR(VLOOKUP($C183,Dim_Fund!$A:$AB,28,0),""))</f>
        <v/>
      </c>
      <c r="R183" s="38" t="str">
        <f aca="false">IF($A183="","",IFERROR(VLOOKUP($C183,Dim_Fund!$A:$AC,29,0),""))</f>
        <v/>
      </c>
      <c r="S183" s="38" t="str">
        <f aca="false">IF($A183="","",IFERROR(VLOOKUP($C183,Dim_Fund!$A:$AD,30,0),""))</f>
        <v/>
      </c>
      <c r="T183" s="38" t="str">
        <f aca="false">IF($A183="","",IFERROR(VLOOKUP($C183,Dim_Fund!$A:$AL,38,0),""))</f>
        <v/>
      </c>
      <c r="U183" s="37" t="str">
        <f aca="false">IF($A183="","",IF(AL183="","",IFERROR(IF(COUNTIFS(Fact_Milestone!$A:$A,$B183,Fact_Milestone!$B:$B,AL183)=0,"",_xlfn.MAXIFS(Fact_Milestone!$C:$C,Fact_Milestone!$A:$A,$B183,Fact_Milestone!$B:$B,AL183)),"")))</f>
        <v/>
      </c>
      <c r="V183" s="37" t="str">
        <f aca="false">IF($A183="","",IFERROR(IF(VLOOKUP($C183,Dim_Fund!$A:$AI,35,0)&gt;0,$B183+VLOOKUP($C183,Dim_Fund!$A:$AI,35,0)/24,""),""))</f>
        <v/>
      </c>
      <c r="W183" s="37" t="str">
        <f aca="false">IF($A183="","",F183)</f>
        <v/>
      </c>
      <c r="X183" s="37" t="str">
        <f aca="false">IF($A183="","",IF(E183="Client",H183,G183))</f>
        <v/>
      </c>
      <c r="Y183" s="37" t="str">
        <f aca="false">IF($A183="","",I183)</f>
        <v/>
      </c>
      <c r="Z183" s="37" t="str">
        <f aca="false">IF($A183="","",IFERROR(W183-R183/1440,""))</f>
        <v/>
      </c>
      <c r="AA183" s="38" t="str">
        <f aca="false">IF($A183="","",IF(OR(U183="",V183=""),"",ROUND((V183-U183)*1440,0)))</f>
        <v/>
      </c>
      <c r="AB183" s="38" t="str">
        <f aca="false">IF($A183="","",IF(U183="","",ROUND((W183-U183)*1440,0)))</f>
        <v/>
      </c>
      <c r="AC183" s="38" t="str">
        <f aca="false">IF($A183="","",IF(AB183="","",MAX(0,AB183)))</f>
        <v/>
      </c>
      <c r="AD183" s="38" t="str">
        <f aca="false">IF($A183="","",IFERROR(ROUND((X183-W183)*1440,0),""))</f>
        <v/>
      </c>
      <c r="AE183" s="38" t="str">
        <f aca="false">IF($A183="","",IF(E183="Client","n/a",IFERROR(ROUND((H183-G183)*1440,0),"")))</f>
        <v/>
      </c>
      <c r="AF183" s="38" t="str">
        <f aca="false">IF($A183="","",IFERROR(ROUND((Y183-H183)*1440,0),""))</f>
        <v/>
      </c>
      <c r="AG183" s="38" t="str">
        <f aca="false">IF($A183="","",IFERROR(ROUND((H183-F183)*1440,0),""))</f>
        <v/>
      </c>
      <c r="AH183" s="38" t="str">
        <f aca="false">IF($A183="","",IFERROR(ROUND((Y183-V183)*1440,0),""))</f>
        <v/>
      </c>
      <c r="AI183" s="4" t="str">
        <f aca="false">IF($A183="","",IF(AH183="","",IF(AH183&gt;0,"Yes","No")))</f>
        <v/>
      </c>
      <c r="AJ183" s="4" t="str">
        <f aca="false">IF($A183="","",IF(AI183&lt;&gt;"Yes","On time",IF(N(AC183)&gt;=MAX(N(AF183),N(K183)),"Wait for analyst",IF(N(AF183)&gt;=N(K183),"External sign-off","Rework"))))</f>
        <v/>
      </c>
      <c r="AK183" s="4" t="str">
        <f aca="false">IF($A183="","",IF(OR(F183="",Y183="",ISNA(MATCH(L183,Dim_Analyst!$A:$A,0))),"CHECK","OK"))</f>
        <v/>
      </c>
      <c r="AL183" s="4" t="str">
        <f aca="false">IF($A183="","",IFERROR(VLOOKUP($C183,Dim_Fund!$A:$U,21,0),""))</f>
        <v/>
      </c>
      <c r="AM183" s="4" t="str">
        <f aca="false">IF($A183="","",IF($U183="","",IF($U183&gt;$B183+IFERROR(VLOOKUP($C183,Dim_Fund!$A:$AH,34,0),0)/24,"Yes","No")))</f>
        <v/>
      </c>
      <c r="AN183" s="22" t="str">
        <f aca="false">IF($A183="","",IFERROR(VLOOKUP($C183,Dim_Fund!$A:$AH,34,0),""))</f>
        <v/>
      </c>
      <c r="AO183" s="22" t="str">
        <f aca="false">IF($A183="","",IF($AL183="","",IFERROR(FLOOR(IF(COUNTIFS(Fact_Milestone!$A:$A,$B183,Fact_Milestone!$B:$B,$AL183,Fact_Milestone!$F:$F,"&gt;0")&gt;0,_xlfn.MINIFS(Fact_Milestone!$F:$F,Fact_Milestone!$A:$A,$B183,Fact_Milestone!$B:$B,$AL183,Fact_Milestone!$F:$F,"&gt;0"),VLOOKUP($AL183,Dim_TOP!$A:$E,5,0)),0.5),"")))</f>
        <v/>
      </c>
      <c r="AP183" s="22" t="str">
        <f aca="false">IF($A183="","",IF($U183="","",ROUND(($U183-INT($U183))*24,4)))</f>
        <v/>
      </c>
      <c r="AQ183" s="22" t="str">
        <f aca="false">IF($A183="","",IF($W183="","",ROUND(($W183-INT($W183))*24,4)))</f>
        <v/>
      </c>
      <c r="AR183" s="22" t="str">
        <f aca="false">IF($A183="","",IF($X183="","",ROUND(($X183-INT($X183))*24,4)))</f>
        <v/>
      </c>
      <c r="AS183" s="38" t="str">
        <f aca="false">IF($A183="","",IF(OR($AN183="",$V183="",$S183="",$T183=""),"",ROUND(($V183-($B183+$AN183/24))*1440-$S183-$T183,0)))</f>
        <v/>
      </c>
      <c r="AT183" s="38" t="str">
        <f aca="false">IF($A183="","",IF(OR($AN183="",$U183=""),"",ROUND(($U183-($B183+$AN183/24))*1440,0)))</f>
        <v/>
      </c>
      <c r="AU183" s="38" t="str">
        <f aca="false">IF($A183="","",IF(OR($AD183="",$S183=""),"",ROUND($AD183-$S183,0)))</f>
        <v/>
      </c>
      <c r="AV183" s="38" t="str">
        <f aca="false">IF($A183="","",N($AE183))</f>
        <v/>
      </c>
      <c r="AW183" s="38" t="str">
        <f aca="false">IF($A183="","",IF(OR($AF183="",$T183=""),"",$AF183-$T183))</f>
        <v/>
      </c>
      <c r="AX183" s="38" t="str">
        <f aca="false">IF($A183="","",IF(COUNT($AT183,$AB183,$AU183,$AW183,$AS183,$AH183)&lt;6,"",ROUND($AT183+$AB183+$AU183+$AV183+$AW183-$AS183-$AH183,0)))</f>
        <v/>
      </c>
      <c r="AY183" s="4" t="str">
        <f aca="false">IF($A183="","",IF($AX183="","No",IF(ABS($AX183)&lt;=2,"Yes","No")))</f>
        <v/>
      </c>
      <c r="AZ183" s="4" t="str">
        <f aca="false">IF($A183="","",IF($AI183&lt;&gt;"Yes","n/a",IF(OR($AA183="",$S183="",$T183=""),"Unknown",IF($AA183&lt;$S183+$T183,"Lost on arrival","Lost after arrival"))))</f>
        <v/>
      </c>
      <c r="BA183" s="10" t="str">
        <f aca="false">IF($A183="","",IFERROR(VLOOKUP($C183,Dim_Fund!$A:$D,4,0),""))</f>
        <v/>
      </c>
      <c r="BB183" s="10" t="str">
        <f aca="false">IF($A183="","",IF($AL183="","",IF(COUNTIFS(Fact_Milestone!$A:$A,$B183,Fact_Milestone!$B:$B,$AL183,Fact_Milestone!$I:$I,"No")&gt;0,"No",IF(COUNTIFS(Fact_Milestone!$A:$A,$B183,Fact_Milestone!$B:$B,$AL183,Fact_Milestone!$I:$I,"Yes")&gt;0,"Yes",""))))</f>
        <v/>
      </c>
      <c r="BC183" s="45" t="str">
        <f aca="false">IF($A183="","",IF(OR($L183="",$W183=""),"",IF(COUNTIFS($L:$L,$L183,$B:$B,$B183,$W:$W,"&lt;"&amp;$W183)=0,"",_xlfn.MAXIFS($W:$W,$L:$L,$L183,$B:$B,$B183,$W:$W,"&lt;"&amp;$W183))))</f>
        <v/>
      </c>
      <c r="BD183" s="39" t="str">
        <f aca="false">IF($A183="","",IF($AC183="","",IF(OR($L183="",$AC183=0),0,MIN($AC183,ROUND(ROUND(1440*SUMPRODUCT(($L$2:INDEX($L:$L,COUNTA($C:$C))=$L183)*($B$2:INDEX($B:$B,COUNTA($C:$C))=$B183)*(ROW($L$2:INDEX($L:$L,COUNTA($C:$C)))&lt;&gt;ROW())*((((($W183+$BT$2:INDEX($BT:$BT,COUNTA($C:$C))-ABS($W183-$BT$2:INDEX($BT:$BT,COUNTA($C:$C))))/2)-(($U183+$BS$2:INDEX($BS:$BS,COUNTA($C:$C))+ABS($U183-$BS$2:INDEX($BS:$BS,COUNTA($C:$C))))/2))+ABS(((($W183+$BT$2:INDEX($BT:$BT,COUNTA($C:$C))-ABS($W183-$BT$2:INDEX($BT:$BT,COUNTA($C:$C))))/2)-(($U183+$BS$2:INDEX($BS:$BS,COUNTA($C:$C))+ABS($U183-$BS$2:INDEX($BS:$BS,COUNTA($C:$C))))/2))))/2)),4),0)))))</f>
        <v/>
      </c>
      <c r="BE183" s="39" t="str">
        <f aca="false">IF($A183="","",IF($AC183="","",ROUND(MIN($AC183-$BD183,N($R183)),0)))</f>
        <v/>
      </c>
      <c r="BF183" s="10" t="str">
        <f aca="false">IF($A183="","",IFERROR(VLOOKUP($C183,Dim_Fund!$A:$BD,56,0),""))</f>
        <v/>
      </c>
      <c r="BG183" s="10" t="str">
        <f aca="false">IF($A183="","",IFERROR(VLOOKUP($C183,Dim_Fund!$A:$BH,60,0),""))</f>
        <v/>
      </c>
      <c r="BH183" s="10" t="str">
        <f aca="false">IF($A183="","",IF($AI183&lt;&gt;"Yes","Not breached",IF($AM183="Yes","Pricing late",IF($BG183="Thin custody slack","Thin custody slack",IF($BF183="Yes","Broker-dependent","None of these")))))</f>
        <v/>
      </c>
      <c r="BI183" s="23" t="str">
        <f aca="false">IF($A183="","",IFERROR(IF(VLOOKUP($C183,Dim_Fund!$A:$AI,35,0)&gt;0,VLOOKUP($C183,Dim_Fund!$A:$AI,35,0),""),""))</f>
        <v/>
      </c>
      <c r="BJ183" s="10" t="str">
        <f aca="false">IF($A183="","",$C183&amp;IF($E183="Client","*",""))</f>
        <v/>
      </c>
      <c r="BK183" s="39" t="str">
        <f aca="false">IF($A183="","",IFERROR(ROUND(($Y183-$X183)*1440,0),""))</f>
        <v/>
      </c>
      <c r="BL183" s="39" t="str">
        <f aca="false">IF($A183="","",IF($AH183="","",-$AH183))</f>
        <v/>
      </c>
      <c r="BM183" s="46" t="str">
        <f aca="false">IF($A183="","",IF($AQ183="","",IF($AP183="",$AQ183,MIN($AP183,$AQ183))))</f>
        <v/>
      </c>
      <c r="BN183" s="46" t="str">
        <f aca="false">IF($A183="","",IF($BM183="","",ROUND(N($AC183)/60,4)))</f>
        <v/>
      </c>
      <c r="BO183" s="46" t="str">
        <f aca="false">IF($A183="","",IF(OR($BM183="",$AD183=""),"",ROUND($AD183/60,4)))</f>
        <v/>
      </c>
      <c r="BP183" s="46" t="str">
        <f aca="false">IF($A183="","",IF($BM183="","",ROUND(N($AE183)/60,4)))</f>
        <v/>
      </c>
      <c r="BQ183" s="46" t="str">
        <f aca="false">IF($A183="","",IF(OR($BM183="",$AF183=""),"",ROUND($AF183/60,4)))</f>
        <v/>
      </c>
      <c r="BR183" s="39" t="str">
        <f aca="false">IF($A183="","",IF($AC183="","",$AC183-$BD183-$BE183))</f>
        <v/>
      </c>
      <c r="BS183" s="45" t="str">
        <f aca="false">IF($A183="","",IF(AND(ISNUMBER($Z183),ISNUMBER($W183)),$Z183,0))</f>
        <v/>
      </c>
      <c r="BT183" s="45" t="str">
        <f aca="false">IF($A183="","",IF(ISNUMBER($W183),$W183,0))</f>
        <v/>
      </c>
      <c r="BU183" s="23" t="str">
        <f aca="false">IF($A183="","",IF(ISNUMBER($W183),ROUND(($W183-$B183)*24,4),""))</f>
        <v/>
      </c>
      <c r="BV183" s="23" t="str">
        <f aca="false">IF($A183="","",IF(ISNUMBER($X183),ROUND(($X183-$B183)*24,4),""))</f>
        <v/>
      </c>
      <c r="BW183" s="10" t="str">
        <f aca="false">IF($A183="","",IF(NOT(ISNUMBER($W183)),"Missing Calculated",IF(NOT(ISNUMBER($X183)),IF($E183="Client","Missing FA signed off","Missing Controlled"),IF($X183&lt;$W183,"End before start","OK"))))</f>
        <v/>
      </c>
      <c r="BX183" s="23" t="str">
        <f aca="false">IF($A183="","",IF(NOT(ISNUMBER($Z183)),"",ROUND((IF(ISNUMBER($U183),MIN($U183,$Z183),$Z183)-$B183)*24,4)))</f>
        <v/>
      </c>
      <c r="BY183" s="23" t="str">
        <f aca="false">IF($A183="","",IF(ISNUMBER($Z183),ROUND(($Z183-$B183)*24,4),""))</f>
        <v/>
      </c>
      <c r="BZ183" s="23" t="str">
        <f aca="false">IF($A183="","",IF(AND(ISNUMBER($W183),ISNUMBER($S183)),ROUND(($W183+$S183/1440-$B183)*24,4),""))</f>
        <v/>
      </c>
    </row>
    <row r="184" customFormat="false" ht="15" hidden="false" customHeight="true" outlineLevel="0" collapsed="false">
      <c r="A184" s="47"/>
      <c r="B184" s="47"/>
      <c r="D184" s="4" t="str">
        <f aca="false">IF($A184="","",$B184-$A184)</f>
        <v/>
      </c>
      <c r="E184" s="4" t="str">
        <f aca="false">IF($A184="","",IFERROR(VLOOKUP($C184,Dim_Fund!$A:$X,24,0),""))</f>
        <v/>
      </c>
      <c r="F184" s="37" t="str">
        <f aca="false">IF($A184="","",IF(COUNTIFS(Status_Log!$A:$A,$A184,Status_Log!$B:$B,$B184,Status_Log!$C:$C,$C184,Status_Log!$D:$D,"Changed to the status of Calculated")=0,"",_xlfn.MINIFS(Status_Log!$E:$E,Status_Log!$A:$A,$A184,Status_Log!$B:$B,$B184,Status_Log!$C:$C,$C184,Status_Log!$D:$D,"Changed to the status of Calculated")))</f>
        <v/>
      </c>
      <c r="G184" s="37" t="str">
        <f aca="false">IF($A184="","",IF(COUNTIFS(Status_Log!$A:$A,$A184,Status_Log!$B:$B,$B184,Status_Log!$C:$C,$C184,Status_Log!$D:$D,"Changed to the status of Controlled")=0,"",_xlfn.MAXIFS(Status_Log!$E:$E,Status_Log!$A:$A,$A184,Status_Log!$B:$B,$B184,Status_Log!$C:$C,$C184,Status_Log!$D:$D,"Changed to the status of Controlled")))</f>
        <v/>
      </c>
      <c r="H184" s="37" t="str">
        <f aca="false">IF($A184="","",IF(COUNTIFS(Status_Log!$A:$A,$A184,Status_Log!$B:$B,$B184,Status_Log!$C:$C,$C184,Status_Log!$D:$D,"Changed to the status of Fund accounting signed off")=0,"",_xlfn.MAXIFS(Status_Log!$E:$E,Status_Log!$A:$A,$A184,Status_Log!$B:$B,$B184,Status_Log!$C:$C,$C184,Status_Log!$D:$D,"Changed to the status of Fund accounting signed off")))</f>
        <v/>
      </c>
      <c r="I184" s="37" t="str">
        <f aca="false">IF($A184="","",IF(COUNTIFS(Status_Log!$A:$A,$A184,Status_Log!$B:$B,$B184,Status_Log!$C:$C,$C184,Status_Log!$D:$D,"Changed to the status of signed off")=0,"",_xlfn.MAXIFS(Status_Log!$E:$E,Status_Log!$A:$A,$A184,Status_Log!$B:$B,$B184,Status_Log!$C:$C,$C184,Status_Log!$D:$D,"Changed to the status of signed off")))</f>
        <v/>
      </c>
      <c r="J184" s="4" t="str">
        <f aca="false">IF($A184="","",COUNTIFS(Status_Log!$A:$A,$A184,Status_Log!$B:$B,$B184,Status_Log!$C:$C,$C184,Status_Log!$D:$D,"Changed to the status of Calculated"))</f>
        <v/>
      </c>
      <c r="K184" s="38" t="str">
        <f aca="false">IF($A184="","",IF(J184&lt;=1,0,ROUND((_xlfn.MAXIFS(Status_Log!$E:$E,Status_Log!$A:$A,$A184,Status_Log!$B:$B,$B184,Status_Log!$C:$C,$C184,Status_Log!$D:$D,"Changed to the status of Calculated")-F184)*1440,0)))</f>
        <v/>
      </c>
      <c r="L184" s="4" t="str">
        <f aca="false">IF($A184="","",IFERROR(INDEX(Status_Log!$F:$F,MATCH($A184&amp;"|"&amp;$B184&amp;"|"&amp;$C184&amp;"|Changed to the status of Calculated|"&amp;TEXT(_xlfn.MAXIFS(Status_Log!$E:$E,Status_Log!$A:$A,$A184,Status_Log!$B:$B,$B184,Status_Log!$C:$C,$C184,Status_Log!$D:$D,"Changed to the status of Calculated"),"0.000000"),Status_Log!$H:$H,0)),""))</f>
        <v/>
      </c>
      <c r="M184" s="4" t="str">
        <f aca="false">IF($A184="","",IF(E184="Client","n/a — no control step",IFERROR(INDEX(Status_Log!$F:$F,MATCH($A184&amp;"|"&amp;$B184&amp;"|"&amp;$C184&amp;"|Changed to the status of Controlled|"&amp;TEXT(_xlfn.MAXIFS(Status_Log!$E:$E,Status_Log!$A:$A,$A184,Status_Log!$B:$B,$B184,Status_Log!$C:$C,$C184,Status_Log!$D:$D,"Changed to the status of Controlled"),"0.000000"),Status_Log!$H:$H,0)),"")))</f>
        <v/>
      </c>
      <c r="N184" s="4" t="str">
        <f aca="false">IF($A184="","",IFERROR(VLOOKUP($C184,Dim_Fund!$A:$G,7,0),""))</f>
        <v/>
      </c>
      <c r="O184" s="4" t="str">
        <f aca="false">IF($A184="","",IF(L184=N184,"No","Yes"))</f>
        <v/>
      </c>
      <c r="P184" s="4" t="str">
        <f aca="false">IF($A184="","",IF(E184="Client","n/a",IF(L184=M184,"YES — four-eyes breach","No")))</f>
        <v/>
      </c>
      <c r="Q184" s="38" t="str">
        <f aca="false">IF($A184="","",IFERROR(VLOOKUP($C184,Dim_Fund!$A:$AB,28,0),""))</f>
        <v/>
      </c>
      <c r="R184" s="38" t="str">
        <f aca="false">IF($A184="","",IFERROR(VLOOKUP($C184,Dim_Fund!$A:$AC,29,0),""))</f>
        <v/>
      </c>
      <c r="S184" s="38" t="str">
        <f aca="false">IF($A184="","",IFERROR(VLOOKUP($C184,Dim_Fund!$A:$AD,30,0),""))</f>
        <v/>
      </c>
      <c r="T184" s="38" t="str">
        <f aca="false">IF($A184="","",IFERROR(VLOOKUP($C184,Dim_Fund!$A:$AL,38,0),""))</f>
        <v/>
      </c>
      <c r="U184" s="37" t="str">
        <f aca="false">IF($A184="","",IF(AL184="","",IFERROR(IF(COUNTIFS(Fact_Milestone!$A:$A,$B184,Fact_Milestone!$B:$B,AL184)=0,"",_xlfn.MAXIFS(Fact_Milestone!$C:$C,Fact_Milestone!$A:$A,$B184,Fact_Milestone!$B:$B,AL184)),"")))</f>
        <v/>
      </c>
      <c r="V184" s="37" t="str">
        <f aca="false">IF($A184="","",IFERROR(IF(VLOOKUP($C184,Dim_Fund!$A:$AI,35,0)&gt;0,$B184+VLOOKUP($C184,Dim_Fund!$A:$AI,35,0)/24,""),""))</f>
        <v/>
      </c>
      <c r="W184" s="37" t="str">
        <f aca="false">IF($A184="","",F184)</f>
        <v/>
      </c>
      <c r="X184" s="37" t="str">
        <f aca="false">IF($A184="","",IF(E184="Client",H184,G184))</f>
        <v/>
      </c>
      <c r="Y184" s="37" t="str">
        <f aca="false">IF($A184="","",I184)</f>
        <v/>
      </c>
      <c r="Z184" s="37" t="str">
        <f aca="false">IF($A184="","",IFERROR(W184-R184/1440,""))</f>
        <v/>
      </c>
      <c r="AA184" s="38" t="str">
        <f aca="false">IF($A184="","",IF(OR(U184="",V184=""),"",ROUND((V184-U184)*1440,0)))</f>
        <v/>
      </c>
      <c r="AB184" s="38" t="str">
        <f aca="false">IF($A184="","",IF(U184="","",ROUND((W184-U184)*1440,0)))</f>
        <v/>
      </c>
      <c r="AC184" s="38" t="str">
        <f aca="false">IF($A184="","",IF(AB184="","",MAX(0,AB184)))</f>
        <v/>
      </c>
      <c r="AD184" s="38" t="str">
        <f aca="false">IF($A184="","",IFERROR(ROUND((X184-W184)*1440,0),""))</f>
        <v/>
      </c>
      <c r="AE184" s="38" t="str">
        <f aca="false">IF($A184="","",IF(E184="Client","n/a",IFERROR(ROUND((H184-G184)*1440,0),"")))</f>
        <v/>
      </c>
      <c r="AF184" s="38" t="str">
        <f aca="false">IF($A184="","",IFERROR(ROUND((Y184-H184)*1440,0),""))</f>
        <v/>
      </c>
      <c r="AG184" s="38" t="str">
        <f aca="false">IF($A184="","",IFERROR(ROUND((H184-F184)*1440,0),""))</f>
        <v/>
      </c>
      <c r="AH184" s="38" t="str">
        <f aca="false">IF($A184="","",IFERROR(ROUND((Y184-V184)*1440,0),""))</f>
        <v/>
      </c>
      <c r="AI184" s="4" t="str">
        <f aca="false">IF($A184="","",IF(AH184="","",IF(AH184&gt;0,"Yes","No")))</f>
        <v/>
      </c>
      <c r="AJ184" s="4" t="str">
        <f aca="false">IF($A184="","",IF(AI184&lt;&gt;"Yes","On time",IF(N(AC184)&gt;=MAX(N(AF184),N(K184)),"Wait for analyst",IF(N(AF184)&gt;=N(K184),"External sign-off","Rework"))))</f>
        <v/>
      </c>
      <c r="AK184" s="4" t="str">
        <f aca="false">IF($A184="","",IF(OR(F184="",Y184="",ISNA(MATCH(L184,Dim_Analyst!$A:$A,0))),"CHECK","OK"))</f>
        <v/>
      </c>
      <c r="AL184" s="4" t="str">
        <f aca="false">IF($A184="","",IFERROR(VLOOKUP($C184,Dim_Fund!$A:$U,21,0),""))</f>
        <v/>
      </c>
      <c r="AM184" s="4" t="str">
        <f aca="false">IF($A184="","",IF($U184="","",IF($U184&gt;$B184+IFERROR(VLOOKUP($C184,Dim_Fund!$A:$AH,34,0),0)/24,"Yes","No")))</f>
        <v/>
      </c>
      <c r="AN184" s="22" t="str">
        <f aca="false">IF($A184="","",IFERROR(VLOOKUP($C184,Dim_Fund!$A:$AH,34,0),""))</f>
        <v/>
      </c>
      <c r="AO184" s="22" t="str">
        <f aca="false">IF($A184="","",IF($AL184="","",IFERROR(FLOOR(IF(COUNTIFS(Fact_Milestone!$A:$A,$B184,Fact_Milestone!$B:$B,$AL184,Fact_Milestone!$F:$F,"&gt;0")&gt;0,_xlfn.MINIFS(Fact_Milestone!$F:$F,Fact_Milestone!$A:$A,$B184,Fact_Milestone!$B:$B,$AL184,Fact_Milestone!$F:$F,"&gt;0"),VLOOKUP($AL184,Dim_TOP!$A:$E,5,0)),0.5),"")))</f>
        <v/>
      </c>
      <c r="AP184" s="22" t="str">
        <f aca="false">IF($A184="","",IF($U184="","",ROUND(($U184-INT($U184))*24,4)))</f>
        <v/>
      </c>
      <c r="AQ184" s="22" t="str">
        <f aca="false">IF($A184="","",IF($W184="","",ROUND(($W184-INT($W184))*24,4)))</f>
        <v/>
      </c>
      <c r="AR184" s="22" t="str">
        <f aca="false">IF($A184="","",IF($X184="","",ROUND(($X184-INT($X184))*24,4)))</f>
        <v/>
      </c>
      <c r="AS184" s="38" t="str">
        <f aca="false">IF($A184="","",IF(OR($AN184="",$V184="",$S184="",$T184=""),"",ROUND(($V184-($B184+$AN184/24))*1440-$S184-$T184,0)))</f>
        <v/>
      </c>
      <c r="AT184" s="38" t="str">
        <f aca="false">IF($A184="","",IF(OR($AN184="",$U184=""),"",ROUND(($U184-($B184+$AN184/24))*1440,0)))</f>
        <v/>
      </c>
      <c r="AU184" s="38" t="str">
        <f aca="false">IF($A184="","",IF(OR($AD184="",$S184=""),"",ROUND($AD184-$S184,0)))</f>
        <v/>
      </c>
      <c r="AV184" s="38" t="str">
        <f aca="false">IF($A184="","",N($AE184))</f>
        <v/>
      </c>
      <c r="AW184" s="38" t="str">
        <f aca="false">IF($A184="","",IF(OR($AF184="",$T184=""),"",$AF184-$T184))</f>
        <v/>
      </c>
      <c r="AX184" s="38" t="str">
        <f aca="false">IF($A184="","",IF(COUNT($AT184,$AB184,$AU184,$AW184,$AS184,$AH184)&lt;6,"",ROUND($AT184+$AB184+$AU184+$AV184+$AW184-$AS184-$AH184,0)))</f>
        <v/>
      </c>
      <c r="AY184" s="4" t="str">
        <f aca="false">IF($A184="","",IF($AX184="","No",IF(ABS($AX184)&lt;=2,"Yes","No")))</f>
        <v/>
      </c>
      <c r="AZ184" s="4" t="str">
        <f aca="false">IF($A184="","",IF($AI184&lt;&gt;"Yes","n/a",IF(OR($AA184="",$S184="",$T184=""),"Unknown",IF($AA184&lt;$S184+$T184,"Lost on arrival","Lost after arrival"))))</f>
        <v/>
      </c>
      <c r="BA184" s="10" t="str">
        <f aca="false">IF($A184="","",IFERROR(VLOOKUP($C184,Dim_Fund!$A:$D,4,0),""))</f>
        <v/>
      </c>
      <c r="BB184" s="10" t="str">
        <f aca="false">IF($A184="","",IF($AL184="","",IF(COUNTIFS(Fact_Milestone!$A:$A,$B184,Fact_Milestone!$B:$B,$AL184,Fact_Milestone!$I:$I,"No")&gt;0,"No",IF(COUNTIFS(Fact_Milestone!$A:$A,$B184,Fact_Milestone!$B:$B,$AL184,Fact_Milestone!$I:$I,"Yes")&gt;0,"Yes",""))))</f>
        <v/>
      </c>
      <c r="BC184" s="45" t="str">
        <f aca="false">IF($A184="","",IF(OR($L184="",$W184=""),"",IF(COUNTIFS($L:$L,$L184,$B:$B,$B184,$W:$W,"&lt;"&amp;$W184)=0,"",_xlfn.MAXIFS($W:$W,$L:$L,$L184,$B:$B,$B184,$W:$W,"&lt;"&amp;$W184))))</f>
        <v/>
      </c>
      <c r="BD184" s="39" t="str">
        <f aca="false">IF($A184="","",IF($AC184="","",IF(OR($L184="",$AC184=0),0,MIN($AC184,ROUND(ROUND(1440*SUMPRODUCT(($L$2:INDEX($L:$L,COUNTA($C:$C))=$L184)*($B$2:INDEX($B:$B,COUNTA($C:$C))=$B184)*(ROW($L$2:INDEX($L:$L,COUNTA($C:$C)))&lt;&gt;ROW())*((((($W184+$BT$2:INDEX($BT:$BT,COUNTA($C:$C))-ABS($W184-$BT$2:INDEX($BT:$BT,COUNTA($C:$C))))/2)-(($U184+$BS$2:INDEX($BS:$BS,COUNTA($C:$C))+ABS($U184-$BS$2:INDEX($BS:$BS,COUNTA($C:$C))))/2))+ABS(((($W184+$BT$2:INDEX($BT:$BT,COUNTA($C:$C))-ABS($W184-$BT$2:INDEX($BT:$BT,COUNTA($C:$C))))/2)-(($U184+$BS$2:INDEX($BS:$BS,COUNTA($C:$C))+ABS($U184-$BS$2:INDEX($BS:$BS,COUNTA($C:$C))))/2))))/2)),4),0)))))</f>
        <v/>
      </c>
      <c r="BE184" s="39" t="str">
        <f aca="false">IF($A184="","",IF($AC184="","",ROUND(MIN($AC184-$BD184,N($R184)),0)))</f>
        <v/>
      </c>
      <c r="BF184" s="10" t="str">
        <f aca="false">IF($A184="","",IFERROR(VLOOKUP($C184,Dim_Fund!$A:$BD,56,0),""))</f>
        <v/>
      </c>
      <c r="BG184" s="10" t="str">
        <f aca="false">IF($A184="","",IFERROR(VLOOKUP($C184,Dim_Fund!$A:$BH,60,0),""))</f>
        <v/>
      </c>
      <c r="BH184" s="10" t="str">
        <f aca="false">IF($A184="","",IF($AI184&lt;&gt;"Yes","Not breached",IF($AM184="Yes","Pricing late",IF($BG184="Thin custody slack","Thin custody slack",IF($BF184="Yes","Broker-dependent","None of these")))))</f>
        <v/>
      </c>
      <c r="BI184" s="23" t="str">
        <f aca="false">IF($A184="","",IFERROR(IF(VLOOKUP($C184,Dim_Fund!$A:$AI,35,0)&gt;0,VLOOKUP($C184,Dim_Fund!$A:$AI,35,0),""),""))</f>
        <v/>
      </c>
      <c r="BJ184" s="10" t="str">
        <f aca="false">IF($A184="","",$C184&amp;IF($E184="Client","*",""))</f>
        <v/>
      </c>
      <c r="BK184" s="39" t="str">
        <f aca="false">IF($A184="","",IFERROR(ROUND(($Y184-$X184)*1440,0),""))</f>
        <v/>
      </c>
      <c r="BL184" s="39" t="str">
        <f aca="false">IF($A184="","",IF($AH184="","",-$AH184))</f>
        <v/>
      </c>
      <c r="BM184" s="46" t="str">
        <f aca="false">IF($A184="","",IF($AQ184="","",IF($AP184="",$AQ184,MIN($AP184,$AQ184))))</f>
        <v/>
      </c>
      <c r="BN184" s="46" t="str">
        <f aca="false">IF($A184="","",IF($BM184="","",ROUND(N($AC184)/60,4)))</f>
        <v/>
      </c>
      <c r="BO184" s="46" t="str">
        <f aca="false">IF($A184="","",IF(OR($BM184="",$AD184=""),"",ROUND($AD184/60,4)))</f>
        <v/>
      </c>
      <c r="BP184" s="46" t="str">
        <f aca="false">IF($A184="","",IF($BM184="","",ROUND(N($AE184)/60,4)))</f>
        <v/>
      </c>
      <c r="BQ184" s="46" t="str">
        <f aca="false">IF($A184="","",IF(OR($BM184="",$AF184=""),"",ROUND($AF184/60,4)))</f>
        <v/>
      </c>
      <c r="BR184" s="39" t="str">
        <f aca="false">IF($A184="","",IF($AC184="","",$AC184-$BD184-$BE184))</f>
        <v/>
      </c>
      <c r="BS184" s="45" t="str">
        <f aca="false">IF($A184="","",IF(AND(ISNUMBER($Z184),ISNUMBER($W184)),$Z184,0))</f>
        <v/>
      </c>
      <c r="BT184" s="45" t="str">
        <f aca="false">IF($A184="","",IF(ISNUMBER($W184),$W184,0))</f>
        <v/>
      </c>
      <c r="BU184" s="23" t="str">
        <f aca="false">IF($A184="","",IF(ISNUMBER($W184),ROUND(($W184-$B184)*24,4),""))</f>
        <v/>
      </c>
      <c r="BV184" s="23" t="str">
        <f aca="false">IF($A184="","",IF(ISNUMBER($X184),ROUND(($X184-$B184)*24,4),""))</f>
        <v/>
      </c>
      <c r="BW184" s="10" t="str">
        <f aca="false">IF($A184="","",IF(NOT(ISNUMBER($W184)),"Missing Calculated",IF(NOT(ISNUMBER($X184)),IF($E184="Client","Missing FA signed off","Missing Controlled"),IF($X184&lt;$W184,"End before start","OK"))))</f>
        <v/>
      </c>
      <c r="BX184" s="23" t="str">
        <f aca="false">IF($A184="","",IF(NOT(ISNUMBER($Z184)),"",ROUND((IF(ISNUMBER($U184),MIN($U184,$Z184),$Z184)-$B184)*24,4)))</f>
        <v/>
      </c>
      <c r="BY184" s="23" t="str">
        <f aca="false">IF($A184="","",IF(ISNUMBER($Z184),ROUND(($Z184-$B184)*24,4),""))</f>
        <v/>
      </c>
      <c r="BZ184" s="23" t="str">
        <f aca="false">IF($A184="","",IF(AND(ISNUMBER($W184),ISNUMBER($S184)),ROUND(($W184+$S184/1440-$B184)*24,4),""))</f>
        <v/>
      </c>
    </row>
    <row r="185" customFormat="false" ht="15" hidden="false" customHeight="true" outlineLevel="0" collapsed="false">
      <c r="A185" s="47"/>
      <c r="B185" s="47"/>
      <c r="D185" s="4" t="str">
        <f aca="false">IF($A185="","",$B185-$A185)</f>
        <v/>
      </c>
      <c r="E185" s="4" t="str">
        <f aca="false">IF($A185="","",IFERROR(VLOOKUP($C185,Dim_Fund!$A:$X,24,0),""))</f>
        <v/>
      </c>
      <c r="F185" s="37" t="str">
        <f aca="false">IF($A185="","",IF(COUNTIFS(Status_Log!$A:$A,$A185,Status_Log!$B:$B,$B185,Status_Log!$C:$C,$C185,Status_Log!$D:$D,"Changed to the status of Calculated")=0,"",_xlfn.MINIFS(Status_Log!$E:$E,Status_Log!$A:$A,$A185,Status_Log!$B:$B,$B185,Status_Log!$C:$C,$C185,Status_Log!$D:$D,"Changed to the status of Calculated")))</f>
        <v/>
      </c>
      <c r="G185" s="37" t="str">
        <f aca="false">IF($A185="","",IF(COUNTIFS(Status_Log!$A:$A,$A185,Status_Log!$B:$B,$B185,Status_Log!$C:$C,$C185,Status_Log!$D:$D,"Changed to the status of Controlled")=0,"",_xlfn.MAXIFS(Status_Log!$E:$E,Status_Log!$A:$A,$A185,Status_Log!$B:$B,$B185,Status_Log!$C:$C,$C185,Status_Log!$D:$D,"Changed to the status of Controlled")))</f>
        <v/>
      </c>
      <c r="H185" s="37" t="str">
        <f aca="false">IF($A185="","",IF(COUNTIFS(Status_Log!$A:$A,$A185,Status_Log!$B:$B,$B185,Status_Log!$C:$C,$C185,Status_Log!$D:$D,"Changed to the status of Fund accounting signed off")=0,"",_xlfn.MAXIFS(Status_Log!$E:$E,Status_Log!$A:$A,$A185,Status_Log!$B:$B,$B185,Status_Log!$C:$C,$C185,Status_Log!$D:$D,"Changed to the status of Fund accounting signed off")))</f>
        <v/>
      </c>
      <c r="I185" s="37" t="str">
        <f aca="false">IF($A185="","",IF(COUNTIFS(Status_Log!$A:$A,$A185,Status_Log!$B:$B,$B185,Status_Log!$C:$C,$C185,Status_Log!$D:$D,"Changed to the status of signed off")=0,"",_xlfn.MAXIFS(Status_Log!$E:$E,Status_Log!$A:$A,$A185,Status_Log!$B:$B,$B185,Status_Log!$C:$C,$C185,Status_Log!$D:$D,"Changed to the status of signed off")))</f>
        <v/>
      </c>
      <c r="J185" s="4" t="str">
        <f aca="false">IF($A185="","",COUNTIFS(Status_Log!$A:$A,$A185,Status_Log!$B:$B,$B185,Status_Log!$C:$C,$C185,Status_Log!$D:$D,"Changed to the status of Calculated"))</f>
        <v/>
      </c>
      <c r="K185" s="38" t="str">
        <f aca="false">IF($A185="","",IF(J185&lt;=1,0,ROUND((_xlfn.MAXIFS(Status_Log!$E:$E,Status_Log!$A:$A,$A185,Status_Log!$B:$B,$B185,Status_Log!$C:$C,$C185,Status_Log!$D:$D,"Changed to the status of Calculated")-F185)*1440,0)))</f>
        <v/>
      </c>
      <c r="L185" s="4" t="str">
        <f aca="false">IF($A185="","",IFERROR(INDEX(Status_Log!$F:$F,MATCH($A185&amp;"|"&amp;$B185&amp;"|"&amp;$C185&amp;"|Changed to the status of Calculated|"&amp;TEXT(_xlfn.MAXIFS(Status_Log!$E:$E,Status_Log!$A:$A,$A185,Status_Log!$B:$B,$B185,Status_Log!$C:$C,$C185,Status_Log!$D:$D,"Changed to the status of Calculated"),"0.000000"),Status_Log!$H:$H,0)),""))</f>
        <v/>
      </c>
      <c r="M185" s="4" t="str">
        <f aca="false">IF($A185="","",IF(E185="Client","n/a — no control step",IFERROR(INDEX(Status_Log!$F:$F,MATCH($A185&amp;"|"&amp;$B185&amp;"|"&amp;$C185&amp;"|Changed to the status of Controlled|"&amp;TEXT(_xlfn.MAXIFS(Status_Log!$E:$E,Status_Log!$A:$A,$A185,Status_Log!$B:$B,$B185,Status_Log!$C:$C,$C185,Status_Log!$D:$D,"Changed to the status of Controlled"),"0.000000"),Status_Log!$H:$H,0)),"")))</f>
        <v/>
      </c>
      <c r="N185" s="4" t="str">
        <f aca="false">IF($A185="","",IFERROR(VLOOKUP($C185,Dim_Fund!$A:$G,7,0),""))</f>
        <v/>
      </c>
      <c r="O185" s="4" t="str">
        <f aca="false">IF($A185="","",IF(L185=N185,"No","Yes"))</f>
        <v/>
      </c>
      <c r="P185" s="4" t="str">
        <f aca="false">IF($A185="","",IF(E185="Client","n/a",IF(L185=M185,"YES — four-eyes breach","No")))</f>
        <v/>
      </c>
      <c r="Q185" s="38" t="str">
        <f aca="false">IF($A185="","",IFERROR(VLOOKUP($C185,Dim_Fund!$A:$AB,28,0),""))</f>
        <v/>
      </c>
      <c r="R185" s="38" t="str">
        <f aca="false">IF($A185="","",IFERROR(VLOOKUP($C185,Dim_Fund!$A:$AC,29,0),""))</f>
        <v/>
      </c>
      <c r="S185" s="38" t="str">
        <f aca="false">IF($A185="","",IFERROR(VLOOKUP($C185,Dim_Fund!$A:$AD,30,0),""))</f>
        <v/>
      </c>
      <c r="T185" s="38" t="str">
        <f aca="false">IF($A185="","",IFERROR(VLOOKUP($C185,Dim_Fund!$A:$AL,38,0),""))</f>
        <v/>
      </c>
      <c r="U185" s="37" t="str">
        <f aca="false">IF($A185="","",IF(AL185="","",IFERROR(IF(COUNTIFS(Fact_Milestone!$A:$A,$B185,Fact_Milestone!$B:$B,AL185)=0,"",_xlfn.MAXIFS(Fact_Milestone!$C:$C,Fact_Milestone!$A:$A,$B185,Fact_Milestone!$B:$B,AL185)),"")))</f>
        <v/>
      </c>
      <c r="V185" s="37" t="str">
        <f aca="false">IF($A185="","",IFERROR(IF(VLOOKUP($C185,Dim_Fund!$A:$AI,35,0)&gt;0,$B185+VLOOKUP($C185,Dim_Fund!$A:$AI,35,0)/24,""),""))</f>
        <v/>
      </c>
      <c r="W185" s="37" t="str">
        <f aca="false">IF($A185="","",F185)</f>
        <v/>
      </c>
      <c r="X185" s="37" t="str">
        <f aca="false">IF($A185="","",IF(E185="Client",H185,G185))</f>
        <v/>
      </c>
      <c r="Y185" s="37" t="str">
        <f aca="false">IF($A185="","",I185)</f>
        <v/>
      </c>
      <c r="Z185" s="37" t="str">
        <f aca="false">IF($A185="","",IFERROR(W185-R185/1440,""))</f>
        <v/>
      </c>
      <c r="AA185" s="38" t="str">
        <f aca="false">IF($A185="","",IF(OR(U185="",V185=""),"",ROUND((V185-U185)*1440,0)))</f>
        <v/>
      </c>
      <c r="AB185" s="38" t="str">
        <f aca="false">IF($A185="","",IF(U185="","",ROUND((W185-U185)*1440,0)))</f>
        <v/>
      </c>
      <c r="AC185" s="38" t="str">
        <f aca="false">IF($A185="","",IF(AB185="","",MAX(0,AB185)))</f>
        <v/>
      </c>
      <c r="AD185" s="38" t="str">
        <f aca="false">IF($A185="","",IFERROR(ROUND((X185-W185)*1440,0),""))</f>
        <v/>
      </c>
      <c r="AE185" s="38" t="str">
        <f aca="false">IF($A185="","",IF(E185="Client","n/a",IFERROR(ROUND((H185-G185)*1440,0),"")))</f>
        <v/>
      </c>
      <c r="AF185" s="38" t="str">
        <f aca="false">IF($A185="","",IFERROR(ROUND((Y185-H185)*1440,0),""))</f>
        <v/>
      </c>
      <c r="AG185" s="38" t="str">
        <f aca="false">IF($A185="","",IFERROR(ROUND((H185-F185)*1440,0),""))</f>
        <v/>
      </c>
      <c r="AH185" s="38" t="str">
        <f aca="false">IF($A185="","",IFERROR(ROUND((Y185-V185)*1440,0),""))</f>
        <v/>
      </c>
      <c r="AI185" s="4" t="str">
        <f aca="false">IF($A185="","",IF(AH185="","",IF(AH185&gt;0,"Yes","No")))</f>
        <v/>
      </c>
      <c r="AJ185" s="4" t="str">
        <f aca="false">IF($A185="","",IF(AI185&lt;&gt;"Yes","On time",IF(N(AC185)&gt;=MAX(N(AF185),N(K185)),"Wait for analyst",IF(N(AF185)&gt;=N(K185),"External sign-off","Rework"))))</f>
        <v/>
      </c>
      <c r="AK185" s="4" t="str">
        <f aca="false">IF($A185="","",IF(OR(F185="",Y185="",ISNA(MATCH(L185,Dim_Analyst!$A:$A,0))),"CHECK","OK"))</f>
        <v/>
      </c>
      <c r="AL185" s="4" t="str">
        <f aca="false">IF($A185="","",IFERROR(VLOOKUP($C185,Dim_Fund!$A:$U,21,0),""))</f>
        <v/>
      </c>
      <c r="AM185" s="4" t="str">
        <f aca="false">IF($A185="","",IF($U185="","",IF($U185&gt;$B185+IFERROR(VLOOKUP($C185,Dim_Fund!$A:$AH,34,0),0)/24,"Yes","No")))</f>
        <v/>
      </c>
      <c r="AN185" s="22" t="str">
        <f aca="false">IF($A185="","",IFERROR(VLOOKUP($C185,Dim_Fund!$A:$AH,34,0),""))</f>
        <v/>
      </c>
      <c r="AO185" s="22" t="str">
        <f aca="false">IF($A185="","",IF($AL185="","",IFERROR(FLOOR(IF(COUNTIFS(Fact_Milestone!$A:$A,$B185,Fact_Milestone!$B:$B,$AL185,Fact_Milestone!$F:$F,"&gt;0")&gt;0,_xlfn.MINIFS(Fact_Milestone!$F:$F,Fact_Milestone!$A:$A,$B185,Fact_Milestone!$B:$B,$AL185,Fact_Milestone!$F:$F,"&gt;0"),VLOOKUP($AL185,Dim_TOP!$A:$E,5,0)),0.5),"")))</f>
        <v/>
      </c>
      <c r="AP185" s="22" t="str">
        <f aca="false">IF($A185="","",IF($U185="","",ROUND(($U185-INT($U185))*24,4)))</f>
        <v/>
      </c>
      <c r="AQ185" s="22" t="str">
        <f aca="false">IF($A185="","",IF($W185="","",ROUND(($W185-INT($W185))*24,4)))</f>
        <v/>
      </c>
      <c r="AR185" s="22" t="str">
        <f aca="false">IF($A185="","",IF($X185="","",ROUND(($X185-INT($X185))*24,4)))</f>
        <v/>
      </c>
      <c r="AS185" s="38" t="str">
        <f aca="false">IF($A185="","",IF(OR($AN185="",$V185="",$S185="",$T185=""),"",ROUND(($V185-($B185+$AN185/24))*1440-$S185-$T185,0)))</f>
        <v/>
      </c>
      <c r="AT185" s="38" t="str">
        <f aca="false">IF($A185="","",IF(OR($AN185="",$U185=""),"",ROUND(($U185-($B185+$AN185/24))*1440,0)))</f>
        <v/>
      </c>
      <c r="AU185" s="38" t="str">
        <f aca="false">IF($A185="","",IF(OR($AD185="",$S185=""),"",ROUND($AD185-$S185,0)))</f>
        <v/>
      </c>
      <c r="AV185" s="38" t="str">
        <f aca="false">IF($A185="","",N($AE185))</f>
        <v/>
      </c>
      <c r="AW185" s="38" t="str">
        <f aca="false">IF($A185="","",IF(OR($AF185="",$T185=""),"",$AF185-$T185))</f>
        <v/>
      </c>
      <c r="AX185" s="38" t="str">
        <f aca="false">IF($A185="","",IF(COUNT($AT185,$AB185,$AU185,$AW185,$AS185,$AH185)&lt;6,"",ROUND($AT185+$AB185+$AU185+$AV185+$AW185-$AS185-$AH185,0)))</f>
        <v/>
      </c>
      <c r="AY185" s="4" t="str">
        <f aca="false">IF($A185="","",IF($AX185="","No",IF(ABS($AX185)&lt;=2,"Yes","No")))</f>
        <v/>
      </c>
      <c r="AZ185" s="4" t="str">
        <f aca="false">IF($A185="","",IF($AI185&lt;&gt;"Yes","n/a",IF(OR($AA185="",$S185="",$T185=""),"Unknown",IF($AA185&lt;$S185+$T185,"Lost on arrival","Lost after arrival"))))</f>
        <v/>
      </c>
      <c r="BA185" s="10" t="str">
        <f aca="false">IF($A185="","",IFERROR(VLOOKUP($C185,Dim_Fund!$A:$D,4,0),""))</f>
        <v/>
      </c>
      <c r="BB185" s="10" t="str">
        <f aca="false">IF($A185="","",IF($AL185="","",IF(COUNTIFS(Fact_Milestone!$A:$A,$B185,Fact_Milestone!$B:$B,$AL185,Fact_Milestone!$I:$I,"No")&gt;0,"No",IF(COUNTIFS(Fact_Milestone!$A:$A,$B185,Fact_Milestone!$B:$B,$AL185,Fact_Milestone!$I:$I,"Yes")&gt;0,"Yes",""))))</f>
        <v/>
      </c>
      <c r="BC185" s="45" t="str">
        <f aca="false">IF($A185="","",IF(OR($L185="",$W185=""),"",IF(COUNTIFS($L:$L,$L185,$B:$B,$B185,$W:$W,"&lt;"&amp;$W185)=0,"",_xlfn.MAXIFS($W:$W,$L:$L,$L185,$B:$B,$B185,$W:$W,"&lt;"&amp;$W185))))</f>
        <v/>
      </c>
      <c r="BD185" s="39" t="str">
        <f aca="false">IF($A185="","",IF($AC185="","",IF(OR($L185="",$AC185=0),0,MIN($AC185,ROUND(ROUND(1440*SUMPRODUCT(($L$2:INDEX($L:$L,COUNTA($C:$C))=$L185)*($B$2:INDEX($B:$B,COUNTA($C:$C))=$B185)*(ROW($L$2:INDEX($L:$L,COUNTA($C:$C)))&lt;&gt;ROW())*((((($W185+$BT$2:INDEX($BT:$BT,COUNTA($C:$C))-ABS($W185-$BT$2:INDEX($BT:$BT,COUNTA($C:$C))))/2)-(($U185+$BS$2:INDEX($BS:$BS,COUNTA($C:$C))+ABS($U185-$BS$2:INDEX($BS:$BS,COUNTA($C:$C))))/2))+ABS(((($W185+$BT$2:INDEX($BT:$BT,COUNTA($C:$C))-ABS($W185-$BT$2:INDEX($BT:$BT,COUNTA($C:$C))))/2)-(($U185+$BS$2:INDEX($BS:$BS,COUNTA($C:$C))+ABS($U185-$BS$2:INDEX($BS:$BS,COUNTA($C:$C))))/2))))/2)),4),0)))))</f>
        <v/>
      </c>
      <c r="BE185" s="39" t="str">
        <f aca="false">IF($A185="","",IF($AC185="","",ROUND(MIN($AC185-$BD185,N($R185)),0)))</f>
        <v/>
      </c>
      <c r="BF185" s="10" t="str">
        <f aca="false">IF($A185="","",IFERROR(VLOOKUP($C185,Dim_Fund!$A:$BD,56,0),""))</f>
        <v/>
      </c>
      <c r="BG185" s="10" t="str">
        <f aca="false">IF($A185="","",IFERROR(VLOOKUP($C185,Dim_Fund!$A:$BH,60,0),""))</f>
        <v/>
      </c>
      <c r="BH185" s="10" t="str">
        <f aca="false">IF($A185="","",IF($AI185&lt;&gt;"Yes","Not breached",IF($AM185="Yes","Pricing late",IF($BG185="Thin custody slack","Thin custody slack",IF($BF185="Yes","Broker-dependent","None of these")))))</f>
        <v/>
      </c>
      <c r="BI185" s="23" t="str">
        <f aca="false">IF($A185="","",IFERROR(IF(VLOOKUP($C185,Dim_Fund!$A:$AI,35,0)&gt;0,VLOOKUP($C185,Dim_Fund!$A:$AI,35,0),""),""))</f>
        <v/>
      </c>
      <c r="BJ185" s="10" t="str">
        <f aca="false">IF($A185="","",$C185&amp;IF($E185="Client","*",""))</f>
        <v/>
      </c>
      <c r="BK185" s="39" t="str">
        <f aca="false">IF($A185="","",IFERROR(ROUND(($Y185-$X185)*1440,0),""))</f>
        <v/>
      </c>
      <c r="BL185" s="39" t="str">
        <f aca="false">IF($A185="","",IF($AH185="","",-$AH185))</f>
        <v/>
      </c>
      <c r="BM185" s="46" t="str">
        <f aca="false">IF($A185="","",IF($AQ185="","",IF($AP185="",$AQ185,MIN($AP185,$AQ185))))</f>
        <v/>
      </c>
      <c r="BN185" s="46" t="str">
        <f aca="false">IF($A185="","",IF($BM185="","",ROUND(N($AC185)/60,4)))</f>
        <v/>
      </c>
      <c r="BO185" s="46" t="str">
        <f aca="false">IF($A185="","",IF(OR($BM185="",$AD185=""),"",ROUND($AD185/60,4)))</f>
        <v/>
      </c>
      <c r="BP185" s="46" t="str">
        <f aca="false">IF($A185="","",IF($BM185="","",ROUND(N($AE185)/60,4)))</f>
        <v/>
      </c>
      <c r="BQ185" s="46" t="str">
        <f aca="false">IF($A185="","",IF(OR($BM185="",$AF185=""),"",ROUND($AF185/60,4)))</f>
        <v/>
      </c>
      <c r="BR185" s="39" t="str">
        <f aca="false">IF($A185="","",IF($AC185="","",$AC185-$BD185-$BE185))</f>
        <v/>
      </c>
      <c r="BS185" s="45" t="str">
        <f aca="false">IF($A185="","",IF(AND(ISNUMBER($Z185),ISNUMBER($W185)),$Z185,0))</f>
        <v/>
      </c>
      <c r="BT185" s="45" t="str">
        <f aca="false">IF($A185="","",IF(ISNUMBER($W185),$W185,0))</f>
        <v/>
      </c>
      <c r="BU185" s="23" t="str">
        <f aca="false">IF($A185="","",IF(ISNUMBER($W185),ROUND(($W185-$B185)*24,4),""))</f>
        <v/>
      </c>
      <c r="BV185" s="23" t="str">
        <f aca="false">IF($A185="","",IF(ISNUMBER($X185),ROUND(($X185-$B185)*24,4),""))</f>
        <v/>
      </c>
      <c r="BW185" s="10" t="str">
        <f aca="false">IF($A185="","",IF(NOT(ISNUMBER($W185)),"Missing Calculated",IF(NOT(ISNUMBER($X185)),IF($E185="Client","Missing FA signed off","Missing Controlled"),IF($X185&lt;$W185,"End before start","OK"))))</f>
        <v/>
      </c>
      <c r="BX185" s="23" t="str">
        <f aca="false">IF($A185="","",IF(NOT(ISNUMBER($Z185)),"",ROUND((IF(ISNUMBER($U185),MIN($U185,$Z185),$Z185)-$B185)*24,4)))</f>
        <v/>
      </c>
      <c r="BY185" s="23" t="str">
        <f aca="false">IF($A185="","",IF(ISNUMBER($Z185),ROUND(($Z185-$B185)*24,4),""))</f>
        <v/>
      </c>
      <c r="BZ185" s="23" t="str">
        <f aca="false">IF($A185="","",IF(AND(ISNUMBER($W185),ISNUMBER($S185)),ROUND(($W185+$S185/1440-$B185)*24,4),""))</f>
        <v/>
      </c>
    </row>
    <row r="186" customFormat="false" ht="15" hidden="false" customHeight="true" outlineLevel="0" collapsed="false">
      <c r="A186" s="47"/>
      <c r="B186" s="47"/>
      <c r="D186" s="4" t="str">
        <f aca="false">IF($A186="","",$B186-$A186)</f>
        <v/>
      </c>
      <c r="E186" s="4" t="str">
        <f aca="false">IF($A186="","",IFERROR(VLOOKUP($C186,Dim_Fund!$A:$X,24,0),""))</f>
        <v/>
      </c>
      <c r="F186" s="37" t="str">
        <f aca="false">IF($A186="","",IF(COUNTIFS(Status_Log!$A:$A,$A186,Status_Log!$B:$B,$B186,Status_Log!$C:$C,$C186,Status_Log!$D:$D,"Changed to the status of Calculated")=0,"",_xlfn.MINIFS(Status_Log!$E:$E,Status_Log!$A:$A,$A186,Status_Log!$B:$B,$B186,Status_Log!$C:$C,$C186,Status_Log!$D:$D,"Changed to the status of Calculated")))</f>
        <v/>
      </c>
      <c r="G186" s="37" t="str">
        <f aca="false">IF($A186="","",IF(COUNTIFS(Status_Log!$A:$A,$A186,Status_Log!$B:$B,$B186,Status_Log!$C:$C,$C186,Status_Log!$D:$D,"Changed to the status of Controlled")=0,"",_xlfn.MAXIFS(Status_Log!$E:$E,Status_Log!$A:$A,$A186,Status_Log!$B:$B,$B186,Status_Log!$C:$C,$C186,Status_Log!$D:$D,"Changed to the status of Controlled")))</f>
        <v/>
      </c>
      <c r="H186" s="37" t="str">
        <f aca="false">IF($A186="","",IF(COUNTIFS(Status_Log!$A:$A,$A186,Status_Log!$B:$B,$B186,Status_Log!$C:$C,$C186,Status_Log!$D:$D,"Changed to the status of Fund accounting signed off")=0,"",_xlfn.MAXIFS(Status_Log!$E:$E,Status_Log!$A:$A,$A186,Status_Log!$B:$B,$B186,Status_Log!$C:$C,$C186,Status_Log!$D:$D,"Changed to the status of Fund accounting signed off")))</f>
        <v/>
      </c>
      <c r="I186" s="37" t="str">
        <f aca="false">IF($A186="","",IF(COUNTIFS(Status_Log!$A:$A,$A186,Status_Log!$B:$B,$B186,Status_Log!$C:$C,$C186,Status_Log!$D:$D,"Changed to the status of signed off")=0,"",_xlfn.MAXIFS(Status_Log!$E:$E,Status_Log!$A:$A,$A186,Status_Log!$B:$B,$B186,Status_Log!$C:$C,$C186,Status_Log!$D:$D,"Changed to the status of signed off")))</f>
        <v/>
      </c>
      <c r="J186" s="4" t="str">
        <f aca="false">IF($A186="","",COUNTIFS(Status_Log!$A:$A,$A186,Status_Log!$B:$B,$B186,Status_Log!$C:$C,$C186,Status_Log!$D:$D,"Changed to the status of Calculated"))</f>
        <v/>
      </c>
      <c r="K186" s="38" t="str">
        <f aca="false">IF($A186="","",IF(J186&lt;=1,0,ROUND((_xlfn.MAXIFS(Status_Log!$E:$E,Status_Log!$A:$A,$A186,Status_Log!$B:$B,$B186,Status_Log!$C:$C,$C186,Status_Log!$D:$D,"Changed to the status of Calculated")-F186)*1440,0)))</f>
        <v/>
      </c>
      <c r="L186" s="4" t="str">
        <f aca="false">IF($A186="","",IFERROR(INDEX(Status_Log!$F:$F,MATCH($A186&amp;"|"&amp;$B186&amp;"|"&amp;$C186&amp;"|Changed to the status of Calculated|"&amp;TEXT(_xlfn.MAXIFS(Status_Log!$E:$E,Status_Log!$A:$A,$A186,Status_Log!$B:$B,$B186,Status_Log!$C:$C,$C186,Status_Log!$D:$D,"Changed to the status of Calculated"),"0.000000"),Status_Log!$H:$H,0)),""))</f>
        <v/>
      </c>
      <c r="M186" s="4" t="str">
        <f aca="false">IF($A186="","",IF(E186="Client","n/a — no control step",IFERROR(INDEX(Status_Log!$F:$F,MATCH($A186&amp;"|"&amp;$B186&amp;"|"&amp;$C186&amp;"|Changed to the status of Controlled|"&amp;TEXT(_xlfn.MAXIFS(Status_Log!$E:$E,Status_Log!$A:$A,$A186,Status_Log!$B:$B,$B186,Status_Log!$C:$C,$C186,Status_Log!$D:$D,"Changed to the status of Controlled"),"0.000000"),Status_Log!$H:$H,0)),"")))</f>
        <v/>
      </c>
      <c r="N186" s="4" t="str">
        <f aca="false">IF($A186="","",IFERROR(VLOOKUP($C186,Dim_Fund!$A:$G,7,0),""))</f>
        <v/>
      </c>
      <c r="O186" s="4" t="str">
        <f aca="false">IF($A186="","",IF(L186=N186,"No","Yes"))</f>
        <v/>
      </c>
      <c r="P186" s="4" t="str">
        <f aca="false">IF($A186="","",IF(E186="Client","n/a",IF(L186=M186,"YES — four-eyes breach","No")))</f>
        <v/>
      </c>
      <c r="Q186" s="38" t="str">
        <f aca="false">IF($A186="","",IFERROR(VLOOKUP($C186,Dim_Fund!$A:$AB,28,0),""))</f>
        <v/>
      </c>
      <c r="R186" s="38" t="str">
        <f aca="false">IF($A186="","",IFERROR(VLOOKUP($C186,Dim_Fund!$A:$AC,29,0),""))</f>
        <v/>
      </c>
      <c r="S186" s="38" t="str">
        <f aca="false">IF($A186="","",IFERROR(VLOOKUP($C186,Dim_Fund!$A:$AD,30,0),""))</f>
        <v/>
      </c>
      <c r="T186" s="38" t="str">
        <f aca="false">IF($A186="","",IFERROR(VLOOKUP($C186,Dim_Fund!$A:$AL,38,0),""))</f>
        <v/>
      </c>
      <c r="U186" s="37" t="str">
        <f aca="false">IF($A186="","",IF(AL186="","",IFERROR(IF(COUNTIFS(Fact_Milestone!$A:$A,$B186,Fact_Milestone!$B:$B,AL186)=0,"",_xlfn.MAXIFS(Fact_Milestone!$C:$C,Fact_Milestone!$A:$A,$B186,Fact_Milestone!$B:$B,AL186)),"")))</f>
        <v/>
      </c>
      <c r="V186" s="37" t="str">
        <f aca="false">IF($A186="","",IFERROR(IF(VLOOKUP($C186,Dim_Fund!$A:$AI,35,0)&gt;0,$B186+VLOOKUP($C186,Dim_Fund!$A:$AI,35,0)/24,""),""))</f>
        <v/>
      </c>
      <c r="W186" s="37" t="str">
        <f aca="false">IF($A186="","",F186)</f>
        <v/>
      </c>
      <c r="X186" s="37" t="str">
        <f aca="false">IF($A186="","",IF(E186="Client",H186,G186))</f>
        <v/>
      </c>
      <c r="Y186" s="37" t="str">
        <f aca="false">IF($A186="","",I186)</f>
        <v/>
      </c>
      <c r="Z186" s="37" t="str">
        <f aca="false">IF($A186="","",IFERROR(W186-R186/1440,""))</f>
        <v/>
      </c>
      <c r="AA186" s="38" t="str">
        <f aca="false">IF($A186="","",IF(OR(U186="",V186=""),"",ROUND((V186-U186)*1440,0)))</f>
        <v/>
      </c>
      <c r="AB186" s="38" t="str">
        <f aca="false">IF($A186="","",IF(U186="","",ROUND((W186-U186)*1440,0)))</f>
        <v/>
      </c>
      <c r="AC186" s="38" t="str">
        <f aca="false">IF($A186="","",IF(AB186="","",MAX(0,AB186)))</f>
        <v/>
      </c>
      <c r="AD186" s="38" t="str">
        <f aca="false">IF($A186="","",IFERROR(ROUND((X186-W186)*1440,0),""))</f>
        <v/>
      </c>
      <c r="AE186" s="38" t="str">
        <f aca="false">IF($A186="","",IF(E186="Client","n/a",IFERROR(ROUND((H186-G186)*1440,0),"")))</f>
        <v/>
      </c>
      <c r="AF186" s="38" t="str">
        <f aca="false">IF($A186="","",IFERROR(ROUND((Y186-H186)*1440,0),""))</f>
        <v/>
      </c>
      <c r="AG186" s="38" t="str">
        <f aca="false">IF($A186="","",IFERROR(ROUND((H186-F186)*1440,0),""))</f>
        <v/>
      </c>
      <c r="AH186" s="38" t="str">
        <f aca="false">IF($A186="","",IFERROR(ROUND((Y186-V186)*1440,0),""))</f>
        <v/>
      </c>
      <c r="AI186" s="4" t="str">
        <f aca="false">IF($A186="","",IF(AH186="","",IF(AH186&gt;0,"Yes","No")))</f>
        <v/>
      </c>
      <c r="AJ186" s="4" t="str">
        <f aca="false">IF($A186="","",IF(AI186&lt;&gt;"Yes","On time",IF(N(AC186)&gt;=MAX(N(AF186),N(K186)),"Wait for analyst",IF(N(AF186)&gt;=N(K186),"External sign-off","Rework"))))</f>
        <v/>
      </c>
      <c r="AK186" s="4" t="str">
        <f aca="false">IF($A186="","",IF(OR(F186="",Y186="",ISNA(MATCH(L186,Dim_Analyst!$A:$A,0))),"CHECK","OK"))</f>
        <v/>
      </c>
      <c r="AL186" s="4" t="str">
        <f aca="false">IF($A186="","",IFERROR(VLOOKUP($C186,Dim_Fund!$A:$U,21,0),""))</f>
        <v/>
      </c>
      <c r="AM186" s="4" t="str">
        <f aca="false">IF($A186="","",IF($U186="","",IF($U186&gt;$B186+IFERROR(VLOOKUP($C186,Dim_Fund!$A:$AH,34,0),0)/24,"Yes","No")))</f>
        <v/>
      </c>
      <c r="AN186" s="22" t="str">
        <f aca="false">IF($A186="","",IFERROR(VLOOKUP($C186,Dim_Fund!$A:$AH,34,0),""))</f>
        <v/>
      </c>
      <c r="AO186" s="22" t="str">
        <f aca="false">IF($A186="","",IF($AL186="","",IFERROR(FLOOR(IF(COUNTIFS(Fact_Milestone!$A:$A,$B186,Fact_Milestone!$B:$B,$AL186,Fact_Milestone!$F:$F,"&gt;0")&gt;0,_xlfn.MINIFS(Fact_Milestone!$F:$F,Fact_Milestone!$A:$A,$B186,Fact_Milestone!$B:$B,$AL186,Fact_Milestone!$F:$F,"&gt;0"),VLOOKUP($AL186,Dim_TOP!$A:$E,5,0)),0.5),"")))</f>
        <v/>
      </c>
      <c r="AP186" s="22" t="str">
        <f aca="false">IF($A186="","",IF($U186="","",ROUND(($U186-INT($U186))*24,4)))</f>
        <v/>
      </c>
      <c r="AQ186" s="22" t="str">
        <f aca="false">IF($A186="","",IF($W186="","",ROUND(($W186-INT($W186))*24,4)))</f>
        <v/>
      </c>
      <c r="AR186" s="22" t="str">
        <f aca="false">IF($A186="","",IF($X186="","",ROUND(($X186-INT($X186))*24,4)))</f>
        <v/>
      </c>
      <c r="AS186" s="38" t="str">
        <f aca="false">IF($A186="","",IF(OR($AN186="",$V186="",$S186="",$T186=""),"",ROUND(($V186-($B186+$AN186/24))*1440-$S186-$T186,0)))</f>
        <v/>
      </c>
      <c r="AT186" s="38" t="str">
        <f aca="false">IF($A186="","",IF(OR($AN186="",$U186=""),"",ROUND(($U186-($B186+$AN186/24))*1440,0)))</f>
        <v/>
      </c>
      <c r="AU186" s="38" t="str">
        <f aca="false">IF($A186="","",IF(OR($AD186="",$S186=""),"",ROUND($AD186-$S186,0)))</f>
        <v/>
      </c>
      <c r="AV186" s="38" t="str">
        <f aca="false">IF($A186="","",N($AE186))</f>
        <v/>
      </c>
      <c r="AW186" s="38" t="str">
        <f aca="false">IF($A186="","",IF(OR($AF186="",$T186=""),"",$AF186-$T186))</f>
        <v/>
      </c>
      <c r="AX186" s="38" t="str">
        <f aca="false">IF($A186="","",IF(COUNT($AT186,$AB186,$AU186,$AW186,$AS186,$AH186)&lt;6,"",ROUND($AT186+$AB186+$AU186+$AV186+$AW186-$AS186-$AH186,0)))</f>
        <v/>
      </c>
      <c r="AY186" s="4" t="str">
        <f aca="false">IF($A186="","",IF($AX186="","No",IF(ABS($AX186)&lt;=2,"Yes","No")))</f>
        <v/>
      </c>
      <c r="AZ186" s="4" t="str">
        <f aca="false">IF($A186="","",IF($AI186&lt;&gt;"Yes","n/a",IF(OR($AA186="",$S186="",$T186=""),"Unknown",IF($AA186&lt;$S186+$T186,"Lost on arrival","Lost after arrival"))))</f>
        <v/>
      </c>
      <c r="BA186" s="10" t="str">
        <f aca="false">IF($A186="","",IFERROR(VLOOKUP($C186,Dim_Fund!$A:$D,4,0),""))</f>
        <v/>
      </c>
      <c r="BB186" s="10" t="str">
        <f aca="false">IF($A186="","",IF($AL186="","",IF(COUNTIFS(Fact_Milestone!$A:$A,$B186,Fact_Milestone!$B:$B,$AL186,Fact_Milestone!$I:$I,"No")&gt;0,"No",IF(COUNTIFS(Fact_Milestone!$A:$A,$B186,Fact_Milestone!$B:$B,$AL186,Fact_Milestone!$I:$I,"Yes")&gt;0,"Yes",""))))</f>
        <v/>
      </c>
      <c r="BC186" s="45" t="str">
        <f aca="false">IF($A186="","",IF(OR($L186="",$W186=""),"",IF(COUNTIFS($L:$L,$L186,$B:$B,$B186,$W:$W,"&lt;"&amp;$W186)=0,"",_xlfn.MAXIFS($W:$W,$L:$L,$L186,$B:$B,$B186,$W:$W,"&lt;"&amp;$W186))))</f>
        <v/>
      </c>
      <c r="BD186" s="39" t="str">
        <f aca="false">IF($A186="","",IF($AC186="","",IF(OR($L186="",$AC186=0),0,MIN($AC186,ROUND(ROUND(1440*SUMPRODUCT(($L$2:INDEX($L:$L,COUNTA($C:$C))=$L186)*($B$2:INDEX($B:$B,COUNTA($C:$C))=$B186)*(ROW($L$2:INDEX($L:$L,COUNTA($C:$C)))&lt;&gt;ROW())*((((($W186+$BT$2:INDEX($BT:$BT,COUNTA($C:$C))-ABS($W186-$BT$2:INDEX($BT:$BT,COUNTA($C:$C))))/2)-(($U186+$BS$2:INDEX($BS:$BS,COUNTA($C:$C))+ABS($U186-$BS$2:INDEX($BS:$BS,COUNTA($C:$C))))/2))+ABS(((($W186+$BT$2:INDEX($BT:$BT,COUNTA($C:$C))-ABS($W186-$BT$2:INDEX($BT:$BT,COUNTA($C:$C))))/2)-(($U186+$BS$2:INDEX($BS:$BS,COUNTA($C:$C))+ABS($U186-$BS$2:INDEX($BS:$BS,COUNTA($C:$C))))/2))))/2)),4),0)))))</f>
        <v/>
      </c>
      <c r="BE186" s="39" t="str">
        <f aca="false">IF($A186="","",IF($AC186="","",ROUND(MIN($AC186-$BD186,N($R186)),0)))</f>
        <v/>
      </c>
      <c r="BF186" s="10" t="str">
        <f aca="false">IF($A186="","",IFERROR(VLOOKUP($C186,Dim_Fund!$A:$BD,56,0),""))</f>
        <v/>
      </c>
      <c r="BG186" s="10" t="str">
        <f aca="false">IF($A186="","",IFERROR(VLOOKUP($C186,Dim_Fund!$A:$BH,60,0),""))</f>
        <v/>
      </c>
      <c r="BH186" s="10" t="str">
        <f aca="false">IF($A186="","",IF($AI186&lt;&gt;"Yes","Not breached",IF($AM186="Yes","Pricing late",IF($BG186="Thin custody slack","Thin custody slack",IF($BF186="Yes","Broker-dependent","None of these")))))</f>
        <v/>
      </c>
      <c r="BI186" s="23" t="str">
        <f aca="false">IF($A186="","",IFERROR(IF(VLOOKUP($C186,Dim_Fund!$A:$AI,35,0)&gt;0,VLOOKUP($C186,Dim_Fund!$A:$AI,35,0),""),""))</f>
        <v/>
      </c>
      <c r="BJ186" s="10" t="str">
        <f aca="false">IF($A186="","",$C186&amp;IF($E186="Client","*",""))</f>
        <v/>
      </c>
      <c r="BK186" s="39" t="str">
        <f aca="false">IF($A186="","",IFERROR(ROUND(($Y186-$X186)*1440,0),""))</f>
        <v/>
      </c>
      <c r="BL186" s="39" t="str">
        <f aca="false">IF($A186="","",IF($AH186="","",-$AH186))</f>
        <v/>
      </c>
      <c r="BM186" s="46" t="str">
        <f aca="false">IF($A186="","",IF($AQ186="","",IF($AP186="",$AQ186,MIN($AP186,$AQ186))))</f>
        <v/>
      </c>
      <c r="BN186" s="46" t="str">
        <f aca="false">IF($A186="","",IF($BM186="","",ROUND(N($AC186)/60,4)))</f>
        <v/>
      </c>
      <c r="BO186" s="46" t="str">
        <f aca="false">IF($A186="","",IF(OR($BM186="",$AD186=""),"",ROUND($AD186/60,4)))</f>
        <v/>
      </c>
      <c r="BP186" s="46" t="str">
        <f aca="false">IF($A186="","",IF($BM186="","",ROUND(N($AE186)/60,4)))</f>
        <v/>
      </c>
      <c r="BQ186" s="46" t="str">
        <f aca="false">IF($A186="","",IF(OR($BM186="",$AF186=""),"",ROUND($AF186/60,4)))</f>
        <v/>
      </c>
      <c r="BR186" s="39" t="str">
        <f aca="false">IF($A186="","",IF($AC186="","",$AC186-$BD186-$BE186))</f>
        <v/>
      </c>
      <c r="BS186" s="45" t="str">
        <f aca="false">IF($A186="","",IF(AND(ISNUMBER($Z186),ISNUMBER($W186)),$Z186,0))</f>
        <v/>
      </c>
      <c r="BT186" s="45" t="str">
        <f aca="false">IF($A186="","",IF(ISNUMBER($W186),$W186,0))</f>
        <v/>
      </c>
      <c r="BU186" s="23" t="str">
        <f aca="false">IF($A186="","",IF(ISNUMBER($W186),ROUND(($W186-$B186)*24,4),""))</f>
        <v/>
      </c>
      <c r="BV186" s="23" t="str">
        <f aca="false">IF($A186="","",IF(ISNUMBER($X186),ROUND(($X186-$B186)*24,4),""))</f>
        <v/>
      </c>
      <c r="BW186" s="10" t="str">
        <f aca="false">IF($A186="","",IF(NOT(ISNUMBER($W186)),"Missing Calculated",IF(NOT(ISNUMBER($X186)),IF($E186="Client","Missing FA signed off","Missing Controlled"),IF($X186&lt;$W186,"End before start","OK"))))</f>
        <v/>
      </c>
      <c r="BX186" s="23" t="str">
        <f aca="false">IF($A186="","",IF(NOT(ISNUMBER($Z186)),"",ROUND((IF(ISNUMBER($U186),MIN($U186,$Z186),$Z186)-$B186)*24,4)))</f>
        <v/>
      </c>
      <c r="BY186" s="23" t="str">
        <f aca="false">IF($A186="","",IF(ISNUMBER($Z186),ROUND(($Z186-$B186)*24,4),""))</f>
        <v/>
      </c>
      <c r="BZ186" s="23" t="str">
        <f aca="false">IF($A186="","",IF(AND(ISNUMBER($W186),ISNUMBER($S186)),ROUND(($W186+$S186/1440-$B186)*24,4),""))</f>
        <v/>
      </c>
    </row>
    <row r="187" customFormat="false" ht="15" hidden="false" customHeight="true" outlineLevel="0" collapsed="false">
      <c r="A187" s="47"/>
      <c r="B187" s="47"/>
      <c r="D187" s="4" t="str">
        <f aca="false">IF($A187="","",$B187-$A187)</f>
        <v/>
      </c>
      <c r="E187" s="4" t="str">
        <f aca="false">IF($A187="","",IFERROR(VLOOKUP($C187,Dim_Fund!$A:$X,24,0),""))</f>
        <v/>
      </c>
      <c r="F187" s="37" t="str">
        <f aca="false">IF($A187="","",IF(COUNTIFS(Status_Log!$A:$A,$A187,Status_Log!$B:$B,$B187,Status_Log!$C:$C,$C187,Status_Log!$D:$D,"Changed to the status of Calculated")=0,"",_xlfn.MINIFS(Status_Log!$E:$E,Status_Log!$A:$A,$A187,Status_Log!$B:$B,$B187,Status_Log!$C:$C,$C187,Status_Log!$D:$D,"Changed to the status of Calculated")))</f>
        <v/>
      </c>
      <c r="G187" s="37" t="str">
        <f aca="false">IF($A187="","",IF(COUNTIFS(Status_Log!$A:$A,$A187,Status_Log!$B:$B,$B187,Status_Log!$C:$C,$C187,Status_Log!$D:$D,"Changed to the status of Controlled")=0,"",_xlfn.MAXIFS(Status_Log!$E:$E,Status_Log!$A:$A,$A187,Status_Log!$B:$B,$B187,Status_Log!$C:$C,$C187,Status_Log!$D:$D,"Changed to the status of Controlled")))</f>
        <v/>
      </c>
      <c r="H187" s="37" t="str">
        <f aca="false">IF($A187="","",IF(COUNTIFS(Status_Log!$A:$A,$A187,Status_Log!$B:$B,$B187,Status_Log!$C:$C,$C187,Status_Log!$D:$D,"Changed to the status of Fund accounting signed off")=0,"",_xlfn.MAXIFS(Status_Log!$E:$E,Status_Log!$A:$A,$A187,Status_Log!$B:$B,$B187,Status_Log!$C:$C,$C187,Status_Log!$D:$D,"Changed to the status of Fund accounting signed off")))</f>
        <v/>
      </c>
      <c r="I187" s="37" t="str">
        <f aca="false">IF($A187="","",IF(COUNTIFS(Status_Log!$A:$A,$A187,Status_Log!$B:$B,$B187,Status_Log!$C:$C,$C187,Status_Log!$D:$D,"Changed to the status of signed off")=0,"",_xlfn.MAXIFS(Status_Log!$E:$E,Status_Log!$A:$A,$A187,Status_Log!$B:$B,$B187,Status_Log!$C:$C,$C187,Status_Log!$D:$D,"Changed to the status of signed off")))</f>
        <v/>
      </c>
      <c r="J187" s="4" t="str">
        <f aca="false">IF($A187="","",COUNTIFS(Status_Log!$A:$A,$A187,Status_Log!$B:$B,$B187,Status_Log!$C:$C,$C187,Status_Log!$D:$D,"Changed to the status of Calculated"))</f>
        <v/>
      </c>
      <c r="K187" s="38" t="str">
        <f aca="false">IF($A187="","",IF(J187&lt;=1,0,ROUND((_xlfn.MAXIFS(Status_Log!$E:$E,Status_Log!$A:$A,$A187,Status_Log!$B:$B,$B187,Status_Log!$C:$C,$C187,Status_Log!$D:$D,"Changed to the status of Calculated")-F187)*1440,0)))</f>
        <v/>
      </c>
      <c r="L187" s="4" t="str">
        <f aca="false">IF($A187="","",IFERROR(INDEX(Status_Log!$F:$F,MATCH($A187&amp;"|"&amp;$B187&amp;"|"&amp;$C187&amp;"|Changed to the status of Calculated|"&amp;TEXT(_xlfn.MAXIFS(Status_Log!$E:$E,Status_Log!$A:$A,$A187,Status_Log!$B:$B,$B187,Status_Log!$C:$C,$C187,Status_Log!$D:$D,"Changed to the status of Calculated"),"0.000000"),Status_Log!$H:$H,0)),""))</f>
        <v/>
      </c>
      <c r="M187" s="4" t="str">
        <f aca="false">IF($A187="","",IF(E187="Client","n/a — no control step",IFERROR(INDEX(Status_Log!$F:$F,MATCH($A187&amp;"|"&amp;$B187&amp;"|"&amp;$C187&amp;"|Changed to the status of Controlled|"&amp;TEXT(_xlfn.MAXIFS(Status_Log!$E:$E,Status_Log!$A:$A,$A187,Status_Log!$B:$B,$B187,Status_Log!$C:$C,$C187,Status_Log!$D:$D,"Changed to the status of Controlled"),"0.000000"),Status_Log!$H:$H,0)),"")))</f>
        <v/>
      </c>
      <c r="N187" s="4" t="str">
        <f aca="false">IF($A187="","",IFERROR(VLOOKUP($C187,Dim_Fund!$A:$G,7,0),""))</f>
        <v/>
      </c>
      <c r="O187" s="4" t="str">
        <f aca="false">IF($A187="","",IF(L187=N187,"No","Yes"))</f>
        <v/>
      </c>
      <c r="P187" s="4" t="str">
        <f aca="false">IF($A187="","",IF(E187="Client","n/a",IF(L187=M187,"YES — four-eyes breach","No")))</f>
        <v/>
      </c>
      <c r="Q187" s="38" t="str">
        <f aca="false">IF($A187="","",IFERROR(VLOOKUP($C187,Dim_Fund!$A:$AB,28,0),""))</f>
        <v/>
      </c>
      <c r="R187" s="38" t="str">
        <f aca="false">IF($A187="","",IFERROR(VLOOKUP($C187,Dim_Fund!$A:$AC,29,0),""))</f>
        <v/>
      </c>
      <c r="S187" s="38" t="str">
        <f aca="false">IF($A187="","",IFERROR(VLOOKUP($C187,Dim_Fund!$A:$AD,30,0),""))</f>
        <v/>
      </c>
      <c r="T187" s="38" t="str">
        <f aca="false">IF($A187="","",IFERROR(VLOOKUP($C187,Dim_Fund!$A:$AL,38,0),""))</f>
        <v/>
      </c>
      <c r="U187" s="37" t="str">
        <f aca="false">IF($A187="","",IF(AL187="","",IFERROR(IF(COUNTIFS(Fact_Milestone!$A:$A,$B187,Fact_Milestone!$B:$B,AL187)=0,"",_xlfn.MAXIFS(Fact_Milestone!$C:$C,Fact_Milestone!$A:$A,$B187,Fact_Milestone!$B:$B,AL187)),"")))</f>
        <v/>
      </c>
      <c r="V187" s="37" t="str">
        <f aca="false">IF($A187="","",IFERROR(IF(VLOOKUP($C187,Dim_Fund!$A:$AI,35,0)&gt;0,$B187+VLOOKUP($C187,Dim_Fund!$A:$AI,35,0)/24,""),""))</f>
        <v/>
      </c>
      <c r="W187" s="37" t="str">
        <f aca="false">IF($A187="","",F187)</f>
        <v/>
      </c>
      <c r="X187" s="37" t="str">
        <f aca="false">IF($A187="","",IF(E187="Client",H187,G187))</f>
        <v/>
      </c>
      <c r="Y187" s="37" t="str">
        <f aca="false">IF($A187="","",I187)</f>
        <v/>
      </c>
      <c r="Z187" s="37" t="str">
        <f aca="false">IF($A187="","",IFERROR(W187-R187/1440,""))</f>
        <v/>
      </c>
      <c r="AA187" s="38" t="str">
        <f aca="false">IF($A187="","",IF(OR(U187="",V187=""),"",ROUND((V187-U187)*1440,0)))</f>
        <v/>
      </c>
      <c r="AB187" s="38" t="str">
        <f aca="false">IF($A187="","",IF(U187="","",ROUND((W187-U187)*1440,0)))</f>
        <v/>
      </c>
      <c r="AC187" s="38" t="str">
        <f aca="false">IF($A187="","",IF(AB187="","",MAX(0,AB187)))</f>
        <v/>
      </c>
      <c r="AD187" s="38" t="str">
        <f aca="false">IF($A187="","",IFERROR(ROUND((X187-W187)*1440,0),""))</f>
        <v/>
      </c>
      <c r="AE187" s="38" t="str">
        <f aca="false">IF($A187="","",IF(E187="Client","n/a",IFERROR(ROUND((H187-G187)*1440,0),"")))</f>
        <v/>
      </c>
      <c r="AF187" s="38" t="str">
        <f aca="false">IF($A187="","",IFERROR(ROUND((Y187-H187)*1440,0),""))</f>
        <v/>
      </c>
      <c r="AG187" s="38" t="str">
        <f aca="false">IF($A187="","",IFERROR(ROUND((H187-F187)*1440,0),""))</f>
        <v/>
      </c>
      <c r="AH187" s="38" t="str">
        <f aca="false">IF($A187="","",IFERROR(ROUND((Y187-V187)*1440,0),""))</f>
        <v/>
      </c>
      <c r="AI187" s="4" t="str">
        <f aca="false">IF($A187="","",IF(AH187="","",IF(AH187&gt;0,"Yes","No")))</f>
        <v/>
      </c>
      <c r="AJ187" s="4" t="str">
        <f aca="false">IF($A187="","",IF(AI187&lt;&gt;"Yes","On time",IF(N(AC187)&gt;=MAX(N(AF187),N(K187)),"Wait for analyst",IF(N(AF187)&gt;=N(K187),"External sign-off","Rework"))))</f>
        <v/>
      </c>
      <c r="AK187" s="4" t="str">
        <f aca="false">IF($A187="","",IF(OR(F187="",Y187="",ISNA(MATCH(L187,Dim_Analyst!$A:$A,0))),"CHECK","OK"))</f>
        <v/>
      </c>
      <c r="AL187" s="4" t="str">
        <f aca="false">IF($A187="","",IFERROR(VLOOKUP($C187,Dim_Fund!$A:$U,21,0),""))</f>
        <v/>
      </c>
      <c r="AM187" s="4" t="str">
        <f aca="false">IF($A187="","",IF($U187="","",IF($U187&gt;$B187+IFERROR(VLOOKUP($C187,Dim_Fund!$A:$AH,34,0),0)/24,"Yes","No")))</f>
        <v/>
      </c>
      <c r="AN187" s="22" t="str">
        <f aca="false">IF($A187="","",IFERROR(VLOOKUP($C187,Dim_Fund!$A:$AH,34,0),""))</f>
        <v/>
      </c>
      <c r="AO187" s="22" t="str">
        <f aca="false">IF($A187="","",IF($AL187="","",IFERROR(FLOOR(IF(COUNTIFS(Fact_Milestone!$A:$A,$B187,Fact_Milestone!$B:$B,$AL187,Fact_Milestone!$F:$F,"&gt;0")&gt;0,_xlfn.MINIFS(Fact_Milestone!$F:$F,Fact_Milestone!$A:$A,$B187,Fact_Milestone!$B:$B,$AL187,Fact_Milestone!$F:$F,"&gt;0"),VLOOKUP($AL187,Dim_TOP!$A:$E,5,0)),0.5),"")))</f>
        <v/>
      </c>
      <c r="AP187" s="22" t="str">
        <f aca="false">IF($A187="","",IF($U187="","",ROUND(($U187-INT($U187))*24,4)))</f>
        <v/>
      </c>
      <c r="AQ187" s="22" t="str">
        <f aca="false">IF($A187="","",IF($W187="","",ROUND(($W187-INT($W187))*24,4)))</f>
        <v/>
      </c>
      <c r="AR187" s="22" t="str">
        <f aca="false">IF($A187="","",IF($X187="","",ROUND(($X187-INT($X187))*24,4)))</f>
        <v/>
      </c>
      <c r="AS187" s="38" t="str">
        <f aca="false">IF($A187="","",IF(OR($AN187="",$V187="",$S187="",$T187=""),"",ROUND(($V187-($B187+$AN187/24))*1440-$S187-$T187,0)))</f>
        <v/>
      </c>
      <c r="AT187" s="38" t="str">
        <f aca="false">IF($A187="","",IF(OR($AN187="",$U187=""),"",ROUND(($U187-($B187+$AN187/24))*1440,0)))</f>
        <v/>
      </c>
      <c r="AU187" s="38" t="str">
        <f aca="false">IF($A187="","",IF(OR($AD187="",$S187=""),"",ROUND($AD187-$S187,0)))</f>
        <v/>
      </c>
      <c r="AV187" s="38" t="str">
        <f aca="false">IF($A187="","",N($AE187))</f>
        <v/>
      </c>
      <c r="AW187" s="38" t="str">
        <f aca="false">IF($A187="","",IF(OR($AF187="",$T187=""),"",$AF187-$T187))</f>
        <v/>
      </c>
      <c r="AX187" s="38" t="str">
        <f aca="false">IF($A187="","",IF(COUNT($AT187,$AB187,$AU187,$AW187,$AS187,$AH187)&lt;6,"",ROUND($AT187+$AB187+$AU187+$AV187+$AW187-$AS187-$AH187,0)))</f>
        <v/>
      </c>
      <c r="AY187" s="4" t="str">
        <f aca="false">IF($A187="","",IF($AX187="","No",IF(ABS($AX187)&lt;=2,"Yes","No")))</f>
        <v/>
      </c>
      <c r="AZ187" s="4" t="str">
        <f aca="false">IF($A187="","",IF($AI187&lt;&gt;"Yes","n/a",IF(OR($AA187="",$S187="",$T187=""),"Unknown",IF($AA187&lt;$S187+$T187,"Lost on arrival","Lost after arrival"))))</f>
        <v/>
      </c>
      <c r="BA187" s="10" t="str">
        <f aca="false">IF($A187="","",IFERROR(VLOOKUP($C187,Dim_Fund!$A:$D,4,0),""))</f>
        <v/>
      </c>
      <c r="BB187" s="10" t="str">
        <f aca="false">IF($A187="","",IF($AL187="","",IF(COUNTIFS(Fact_Milestone!$A:$A,$B187,Fact_Milestone!$B:$B,$AL187,Fact_Milestone!$I:$I,"No")&gt;0,"No",IF(COUNTIFS(Fact_Milestone!$A:$A,$B187,Fact_Milestone!$B:$B,$AL187,Fact_Milestone!$I:$I,"Yes")&gt;0,"Yes",""))))</f>
        <v/>
      </c>
      <c r="BC187" s="45" t="str">
        <f aca="false">IF($A187="","",IF(OR($L187="",$W187=""),"",IF(COUNTIFS($L:$L,$L187,$B:$B,$B187,$W:$W,"&lt;"&amp;$W187)=0,"",_xlfn.MAXIFS($W:$W,$L:$L,$L187,$B:$B,$B187,$W:$W,"&lt;"&amp;$W187))))</f>
        <v/>
      </c>
      <c r="BD187" s="39" t="str">
        <f aca="false">IF($A187="","",IF($AC187="","",IF(OR($L187="",$AC187=0),0,MIN($AC187,ROUND(ROUND(1440*SUMPRODUCT(($L$2:INDEX($L:$L,COUNTA($C:$C))=$L187)*($B$2:INDEX($B:$B,COUNTA($C:$C))=$B187)*(ROW($L$2:INDEX($L:$L,COUNTA($C:$C)))&lt;&gt;ROW())*((((($W187+$BT$2:INDEX($BT:$BT,COUNTA($C:$C))-ABS($W187-$BT$2:INDEX($BT:$BT,COUNTA($C:$C))))/2)-(($U187+$BS$2:INDEX($BS:$BS,COUNTA($C:$C))+ABS($U187-$BS$2:INDEX($BS:$BS,COUNTA($C:$C))))/2))+ABS(((($W187+$BT$2:INDEX($BT:$BT,COUNTA($C:$C))-ABS($W187-$BT$2:INDEX($BT:$BT,COUNTA($C:$C))))/2)-(($U187+$BS$2:INDEX($BS:$BS,COUNTA($C:$C))+ABS($U187-$BS$2:INDEX($BS:$BS,COUNTA($C:$C))))/2))))/2)),4),0)))))</f>
        <v/>
      </c>
      <c r="BE187" s="39" t="str">
        <f aca="false">IF($A187="","",IF($AC187="","",ROUND(MIN($AC187-$BD187,N($R187)),0)))</f>
        <v/>
      </c>
      <c r="BF187" s="10" t="str">
        <f aca="false">IF($A187="","",IFERROR(VLOOKUP($C187,Dim_Fund!$A:$BD,56,0),""))</f>
        <v/>
      </c>
      <c r="BG187" s="10" t="str">
        <f aca="false">IF($A187="","",IFERROR(VLOOKUP($C187,Dim_Fund!$A:$BH,60,0),""))</f>
        <v/>
      </c>
      <c r="BH187" s="10" t="str">
        <f aca="false">IF($A187="","",IF($AI187&lt;&gt;"Yes","Not breached",IF($AM187="Yes","Pricing late",IF($BG187="Thin custody slack","Thin custody slack",IF($BF187="Yes","Broker-dependent","None of these")))))</f>
        <v/>
      </c>
      <c r="BI187" s="23" t="str">
        <f aca="false">IF($A187="","",IFERROR(IF(VLOOKUP($C187,Dim_Fund!$A:$AI,35,0)&gt;0,VLOOKUP($C187,Dim_Fund!$A:$AI,35,0),""),""))</f>
        <v/>
      </c>
      <c r="BJ187" s="10" t="str">
        <f aca="false">IF($A187="","",$C187&amp;IF($E187="Client","*",""))</f>
        <v/>
      </c>
      <c r="BK187" s="39" t="str">
        <f aca="false">IF($A187="","",IFERROR(ROUND(($Y187-$X187)*1440,0),""))</f>
        <v/>
      </c>
      <c r="BL187" s="39" t="str">
        <f aca="false">IF($A187="","",IF($AH187="","",-$AH187))</f>
        <v/>
      </c>
      <c r="BM187" s="46" t="str">
        <f aca="false">IF($A187="","",IF($AQ187="","",IF($AP187="",$AQ187,MIN($AP187,$AQ187))))</f>
        <v/>
      </c>
      <c r="BN187" s="46" t="str">
        <f aca="false">IF($A187="","",IF($BM187="","",ROUND(N($AC187)/60,4)))</f>
        <v/>
      </c>
      <c r="BO187" s="46" t="str">
        <f aca="false">IF($A187="","",IF(OR($BM187="",$AD187=""),"",ROUND($AD187/60,4)))</f>
        <v/>
      </c>
      <c r="BP187" s="46" t="str">
        <f aca="false">IF($A187="","",IF($BM187="","",ROUND(N($AE187)/60,4)))</f>
        <v/>
      </c>
      <c r="BQ187" s="46" t="str">
        <f aca="false">IF($A187="","",IF(OR($BM187="",$AF187=""),"",ROUND($AF187/60,4)))</f>
        <v/>
      </c>
      <c r="BR187" s="39" t="str">
        <f aca="false">IF($A187="","",IF($AC187="","",$AC187-$BD187-$BE187))</f>
        <v/>
      </c>
      <c r="BS187" s="45" t="str">
        <f aca="false">IF($A187="","",IF(AND(ISNUMBER($Z187),ISNUMBER($W187)),$Z187,0))</f>
        <v/>
      </c>
      <c r="BT187" s="45" t="str">
        <f aca="false">IF($A187="","",IF(ISNUMBER($W187),$W187,0))</f>
        <v/>
      </c>
      <c r="BU187" s="23" t="str">
        <f aca="false">IF($A187="","",IF(ISNUMBER($W187),ROUND(($W187-$B187)*24,4),""))</f>
        <v/>
      </c>
      <c r="BV187" s="23" t="str">
        <f aca="false">IF($A187="","",IF(ISNUMBER($X187),ROUND(($X187-$B187)*24,4),""))</f>
        <v/>
      </c>
      <c r="BW187" s="10" t="str">
        <f aca="false">IF($A187="","",IF(NOT(ISNUMBER($W187)),"Missing Calculated",IF(NOT(ISNUMBER($X187)),IF($E187="Client","Missing FA signed off","Missing Controlled"),IF($X187&lt;$W187,"End before start","OK"))))</f>
        <v/>
      </c>
      <c r="BX187" s="23" t="str">
        <f aca="false">IF($A187="","",IF(NOT(ISNUMBER($Z187)),"",ROUND((IF(ISNUMBER($U187),MIN($U187,$Z187),$Z187)-$B187)*24,4)))</f>
        <v/>
      </c>
      <c r="BY187" s="23" t="str">
        <f aca="false">IF($A187="","",IF(ISNUMBER($Z187),ROUND(($Z187-$B187)*24,4),""))</f>
        <v/>
      </c>
      <c r="BZ187" s="23" t="str">
        <f aca="false">IF($A187="","",IF(AND(ISNUMBER($W187),ISNUMBER($S187)),ROUND(($W187+$S187/1440-$B187)*24,4),""))</f>
        <v/>
      </c>
    </row>
    <row r="188" customFormat="false" ht="15" hidden="false" customHeight="true" outlineLevel="0" collapsed="false">
      <c r="A188" s="47"/>
      <c r="B188" s="47"/>
      <c r="D188" s="4" t="str">
        <f aca="false">IF($A188="","",$B188-$A188)</f>
        <v/>
      </c>
      <c r="E188" s="4" t="str">
        <f aca="false">IF($A188="","",IFERROR(VLOOKUP($C188,Dim_Fund!$A:$X,24,0),""))</f>
        <v/>
      </c>
      <c r="F188" s="37" t="str">
        <f aca="false">IF($A188="","",IF(COUNTIFS(Status_Log!$A:$A,$A188,Status_Log!$B:$B,$B188,Status_Log!$C:$C,$C188,Status_Log!$D:$D,"Changed to the status of Calculated")=0,"",_xlfn.MINIFS(Status_Log!$E:$E,Status_Log!$A:$A,$A188,Status_Log!$B:$B,$B188,Status_Log!$C:$C,$C188,Status_Log!$D:$D,"Changed to the status of Calculated")))</f>
        <v/>
      </c>
      <c r="G188" s="37" t="str">
        <f aca="false">IF($A188="","",IF(COUNTIFS(Status_Log!$A:$A,$A188,Status_Log!$B:$B,$B188,Status_Log!$C:$C,$C188,Status_Log!$D:$D,"Changed to the status of Controlled")=0,"",_xlfn.MAXIFS(Status_Log!$E:$E,Status_Log!$A:$A,$A188,Status_Log!$B:$B,$B188,Status_Log!$C:$C,$C188,Status_Log!$D:$D,"Changed to the status of Controlled")))</f>
        <v/>
      </c>
      <c r="H188" s="37" t="str">
        <f aca="false">IF($A188="","",IF(COUNTIFS(Status_Log!$A:$A,$A188,Status_Log!$B:$B,$B188,Status_Log!$C:$C,$C188,Status_Log!$D:$D,"Changed to the status of Fund accounting signed off")=0,"",_xlfn.MAXIFS(Status_Log!$E:$E,Status_Log!$A:$A,$A188,Status_Log!$B:$B,$B188,Status_Log!$C:$C,$C188,Status_Log!$D:$D,"Changed to the status of Fund accounting signed off")))</f>
        <v/>
      </c>
      <c r="I188" s="37" t="str">
        <f aca="false">IF($A188="","",IF(COUNTIFS(Status_Log!$A:$A,$A188,Status_Log!$B:$B,$B188,Status_Log!$C:$C,$C188,Status_Log!$D:$D,"Changed to the status of signed off")=0,"",_xlfn.MAXIFS(Status_Log!$E:$E,Status_Log!$A:$A,$A188,Status_Log!$B:$B,$B188,Status_Log!$C:$C,$C188,Status_Log!$D:$D,"Changed to the status of signed off")))</f>
        <v/>
      </c>
      <c r="J188" s="4" t="str">
        <f aca="false">IF($A188="","",COUNTIFS(Status_Log!$A:$A,$A188,Status_Log!$B:$B,$B188,Status_Log!$C:$C,$C188,Status_Log!$D:$D,"Changed to the status of Calculated"))</f>
        <v/>
      </c>
      <c r="K188" s="38" t="str">
        <f aca="false">IF($A188="","",IF(J188&lt;=1,0,ROUND((_xlfn.MAXIFS(Status_Log!$E:$E,Status_Log!$A:$A,$A188,Status_Log!$B:$B,$B188,Status_Log!$C:$C,$C188,Status_Log!$D:$D,"Changed to the status of Calculated")-F188)*1440,0)))</f>
        <v/>
      </c>
      <c r="L188" s="4" t="str">
        <f aca="false">IF($A188="","",IFERROR(INDEX(Status_Log!$F:$F,MATCH($A188&amp;"|"&amp;$B188&amp;"|"&amp;$C188&amp;"|Changed to the status of Calculated|"&amp;TEXT(_xlfn.MAXIFS(Status_Log!$E:$E,Status_Log!$A:$A,$A188,Status_Log!$B:$B,$B188,Status_Log!$C:$C,$C188,Status_Log!$D:$D,"Changed to the status of Calculated"),"0.000000"),Status_Log!$H:$H,0)),""))</f>
        <v/>
      </c>
      <c r="M188" s="4" t="str">
        <f aca="false">IF($A188="","",IF(E188="Client","n/a — no control step",IFERROR(INDEX(Status_Log!$F:$F,MATCH($A188&amp;"|"&amp;$B188&amp;"|"&amp;$C188&amp;"|Changed to the status of Controlled|"&amp;TEXT(_xlfn.MAXIFS(Status_Log!$E:$E,Status_Log!$A:$A,$A188,Status_Log!$B:$B,$B188,Status_Log!$C:$C,$C188,Status_Log!$D:$D,"Changed to the status of Controlled"),"0.000000"),Status_Log!$H:$H,0)),"")))</f>
        <v/>
      </c>
      <c r="N188" s="4" t="str">
        <f aca="false">IF($A188="","",IFERROR(VLOOKUP($C188,Dim_Fund!$A:$G,7,0),""))</f>
        <v/>
      </c>
      <c r="O188" s="4" t="str">
        <f aca="false">IF($A188="","",IF(L188=N188,"No","Yes"))</f>
        <v/>
      </c>
      <c r="P188" s="4" t="str">
        <f aca="false">IF($A188="","",IF(E188="Client","n/a",IF(L188=M188,"YES — four-eyes breach","No")))</f>
        <v/>
      </c>
      <c r="Q188" s="38" t="str">
        <f aca="false">IF($A188="","",IFERROR(VLOOKUP($C188,Dim_Fund!$A:$AB,28,0),""))</f>
        <v/>
      </c>
      <c r="R188" s="38" t="str">
        <f aca="false">IF($A188="","",IFERROR(VLOOKUP($C188,Dim_Fund!$A:$AC,29,0),""))</f>
        <v/>
      </c>
      <c r="S188" s="38" t="str">
        <f aca="false">IF($A188="","",IFERROR(VLOOKUP($C188,Dim_Fund!$A:$AD,30,0),""))</f>
        <v/>
      </c>
      <c r="T188" s="38" t="str">
        <f aca="false">IF($A188="","",IFERROR(VLOOKUP($C188,Dim_Fund!$A:$AL,38,0),""))</f>
        <v/>
      </c>
      <c r="U188" s="37" t="str">
        <f aca="false">IF($A188="","",IF(AL188="","",IFERROR(IF(COUNTIFS(Fact_Milestone!$A:$A,$B188,Fact_Milestone!$B:$B,AL188)=0,"",_xlfn.MAXIFS(Fact_Milestone!$C:$C,Fact_Milestone!$A:$A,$B188,Fact_Milestone!$B:$B,AL188)),"")))</f>
        <v/>
      </c>
      <c r="V188" s="37" t="str">
        <f aca="false">IF($A188="","",IFERROR(IF(VLOOKUP($C188,Dim_Fund!$A:$AI,35,0)&gt;0,$B188+VLOOKUP($C188,Dim_Fund!$A:$AI,35,0)/24,""),""))</f>
        <v/>
      </c>
      <c r="W188" s="37" t="str">
        <f aca="false">IF($A188="","",F188)</f>
        <v/>
      </c>
      <c r="X188" s="37" t="str">
        <f aca="false">IF($A188="","",IF(E188="Client",H188,G188))</f>
        <v/>
      </c>
      <c r="Y188" s="37" t="str">
        <f aca="false">IF($A188="","",I188)</f>
        <v/>
      </c>
      <c r="Z188" s="37" t="str">
        <f aca="false">IF($A188="","",IFERROR(W188-R188/1440,""))</f>
        <v/>
      </c>
      <c r="AA188" s="38" t="str">
        <f aca="false">IF($A188="","",IF(OR(U188="",V188=""),"",ROUND((V188-U188)*1440,0)))</f>
        <v/>
      </c>
      <c r="AB188" s="38" t="str">
        <f aca="false">IF($A188="","",IF(U188="","",ROUND((W188-U188)*1440,0)))</f>
        <v/>
      </c>
      <c r="AC188" s="38" t="str">
        <f aca="false">IF($A188="","",IF(AB188="","",MAX(0,AB188)))</f>
        <v/>
      </c>
      <c r="AD188" s="38" t="str">
        <f aca="false">IF($A188="","",IFERROR(ROUND((X188-W188)*1440,0),""))</f>
        <v/>
      </c>
      <c r="AE188" s="38" t="str">
        <f aca="false">IF($A188="","",IF(E188="Client","n/a",IFERROR(ROUND((H188-G188)*1440,0),"")))</f>
        <v/>
      </c>
      <c r="AF188" s="38" t="str">
        <f aca="false">IF($A188="","",IFERROR(ROUND((Y188-H188)*1440,0),""))</f>
        <v/>
      </c>
      <c r="AG188" s="38" t="str">
        <f aca="false">IF($A188="","",IFERROR(ROUND((H188-F188)*1440,0),""))</f>
        <v/>
      </c>
      <c r="AH188" s="38" t="str">
        <f aca="false">IF($A188="","",IFERROR(ROUND((Y188-V188)*1440,0),""))</f>
        <v/>
      </c>
      <c r="AI188" s="4" t="str">
        <f aca="false">IF($A188="","",IF(AH188="","",IF(AH188&gt;0,"Yes","No")))</f>
        <v/>
      </c>
      <c r="AJ188" s="4" t="str">
        <f aca="false">IF($A188="","",IF(AI188&lt;&gt;"Yes","On time",IF(N(AC188)&gt;=MAX(N(AF188),N(K188)),"Wait for analyst",IF(N(AF188)&gt;=N(K188),"External sign-off","Rework"))))</f>
        <v/>
      </c>
      <c r="AK188" s="4" t="str">
        <f aca="false">IF($A188="","",IF(OR(F188="",Y188="",ISNA(MATCH(L188,Dim_Analyst!$A:$A,0))),"CHECK","OK"))</f>
        <v/>
      </c>
      <c r="AL188" s="4" t="str">
        <f aca="false">IF($A188="","",IFERROR(VLOOKUP($C188,Dim_Fund!$A:$U,21,0),""))</f>
        <v/>
      </c>
      <c r="AM188" s="4" t="str">
        <f aca="false">IF($A188="","",IF($U188="","",IF($U188&gt;$B188+IFERROR(VLOOKUP($C188,Dim_Fund!$A:$AH,34,0),0)/24,"Yes","No")))</f>
        <v/>
      </c>
      <c r="AN188" s="22" t="str">
        <f aca="false">IF($A188="","",IFERROR(VLOOKUP($C188,Dim_Fund!$A:$AH,34,0),""))</f>
        <v/>
      </c>
      <c r="AO188" s="22" t="str">
        <f aca="false">IF($A188="","",IF($AL188="","",IFERROR(FLOOR(IF(COUNTIFS(Fact_Milestone!$A:$A,$B188,Fact_Milestone!$B:$B,$AL188,Fact_Milestone!$F:$F,"&gt;0")&gt;0,_xlfn.MINIFS(Fact_Milestone!$F:$F,Fact_Milestone!$A:$A,$B188,Fact_Milestone!$B:$B,$AL188,Fact_Milestone!$F:$F,"&gt;0"),VLOOKUP($AL188,Dim_TOP!$A:$E,5,0)),0.5),"")))</f>
        <v/>
      </c>
      <c r="AP188" s="22" t="str">
        <f aca="false">IF($A188="","",IF($U188="","",ROUND(($U188-INT($U188))*24,4)))</f>
        <v/>
      </c>
      <c r="AQ188" s="22" t="str">
        <f aca="false">IF($A188="","",IF($W188="","",ROUND(($W188-INT($W188))*24,4)))</f>
        <v/>
      </c>
      <c r="AR188" s="22" t="str">
        <f aca="false">IF($A188="","",IF($X188="","",ROUND(($X188-INT($X188))*24,4)))</f>
        <v/>
      </c>
      <c r="AS188" s="38" t="str">
        <f aca="false">IF($A188="","",IF(OR($AN188="",$V188="",$S188="",$T188=""),"",ROUND(($V188-($B188+$AN188/24))*1440-$S188-$T188,0)))</f>
        <v/>
      </c>
      <c r="AT188" s="38" t="str">
        <f aca="false">IF($A188="","",IF(OR($AN188="",$U188=""),"",ROUND(($U188-($B188+$AN188/24))*1440,0)))</f>
        <v/>
      </c>
      <c r="AU188" s="38" t="str">
        <f aca="false">IF($A188="","",IF(OR($AD188="",$S188=""),"",ROUND($AD188-$S188,0)))</f>
        <v/>
      </c>
      <c r="AV188" s="38" t="str">
        <f aca="false">IF($A188="","",N($AE188))</f>
        <v/>
      </c>
      <c r="AW188" s="38" t="str">
        <f aca="false">IF($A188="","",IF(OR($AF188="",$T188=""),"",$AF188-$T188))</f>
        <v/>
      </c>
      <c r="AX188" s="38" t="str">
        <f aca="false">IF($A188="","",IF(COUNT($AT188,$AB188,$AU188,$AW188,$AS188,$AH188)&lt;6,"",ROUND($AT188+$AB188+$AU188+$AV188+$AW188-$AS188-$AH188,0)))</f>
        <v/>
      </c>
      <c r="AY188" s="4" t="str">
        <f aca="false">IF($A188="","",IF($AX188="","No",IF(ABS($AX188)&lt;=2,"Yes","No")))</f>
        <v/>
      </c>
      <c r="AZ188" s="4" t="str">
        <f aca="false">IF($A188="","",IF($AI188&lt;&gt;"Yes","n/a",IF(OR($AA188="",$S188="",$T188=""),"Unknown",IF($AA188&lt;$S188+$T188,"Lost on arrival","Lost after arrival"))))</f>
        <v/>
      </c>
      <c r="BA188" s="10" t="str">
        <f aca="false">IF($A188="","",IFERROR(VLOOKUP($C188,Dim_Fund!$A:$D,4,0),""))</f>
        <v/>
      </c>
      <c r="BB188" s="10" t="str">
        <f aca="false">IF($A188="","",IF($AL188="","",IF(COUNTIFS(Fact_Milestone!$A:$A,$B188,Fact_Milestone!$B:$B,$AL188,Fact_Milestone!$I:$I,"No")&gt;0,"No",IF(COUNTIFS(Fact_Milestone!$A:$A,$B188,Fact_Milestone!$B:$B,$AL188,Fact_Milestone!$I:$I,"Yes")&gt;0,"Yes",""))))</f>
        <v/>
      </c>
      <c r="BC188" s="45" t="str">
        <f aca="false">IF($A188="","",IF(OR($L188="",$W188=""),"",IF(COUNTIFS($L:$L,$L188,$B:$B,$B188,$W:$W,"&lt;"&amp;$W188)=0,"",_xlfn.MAXIFS($W:$W,$L:$L,$L188,$B:$B,$B188,$W:$W,"&lt;"&amp;$W188))))</f>
        <v/>
      </c>
      <c r="BD188" s="39" t="str">
        <f aca="false">IF($A188="","",IF($AC188="","",IF(OR($L188="",$AC188=0),0,MIN($AC188,ROUND(ROUND(1440*SUMPRODUCT(($L$2:INDEX($L:$L,COUNTA($C:$C))=$L188)*($B$2:INDEX($B:$B,COUNTA($C:$C))=$B188)*(ROW($L$2:INDEX($L:$L,COUNTA($C:$C)))&lt;&gt;ROW())*((((($W188+$BT$2:INDEX($BT:$BT,COUNTA($C:$C))-ABS($W188-$BT$2:INDEX($BT:$BT,COUNTA($C:$C))))/2)-(($U188+$BS$2:INDEX($BS:$BS,COUNTA($C:$C))+ABS($U188-$BS$2:INDEX($BS:$BS,COUNTA($C:$C))))/2))+ABS(((($W188+$BT$2:INDEX($BT:$BT,COUNTA($C:$C))-ABS($W188-$BT$2:INDEX($BT:$BT,COUNTA($C:$C))))/2)-(($U188+$BS$2:INDEX($BS:$BS,COUNTA($C:$C))+ABS($U188-$BS$2:INDEX($BS:$BS,COUNTA($C:$C))))/2))))/2)),4),0)))))</f>
        <v/>
      </c>
      <c r="BE188" s="39" t="str">
        <f aca="false">IF($A188="","",IF($AC188="","",ROUND(MIN($AC188-$BD188,N($R188)),0)))</f>
        <v/>
      </c>
      <c r="BF188" s="10" t="str">
        <f aca="false">IF($A188="","",IFERROR(VLOOKUP($C188,Dim_Fund!$A:$BD,56,0),""))</f>
        <v/>
      </c>
      <c r="BG188" s="10" t="str">
        <f aca="false">IF($A188="","",IFERROR(VLOOKUP($C188,Dim_Fund!$A:$BH,60,0),""))</f>
        <v/>
      </c>
      <c r="BH188" s="10" t="str">
        <f aca="false">IF($A188="","",IF($AI188&lt;&gt;"Yes","Not breached",IF($AM188="Yes","Pricing late",IF($BG188="Thin custody slack","Thin custody slack",IF($BF188="Yes","Broker-dependent","None of these")))))</f>
        <v/>
      </c>
      <c r="BI188" s="23" t="str">
        <f aca="false">IF($A188="","",IFERROR(IF(VLOOKUP($C188,Dim_Fund!$A:$AI,35,0)&gt;0,VLOOKUP($C188,Dim_Fund!$A:$AI,35,0),""),""))</f>
        <v/>
      </c>
      <c r="BJ188" s="10" t="str">
        <f aca="false">IF($A188="","",$C188&amp;IF($E188="Client","*",""))</f>
        <v/>
      </c>
      <c r="BK188" s="39" t="str">
        <f aca="false">IF($A188="","",IFERROR(ROUND(($Y188-$X188)*1440,0),""))</f>
        <v/>
      </c>
      <c r="BL188" s="39" t="str">
        <f aca="false">IF($A188="","",IF($AH188="","",-$AH188))</f>
        <v/>
      </c>
      <c r="BM188" s="46" t="str">
        <f aca="false">IF($A188="","",IF($AQ188="","",IF($AP188="",$AQ188,MIN($AP188,$AQ188))))</f>
        <v/>
      </c>
      <c r="BN188" s="46" t="str">
        <f aca="false">IF($A188="","",IF($BM188="","",ROUND(N($AC188)/60,4)))</f>
        <v/>
      </c>
      <c r="BO188" s="46" t="str">
        <f aca="false">IF($A188="","",IF(OR($BM188="",$AD188=""),"",ROUND($AD188/60,4)))</f>
        <v/>
      </c>
      <c r="BP188" s="46" t="str">
        <f aca="false">IF($A188="","",IF($BM188="","",ROUND(N($AE188)/60,4)))</f>
        <v/>
      </c>
      <c r="BQ188" s="46" t="str">
        <f aca="false">IF($A188="","",IF(OR($BM188="",$AF188=""),"",ROUND($AF188/60,4)))</f>
        <v/>
      </c>
      <c r="BR188" s="39" t="str">
        <f aca="false">IF($A188="","",IF($AC188="","",$AC188-$BD188-$BE188))</f>
        <v/>
      </c>
      <c r="BS188" s="45" t="str">
        <f aca="false">IF($A188="","",IF(AND(ISNUMBER($Z188),ISNUMBER($W188)),$Z188,0))</f>
        <v/>
      </c>
      <c r="BT188" s="45" t="str">
        <f aca="false">IF($A188="","",IF(ISNUMBER($W188),$W188,0))</f>
        <v/>
      </c>
      <c r="BU188" s="23" t="str">
        <f aca="false">IF($A188="","",IF(ISNUMBER($W188),ROUND(($W188-$B188)*24,4),""))</f>
        <v/>
      </c>
      <c r="BV188" s="23" t="str">
        <f aca="false">IF($A188="","",IF(ISNUMBER($X188),ROUND(($X188-$B188)*24,4),""))</f>
        <v/>
      </c>
      <c r="BW188" s="10" t="str">
        <f aca="false">IF($A188="","",IF(NOT(ISNUMBER($W188)),"Missing Calculated",IF(NOT(ISNUMBER($X188)),IF($E188="Client","Missing FA signed off","Missing Controlled"),IF($X188&lt;$W188,"End before start","OK"))))</f>
        <v/>
      </c>
      <c r="BX188" s="23" t="str">
        <f aca="false">IF($A188="","",IF(NOT(ISNUMBER($Z188)),"",ROUND((IF(ISNUMBER($U188),MIN($U188,$Z188),$Z188)-$B188)*24,4)))</f>
        <v/>
      </c>
      <c r="BY188" s="23" t="str">
        <f aca="false">IF($A188="","",IF(ISNUMBER($Z188),ROUND(($Z188-$B188)*24,4),""))</f>
        <v/>
      </c>
      <c r="BZ188" s="23" t="str">
        <f aca="false">IF($A188="","",IF(AND(ISNUMBER($W188),ISNUMBER($S188)),ROUND(($W188+$S188/1440-$B188)*24,4),""))</f>
        <v/>
      </c>
    </row>
    <row r="189" customFormat="false" ht="15" hidden="false" customHeight="true" outlineLevel="0" collapsed="false">
      <c r="A189" s="47"/>
      <c r="B189" s="47"/>
      <c r="D189" s="4" t="str">
        <f aca="false">IF($A189="","",$B189-$A189)</f>
        <v/>
      </c>
      <c r="E189" s="4" t="str">
        <f aca="false">IF($A189="","",IFERROR(VLOOKUP($C189,Dim_Fund!$A:$X,24,0),""))</f>
        <v/>
      </c>
      <c r="F189" s="37" t="str">
        <f aca="false">IF($A189="","",IF(COUNTIFS(Status_Log!$A:$A,$A189,Status_Log!$B:$B,$B189,Status_Log!$C:$C,$C189,Status_Log!$D:$D,"Changed to the status of Calculated")=0,"",_xlfn.MINIFS(Status_Log!$E:$E,Status_Log!$A:$A,$A189,Status_Log!$B:$B,$B189,Status_Log!$C:$C,$C189,Status_Log!$D:$D,"Changed to the status of Calculated")))</f>
        <v/>
      </c>
      <c r="G189" s="37" t="str">
        <f aca="false">IF($A189="","",IF(COUNTIFS(Status_Log!$A:$A,$A189,Status_Log!$B:$B,$B189,Status_Log!$C:$C,$C189,Status_Log!$D:$D,"Changed to the status of Controlled")=0,"",_xlfn.MAXIFS(Status_Log!$E:$E,Status_Log!$A:$A,$A189,Status_Log!$B:$B,$B189,Status_Log!$C:$C,$C189,Status_Log!$D:$D,"Changed to the status of Controlled")))</f>
        <v/>
      </c>
      <c r="H189" s="37" t="str">
        <f aca="false">IF($A189="","",IF(COUNTIFS(Status_Log!$A:$A,$A189,Status_Log!$B:$B,$B189,Status_Log!$C:$C,$C189,Status_Log!$D:$D,"Changed to the status of Fund accounting signed off")=0,"",_xlfn.MAXIFS(Status_Log!$E:$E,Status_Log!$A:$A,$A189,Status_Log!$B:$B,$B189,Status_Log!$C:$C,$C189,Status_Log!$D:$D,"Changed to the status of Fund accounting signed off")))</f>
        <v/>
      </c>
      <c r="I189" s="37" t="str">
        <f aca="false">IF($A189="","",IF(COUNTIFS(Status_Log!$A:$A,$A189,Status_Log!$B:$B,$B189,Status_Log!$C:$C,$C189,Status_Log!$D:$D,"Changed to the status of signed off")=0,"",_xlfn.MAXIFS(Status_Log!$E:$E,Status_Log!$A:$A,$A189,Status_Log!$B:$B,$B189,Status_Log!$C:$C,$C189,Status_Log!$D:$D,"Changed to the status of signed off")))</f>
        <v/>
      </c>
      <c r="J189" s="4" t="str">
        <f aca="false">IF($A189="","",COUNTIFS(Status_Log!$A:$A,$A189,Status_Log!$B:$B,$B189,Status_Log!$C:$C,$C189,Status_Log!$D:$D,"Changed to the status of Calculated"))</f>
        <v/>
      </c>
      <c r="K189" s="38" t="str">
        <f aca="false">IF($A189="","",IF(J189&lt;=1,0,ROUND((_xlfn.MAXIFS(Status_Log!$E:$E,Status_Log!$A:$A,$A189,Status_Log!$B:$B,$B189,Status_Log!$C:$C,$C189,Status_Log!$D:$D,"Changed to the status of Calculated")-F189)*1440,0)))</f>
        <v/>
      </c>
      <c r="L189" s="4" t="str">
        <f aca="false">IF($A189="","",IFERROR(INDEX(Status_Log!$F:$F,MATCH($A189&amp;"|"&amp;$B189&amp;"|"&amp;$C189&amp;"|Changed to the status of Calculated|"&amp;TEXT(_xlfn.MAXIFS(Status_Log!$E:$E,Status_Log!$A:$A,$A189,Status_Log!$B:$B,$B189,Status_Log!$C:$C,$C189,Status_Log!$D:$D,"Changed to the status of Calculated"),"0.000000"),Status_Log!$H:$H,0)),""))</f>
        <v/>
      </c>
      <c r="M189" s="4" t="str">
        <f aca="false">IF($A189="","",IF(E189="Client","n/a — no control step",IFERROR(INDEX(Status_Log!$F:$F,MATCH($A189&amp;"|"&amp;$B189&amp;"|"&amp;$C189&amp;"|Changed to the status of Controlled|"&amp;TEXT(_xlfn.MAXIFS(Status_Log!$E:$E,Status_Log!$A:$A,$A189,Status_Log!$B:$B,$B189,Status_Log!$C:$C,$C189,Status_Log!$D:$D,"Changed to the status of Controlled"),"0.000000"),Status_Log!$H:$H,0)),"")))</f>
        <v/>
      </c>
      <c r="N189" s="4" t="str">
        <f aca="false">IF($A189="","",IFERROR(VLOOKUP($C189,Dim_Fund!$A:$G,7,0),""))</f>
        <v/>
      </c>
      <c r="O189" s="4" t="str">
        <f aca="false">IF($A189="","",IF(L189=N189,"No","Yes"))</f>
        <v/>
      </c>
      <c r="P189" s="4" t="str">
        <f aca="false">IF($A189="","",IF(E189="Client","n/a",IF(L189=M189,"YES — four-eyes breach","No")))</f>
        <v/>
      </c>
      <c r="Q189" s="38" t="str">
        <f aca="false">IF($A189="","",IFERROR(VLOOKUP($C189,Dim_Fund!$A:$AB,28,0),""))</f>
        <v/>
      </c>
      <c r="R189" s="38" t="str">
        <f aca="false">IF($A189="","",IFERROR(VLOOKUP($C189,Dim_Fund!$A:$AC,29,0),""))</f>
        <v/>
      </c>
      <c r="S189" s="38" t="str">
        <f aca="false">IF($A189="","",IFERROR(VLOOKUP($C189,Dim_Fund!$A:$AD,30,0),""))</f>
        <v/>
      </c>
      <c r="T189" s="38" t="str">
        <f aca="false">IF($A189="","",IFERROR(VLOOKUP($C189,Dim_Fund!$A:$AL,38,0),""))</f>
        <v/>
      </c>
      <c r="U189" s="37" t="str">
        <f aca="false">IF($A189="","",IF(AL189="","",IFERROR(IF(COUNTIFS(Fact_Milestone!$A:$A,$B189,Fact_Milestone!$B:$B,AL189)=0,"",_xlfn.MAXIFS(Fact_Milestone!$C:$C,Fact_Milestone!$A:$A,$B189,Fact_Milestone!$B:$B,AL189)),"")))</f>
        <v/>
      </c>
      <c r="V189" s="37" t="str">
        <f aca="false">IF($A189="","",IFERROR(IF(VLOOKUP($C189,Dim_Fund!$A:$AI,35,0)&gt;0,$B189+VLOOKUP($C189,Dim_Fund!$A:$AI,35,0)/24,""),""))</f>
        <v/>
      </c>
      <c r="W189" s="37" t="str">
        <f aca="false">IF($A189="","",F189)</f>
        <v/>
      </c>
      <c r="X189" s="37" t="str">
        <f aca="false">IF($A189="","",IF(E189="Client",H189,G189))</f>
        <v/>
      </c>
      <c r="Y189" s="37" t="str">
        <f aca="false">IF($A189="","",I189)</f>
        <v/>
      </c>
      <c r="Z189" s="37" t="str">
        <f aca="false">IF($A189="","",IFERROR(W189-R189/1440,""))</f>
        <v/>
      </c>
      <c r="AA189" s="38" t="str">
        <f aca="false">IF($A189="","",IF(OR(U189="",V189=""),"",ROUND((V189-U189)*1440,0)))</f>
        <v/>
      </c>
      <c r="AB189" s="38" t="str">
        <f aca="false">IF($A189="","",IF(U189="","",ROUND((W189-U189)*1440,0)))</f>
        <v/>
      </c>
      <c r="AC189" s="38" t="str">
        <f aca="false">IF($A189="","",IF(AB189="","",MAX(0,AB189)))</f>
        <v/>
      </c>
      <c r="AD189" s="38" t="str">
        <f aca="false">IF($A189="","",IFERROR(ROUND((X189-W189)*1440,0),""))</f>
        <v/>
      </c>
      <c r="AE189" s="38" t="str">
        <f aca="false">IF($A189="","",IF(E189="Client","n/a",IFERROR(ROUND((H189-G189)*1440,0),"")))</f>
        <v/>
      </c>
      <c r="AF189" s="38" t="str">
        <f aca="false">IF($A189="","",IFERROR(ROUND((Y189-H189)*1440,0),""))</f>
        <v/>
      </c>
      <c r="AG189" s="38" t="str">
        <f aca="false">IF($A189="","",IFERROR(ROUND((H189-F189)*1440,0),""))</f>
        <v/>
      </c>
      <c r="AH189" s="38" t="str">
        <f aca="false">IF($A189="","",IFERROR(ROUND((Y189-V189)*1440,0),""))</f>
        <v/>
      </c>
      <c r="AI189" s="4" t="str">
        <f aca="false">IF($A189="","",IF(AH189="","",IF(AH189&gt;0,"Yes","No")))</f>
        <v/>
      </c>
      <c r="AJ189" s="4" t="str">
        <f aca="false">IF($A189="","",IF(AI189&lt;&gt;"Yes","On time",IF(N(AC189)&gt;=MAX(N(AF189),N(K189)),"Wait for analyst",IF(N(AF189)&gt;=N(K189),"External sign-off","Rework"))))</f>
        <v/>
      </c>
      <c r="AK189" s="4" t="str">
        <f aca="false">IF($A189="","",IF(OR(F189="",Y189="",ISNA(MATCH(L189,Dim_Analyst!$A:$A,0))),"CHECK","OK"))</f>
        <v/>
      </c>
      <c r="AL189" s="4" t="str">
        <f aca="false">IF($A189="","",IFERROR(VLOOKUP($C189,Dim_Fund!$A:$U,21,0),""))</f>
        <v/>
      </c>
      <c r="AM189" s="4" t="str">
        <f aca="false">IF($A189="","",IF($U189="","",IF($U189&gt;$B189+IFERROR(VLOOKUP($C189,Dim_Fund!$A:$AH,34,0),0)/24,"Yes","No")))</f>
        <v/>
      </c>
      <c r="AN189" s="22" t="str">
        <f aca="false">IF($A189="","",IFERROR(VLOOKUP($C189,Dim_Fund!$A:$AH,34,0),""))</f>
        <v/>
      </c>
      <c r="AO189" s="22" t="str">
        <f aca="false">IF($A189="","",IF($AL189="","",IFERROR(FLOOR(IF(COUNTIFS(Fact_Milestone!$A:$A,$B189,Fact_Milestone!$B:$B,$AL189,Fact_Milestone!$F:$F,"&gt;0")&gt;0,_xlfn.MINIFS(Fact_Milestone!$F:$F,Fact_Milestone!$A:$A,$B189,Fact_Milestone!$B:$B,$AL189,Fact_Milestone!$F:$F,"&gt;0"),VLOOKUP($AL189,Dim_TOP!$A:$E,5,0)),0.5),"")))</f>
        <v/>
      </c>
      <c r="AP189" s="22" t="str">
        <f aca="false">IF($A189="","",IF($U189="","",ROUND(($U189-INT($U189))*24,4)))</f>
        <v/>
      </c>
      <c r="AQ189" s="22" t="str">
        <f aca="false">IF($A189="","",IF($W189="","",ROUND(($W189-INT($W189))*24,4)))</f>
        <v/>
      </c>
      <c r="AR189" s="22" t="str">
        <f aca="false">IF($A189="","",IF($X189="","",ROUND(($X189-INT($X189))*24,4)))</f>
        <v/>
      </c>
      <c r="AS189" s="38" t="str">
        <f aca="false">IF($A189="","",IF(OR($AN189="",$V189="",$S189="",$T189=""),"",ROUND(($V189-($B189+$AN189/24))*1440-$S189-$T189,0)))</f>
        <v/>
      </c>
      <c r="AT189" s="38" t="str">
        <f aca="false">IF($A189="","",IF(OR($AN189="",$U189=""),"",ROUND(($U189-($B189+$AN189/24))*1440,0)))</f>
        <v/>
      </c>
      <c r="AU189" s="38" t="str">
        <f aca="false">IF($A189="","",IF(OR($AD189="",$S189=""),"",ROUND($AD189-$S189,0)))</f>
        <v/>
      </c>
      <c r="AV189" s="38" t="str">
        <f aca="false">IF($A189="","",N($AE189))</f>
        <v/>
      </c>
      <c r="AW189" s="38" t="str">
        <f aca="false">IF($A189="","",IF(OR($AF189="",$T189=""),"",$AF189-$T189))</f>
        <v/>
      </c>
      <c r="AX189" s="38" t="str">
        <f aca="false">IF($A189="","",IF(COUNT($AT189,$AB189,$AU189,$AW189,$AS189,$AH189)&lt;6,"",ROUND($AT189+$AB189+$AU189+$AV189+$AW189-$AS189-$AH189,0)))</f>
        <v/>
      </c>
      <c r="AY189" s="4" t="str">
        <f aca="false">IF($A189="","",IF($AX189="","No",IF(ABS($AX189)&lt;=2,"Yes","No")))</f>
        <v/>
      </c>
      <c r="AZ189" s="4" t="str">
        <f aca="false">IF($A189="","",IF($AI189&lt;&gt;"Yes","n/a",IF(OR($AA189="",$S189="",$T189=""),"Unknown",IF($AA189&lt;$S189+$T189,"Lost on arrival","Lost after arrival"))))</f>
        <v/>
      </c>
      <c r="BA189" s="10" t="str">
        <f aca="false">IF($A189="","",IFERROR(VLOOKUP($C189,Dim_Fund!$A:$D,4,0),""))</f>
        <v/>
      </c>
      <c r="BB189" s="10" t="str">
        <f aca="false">IF($A189="","",IF($AL189="","",IF(COUNTIFS(Fact_Milestone!$A:$A,$B189,Fact_Milestone!$B:$B,$AL189,Fact_Milestone!$I:$I,"No")&gt;0,"No",IF(COUNTIFS(Fact_Milestone!$A:$A,$B189,Fact_Milestone!$B:$B,$AL189,Fact_Milestone!$I:$I,"Yes")&gt;0,"Yes",""))))</f>
        <v/>
      </c>
      <c r="BC189" s="45" t="str">
        <f aca="false">IF($A189="","",IF(OR($L189="",$W189=""),"",IF(COUNTIFS($L:$L,$L189,$B:$B,$B189,$W:$W,"&lt;"&amp;$W189)=0,"",_xlfn.MAXIFS($W:$W,$L:$L,$L189,$B:$B,$B189,$W:$W,"&lt;"&amp;$W189))))</f>
        <v/>
      </c>
      <c r="BD189" s="39" t="str">
        <f aca="false">IF($A189="","",IF($AC189="","",IF(OR($L189="",$AC189=0),0,MIN($AC189,ROUND(ROUND(1440*SUMPRODUCT(($L$2:INDEX($L:$L,COUNTA($C:$C))=$L189)*($B$2:INDEX($B:$B,COUNTA($C:$C))=$B189)*(ROW($L$2:INDEX($L:$L,COUNTA($C:$C)))&lt;&gt;ROW())*((((($W189+$BT$2:INDEX($BT:$BT,COUNTA($C:$C))-ABS($W189-$BT$2:INDEX($BT:$BT,COUNTA($C:$C))))/2)-(($U189+$BS$2:INDEX($BS:$BS,COUNTA($C:$C))+ABS($U189-$BS$2:INDEX($BS:$BS,COUNTA($C:$C))))/2))+ABS(((($W189+$BT$2:INDEX($BT:$BT,COUNTA($C:$C))-ABS($W189-$BT$2:INDEX($BT:$BT,COUNTA($C:$C))))/2)-(($U189+$BS$2:INDEX($BS:$BS,COUNTA($C:$C))+ABS($U189-$BS$2:INDEX($BS:$BS,COUNTA($C:$C))))/2))))/2)),4),0)))))</f>
        <v/>
      </c>
      <c r="BE189" s="39" t="str">
        <f aca="false">IF($A189="","",IF($AC189="","",ROUND(MIN($AC189-$BD189,N($R189)),0)))</f>
        <v/>
      </c>
      <c r="BF189" s="10" t="str">
        <f aca="false">IF($A189="","",IFERROR(VLOOKUP($C189,Dim_Fund!$A:$BD,56,0),""))</f>
        <v/>
      </c>
      <c r="BG189" s="10" t="str">
        <f aca="false">IF($A189="","",IFERROR(VLOOKUP($C189,Dim_Fund!$A:$BH,60,0),""))</f>
        <v/>
      </c>
      <c r="BH189" s="10" t="str">
        <f aca="false">IF($A189="","",IF($AI189&lt;&gt;"Yes","Not breached",IF($AM189="Yes","Pricing late",IF($BG189="Thin custody slack","Thin custody slack",IF($BF189="Yes","Broker-dependent","None of these")))))</f>
        <v/>
      </c>
      <c r="BI189" s="23" t="str">
        <f aca="false">IF($A189="","",IFERROR(IF(VLOOKUP($C189,Dim_Fund!$A:$AI,35,0)&gt;0,VLOOKUP($C189,Dim_Fund!$A:$AI,35,0),""),""))</f>
        <v/>
      </c>
      <c r="BJ189" s="10" t="str">
        <f aca="false">IF($A189="","",$C189&amp;IF($E189="Client","*",""))</f>
        <v/>
      </c>
      <c r="BK189" s="39" t="str">
        <f aca="false">IF($A189="","",IFERROR(ROUND(($Y189-$X189)*1440,0),""))</f>
        <v/>
      </c>
      <c r="BL189" s="39" t="str">
        <f aca="false">IF($A189="","",IF($AH189="","",-$AH189))</f>
        <v/>
      </c>
      <c r="BM189" s="46" t="str">
        <f aca="false">IF($A189="","",IF($AQ189="","",IF($AP189="",$AQ189,MIN($AP189,$AQ189))))</f>
        <v/>
      </c>
      <c r="BN189" s="46" t="str">
        <f aca="false">IF($A189="","",IF($BM189="","",ROUND(N($AC189)/60,4)))</f>
        <v/>
      </c>
      <c r="BO189" s="46" t="str">
        <f aca="false">IF($A189="","",IF(OR($BM189="",$AD189=""),"",ROUND($AD189/60,4)))</f>
        <v/>
      </c>
      <c r="BP189" s="46" t="str">
        <f aca="false">IF($A189="","",IF($BM189="","",ROUND(N($AE189)/60,4)))</f>
        <v/>
      </c>
      <c r="BQ189" s="46" t="str">
        <f aca="false">IF($A189="","",IF(OR($BM189="",$AF189=""),"",ROUND($AF189/60,4)))</f>
        <v/>
      </c>
      <c r="BR189" s="39" t="str">
        <f aca="false">IF($A189="","",IF($AC189="","",$AC189-$BD189-$BE189))</f>
        <v/>
      </c>
      <c r="BS189" s="45" t="str">
        <f aca="false">IF($A189="","",IF(AND(ISNUMBER($Z189),ISNUMBER($W189)),$Z189,0))</f>
        <v/>
      </c>
      <c r="BT189" s="45" t="str">
        <f aca="false">IF($A189="","",IF(ISNUMBER($W189),$W189,0))</f>
        <v/>
      </c>
      <c r="BU189" s="23" t="str">
        <f aca="false">IF($A189="","",IF(ISNUMBER($W189),ROUND(($W189-$B189)*24,4),""))</f>
        <v/>
      </c>
      <c r="BV189" s="23" t="str">
        <f aca="false">IF($A189="","",IF(ISNUMBER($X189),ROUND(($X189-$B189)*24,4),""))</f>
        <v/>
      </c>
      <c r="BW189" s="10" t="str">
        <f aca="false">IF($A189="","",IF(NOT(ISNUMBER($W189)),"Missing Calculated",IF(NOT(ISNUMBER($X189)),IF($E189="Client","Missing FA signed off","Missing Controlled"),IF($X189&lt;$W189,"End before start","OK"))))</f>
        <v/>
      </c>
      <c r="BX189" s="23" t="str">
        <f aca="false">IF($A189="","",IF(NOT(ISNUMBER($Z189)),"",ROUND((IF(ISNUMBER($U189),MIN($U189,$Z189),$Z189)-$B189)*24,4)))</f>
        <v/>
      </c>
      <c r="BY189" s="23" t="str">
        <f aca="false">IF($A189="","",IF(ISNUMBER($Z189),ROUND(($Z189-$B189)*24,4),""))</f>
        <v/>
      </c>
      <c r="BZ189" s="23" t="str">
        <f aca="false">IF($A189="","",IF(AND(ISNUMBER($W189),ISNUMBER($S189)),ROUND(($W189+$S189/1440-$B189)*24,4),""))</f>
        <v/>
      </c>
    </row>
    <row r="190" customFormat="false" ht="15" hidden="false" customHeight="true" outlineLevel="0" collapsed="false">
      <c r="A190" s="47"/>
      <c r="B190" s="47"/>
      <c r="D190" s="4" t="str">
        <f aca="false">IF($A190="","",$B190-$A190)</f>
        <v/>
      </c>
      <c r="E190" s="4" t="str">
        <f aca="false">IF($A190="","",IFERROR(VLOOKUP($C190,Dim_Fund!$A:$X,24,0),""))</f>
        <v/>
      </c>
      <c r="F190" s="37" t="str">
        <f aca="false">IF($A190="","",IF(COUNTIFS(Status_Log!$A:$A,$A190,Status_Log!$B:$B,$B190,Status_Log!$C:$C,$C190,Status_Log!$D:$D,"Changed to the status of Calculated")=0,"",_xlfn.MINIFS(Status_Log!$E:$E,Status_Log!$A:$A,$A190,Status_Log!$B:$B,$B190,Status_Log!$C:$C,$C190,Status_Log!$D:$D,"Changed to the status of Calculated")))</f>
        <v/>
      </c>
      <c r="G190" s="37" t="str">
        <f aca="false">IF($A190="","",IF(COUNTIFS(Status_Log!$A:$A,$A190,Status_Log!$B:$B,$B190,Status_Log!$C:$C,$C190,Status_Log!$D:$D,"Changed to the status of Controlled")=0,"",_xlfn.MAXIFS(Status_Log!$E:$E,Status_Log!$A:$A,$A190,Status_Log!$B:$B,$B190,Status_Log!$C:$C,$C190,Status_Log!$D:$D,"Changed to the status of Controlled")))</f>
        <v/>
      </c>
      <c r="H190" s="37" t="str">
        <f aca="false">IF($A190="","",IF(COUNTIFS(Status_Log!$A:$A,$A190,Status_Log!$B:$B,$B190,Status_Log!$C:$C,$C190,Status_Log!$D:$D,"Changed to the status of Fund accounting signed off")=0,"",_xlfn.MAXIFS(Status_Log!$E:$E,Status_Log!$A:$A,$A190,Status_Log!$B:$B,$B190,Status_Log!$C:$C,$C190,Status_Log!$D:$D,"Changed to the status of Fund accounting signed off")))</f>
        <v/>
      </c>
      <c r="I190" s="37" t="str">
        <f aca="false">IF($A190="","",IF(COUNTIFS(Status_Log!$A:$A,$A190,Status_Log!$B:$B,$B190,Status_Log!$C:$C,$C190,Status_Log!$D:$D,"Changed to the status of signed off")=0,"",_xlfn.MAXIFS(Status_Log!$E:$E,Status_Log!$A:$A,$A190,Status_Log!$B:$B,$B190,Status_Log!$C:$C,$C190,Status_Log!$D:$D,"Changed to the status of signed off")))</f>
        <v/>
      </c>
      <c r="J190" s="4" t="str">
        <f aca="false">IF($A190="","",COUNTIFS(Status_Log!$A:$A,$A190,Status_Log!$B:$B,$B190,Status_Log!$C:$C,$C190,Status_Log!$D:$D,"Changed to the status of Calculated"))</f>
        <v/>
      </c>
      <c r="K190" s="38" t="str">
        <f aca="false">IF($A190="","",IF(J190&lt;=1,0,ROUND((_xlfn.MAXIFS(Status_Log!$E:$E,Status_Log!$A:$A,$A190,Status_Log!$B:$B,$B190,Status_Log!$C:$C,$C190,Status_Log!$D:$D,"Changed to the status of Calculated")-F190)*1440,0)))</f>
        <v/>
      </c>
      <c r="L190" s="4" t="str">
        <f aca="false">IF($A190="","",IFERROR(INDEX(Status_Log!$F:$F,MATCH($A190&amp;"|"&amp;$B190&amp;"|"&amp;$C190&amp;"|Changed to the status of Calculated|"&amp;TEXT(_xlfn.MAXIFS(Status_Log!$E:$E,Status_Log!$A:$A,$A190,Status_Log!$B:$B,$B190,Status_Log!$C:$C,$C190,Status_Log!$D:$D,"Changed to the status of Calculated"),"0.000000"),Status_Log!$H:$H,0)),""))</f>
        <v/>
      </c>
      <c r="M190" s="4" t="str">
        <f aca="false">IF($A190="","",IF(E190="Client","n/a — no control step",IFERROR(INDEX(Status_Log!$F:$F,MATCH($A190&amp;"|"&amp;$B190&amp;"|"&amp;$C190&amp;"|Changed to the status of Controlled|"&amp;TEXT(_xlfn.MAXIFS(Status_Log!$E:$E,Status_Log!$A:$A,$A190,Status_Log!$B:$B,$B190,Status_Log!$C:$C,$C190,Status_Log!$D:$D,"Changed to the status of Controlled"),"0.000000"),Status_Log!$H:$H,0)),"")))</f>
        <v/>
      </c>
      <c r="N190" s="4" t="str">
        <f aca="false">IF($A190="","",IFERROR(VLOOKUP($C190,Dim_Fund!$A:$G,7,0),""))</f>
        <v/>
      </c>
      <c r="O190" s="4" t="str">
        <f aca="false">IF($A190="","",IF(L190=N190,"No","Yes"))</f>
        <v/>
      </c>
      <c r="P190" s="4" t="str">
        <f aca="false">IF($A190="","",IF(E190="Client","n/a",IF(L190=M190,"YES — four-eyes breach","No")))</f>
        <v/>
      </c>
      <c r="Q190" s="38" t="str">
        <f aca="false">IF($A190="","",IFERROR(VLOOKUP($C190,Dim_Fund!$A:$AB,28,0),""))</f>
        <v/>
      </c>
      <c r="R190" s="38" t="str">
        <f aca="false">IF($A190="","",IFERROR(VLOOKUP($C190,Dim_Fund!$A:$AC,29,0),""))</f>
        <v/>
      </c>
      <c r="S190" s="38" t="str">
        <f aca="false">IF($A190="","",IFERROR(VLOOKUP($C190,Dim_Fund!$A:$AD,30,0),""))</f>
        <v/>
      </c>
      <c r="T190" s="38" t="str">
        <f aca="false">IF($A190="","",IFERROR(VLOOKUP($C190,Dim_Fund!$A:$AL,38,0),""))</f>
        <v/>
      </c>
      <c r="U190" s="37" t="str">
        <f aca="false">IF($A190="","",IF(AL190="","",IFERROR(IF(COUNTIFS(Fact_Milestone!$A:$A,$B190,Fact_Milestone!$B:$B,AL190)=0,"",_xlfn.MAXIFS(Fact_Milestone!$C:$C,Fact_Milestone!$A:$A,$B190,Fact_Milestone!$B:$B,AL190)),"")))</f>
        <v/>
      </c>
      <c r="V190" s="37" t="str">
        <f aca="false">IF($A190="","",IFERROR(IF(VLOOKUP($C190,Dim_Fund!$A:$AI,35,0)&gt;0,$B190+VLOOKUP($C190,Dim_Fund!$A:$AI,35,0)/24,""),""))</f>
        <v/>
      </c>
      <c r="W190" s="37" t="str">
        <f aca="false">IF($A190="","",F190)</f>
        <v/>
      </c>
      <c r="X190" s="37" t="str">
        <f aca="false">IF($A190="","",IF(E190="Client",H190,G190))</f>
        <v/>
      </c>
      <c r="Y190" s="37" t="str">
        <f aca="false">IF($A190="","",I190)</f>
        <v/>
      </c>
      <c r="Z190" s="37" t="str">
        <f aca="false">IF($A190="","",IFERROR(W190-R190/1440,""))</f>
        <v/>
      </c>
      <c r="AA190" s="38" t="str">
        <f aca="false">IF($A190="","",IF(OR(U190="",V190=""),"",ROUND((V190-U190)*1440,0)))</f>
        <v/>
      </c>
      <c r="AB190" s="38" t="str">
        <f aca="false">IF($A190="","",IF(U190="","",ROUND((W190-U190)*1440,0)))</f>
        <v/>
      </c>
      <c r="AC190" s="38" t="str">
        <f aca="false">IF($A190="","",IF(AB190="","",MAX(0,AB190)))</f>
        <v/>
      </c>
      <c r="AD190" s="38" t="str">
        <f aca="false">IF($A190="","",IFERROR(ROUND((X190-W190)*1440,0),""))</f>
        <v/>
      </c>
      <c r="AE190" s="38" t="str">
        <f aca="false">IF($A190="","",IF(E190="Client","n/a",IFERROR(ROUND((H190-G190)*1440,0),"")))</f>
        <v/>
      </c>
      <c r="AF190" s="38" t="str">
        <f aca="false">IF($A190="","",IFERROR(ROUND((Y190-H190)*1440,0),""))</f>
        <v/>
      </c>
      <c r="AG190" s="38" t="str">
        <f aca="false">IF($A190="","",IFERROR(ROUND((H190-F190)*1440,0),""))</f>
        <v/>
      </c>
      <c r="AH190" s="38" t="str">
        <f aca="false">IF($A190="","",IFERROR(ROUND((Y190-V190)*1440,0),""))</f>
        <v/>
      </c>
      <c r="AI190" s="4" t="str">
        <f aca="false">IF($A190="","",IF(AH190="","",IF(AH190&gt;0,"Yes","No")))</f>
        <v/>
      </c>
      <c r="AJ190" s="4" t="str">
        <f aca="false">IF($A190="","",IF(AI190&lt;&gt;"Yes","On time",IF(N(AC190)&gt;=MAX(N(AF190),N(K190)),"Wait for analyst",IF(N(AF190)&gt;=N(K190),"External sign-off","Rework"))))</f>
        <v/>
      </c>
      <c r="AK190" s="4" t="str">
        <f aca="false">IF($A190="","",IF(OR(F190="",Y190="",ISNA(MATCH(L190,Dim_Analyst!$A:$A,0))),"CHECK","OK"))</f>
        <v/>
      </c>
      <c r="AL190" s="4" t="str">
        <f aca="false">IF($A190="","",IFERROR(VLOOKUP($C190,Dim_Fund!$A:$U,21,0),""))</f>
        <v/>
      </c>
      <c r="AM190" s="4" t="str">
        <f aca="false">IF($A190="","",IF($U190="","",IF($U190&gt;$B190+IFERROR(VLOOKUP($C190,Dim_Fund!$A:$AH,34,0),0)/24,"Yes","No")))</f>
        <v/>
      </c>
      <c r="AN190" s="22" t="str">
        <f aca="false">IF($A190="","",IFERROR(VLOOKUP($C190,Dim_Fund!$A:$AH,34,0),""))</f>
        <v/>
      </c>
      <c r="AO190" s="22" t="str">
        <f aca="false">IF($A190="","",IF($AL190="","",IFERROR(FLOOR(IF(COUNTIFS(Fact_Milestone!$A:$A,$B190,Fact_Milestone!$B:$B,$AL190,Fact_Milestone!$F:$F,"&gt;0")&gt;0,_xlfn.MINIFS(Fact_Milestone!$F:$F,Fact_Milestone!$A:$A,$B190,Fact_Milestone!$B:$B,$AL190,Fact_Milestone!$F:$F,"&gt;0"),VLOOKUP($AL190,Dim_TOP!$A:$E,5,0)),0.5),"")))</f>
        <v/>
      </c>
      <c r="AP190" s="22" t="str">
        <f aca="false">IF($A190="","",IF($U190="","",ROUND(($U190-INT($U190))*24,4)))</f>
        <v/>
      </c>
      <c r="AQ190" s="22" t="str">
        <f aca="false">IF($A190="","",IF($W190="","",ROUND(($W190-INT($W190))*24,4)))</f>
        <v/>
      </c>
      <c r="AR190" s="22" t="str">
        <f aca="false">IF($A190="","",IF($X190="","",ROUND(($X190-INT($X190))*24,4)))</f>
        <v/>
      </c>
      <c r="AS190" s="38" t="str">
        <f aca="false">IF($A190="","",IF(OR($AN190="",$V190="",$S190="",$T190=""),"",ROUND(($V190-($B190+$AN190/24))*1440-$S190-$T190,0)))</f>
        <v/>
      </c>
      <c r="AT190" s="38" t="str">
        <f aca="false">IF($A190="","",IF(OR($AN190="",$U190=""),"",ROUND(($U190-($B190+$AN190/24))*1440,0)))</f>
        <v/>
      </c>
      <c r="AU190" s="38" t="str">
        <f aca="false">IF($A190="","",IF(OR($AD190="",$S190=""),"",ROUND($AD190-$S190,0)))</f>
        <v/>
      </c>
      <c r="AV190" s="38" t="str">
        <f aca="false">IF($A190="","",N($AE190))</f>
        <v/>
      </c>
      <c r="AW190" s="38" t="str">
        <f aca="false">IF($A190="","",IF(OR($AF190="",$T190=""),"",$AF190-$T190))</f>
        <v/>
      </c>
      <c r="AX190" s="38" t="str">
        <f aca="false">IF($A190="","",IF(COUNT($AT190,$AB190,$AU190,$AW190,$AS190,$AH190)&lt;6,"",ROUND($AT190+$AB190+$AU190+$AV190+$AW190-$AS190-$AH190,0)))</f>
        <v/>
      </c>
      <c r="AY190" s="4" t="str">
        <f aca="false">IF($A190="","",IF($AX190="","No",IF(ABS($AX190)&lt;=2,"Yes","No")))</f>
        <v/>
      </c>
      <c r="AZ190" s="4" t="str">
        <f aca="false">IF($A190="","",IF($AI190&lt;&gt;"Yes","n/a",IF(OR($AA190="",$S190="",$T190=""),"Unknown",IF($AA190&lt;$S190+$T190,"Lost on arrival","Lost after arrival"))))</f>
        <v/>
      </c>
      <c r="BA190" s="10" t="str">
        <f aca="false">IF($A190="","",IFERROR(VLOOKUP($C190,Dim_Fund!$A:$D,4,0),""))</f>
        <v/>
      </c>
      <c r="BB190" s="10" t="str">
        <f aca="false">IF($A190="","",IF($AL190="","",IF(COUNTIFS(Fact_Milestone!$A:$A,$B190,Fact_Milestone!$B:$B,$AL190,Fact_Milestone!$I:$I,"No")&gt;0,"No",IF(COUNTIFS(Fact_Milestone!$A:$A,$B190,Fact_Milestone!$B:$B,$AL190,Fact_Milestone!$I:$I,"Yes")&gt;0,"Yes",""))))</f>
        <v/>
      </c>
      <c r="BC190" s="45" t="str">
        <f aca="false">IF($A190="","",IF(OR($L190="",$W190=""),"",IF(COUNTIFS($L:$L,$L190,$B:$B,$B190,$W:$W,"&lt;"&amp;$W190)=0,"",_xlfn.MAXIFS($W:$W,$L:$L,$L190,$B:$B,$B190,$W:$W,"&lt;"&amp;$W190))))</f>
        <v/>
      </c>
      <c r="BD190" s="39" t="str">
        <f aca="false">IF($A190="","",IF($AC190="","",IF(OR($L190="",$AC190=0),0,MIN($AC190,ROUND(ROUND(1440*SUMPRODUCT(($L$2:INDEX($L:$L,COUNTA($C:$C))=$L190)*($B$2:INDEX($B:$B,COUNTA($C:$C))=$B190)*(ROW($L$2:INDEX($L:$L,COUNTA($C:$C)))&lt;&gt;ROW())*((((($W190+$BT$2:INDEX($BT:$BT,COUNTA($C:$C))-ABS($W190-$BT$2:INDEX($BT:$BT,COUNTA($C:$C))))/2)-(($U190+$BS$2:INDEX($BS:$BS,COUNTA($C:$C))+ABS($U190-$BS$2:INDEX($BS:$BS,COUNTA($C:$C))))/2))+ABS(((($W190+$BT$2:INDEX($BT:$BT,COUNTA($C:$C))-ABS($W190-$BT$2:INDEX($BT:$BT,COUNTA($C:$C))))/2)-(($U190+$BS$2:INDEX($BS:$BS,COUNTA($C:$C))+ABS($U190-$BS$2:INDEX($BS:$BS,COUNTA($C:$C))))/2))))/2)),4),0)))))</f>
        <v/>
      </c>
      <c r="BE190" s="39" t="str">
        <f aca="false">IF($A190="","",IF($AC190="","",ROUND(MIN($AC190-$BD190,N($R190)),0)))</f>
        <v/>
      </c>
      <c r="BF190" s="10" t="str">
        <f aca="false">IF($A190="","",IFERROR(VLOOKUP($C190,Dim_Fund!$A:$BD,56,0),""))</f>
        <v/>
      </c>
      <c r="BG190" s="10" t="str">
        <f aca="false">IF($A190="","",IFERROR(VLOOKUP($C190,Dim_Fund!$A:$BH,60,0),""))</f>
        <v/>
      </c>
      <c r="BH190" s="10" t="str">
        <f aca="false">IF($A190="","",IF($AI190&lt;&gt;"Yes","Not breached",IF($AM190="Yes","Pricing late",IF($BG190="Thin custody slack","Thin custody slack",IF($BF190="Yes","Broker-dependent","None of these")))))</f>
        <v/>
      </c>
      <c r="BI190" s="23" t="str">
        <f aca="false">IF($A190="","",IFERROR(IF(VLOOKUP($C190,Dim_Fund!$A:$AI,35,0)&gt;0,VLOOKUP($C190,Dim_Fund!$A:$AI,35,0),""),""))</f>
        <v/>
      </c>
      <c r="BJ190" s="10" t="str">
        <f aca="false">IF($A190="","",$C190&amp;IF($E190="Client","*",""))</f>
        <v/>
      </c>
      <c r="BK190" s="39" t="str">
        <f aca="false">IF($A190="","",IFERROR(ROUND(($Y190-$X190)*1440,0),""))</f>
        <v/>
      </c>
      <c r="BL190" s="39" t="str">
        <f aca="false">IF($A190="","",IF($AH190="","",-$AH190))</f>
        <v/>
      </c>
      <c r="BM190" s="46" t="str">
        <f aca="false">IF($A190="","",IF($AQ190="","",IF($AP190="",$AQ190,MIN($AP190,$AQ190))))</f>
        <v/>
      </c>
      <c r="BN190" s="46" t="str">
        <f aca="false">IF($A190="","",IF($BM190="","",ROUND(N($AC190)/60,4)))</f>
        <v/>
      </c>
      <c r="BO190" s="46" t="str">
        <f aca="false">IF($A190="","",IF(OR($BM190="",$AD190=""),"",ROUND($AD190/60,4)))</f>
        <v/>
      </c>
      <c r="BP190" s="46" t="str">
        <f aca="false">IF($A190="","",IF($BM190="","",ROUND(N($AE190)/60,4)))</f>
        <v/>
      </c>
      <c r="BQ190" s="46" t="str">
        <f aca="false">IF($A190="","",IF(OR($BM190="",$AF190=""),"",ROUND($AF190/60,4)))</f>
        <v/>
      </c>
      <c r="BR190" s="39" t="str">
        <f aca="false">IF($A190="","",IF($AC190="","",$AC190-$BD190-$BE190))</f>
        <v/>
      </c>
      <c r="BS190" s="45" t="str">
        <f aca="false">IF($A190="","",IF(AND(ISNUMBER($Z190),ISNUMBER($W190)),$Z190,0))</f>
        <v/>
      </c>
      <c r="BT190" s="45" t="str">
        <f aca="false">IF($A190="","",IF(ISNUMBER($W190),$W190,0))</f>
        <v/>
      </c>
      <c r="BU190" s="23" t="str">
        <f aca="false">IF($A190="","",IF(ISNUMBER($W190),ROUND(($W190-$B190)*24,4),""))</f>
        <v/>
      </c>
      <c r="BV190" s="23" t="str">
        <f aca="false">IF($A190="","",IF(ISNUMBER($X190),ROUND(($X190-$B190)*24,4),""))</f>
        <v/>
      </c>
      <c r="BW190" s="10" t="str">
        <f aca="false">IF($A190="","",IF(NOT(ISNUMBER($W190)),"Missing Calculated",IF(NOT(ISNUMBER($X190)),IF($E190="Client","Missing FA signed off","Missing Controlled"),IF($X190&lt;$W190,"End before start","OK"))))</f>
        <v/>
      </c>
      <c r="BX190" s="23" t="str">
        <f aca="false">IF($A190="","",IF(NOT(ISNUMBER($Z190)),"",ROUND((IF(ISNUMBER($U190),MIN($U190,$Z190),$Z190)-$B190)*24,4)))</f>
        <v/>
      </c>
      <c r="BY190" s="23" t="str">
        <f aca="false">IF($A190="","",IF(ISNUMBER($Z190),ROUND(($Z190-$B190)*24,4),""))</f>
        <v/>
      </c>
      <c r="BZ190" s="23" t="str">
        <f aca="false">IF($A190="","",IF(AND(ISNUMBER($W190),ISNUMBER($S190)),ROUND(($W190+$S190/1440-$B190)*24,4),""))</f>
        <v/>
      </c>
    </row>
    <row r="191" customFormat="false" ht="15" hidden="false" customHeight="true" outlineLevel="0" collapsed="false">
      <c r="A191" s="47"/>
      <c r="B191" s="47"/>
      <c r="D191" s="4" t="str">
        <f aca="false">IF($A191="","",$B191-$A191)</f>
        <v/>
      </c>
      <c r="E191" s="4" t="str">
        <f aca="false">IF($A191="","",IFERROR(VLOOKUP($C191,Dim_Fund!$A:$X,24,0),""))</f>
        <v/>
      </c>
      <c r="F191" s="37" t="str">
        <f aca="false">IF($A191="","",IF(COUNTIFS(Status_Log!$A:$A,$A191,Status_Log!$B:$B,$B191,Status_Log!$C:$C,$C191,Status_Log!$D:$D,"Changed to the status of Calculated")=0,"",_xlfn.MINIFS(Status_Log!$E:$E,Status_Log!$A:$A,$A191,Status_Log!$B:$B,$B191,Status_Log!$C:$C,$C191,Status_Log!$D:$D,"Changed to the status of Calculated")))</f>
        <v/>
      </c>
      <c r="G191" s="37" t="str">
        <f aca="false">IF($A191="","",IF(COUNTIFS(Status_Log!$A:$A,$A191,Status_Log!$B:$B,$B191,Status_Log!$C:$C,$C191,Status_Log!$D:$D,"Changed to the status of Controlled")=0,"",_xlfn.MAXIFS(Status_Log!$E:$E,Status_Log!$A:$A,$A191,Status_Log!$B:$B,$B191,Status_Log!$C:$C,$C191,Status_Log!$D:$D,"Changed to the status of Controlled")))</f>
        <v/>
      </c>
      <c r="H191" s="37" t="str">
        <f aca="false">IF($A191="","",IF(COUNTIFS(Status_Log!$A:$A,$A191,Status_Log!$B:$B,$B191,Status_Log!$C:$C,$C191,Status_Log!$D:$D,"Changed to the status of Fund accounting signed off")=0,"",_xlfn.MAXIFS(Status_Log!$E:$E,Status_Log!$A:$A,$A191,Status_Log!$B:$B,$B191,Status_Log!$C:$C,$C191,Status_Log!$D:$D,"Changed to the status of Fund accounting signed off")))</f>
        <v/>
      </c>
      <c r="I191" s="37" t="str">
        <f aca="false">IF($A191="","",IF(COUNTIFS(Status_Log!$A:$A,$A191,Status_Log!$B:$B,$B191,Status_Log!$C:$C,$C191,Status_Log!$D:$D,"Changed to the status of signed off")=0,"",_xlfn.MAXIFS(Status_Log!$E:$E,Status_Log!$A:$A,$A191,Status_Log!$B:$B,$B191,Status_Log!$C:$C,$C191,Status_Log!$D:$D,"Changed to the status of signed off")))</f>
        <v/>
      </c>
      <c r="J191" s="4" t="str">
        <f aca="false">IF($A191="","",COUNTIFS(Status_Log!$A:$A,$A191,Status_Log!$B:$B,$B191,Status_Log!$C:$C,$C191,Status_Log!$D:$D,"Changed to the status of Calculated"))</f>
        <v/>
      </c>
      <c r="K191" s="38" t="str">
        <f aca="false">IF($A191="","",IF(J191&lt;=1,0,ROUND((_xlfn.MAXIFS(Status_Log!$E:$E,Status_Log!$A:$A,$A191,Status_Log!$B:$B,$B191,Status_Log!$C:$C,$C191,Status_Log!$D:$D,"Changed to the status of Calculated")-F191)*1440,0)))</f>
        <v/>
      </c>
      <c r="L191" s="4" t="str">
        <f aca="false">IF($A191="","",IFERROR(INDEX(Status_Log!$F:$F,MATCH($A191&amp;"|"&amp;$B191&amp;"|"&amp;$C191&amp;"|Changed to the status of Calculated|"&amp;TEXT(_xlfn.MAXIFS(Status_Log!$E:$E,Status_Log!$A:$A,$A191,Status_Log!$B:$B,$B191,Status_Log!$C:$C,$C191,Status_Log!$D:$D,"Changed to the status of Calculated"),"0.000000"),Status_Log!$H:$H,0)),""))</f>
        <v/>
      </c>
      <c r="M191" s="4" t="str">
        <f aca="false">IF($A191="","",IF(E191="Client","n/a — no control step",IFERROR(INDEX(Status_Log!$F:$F,MATCH($A191&amp;"|"&amp;$B191&amp;"|"&amp;$C191&amp;"|Changed to the status of Controlled|"&amp;TEXT(_xlfn.MAXIFS(Status_Log!$E:$E,Status_Log!$A:$A,$A191,Status_Log!$B:$B,$B191,Status_Log!$C:$C,$C191,Status_Log!$D:$D,"Changed to the status of Controlled"),"0.000000"),Status_Log!$H:$H,0)),"")))</f>
        <v/>
      </c>
      <c r="N191" s="4" t="str">
        <f aca="false">IF($A191="","",IFERROR(VLOOKUP($C191,Dim_Fund!$A:$G,7,0),""))</f>
        <v/>
      </c>
      <c r="O191" s="4" t="str">
        <f aca="false">IF($A191="","",IF(L191=N191,"No","Yes"))</f>
        <v/>
      </c>
      <c r="P191" s="4" t="str">
        <f aca="false">IF($A191="","",IF(E191="Client","n/a",IF(L191=M191,"YES — four-eyes breach","No")))</f>
        <v/>
      </c>
      <c r="Q191" s="38" t="str">
        <f aca="false">IF($A191="","",IFERROR(VLOOKUP($C191,Dim_Fund!$A:$AB,28,0),""))</f>
        <v/>
      </c>
      <c r="R191" s="38" t="str">
        <f aca="false">IF($A191="","",IFERROR(VLOOKUP($C191,Dim_Fund!$A:$AC,29,0),""))</f>
        <v/>
      </c>
      <c r="S191" s="38" t="str">
        <f aca="false">IF($A191="","",IFERROR(VLOOKUP($C191,Dim_Fund!$A:$AD,30,0),""))</f>
        <v/>
      </c>
      <c r="T191" s="38" t="str">
        <f aca="false">IF($A191="","",IFERROR(VLOOKUP($C191,Dim_Fund!$A:$AL,38,0),""))</f>
        <v/>
      </c>
      <c r="U191" s="37" t="str">
        <f aca="false">IF($A191="","",IF(AL191="","",IFERROR(IF(COUNTIFS(Fact_Milestone!$A:$A,$B191,Fact_Milestone!$B:$B,AL191)=0,"",_xlfn.MAXIFS(Fact_Milestone!$C:$C,Fact_Milestone!$A:$A,$B191,Fact_Milestone!$B:$B,AL191)),"")))</f>
        <v/>
      </c>
      <c r="V191" s="37" t="str">
        <f aca="false">IF($A191="","",IFERROR(IF(VLOOKUP($C191,Dim_Fund!$A:$AI,35,0)&gt;0,$B191+VLOOKUP($C191,Dim_Fund!$A:$AI,35,0)/24,""),""))</f>
        <v/>
      </c>
      <c r="W191" s="37" t="str">
        <f aca="false">IF($A191="","",F191)</f>
        <v/>
      </c>
      <c r="X191" s="37" t="str">
        <f aca="false">IF($A191="","",IF(E191="Client",H191,G191))</f>
        <v/>
      </c>
      <c r="Y191" s="37" t="str">
        <f aca="false">IF($A191="","",I191)</f>
        <v/>
      </c>
      <c r="Z191" s="37" t="str">
        <f aca="false">IF($A191="","",IFERROR(W191-R191/1440,""))</f>
        <v/>
      </c>
      <c r="AA191" s="38" t="str">
        <f aca="false">IF($A191="","",IF(OR(U191="",V191=""),"",ROUND((V191-U191)*1440,0)))</f>
        <v/>
      </c>
      <c r="AB191" s="38" t="str">
        <f aca="false">IF($A191="","",IF(U191="","",ROUND((W191-U191)*1440,0)))</f>
        <v/>
      </c>
      <c r="AC191" s="38" t="str">
        <f aca="false">IF($A191="","",IF(AB191="","",MAX(0,AB191)))</f>
        <v/>
      </c>
      <c r="AD191" s="38" t="str">
        <f aca="false">IF($A191="","",IFERROR(ROUND((X191-W191)*1440,0),""))</f>
        <v/>
      </c>
      <c r="AE191" s="38" t="str">
        <f aca="false">IF($A191="","",IF(E191="Client","n/a",IFERROR(ROUND((H191-G191)*1440,0),"")))</f>
        <v/>
      </c>
      <c r="AF191" s="38" t="str">
        <f aca="false">IF($A191="","",IFERROR(ROUND((Y191-H191)*1440,0),""))</f>
        <v/>
      </c>
      <c r="AG191" s="38" t="str">
        <f aca="false">IF($A191="","",IFERROR(ROUND((H191-F191)*1440,0),""))</f>
        <v/>
      </c>
      <c r="AH191" s="38" t="str">
        <f aca="false">IF($A191="","",IFERROR(ROUND((Y191-V191)*1440,0),""))</f>
        <v/>
      </c>
      <c r="AI191" s="4" t="str">
        <f aca="false">IF($A191="","",IF(AH191="","",IF(AH191&gt;0,"Yes","No")))</f>
        <v/>
      </c>
      <c r="AJ191" s="4" t="str">
        <f aca="false">IF($A191="","",IF(AI191&lt;&gt;"Yes","On time",IF(N(AC191)&gt;=MAX(N(AF191),N(K191)),"Wait for analyst",IF(N(AF191)&gt;=N(K191),"External sign-off","Rework"))))</f>
        <v/>
      </c>
      <c r="AK191" s="4" t="str">
        <f aca="false">IF($A191="","",IF(OR(F191="",Y191="",ISNA(MATCH(L191,Dim_Analyst!$A:$A,0))),"CHECK","OK"))</f>
        <v/>
      </c>
      <c r="AL191" s="4" t="str">
        <f aca="false">IF($A191="","",IFERROR(VLOOKUP($C191,Dim_Fund!$A:$U,21,0),""))</f>
        <v/>
      </c>
      <c r="AM191" s="4" t="str">
        <f aca="false">IF($A191="","",IF($U191="","",IF($U191&gt;$B191+IFERROR(VLOOKUP($C191,Dim_Fund!$A:$AH,34,0),0)/24,"Yes","No")))</f>
        <v/>
      </c>
      <c r="AN191" s="22" t="str">
        <f aca="false">IF($A191="","",IFERROR(VLOOKUP($C191,Dim_Fund!$A:$AH,34,0),""))</f>
        <v/>
      </c>
      <c r="AO191" s="22" t="str">
        <f aca="false">IF($A191="","",IF($AL191="","",IFERROR(FLOOR(IF(COUNTIFS(Fact_Milestone!$A:$A,$B191,Fact_Milestone!$B:$B,$AL191,Fact_Milestone!$F:$F,"&gt;0")&gt;0,_xlfn.MINIFS(Fact_Milestone!$F:$F,Fact_Milestone!$A:$A,$B191,Fact_Milestone!$B:$B,$AL191,Fact_Milestone!$F:$F,"&gt;0"),VLOOKUP($AL191,Dim_TOP!$A:$E,5,0)),0.5),"")))</f>
        <v/>
      </c>
      <c r="AP191" s="22" t="str">
        <f aca="false">IF($A191="","",IF($U191="","",ROUND(($U191-INT($U191))*24,4)))</f>
        <v/>
      </c>
      <c r="AQ191" s="22" t="str">
        <f aca="false">IF($A191="","",IF($W191="","",ROUND(($W191-INT($W191))*24,4)))</f>
        <v/>
      </c>
      <c r="AR191" s="22" t="str">
        <f aca="false">IF($A191="","",IF($X191="","",ROUND(($X191-INT($X191))*24,4)))</f>
        <v/>
      </c>
      <c r="AS191" s="38" t="str">
        <f aca="false">IF($A191="","",IF(OR($AN191="",$V191="",$S191="",$T191=""),"",ROUND(($V191-($B191+$AN191/24))*1440-$S191-$T191,0)))</f>
        <v/>
      </c>
      <c r="AT191" s="38" t="str">
        <f aca="false">IF($A191="","",IF(OR($AN191="",$U191=""),"",ROUND(($U191-($B191+$AN191/24))*1440,0)))</f>
        <v/>
      </c>
      <c r="AU191" s="38" t="str">
        <f aca="false">IF($A191="","",IF(OR($AD191="",$S191=""),"",ROUND($AD191-$S191,0)))</f>
        <v/>
      </c>
      <c r="AV191" s="38" t="str">
        <f aca="false">IF($A191="","",N($AE191))</f>
        <v/>
      </c>
      <c r="AW191" s="38" t="str">
        <f aca="false">IF($A191="","",IF(OR($AF191="",$T191=""),"",$AF191-$T191))</f>
        <v/>
      </c>
      <c r="AX191" s="38" t="str">
        <f aca="false">IF($A191="","",IF(COUNT($AT191,$AB191,$AU191,$AW191,$AS191,$AH191)&lt;6,"",ROUND($AT191+$AB191+$AU191+$AV191+$AW191-$AS191-$AH191,0)))</f>
        <v/>
      </c>
      <c r="AY191" s="4" t="str">
        <f aca="false">IF($A191="","",IF($AX191="","No",IF(ABS($AX191)&lt;=2,"Yes","No")))</f>
        <v/>
      </c>
      <c r="AZ191" s="4" t="str">
        <f aca="false">IF($A191="","",IF($AI191&lt;&gt;"Yes","n/a",IF(OR($AA191="",$S191="",$T191=""),"Unknown",IF($AA191&lt;$S191+$T191,"Lost on arrival","Lost after arrival"))))</f>
        <v/>
      </c>
      <c r="BA191" s="10" t="str">
        <f aca="false">IF($A191="","",IFERROR(VLOOKUP($C191,Dim_Fund!$A:$D,4,0),""))</f>
        <v/>
      </c>
      <c r="BB191" s="10" t="str">
        <f aca="false">IF($A191="","",IF($AL191="","",IF(COUNTIFS(Fact_Milestone!$A:$A,$B191,Fact_Milestone!$B:$B,$AL191,Fact_Milestone!$I:$I,"No")&gt;0,"No",IF(COUNTIFS(Fact_Milestone!$A:$A,$B191,Fact_Milestone!$B:$B,$AL191,Fact_Milestone!$I:$I,"Yes")&gt;0,"Yes",""))))</f>
        <v/>
      </c>
      <c r="BC191" s="45" t="str">
        <f aca="false">IF($A191="","",IF(OR($L191="",$W191=""),"",IF(COUNTIFS($L:$L,$L191,$B:$B,$B191,$W:$W,"&lt;"&amp;$W191)=0,"",_xlfn.MAXIFS($W:$W,$L:$L,$L191,$B:$B,$B191,$W:$W,"&lt;"&amp;$W191))))</f>
        <v/>
      </c>
      <c r="BD191" s="39" t="str">
        <f aca="false">IF($A191="","",IF($AC191="","",IF(OR($L191="",$AC191=0),0,MIN($AC191,ROUND(ROUND(1440*SUMPRODUCT(($L$2:INDEX($L:$L,COUNTA($C:$C))=$L191)*($B$2:INDEX($B:$B,COUNTA($C:$C))=$B191)*(ROW($L$2:INDEX($L:$L,COUNTA($C:$C)))&lt;&gt;ROW())*((((($W191+$BT$2:INDEX($BT:$BT,COUNTA($C:$C))-ABS($W191-$BT$2:INDEX($BT:$BT,COUNTA($C:$C))))/2)-(($U191+$BS$2:INDEX($BS:$BS,COUNTA($C:$C))+ABS($U191-$BS$2:INDEX($BS:$BS,COUNTA($C:$C))))/2))+ABS(((($W191+$BT$2:INDEX($BT:$BT,COUNTA($C:$C))-ABS($W191-$BT$2:INDEX($BT:$BT,COUNTA($C:$C))))/2)-(($U191+$BS$2:INDEX($BS:$BS,COUNTA($C:$C))+ABS($U191-$BS$2:INDEX($BS:$BS,COUNTA($C:$C))))/2))))/2)),4),0)))))</f>
        <v/>
      </c>
      <c r="BE191" s="39" t="str">
        <f aca="false">IF($A191="","",IF($AC191="","",ROUND(MIN($AC191-$BD191,N($R191)),0)))</f>
        <v/>
      </c>
      <c r="BF191" s="10" t="str">
        <f aca="false">IF($A191="","",IFERROR(VLOOKUP($C191,Dim_Fund!$A:$BD,56,0),""))</f>
        <v/>
      </c>
      <c r="BG191" s="10" t="str">
        <f aca="false">IF($A191="","",IFERROR(VLOOKUP($C191,Dim_Fund!$A:$BH,60,0),""))</f>
        <v/>
      </c>
      <c r="BH191" s="10" t="str">
        <f aca="false">IF($A191="","",IF($AI191&lt;&gt;"Yes","Not breached",IF($AM191="Yes","Pricing late",IF($BG191="Thin custody slack","Thin custody slack",IF($BF191="Yes","Broker-dependent","None of these")))))</f>
        <v/>
      </c>
      <c r="BI191" s="23" t="str">
        <f aca="false">IF($A191="","",IFERROR(IF(VLOOKUP($C191,Dim_Fund!$A:$AI,35,0)&gt;0,VLOOKUP($C191,Dim_Fund!$A:$AI,35,0),""),""))</f>
        <v/>
      </c>
      <c r="BJ191" s="10" t="str">
        <f aca="false">IF($A191="","",$C191&amp;IF($E191="Client","*",""))</f>
        <v/>
      </c>
      <c r="BK191" s="39" t="str">
        <f aca="false">IF($A191="","",IFERROR(ROUND(($Y191-$X191)*1440,0),""))</f>
        <v/>
      </c>
      <c r="BL191" s="39" t="str">
        <f aca="false">IF($A191="","",IF($AH191="","",-$AH191))</f>
        <v/>
      </c>
      <c r="BM191" s="46" t="str">
        <f aca="false">IF($A191="","",IF($AQ191="","",IF($AP191="",$AQ191,MIN($AP191,$AQ191))))</f>
        <v/>
      </c>
      <c r="BN191" s="46" t="str">
        <f aca="false">IF($A191="","",IF($BM191="","",ROUND(N($AC191)/60,4)))</f>
        <v/>
      </c>
      <c r="BO191" s="46" t="str">
        <f aca="false">IF($A191="","",IF(OR($BM191="",$AD191=""),"",ROUND($AD191/60,4)))</f>
        <v/>
      </c>
      <c r="BP191" s="46" t="str">
        <f aca="false">IF($A191="","",IF($BM191="","",ROUND(N($AE191)/60,4)))</f>
        <v/>
      </c>
      <c r="BQ191" s="46" t="str">
        <f aca="false">IF($A191="","",IF(OR($BM191="",$AF191=""),"",ROUND($AF191/60,4)))</f>
        <v/>
      </c>
      <c r="BR191" s="39" t="str">
        <f aca="false">IF($A191="","",IF($AC191="","",$AC191-$BD191-$BE191))</f>
        <v/>
      </c>
      <c r="BS191" s="45" t="str">
        <f aca="false">IF($A191="","",IF(AND(ISNUMBER($Z191),ISNUMBER($W191)),$Z191,0))</f>
        <v/>
      </c>
      <c r="BT191" s="45" t="str">
        <f aca="false">IF($A191="","",IF(ISNUMBER($W191),$W191,0))</f>
        <v/>
      </c>
      <c r="BU191" s="23" t="str">
        <f aca="false">IF($A191="","",IF(ISNUMBER($W191),ROUND(($W191-$B191)*24,4),""))</f>
        <v/>
      </c>
      <c r="BV191" s="23" t="str">
        <f aca="false">IF($A191="","",IF(ISNUMBER($X191),ROUND(($X191-$B191)*24,4),""))</f>
        <v/>
      </c>
      <c r="BW191" s="10" t="str">
        <f aca="false">IF($A191="","",IF(NOT(ISNUMBER($W191)),"Missing Calculated",IF(NOT(ISNUMBER($X191)),IF($E191="Client","Missing FA signed off","Missing Controlled"),IF($X191&lt;$W191,"End before start","OK"))))</f>
        <v/>
      </c>
      <c r="BX191" s="23" t="str">
        <f aca="false">IF($A191="","",IF(NOT(ISNUMBER($Z191)),"",ROUND((IF(ISNUMBER($U191),MIN($U191,$Z191),$Z191)-$B191)*24,4)))</f>
        <v/>
      </c>
      <c r="BY191" s="23" t="str">
        <f aca="false">IF($A191="","",IF(ISNUMBER($Z191),ROUND(($Z191-$B191)*24,4),""))</f>
        <v/>
      </c>
      <c r="BZ191" s="23" t="str">
        <f aca="false">IF($A191="","",IF(AND(ISNUMBER($W191),ISNUMBER($S191)),ROUND(($W191+$S191/1440-$B191)*24,4),""))</f>
        <v/>
      </c>
    </row>
    <row r="192" customFormat="false" ht="15" hidden="false" customHeight="true" outlineLevel="0" collapsed="false">
      <c r="A192" s="47"/>
      <c r="B192" s="47"/>
      <c r="D192" s="4" t="str">
        <f aca="false">IF($A192="","",$B192-$A192)</f>
        <v/>
      </c>
      <c r="E192" s="4" t="str">
        <f aca="false">IF($A192="","",IFERROR(VLOOKUP($C192,Dim_Fund!$A:$X,24,0),""))</f>
        <v/>
      </c>
      <c r="F192" s="37" t="str">
        <f aca="false">IF($A192="","",IF(COUNTIFS(Status_Log!$A:$A,$A192,Status_Log!$B:$B,$B192,Status_Log!$C:$C,$C192,Status_Log!$D:$D,"Changed to the status of Calculated")=0,"",_xlfn.MINIFS(Status_Log!$E:$E,Status_Log!$A:$A,$A192,Status_Log!$B:$B,$B192,Status_Log!$C:$C,$C192,Status_Log!$D:$D,"Changed to the status of Calculated")))</f>
        <v/>
      </c>
      <c r="G192" s="37" t="str">
        <f aca="false">IF($A192="","",IF(COUNTIFS(Status_Log!$A:$A,$A192,Status_Log!$B:$B,$B192,Status_Log!$C:$C,$C192,Status_Log!$D:$D,"Changed to the status of Controlled")=0,"",_xlfn.MAXIFS(Status_Log!$E:$E,Status_Log!$A:$A,$A192,Status_Log!$B:$B,$B192,Status_Log!$C:$C,$C192,Status_Log!$D:$D,"Changed to the status of Controlled")))</f>
        <v/>
      </c>
      <c r="H192" s="37" t="str">
        <f aca="false">IF($A192="","",IF(COUNTIFS(Status_Log!$A:$A,$A192,Status_Log!$B:$B,$B192,Status_Log!$C:$C,$C192,Status_Log!$D:$D,"Changed to the status of Fund accounting signed off")=0,"",_xlfn.MAXIFS(Status_Log!$E:$E,Status_Log!$A:$A,$A192,Status_Log!$B:$B,$B192,Status_Log!$C:$C,$C192,Status_Log!$D:$D,"Changed to the status of Fund accounting signed off")))</f>
        <v/>
      </c>
      <c r="I192" s="37" t="str">
        <f aca="false">IF($A192="","",IF(COUNTIFS(Status_Log!$A:$A,$A192,Status_Log!$B:$B,$B192,Status_Log!$C:$C,$C192,Status_Log!$D:$D,"Changed to the status of signed off")=0,"",_xlfn.MAXIFS(Status_Log!$E:$E,Status_Log!$A:$A,$A192,Status_Log!$B:$B,$B192,Status_Log!$C:$C,$C192,Status_Log!$D:$D,"Changed to the status of signed off")))</f>
        <v/>
      </c>
      <c r="J192" s="4" t="str">
        <f aca="false">IF($A192="","",COUNTIFS(Status_Log!$A:$A,$A192,Status_Log!$B:$B,$B192,Status_Log!$C:$C,$C192,Status_Log!$D:$D,"Changed to the status of Calculated"))</f>
        <v/>
      </c>
      <c r="K192" s="38" t="str">
        <f aca="false">IF($A192="","",IF(J192&lt;=1,0,ROUND((_xlfn.MAXIFS(Status_Log!$E:$E,Status_Log!$A:$A,$A192,Status_Log!$B:$B,$B192,Status_Log!$C:$C,$C192,Status_Log!$D:$D,"Changed to the status of Calculated")-F192)*1440,0)))</f>
        <v/>
      </c>
      <c r="L192" s="4" t="str">
        <f aca="false">IF($A192="","",IFERROR(INDEX(Status_Log!$F:$F,MATCH($A192&amp;"|"&amp;$B192&amp;"|"&amp;$C192&amp;"|Changed to the status of Calculated|"&amp;TEXT(_xlfn.MAXIFS(Status_Log!$E:$E,Status_Log!$A:$A,$A192,Status_Log!$B:$B,$B192,Status_Log!$C:$C,$C192,Status_Log!$D:$D,"Changed to the status of Calculated"),"0.000000"),Status_Log!$H:$H,0)),""))</f>
        <v/>
      </c>
      <c r="M192" s="4" t="str">
        <f aca="false">IF($A192="","",IF(E192="Client","n/a — no control step",IFERROR(INDEX(Status_Log!$F:$F,MATCH($A192&amp;"|"&amp;$B192&amp;"|"&amp;$C192&amp;"|Changed to the status of Controlled|"&amp;TEXT(_xlfn.MAXIFS(Status_Log!$E:$E,Status_Log!$A:$A,$A192,Status_Log!$B:$B,$B192,Status_Log!$C:$C,$C192,Status_Log!$D:$D,"Changed to the status of Controlled"),"0.000000"),Status_Log!$H:$H,0)),"")))</f>
        <v/>
      </c>
      <c r="N192" s="4" t="str">
        <f aca="false">IF($A192="","",IFERROR(VLOOKUP($C192,Dim_Fund!$A:$G,7,0),""))</f>
        <v/>
      </c>
      <c r="O192" s="4" t="str">
        <f aca="false">IF($A192="","",IF(L192=N192,"No","Yes"))</f>
        <v/>
      </c>
      <c r="P192" s="4" t="str">
        <f aca="false">IF($A192="","",IF(E192="Client","n/a",IF(L192=M192,"YES — four-eyes breach","No")))</f>
        <v/>
      </c>
      <c r="Q192" s="38" t="str">
        <f aca="false">IF($A192="","",IFERROR(VLOOKUP($C192,Dim_Fund!$A:$AB,28,0),""))</f>
        <v/>
      </c>
      <c r="R192" s="38" t="str">
        <f aca="false">IF($A192="","",IFERROR(VLOOKUP($C192,Dim_Fund!$A:$AC,29,0),""))</f>
        <v/>
      </c>
      <c r="S192" s="38" t="str">
        <f aca="false">IF($A192="","",IFERROR(VLOOKUP($C192,Dim_Fund!$A:$AD,30,0),""))</f>
        <v/>
      </c>
      <c r="T192" s="38" t="str">
        <f aca="false">IF($A192="","",IFERROR(VLOOKUP($C192,Dim_Fund!$A:$AL,38,0),""))</f>
        <v/>
      </c>
      <c r="U192" s="37" t="str">
        <f aca="false">IF($A192="","",IF(AL192="","",IFERROR(IF(COUNTIFS(Fact_Milestone!$A:$A,$B192,Fact_Milestone!$B:$B,AL192)=0,"",_xlfn.MAXIFS(Fact_Milestone!$C:$C,Fact_Milestone!$A:$A,$B192,Fact_Milestone!$B:$B,AL192)),"")))</f>
        <v/>
      </c>
      <c r="V192" s="37" t="str">
        <f aca="false">IF($A192="","",IFERROR(IF(VLOOKUP($C192,Dim_Fund!$A:$AI,35,0)&gt;0,$B192+VLOOKUP($C192,Dim_Fund!$A:$AI,35,0)/24,""),""))</f>
        <v/>
      </c>
      <c r="W192" s="37" t="str">
        <f aca="false">IF($A192="","",F192)</f>
        <v/>
      </c>
      <c r="X192" s="37" t="str">
        <f aca="false">IF($A192="","",IF(E192="Client",H192,G192))</f>
        <v/>
      </c>
      <c r="Y192" s="37" t="str">
        <f aca="false">IF($A192="","",I192)</f>
        <v/>
      </c>
      <c r="Z192" s="37" t="str">
        <f aca="false">IF($A192="","",IFERROR(W192-R192/1440,""))</f>
        <v/>
      </c>
      <c r="AA192" s="38" t="str">
        <f aca="false">IF($A192="","",IF(OR(U192="",V192=""),"",ROUND((V192-U192)*1440,0)))</f>
        <v/>
      </c>
      <c r="AB192" s="38" t="str">
        <f aca="false">IF($A192="","",IF(U192="","",ROUND((W192-U192)*1440,0)))</f>
        <v/>
      </c>
      <c r="AC192" s="38" t="str">
        <f aca="false">IF($A192="","",IF(AB192="","",MAX(0,AB192)))</f>
        <v/>
      </c>
      <c r="AD192" s="38" t="str">
        <f aca="false">IF($A192="","",IFERROR(ROUND((X192-W192)*1440,0),""))</f>
        <v/>
      </c>
      <c r="AE192" s="38" t="str">
        <f aca="false">IF($A192="","",IF(E192="Client","n/a",IFERROR(ROUND((H192-G192)*1440,0),"")))</f>
        <v/>
      </c>
      <c r="AF192" s="38" t="str">
        <f aca="false">IF($A192="","",IFERROR(ROUND((Y192-H192)*1440,0),""))</f>
        <v/>
      </c>
      <c r="AG192" s="38" t="str">
        <f aca="false">IF($A192="","",IFERROR(ROUND((H192-F192)*1440,0),""))</f>
        <v/>
      </c>
      <c r="AH192" s="38" t="str">
        <f aca="false">IF($A192="","",IFERROR(ROUND((Y192-V192)*1440,0),""))</f>
        <v/>
      </c>
      <c r="AI192" s="4" t="str">
        <f aca="false">IF($A192="","",IF(AH192="","",IF(AH192&gt;0,"Yes","No")))</f>
        <v/>
      </c>
      <c r="AJ192" s="4" t="str">
        <f aca="false">IF($A192="","",IF(AI192&lt;&gt;"Yes","On time",IF(N(AC192)&gt;=MAX(N(AF192),N(K192)),"Wait for analyst",IF(N(AF192)&gt;=N(K192),"External sign-off","Rework"))))</f>
        <v/>
      </c>
      <c r="AK192" s="4" t="str">
        <f aca="false">IF($A192="","",IF(OR(F192="",Y192="",ISNA(MATCH(L192,Dim_Analyst!$A:$A,0))),"CHECK","OK"))</f>
        <v/>
      </c>
      <c r="AL192" s="4" t="str">
        <f aca="false">IF($A192="","",IFERROR(VLOOKUP($C192,Dim_Fund!$A:$U,21,0),""))</f>
        <v/>
      </c>
      <c r="AM192" s="4" t="str">
        <f aca="false">IF($A192="","",IF($U192="","",IF($U192&gt;$B192+IFERROR(VLOOKUP($C192,Dim_Fund!$A:$AH,34,0),0)/24,"Yes","No")))</f>
        <v/>
      </c>
      <c r="AN192" s="22" t="str">
        <f aca="false">IF($A192="","",IFERROR(VLOOKUP($C192,Dim_Fund!$A:$AH,34,0),""))</f>
        <v/>
      </c>
      <c r="AO192" s="22" t="str">
        <f aca="false">IF($A192="","",IF($AL192="","",IFERROR(FLOOR(IF(COUNTIFS(Fact_Milestone!$A:$A,$B192,Fact_Milestone!$B:$B,$AL192,Fact_Milestone!$F:$F,"&gt;0")&gt;0,_xlfn.MINIFS(Fact_Milestone!$F:$F,Fact_Milestone!$A:$A,$B192,Fact_Milestone!$B:$B,$AL192,Fact_Milestone!$F:$F,"&gt;0"),VLOOKUP($AL192,Dim_TOP!$A:$E,5,0)),0.5),"")))</f>
        <v/>
      </c>
      <c r="AP192" s="22" t="str">
        <f aca="false">IF($A192="","",IF($U192="","",ROUND(($U192-INT($U192))*24,4)))</f>
        <v/>
      </c>
      <c r="AQ192" s="22" t="str">
        <f aca="false">IF($A192="","",IF($W192="","",ROUND(($W192-INT($W192))*24,4)))</f>
        <v/>
      </c>
      <c r="AR192" s="22" t="str">
        <f aca="false">IF($A192="","",IF($X192="","",ROUND(($X192-INT($X192))*24,4)))</f>
        <v/>
      </c>
      <c r="AS192" s="38" t="str">
        <f aca="false">IF($A192="","",IF(OR($AN192="",$V192="",$S192="",$T192=""),"",ROUND(($V192-($B192+$AN192/24))*1440-$S192-$T192,0)))</f>
        <v/>
      </c>
      <c r="AT192" s="38" t="str">
        <f aca="false">IF($A192="","",IF(OR($AN192="",$U192=""),"",ROUND(($U192-($B192+$AN192/24))*1440,0)))</f>
        <v/>
      </c>
      <c r="AU192" s="38" t="str">
        <f aca="false">IF($A192="","",IF(OR($AD192="",$S192=""),"",ROUND($AD192-$S192,0)))</f>
        <v/>
      </c>
      <c r="AV192" s="38" t="str">
        <f aca="false">IF($A192="","",N($AE192))</f>
        <v/>
      </c>
      <c r="AW192" s="38" t="str">
        <f aca="false">IF($A192="","",IF(OR($AF192="",$T192=""),"",$AF192-$T192))</f>
        <v/>
      </c>
      <c r="AX192" s="38" t="str">
        <f aca="false">IF($A192="","",IF(COUNT($AT192,$AB192,$AU192,$AW192,$AS192,$AH192)&lt;6,"",ROUND($AT192+$AB192+$AU192+$AV192+$AW192-$AS192-$AH192,0)))</f>
        <v/>
      </c>
      <c r="AY192" s="4" t="str">
        <f aca="false">IF($A192="","",IF($AX192="","No",IF(ABS($AX192)&lt;=2,"Yes","No")))</f>
        <v/>
      </c>
      <c r="AZ192" s="4" t="str">
        <f aca="false">IF($A192="","",IF($AI192&lt;&gt;"Yes","n/a",IF(OR($AA192="",$S192="",$T192=""),"Unknown",IF($AA192&lt;$S192+$T192,"Lost on arrival","Lost after arrival"))))</f>
        <v/>
      </c>
      <c r="BA192" s="10" t="str">
        <f aca="false">IF($A192="","",IFERROR(VLOOKUP($C192,Dim_Fund!$A:$D,4,0),""))</f>
        <v/>
      </c>
      <c r="BB192" s="10" t="str">
        <f aca="false">IF($A192="","",IF($AL192="","",IF(COUNTIFS(Fact_Milestone!$A:$A,$B192,Fact_Milestone!$B:$B,$AL192,Fact_Milestone!$I:$I,"No")&gt;0,"No",IF(COUNTIFS(Fact_Milestone!$A:$A,$B192,Fact_Milestone!$B:$B,$AL192,Fact_Milestone!$I:$I,"Yes")&gt;0,"Yes",""))))</f>
        <v/>
      </c>
      <c r="BC192" s="45" t="str">
        <f aca="false">IF($A192="","",IF(OR($L192="",$W192=""),"",IF(COUNTIFS($L:$L,$L192,$B:$B,$B192,$W:$W,"&lt;"&amp;$W192)=0,"",_xlfn.MAXIFS($W:$W,$L:$L,$L192,$B:$B,$B192,$W:$W,"&lt;"&amp;$W192))))</f>
        <v/>
      </c>
      <c r="BD192" s="39" t="str">
        <f aca="false">IF($A192="","",IF($AC192="","",IF(OR($L192="",$AC192=0),0,MIN($AC192,ROUND(ROUND(1440*SUMPRODUCT(($L$2:INDEX($L:$L,COUNTA($C:$C))=$L192)*($B$2:INDEX($B:$B,COUNTA($C:$C))=$B192)*(ROW($L$2:INDEX($L:$L,COUNTA($C:$C)))&lt;&gt;ROW())*((((($W192+$BT$2:INDEX($BT:$BT,COUNTA($C:$C))-ABS($W192-$BT$2:INDEX($BT:$BT,COUNTA($C:$C))))/2)-(($U192+$BS$2:INDEX($BS:$BS,COUNTA($C:$C))+ABS($U192-$BS$2:INDEX($BS:$BS,COUNTA($C:$C))))/2))+ABS(((($W192+$BT$2:INDEX($BT:$BT,COUNTA($C:$C))-ABS($W192-$BT$2:INDEX($BT:$BT,COUNTA($C:$C))))/2)-(($U192+$BS$2:INDEX($BS:$BS,COUNTA($C:$C))+ABS($U192-$BS$2:INDEX($BS:$BS,COUNTA($C:$C))))/2))))/2)),4),0)))))</f>
        <v/>
      </c>
      <c r="BE192" s="39" t="str">
        <f aca="false">IF($A192="","",IF($AC192="","",ROUND(MIN($AC192-$BD192,N($R192)),0)))</f>
        <v/>
      </c>
      <c r="BF192" s="10" t="str">
        <f aca="false">IF($A192="","",IFERROR(VLOOKUP($C192,Dim_Fund!$A:$BD,56,0),""))</f>
        <v/>
      </c>
      <c r="BG192" s="10" t="str">
        <f aca="false">IF($A192="","",IFERROR(VLOOKUP($C192,Dim_Fund!$A:$BH,60,0),""))</f>
        <v/>
      </c>
      <c r="BH192" s="10" t="str">
        <f aca="false">IF($A192="","",IF($AI192&lt;&gt;"Yes","Not breached",IF($AM192="Yes","Pricing late",IF($BG192="Thin custody slack","Thin custody slack",IF($BF192="Yes","Broker-dependent","None of these")))))</f>
        <v/>
      </c>
      <c r="BI192" s="23" t="str">
        <f aca="false">IF($A192="","",IFERROR(IF(VLOOKUP($C192,Dim_Fund!$A:$AI,35,0)&gt;0,VLOOKUP($C192,Dim_Fund!$A:$AI,35,0),""),""))</f>
        <v/>
      </c>
      <c r="BJ192" s="10" t="str">
        <f aca="false">IF($A192="","",$C192&amp;IF($E192="Client","*",""))</f>
        <v/>
      </c>
      <c r="BK192" s="39" t="str">
        <f aca="false">IF($A192="","",IFERROR(ROUND(($Y192-$X192)*1440,0),""))</f>
        <v/>
      </c>
      <c r="BL192" s="39" t="str">
        <f aca="false">IF($A192="","",IF($AH192="","",-$AH192))</f>
        <v/>
      </c>
      <c r="BM192" s="46" t="str">
        <f aca="false">IF($A192="","",IF($AQ192="","",IF($AP192="",$AQ192,MIN($AP192,$AQ192))))</f>
        <v/>
      </c>
      <c r="BN192" s="46" t="str">
        <f aca="false">IF($A192="","",IF($BM192="","",ROUND(N($AC192)/60,4)))</f>
        <v/>
      </c>
      <c r="BO192" s="46" t="str">
        <f aca="false">IF($A192="","",IF(OR($BM192="",$AD192=""),"",ROUND($AD192/60,4)))</f>
        <v/>
      </c>
      <c r="BP192" s="46" t="str">
        <f aca="false">IF($A192="","",IF($BM192="","",ROUND(N($AE192)/60,4)))</f>
        <v/>
      </c>
      <c r="BQ192" s="46" t="str">
        <f aca="false">IF($A192="","",IF(OR($BM192="",$AF192=""),"",ROUND($AF192/60,4)))</f>
        <v/>
      </c>
      <c r="BR192" s="39" t="str">
        <f aca="false">IF($A192="","",IF($AC192="","",$AC192-$BD192-$BE192))</f>
        <v/>
      </c>
      <c r="BS192" s="45" t="str">
        <f aca="false">IF($A192="","",IF(AND(ISNUMBER($Z192),ISNUMBER($W192)),$Z192,0))</f>
        <v/>
      </c>
      <c r="BT192" s="45" t="str">
        <f aca="false">IF($A192="","",IF(ISNUMBER($W192),$W192,0))</f>
        <v/>
      </c>
      <c r="BU192" s="23" t="str">
        <f aca="false">IF($A192="","",IF(ISNUMBER($W192),ROUND(($W192-$B192)*24,4),""))</f>
        <v/>
      </c>
      <c r="BV192" s="23" t="str">
        <f aca="false">IF($A192="","",IF(ISNUMBER($X192),ROUND(($X192-$B192)*24,4),""))</f>
        <v/>
      </c>
      <c r="BW192" s="10" t="str">
        <f aca="false">IF($A192="","",IF(NOT(ISNUMBER($W192)),"Missing Calculated",IF(NOT(ISNUMBER($X192)),IF($E192="Client","Missing FA signed off","Missing Controlled"),IF($X192&lt;$W192,"End before start","OK"))))</f>
        <v/>
      </c>
      <c r="BX192" s="23" t="str">
        <f aca="false">IF($A192="","",IF(NOT(ISNUMBER($Z192)),"",ROUND((IF(ISNUMBER($U192),MIN($U192,$Z192),$Z192)-$B192)*24,4)))</f>
        <v/>
      </c>
      <c r="BY192" s="23" t="str">
        <f aca="false">IF($A192="","",IF(ISNUMBER($Z192),ROUND(($Z192-$B192)*24,4),""))</f>
        <v/>
      </c>
      <c r="BZ192" s="23" t="str">
        <f aca="false">IF($A192="","",IF(AND(ISNUMBER($W192),ISNUMBER($S192)),ROUND(($W192+$S192/1440-$B192)*24,4),""))</f>
        <v/>
      </c>
    </row>
    <row r="193" customFormat="false" ht="15" hidden="false" customHeight="true" outlineLevel="0" collapsed="false">
      <c r="A193" s="47"/>
      <c r="B193" s="47"/>
      <c r="D193" s="4" t="str">
        <f aca="false">IF($A193="","",$B193-$A193)</f>
        <v/>
      </c>
      <c r="E193" s="4" t="str">
        <f aca="false">IF($A193="","",IFERROR(VLOOKUP($C193,Dim_Fund!$A:$X,24,0),""))</f>
        <v/>
      </c>
      <c r="F193" s="37" t="str">
        <f aca="false">IF($A193="","",IF(COUNTIFS(Status_Log!$A:$A,$A193,Status_Log!$B:$B,$B193,Status_Log!$C:$C,$C193,Status_Log!$D:$D,"Changed to the status of Calculated")=0,"",_xlfn.MINIFS(Status_Log!$E:$E,Status_Log!$A:$A,$A193,Status_Log!$B:$B,$B193,Status_Log!$C:$C,$C193,Status_Log!$D:$D,"Changed to the status of Calculated")))</f>
        <v/>
      </c>
      <c r="G193" s="37" t="str">
        <f aca="false">IF($A193="","",IF(COUNTIFS(Status_Log!$A:$A,$A193,Status_Log!$B:$B,$B193,Status_Log!$C:$C,$C193,Status_Log!$D:$D,"Changed to the status of Controlled")=0,"",_xlfn.MAXIFS(Status_Log!$E:$E,Status_Log!$A:$A,$A193,Status_Log!$B:$B,$B193,Status_Log!$C:$C,$C193,Status_Log!$D:$D,"Changed to the status of Controlled")))</f>
        <v/>
      </c>
      <c r="H193" s="37" t="str">
        <f aca="false">IF($A193="","",IF(COUNTIFS(Status_Log!$A:$A,$A193,Status_Log!$B:$B,$B193,Status_Log!$C:$C,$C193,Status_Log!$D:$D,"Changed to the status of Fund accounting signed off")=0,"",_xlfn.MAXIFS(Status_Log!$E:$E,Status_Log!$A:$A,$A193,Status_Log!$B:$B,$B193,Status_Log!$C:$C,$C193,Status_Log!$D:$D,"Changed to the status of Fund accounting signed off")))</f>
        <v/>
      </c>
      <c r="I193" s="37" t="str">
        <f aca="false">IF($A193="","",IF(COUNTIFS(Status_Log!$A:$A,$A193,Status_Log!$B:$B,$B193,Status_Log!$C:$C,$C193,Status_Log!$D:$D,"Changed to the status of signed off")=0,"",_xlfn.MAXIFS(Status_Log!$E:$E,Status_Log!$A:$A,$A193,Status_Log!$B:$B,$B193,Status_Log!$C:$C,$C193,Status_Log!$D:$D,"Changed to the status of signed off")))</f>
        <v/>
      </c>
      <c r="J193" s="4" t="str">
        <f aca="false">IF($A193="","",COUNTIFS(Status_Log!$A:$A,$A193,Status_Log!$B:$B,$B193,Status_Log!$C:$C,$C193,Status_Log!$D:$D,"Changed to the status of Calculated"))</f>
        <v/>
      </c>
      <c r="K193" s="38" t="str">
        <f aca="false">IF($A193="","",IF(J193&lt;=1,0,ROUND((_xlfn.MAXIFS(Status_Log!$E:$E,Status_Log!$A:$A,$A193,Status_Log!$B:$B,$B193,Status_Log!$C:$C,$C193,Status_Log!$D:$D,"Changed to the status of Calculated")-F193)*1440,0)))</f>
        <v/>
      </c>
      <c r="L193" s="4" t="str">
        <f aca="false">IF($A193="","",IFERROR(INDEX(Status_Log!$F:$F,MATCH($A193&amp;"|"&amp;$B193&amp;"|"&amp;$C193&amp;"|Changed to the status of Calculated|"&amp;TEXT(_xlfn.MAXIFS(Status_Log!$E:$E,Status_Log!$A:$A,$A193,Status_Log!$B:$B,$B193,Status_Log!$C:$C,$C193,Status_Log!$D:$D,"Changed to the status of Calculated"),"0.000000"),Status_Log!$H:$H,0)),""))</f>
        <v/>
      </c>
      <c r="M193" s="4" t="str">
        <f aca="false">IF($A193="","",IF(E193="Client","n/a — no control step",IFERROR(INDEX(Status_Log!$F:$F,MATCH($A193&amp;"|"&amp;$B193&amp;"|"&amp;$C193&amp;"|Changed to the status of Controlled|"&amp;TEXT(_xlfn.MAXIFS(Status_Log!$E:$E,Status_Log!$A:$A,$A193,Status_Log!$B:$B,$B193,Status_Log!$C:$C,$C193,Status_Log!$D:$D,"Changed to the status of Controlled"),"0.000000"),Status_Log!$H:$H,0)),"")))</f>
        <v/>
      </c>
      <c r="N193" s="4" t="str">
        <f aca="false">IF($A193="","",IFERROR(VLOOKUP($C193,Dim_Fund!$A:$G,7,0),""))</f>
        <v/>
      </c>
      <c r="O193" s="4" t="str">
        <f aca="false">IF($A193="","",IF(L193=N193,"No","Yes"))</f>
        <v/>
      </c>
      <c r="P193" s="4" t="str">
        <f aca="false">IF($A193="","",IF(E193="Client","n/a",IF(L193=M193,"YES — four-eyes breach","No")))</f>
        <v/>
      </c>
      <c r="Q193" s="38" t="str">
        <f aca="false">IF($A193="","",IFERROR(VLOOKUP($C193,Dim_Fund!$A:$AB,28,0),""))</f>
        <v/>
      </c>
      <c r="R193" s="38" t="str">
        <f aca="false">IF($A193="","",IFERROR(VLOOKUP($C193,Dim_Fund!$A:$AC,29,0),""))</f>
        <v/>
      </c>
      <c r="S193" s="38" t="str">
        <f aca="false">IF($A193="","",IFERROR(VLOOKUP($C193,Dim_Fund!$A:$AD,30,0),""))</f>
        <v/>
      </c>
      <c r="T193" s="38" t="str">
        <f aca="false">IF($A193="","",IFERROR(VLOOKUP($C193,Dim_Fund!$A:$AL,38,0),""))</f>
        <v/>
      </c>
      <c r="U193" s="37" t="str">
        <f aca="false">IF($A193="","",IF(AL193="","",IFERROR(IF(COUNTIFS(Fact_Milestone!$A:$A,$B193,Fact_Milestone!$B:$B,AL193)=0,"",_xlfn.MAXIFS(Fact_Milestone!$C:$C,Fact_Milestone!$A:$A,$B193,Fact_Milestone!$B:$B,AL193)),"")))</f>
        <v/>
      </c>
      <c r="V193" s="37" t="str">
        <f aca="false">IF($A193="","",IFERROR(IF(VLOOKUP($C193,Dim_Fund!$A:$AI,35,0)&gt;0,$B193+VLOOKUP($C193,Dim_Fund!$A:$AI,35,0)/24,""),""))</f>
        <v/>
      </c>
      <c r="W193" s="37" t="str">
        <f aca="false">IF($A193="","",F193)</f>
        <v/>
      </c>
      <c r="X193" s="37" t="str">
        <f aca="false">IF($A193="","",IF(E193="Client",H193,G193))</f>
        <v/>
      </c>
      <c r="Y193" s="37" t="str">
        <f aca="false">IF($A193="","",I193)</f>
        <v/>
      </c>
      <c r="Z193" s="37" t="str">
        <f aca="false">IF($A193="","",IFERROR(W193-R193/1440,""))</f>
        <v/>
      </c>
      <c r="AA193" s="38" t="str">
        <f aca="false">IF($A193="","",IF(OR(U193="",V193=""),"",ROUND((V193-U193)*1440,0)))</f>
        <v/>
      </c>
      <c r="AB193" s="38" t="str">
        <f aca="false">IF($A193="","",IF(U193="","",ROUND((W193-U193)*1440,0)))</f>
        <v/>
      </c>
      <c r="AC193" s="38" t="str">
        <f aca="false">IF($A193="","",IF(AB193="","",MAX(0,AB193)))</f>
        <v/>
      </c>
      <c r="AD193" s="38" t="str">
        <f aca="false">IF($A193="","",IFERROR(ROUND((X193-W193)*1440,0),""))</f>
        <v/>
      </c>
      <c r="AE193" s="38" t="str">
        <f aca="false">IF($A193="","",IF(E193="Client","n/a",IFERROR(ROUND((H193-G193)*1440,0),"")))</f>
        <v/>
      </c>
      <c r="AF193" s="38" t="str">
        <f aca="false">IF($A193="","",IFERROR(ROUND((Y193-H193)*1440,0),""))</f>
        <v/>
      </c>
      <c r="AG193" s="38" t="str">
        <f aca="false">IF($A193="","",IFERROR(ROUND((H193-F193)*1440,0),""))</f>
        <v/>
      </c>
      <c r="AH193" s="38" t="str">
        <f aca="false">IF($A193="","",IFERROR(ROUND((Y193-V193)*1440,0),""))</f>
        <v/>
      </c>
      <c r="AI193" s="4" t="str">
        <f aca="false">IF($A193="","",IF(AH193="","",IF(AH193&gt;0,"Yes","No")))</f>
        <v/>
      </c>
      <c r="AJ193" s="4" t="str">
        <f aca="false">IF($A193="","",IF(AI193&lt;&gt;"Yes","On time",IF(N(AC193)&gt;=MAX(N(AF193),N(K193)),"Wait for analyst",IF(N(AF193)&gt;=N(K193),"External sign-off","Rework"))))</f>
        <v/>
      </c>
      <c r="AK193" s="4" t="str">
        <f aca="false">IF($A193="","",IF(OR(F193="",Y193="",ISNA(MATCH(L193,Dim_Analyst!$A:$A,0))),"CHECK","OK"))</f>
        <v/>
      </c>
      <c r="AL193" s="4" t="str">
        <f aca="false">IF($A193="","",IFERROR(VLOOKUP($C193,Dim_Fund!$A:$U,21,0),""))</f>
        <v/>
      </c>
      <c r="AM193" s="4" t="str">
        <f aca="false">IF($A193="","",IF($U193="","",IF($U193&gt;$B193+IFERROR(VLOOKUP($C193,Dim_Fund!$A:$AH,34,0),0)/24,"Yes","No")))</f>
        <v/>
      </c>
      <c r="AN193" s="22" t="str">
        <f aca="false">IF($A193="","",IFERROR(VLOOKUP($C193,Dim_Fund!$A:$AH,34,0),""))</f>
        <v/>
      </c>
      <c r="AO193" s="22" t="str">
        <f aca="false">IF($A193="","",IF($AL193="","",IFERROR(FLOOR(IF(COUNTIFS(Fact_Milestone!$A:$A,$B193,Fact_Milestone!$B:$B,$AL193,Fact_Milestone!$F:$F,"&gt;0")&gt;0,_xlfn.MINIFS(Fact_Milestone!$F:$F,Fact_Milestone!$A:$A,$B193,Fact_Milestone!$B:$B,$AL193,Fact_Milestone!$F:$F,"&gt;0"),VLOOKUP($AL193,Dim_TOP!$A:$E,5,0)),0.5),"")))</f>
        <v/>
      </c>
      <c r="AP193" s="22" t="str">
        <f aca="false">IF($A193="","",IF($U193="","",ROUND(($U193-INT($U193))*24,4)))</f>
        <v/>
      </c>
      <c r="AQ193" s="22" t="str">
        <f aca="false">IF($A193="","",IF($W193="","",ROUND(($W193-INT($W193))*24,4)))</f>
        <v/>
      </c>
      <c r="AR193" s="22" t="str">
        <f aca="false">IF($A193="","",IF($X193="","",ROUND(($X193-INT($X193))*24,4)))</f>
        <v/>
      </c>
      <c r="AS193" s="38" t="str">
        <f aca="false">IF($A193="","",IF(OR($AN193="",$V193="",$S193="",$T193=""),"",ROUND(($V193-($B193+$AN193/24))*1440-$S193-$T193,0)))</f>
        <v/>
      </c>
      <c r="AT193" s="38" t="str">
        <f aca="false">IF($A193="","",IF(OR($AN193="",$U193=""),"",ROUND(($U193-($B193+$AN193/24))*1440,0)))</f>
        <v/>
      </c>
      <c r="AU193" s="38" t="str">
        <f aca="false">IF($A193="","",IF(OR($AD193="",$S193=""),"",ROUND($AD193-$S193,0)))</f>
        <v/>
      </c>
      <c r="AV193" s="38" t="str">
        <f aca="false">IF($A193="","",N($AE193))</f>
        <v/>
      </c>
      <c r="AW193" s="38" t="str">
        <f aca="false">IF($A193="","",IF(OR($AF193="",$T193=""),"",$AF193-$T193))</f>
        <v/>
      </c>
      <c r="AX193" s="38" t="str">
        <f aca="false">IF($A193="","",IF(COUNT($AT193,$AB193,$AU193,$AW193,$AS193,$AH193)&lt;6,"",ROUND($AT193+$AB193+$AU193+$AV193+$AW193-$AS193-$AH193,0)))</f>
        <v/>
      </c>
      <c r="AY193" s="4" t="str">
        <f aca="false">IF($A193="","",IF($AX193="","No",IF(ABS($AX193)&lt;=2,"Yes","No")))</f>
        <v/>
      </c>
      <c r="AZ193" s="4" t="str">
        <f aca="false">IF($A193="","",IF($AI193&lt;&gt;"Yes","n/a",IF(OR($AA193="",$S193="",$T193=""),"Unknown",IF($AA193&lt;$S193+$T193,"Lost on arrival","Lost after arrival"))))</f>
        <v/>
      </c>
      <c r="BA193" s="10" t="str">
        <f aca="false">IF($A193="","",IFERROR(VLOOKUP($C193,Dim_Fund!$A:$D,4,0),""))</f>
        <v/>
      </c>
      <c r="BB193" s="10" t="str">
        <f aca="false">IF($A193="","",IF($AL193="","",IF(COUNTIFS(Fact_Milestone!$A:$A,$B193,Fact_Milestone!$B:$B,$AL193,Fact_Milestone!$I:$I,"No")&gt;0,"No",IF(COUNTIFS(Fact_Milestone!$A:$A,$B193,Fact_Milestone!$B:$B,$AL193,Fact_Milestone!$I:$I,"Yes")&gt;0,"Yes",""))))</f>
        <v/>
      </c>
      <c r="BC193" s="45" t="str">
        <f aca="false">IF($A193="","",IF(OR($L193="",$W193=""),"",IF(COUNTIFS($L:$L,$L193,$B:$B,$B193,$W:$W,"&lt;"&amp;$W193)=0,"",_xlfn.MAXIFS($W:$W,$L:$L,$L193,$B:$B,$B193,$W:$W,"&lt;"&amp;$W193))))</f>
        <v/>
      </c>
      <c r="BD193" s="39" t="str">
        <f aca="false">IF($A193="","",IF($AC193="","",IF(OR($L193="",$AC193=0),0,MIN($AC193,ROUND(ROUND(1440*SUMPRODUCT(($L$2:INDEX($L:$L,COUNTA($C:$C))=$L193)*($B$2:INDEX($B:$B,COUNTA($C:$C))=$B193)*(ROW($L$2:INDEX($L:$L,COUNTA($C:$C)))&lt;&gt;ROW())*((((($W193+$BT$2:INDEX($BT:$BT,COUNTA($C:$C))-ABS($W193-$BT$2:INDEX($BT:$BT,COUNTA($C:$C))))/2)-(($U193+$BS$2:INDEX($BS:$BS,COUNTA($C:$C))+ABS($U193-$BS$2:INDEX($BS:$BS,COUNTA($C:$C))))/2))+ABS(((($W193+$BT$2:INDEX($BT:$BT,COUNTA($C:$C))-ABS($W193-$BT$2:INDEX($BT:$BT,COUNTA($C:$C))))/2)-(($U193+$BS$2:INDEX($BS:$BS,COUNTA($C:$C))+ABS($U193-$BS$2:INDEX($BS:$BS,COUNTA($C:$C))))/2))))/2)),4),0)))))</f>
        <v/>
      </c>
      <c r="BE193" s="39" t="str">
        <f aca="false">IF($A193="","",IF($AC193="","",ROUND(MIN($AC193-$BD193,N($R193)),0)))</f>
        <v/>
      </c>
      <c r="BF193" s="10" t="str">
        <f aca="false">IF($A193="","",IFERROR(VLOOKUP($C193,Dim_Fund!$A:$BD,56,0),""))</f>
        <v/>
      </c>
      <c r="BG193" s="10" t="str">
        <f aca="false">IF($A193="","",IFERROR(VLOOKUP($C193,Dim_Fund!$A:$BH,60,0),""))</f>
        <v/>
      </c>
      <c r="BH193" s="10" t="str">
        <f aca="false">IF($A193="","",IF($AI193&lt;&gt;"Yes","Not breached",IF($AM193="Yes","Pricing late",IF($BG193="Thin custody slack","Thin custody slack",IF($BF193="Yes","Broker-dependent","None of these")))))</f>
        <v/>
      </c>
      <c r="BI193" s="23" t="str">
        <f aca="false">IF($A193="","",IFERROR(IF(VLOOKUP($C193,Dim_Fund!$A:$AI,35,0)&gt;0,VLOOKUP($C193,Dim_Fund!$A:$AI,35,0),""),""))</f>
        <v/>
      </c>
      <c r="BJ193" s="10" t="str">
        <f aca="false">IF($A193="","",$C193&amp;IF($E193="Client","*",""))</f>
        <v/>
      </c>
      <c r="BK193" s="39" t="str">
        <f aca="false">IF($A193="","",IFERROR(ROUND(($Y193-$X193)*1440,0),""))</f>
        <v/>
      </c>
      <c r="BL193" s="39" t="str">
        <f aca="false">IF($A193="","",IF($AH193="","",-$AH193))</f>
        <v/>
      </c>
      <c r="BM193" s="46" t="str">
        <f aca="false">IF($A193="","",IF($AQ193="","",IF($AP193="",$AQ193,MIN($AP193,$AQ193))))</f>
        <v/>
      </c>
      <c r="BN193" s="46" t="str">
        <f aca="false">IF($A193="","",IF($BM193="","",ROUND(N($AC193)/60,4)))</f>
        <v/>
      </c>
      <c r="BO193" s="46" t="str">
        <f aca="false">IF($A193="","",IF(OR($BM193="",$AD193=""),"",ROUND($AD193/60,4)))</f>
        <v/>
      </c>
      <c r="BP193" s="46" t="str">
        <f aca="false">IF($A193="","",IF($BM193="","",ROUND(N($AE193)/60,4)))</f>
        <v/>
      </c>
      <c r="BQ193" s="46" t="str">
        <f aca="false">IF($A193="","",IF(OR($BM193="",$AF193=""),"",ROUND($AF193/60,4)))</f>
        <v/>
      </c>
      <c r="BR193" s="39" t="str">
        <f aca="false">IF($A193="","",IF($AC193="","",$AC193-$BD193-$BE193))</f>
        <v/>
      </c>
      <c r="BS193" s="45" t="str">
        <f aca="false">IF($A193="","",IF(AND(ISNUMBER($Z193),ISNUMBER($W193)),$Z193,0))</f>
        <v/>
      </c>
      <c r="BT193" s="45" t="str">
        <f aca="false">IF($A193="","",IF(ISNUMBER($W193),$W193,0))</f>
        <v/>
      </c>
      <c r="BU193" s="23" t="str">
        <f aca="false">IF($A193="","",IF(ISNUMBER($W193),ROUND(($W193-$B193)*24,4),""))</f>
        <v/>
      </c>
      <c r="BV193" s="23" t="str">
        <f aca="false">IF($A193="","",IF(ISNUMBER($X193),ROUND(($X193-$B193)*24,4),""))</f>
        <v/>
      </c>
      <c r="BW193" s="10" t="str">
        <f aca="false">IF($A193="","",IF(NOT(ISNUMBER($W193)),"Missing Calculated",IF(NOT(ISNUMBER($X193)),IF($E193="Client","Missing FA signed off","Missing Controlled"),IF($X193&lt;$W193,"End before start","OK"))))</f>
        <v/>
      </c>
      <c r="BX193" s="23" t="str">
        <f aca="false">IF($A193="","",IF(NOT(ISNUMBER($Z193)),"",ROUND((IF(ISNUMBER($U193),MIN($U193,$Z193),$Z193)-$B193)*24,4)))</f>
        <v/>
      </c>
      <c r="BY193" s="23" t="str">
        <f aca="false">IF($A193="","",IF(ISNUMBER($Z193),ROUND(($Z193-$B193)*24,4),""))</f>
        <v/>
      </c>
      <c r="BZ193" s="23" t="str">
        <f aca="false">IF($A193="","",IF(AND(ISNUMBER($W193),ISNUMBER($S193)),ROUND(($W193+$S193/1440-$B193)*24,4),""))</f>
        <v/>
      </c>
    </row>
    <row r="194" customFormat="false" ht="15" hidden="false" customHeight="true" outlineLevel="0" collapsed="false">
      <c r="A194" s="47"/>
      <c r="B194" s="47"/>
      <c r="D194" s="4" t="str">
        <f aca="false">IF($A194="","",$B194-$A194)</f>
        <v/>
      </c>
      <c r="E194" s="4" t="str">
        <f aca="false">IF($A194="","",IFERROR(VLOOKUP($C194,Dim_Fund!$A:$X,24,0),""))</f>
        <v/>
      </c>
      <c r="F194" s="37" t="str">
        <f aca="false">IF($A194="","",IF(COUNTIFS(Status_Log!$A:$A,$A194,Status_Log!$B:$B,$B194,Status_Log!$C:$C,$C194,Status_Log!$D:$D,"Changed to the status of Calculated")=0,"",_xlfn.MINIFS(Status_Log!$E:$E,Status_Log!$A:$A,$A194,Status_Log!$B:$B,$B194,Status_Log!$C:$C,$C194,Status_Log!$D:$D,"Changed to the status of Calculated")))</f>
        <v/>
      </c>
      <c r="G194" s="37" t="str">
        <f aca="false">IF($A194="","",IF(COUNTIFS(Status_Log!$A:$A,$A194,Status_Log!$B:$B,$B194,Status_Log!$C:$C,$C194,Status_Log!$D:$D,"Changed to the status of Controlled")=0,"",_xlfn.MAXIFS(Status_Log!$E:$E,Status_Log!$A:$A,$A194,Status_Log!$B:$B,$B194,Status_Log!$C:$C,$C194,Status_Log!$D:$D,"Changed to the status of Controlled")))</f>
        <v/>
      </c>
      <c r="H194" s="37" t="str">
        <f aca="false">IF($A194="","",IF(COUNTIFS(Status_Log!$A:$A,$A194,Status_Log!$B:$B,$B194,Status_Log!$C:$C,$C194,Status_Log!$D:$D,"Changed to the status of Fund accounting signed off")=0,"",_xlfn.MAXIFS(Status_Log!$E:$E,Status_Log!$A:$A,$A194,Status_Log!$B:$B,$B194,Status_Log!$C:$C,$C194,Status_Log!$D:$D,"Changed to the status of Fund accounting signed off")))</f>
        <v/>
      </c>
      <c r="I194" s="37" t="str">
        <f aca="false">IF($A194="","",IF(COUNTIFS(Status_Log!$A:$A,$A194,Status_Log!$B:$B,$B194,Status_Log!$C:$C,$C194,Status_Log!$D:$D,"Changed to the status of signed off")=0,"",_xlfn.MAXIFS(Status_Log!$E:$E,Status_Log!$A:$A,$A194,Status_Log!$B:$B,$B194,Status_Log!$C:$C,$C194,Status_Log!$D:$D,"Changed to the status of signed off")))</f>
        <v/>
      </c>
      <c r="J194" s="4" t="str">
        <f aca="false">IF($A194="","",COUNTIFS(Status_Log!$A:$A,$A194,Status_Log!$B:$B,$B194,Status_Log!$C:$C,$C194,Status_Log!$D:$D,"Changed to the status of Calculated"))</f>
        <v/>
      </c>
      <c r="K194" s="38" t="str">
        <f aca="false">IF($A194="","",IF(J194&lt;=1,0,ROUND((_xlfn.MAXIFS(Status_Log!$E:$E,Status_Log!$A:$A,$A194,Status_Log!$B:$B,$B194,Status_Log!$C:$C,$C194,Status_Log!$D:$D,"Changed to the status of Calculated")-F194)*1440,0)))</f>
        <v/>
      </c>
      <c r="L194" s="4" t="str">
        <f aca="false">IF($A194="","",IFERROR(INDEX(Status_Log!$F:$F,MATCH($A194&amp;"|"&amp;$B194&amp;"|"&amp;$C194&amp;"|Changed to the status of Calculated|"&amp;TEXT(_xlfn.MAXIFS(Status_Log!$E:$E,Status_Log!$A:$A,$A194,Status_Log!$B:$B,$B194,Status_Log!$C:$C,$C194,Status_Log!$D:$D,"Changed to the status of Calculated"),"0.000000"),Status_Log!$H:$H,0)),""))</f>
        <v/>
      </c>
      <c r="M194" s="4" t="str">
        <f aca="false">IF($A194="","",IF(E194="Client","n/a — no control step",IFERROR(INDEX(Status_Log!$F:$F,MATCH($A194&amp;"|"&amp;$B194&amp;"|"&amp;$C194&amp;"|Changed to the status of Controlled|"&amp;TEXT(_xlfn.MAXIFS(Status_Log!$E:$E,Status_Log!$A:$A,$A194,Status_Log!$B:$B,$B194,Status_Log!$C:$C,$C194,Status_Log!$D:$D,"Changed to the status of Controlled"),"0.000000"),Status_Log!$H:$H,0)),"")))</f>
        <v/>
      </c>
      <c r="N194" s="4" t="str">
        <f aca="false">IF($A194="","",IFERROR(VLOOKUP($C194,Dim_Fund!$A:$G,7,0),""))</f>
        <v/>
      </c>
      <c r="O194" s="4" t="str">
        <f aca="false">IF($A194="","",IF(L194=N194,"No","Yes"))</f>
        <v/>
      </c>
      <c r="P194" s="4" t="str">
        <f aca="false">IF($A194="","",IF(E194="Client","n/a",IF(L194=M194,"YES — four-eyes breach","No")))</f>
        <v/>
      </c>
      <c r="Q194" s="38" t="str">
        <f aca="false">IF($A194="","",IFERROR(VLOOKUP($C194,Dim_Fund!$A:$AB,28,0),""))</f>
        <v/>
      </c>
      <c r="R194" s="38" t="str">
        <f aca="false">IF($A194="","",IFERROR(VLOOKUP($C194,Dim_Fund!$A:$AC,29,0),""))</f>
        <v/>
      </c>
      <c r="S194" s="38" t="str">
        <f aca="false">IF($A194="","",IFERROR(VLOOKUP($C194,Dim_Fund!$A:$AD,30,0),""))</f>
        <v/>
      </c>
      <c r="T194" s="38" t="str">
        <f aca="false">IF($A194="","",IFERROR(VLOOKUP($C194,Dim_Fund!$A:$AL,38,0),""))</f>
        <v/>
      </c>
      <c r="U194" s="37" t="str">
        <f aca="false">IF($A194="","",IF(AL194="","",IFERROR(IF(COUNTIFS(Fact_Milestone!$A:$A,$B194,Fact_Milestone!$B:$B,AL194)=0,"",_xlfn.MAXIFS(Fact_Milestone!$C:$C,Fact_Milestone!$A:$A,$B194,Fact_Milestone!$B:$B,AL194)),"")))</f>
        <v/>
      </c>
      <c r="V194" s="37" t="str">
        <f aca="false">IF($A194="","",IFERROR(IF(VLOOKUP($C194,Dim_Fund!$A:$AI,35,0)&gt;0,$B194+VLOOKUP($C194,Dim_Fund!$A:$AI,35,0)/24,""),""))</f>
        <v/>
      </c>
      <c r="W194" s="37" t="str">
        <f aca="false">IF($A194="","",F194)</f>
        <v/>
      </c>
      <c r="X194" s="37" t="str">
        <f aca="false">IF($A194="","",IF(E194="Client",H194,G194))</f>
        <v/>
      </c>
      <c r="Y194" s="37" t="str">
        <f aca="false">IF($A194="","",I194)</f>
        <v/>
      </c>
      <c r="Z194" s="37" t="str">
        <f aca="false">IF($A194="","",IFERROR(W194-R194/1440,""))</f>
        <v/>
      </c>
      <c r="AA194" s="38" t="str">
        <f aca="false">IF($A194="","",IF(OR(U194="",V194=""),"",ROUND((V194-U194)*1440,0)))</f>
        <v/>
      </c>
      <c r="AB194" s="38" t="str">
        <f aca="false">IF($A194="","",IF(U194="","",ROUND((W194-U194)*1440,0)))</f>
        <v/>
      </c>
      <c r="AC194" s="38" t="str">
        <f aca="false">IF($A194="","",IF(AB194="","",MAX(0,AB194)))</f>
        <v/>
      </c>
      <c r="AD194" s="38" t="str">
        <f aca="false">IF($A194="","",IFERROR(ROUND((X194-W194)*1440,0),""))</f>
        <v/>
      </c>
      <c r="AE194" s="38" t="str">
        <f aca="false">IF($A194="","",IF(E194="Client","n/a",IFERROR(ROUND((H194-G194)*1440,0),"")))</f>
        <v/>
      </c>
      <c r="AF194" s="38" t="str">
        <f aca="false">IF($A194="","",IFERROR(ROUND((Y194-H194)*1440,0),""))</f>
        <v/>
      </c>
      <c r="AG194" s="38" t="str">
        <f aca="false">IF($A194="","",IFERROR(ROUND((H194-F194)*1440,0),""))</f>
        <v/>
      </c>
      <c r="AH194" s="38" t="str">
        <f aca="false">IF($A194="","",IFERROR(ROUND((Y194-V194)*1440,0),""))</f>
        <v/>
      </c>
      <c r="AI194" s="4" t="str">
        <f aca="false">IF($A194="","",IF(AH194="","",IF(AH194&gt;0,"Yes","No")))</f>
        <v/>
      </c>
      <c r="AJ194" s="4" t="str">
        <f aca="false">IF($A194="","",IF(AI194&lt;&gt;"Yes","On time",IF(N(AC194)&gt;=MAX(N(AF194),N(K194)),"Wait for analyst",IF(N(AF194)&gt;=N(K194),"External sign-off","Rework"))))</f>
        <v/>
      </c>
      <c r="AK194" s="4" t="str">
        <f aca="false">IF($A194="","",IF(OR(F194="",Y194="",ISNA(MATCH(L194,Dim_Analyst!$A:$A,0))),"CHECK","OK"))</f>
        <v/>
      </c>
      <c r="AL194" s="4" t="str">
        <f aca="false">IF($A194="","",IFERROR(VLOOKUP($C194,Dim_Fund!$A:$U,21,0),""))</f>
        <v/>
      </c>
      <c r="AM194" s="4" t="str">
        <f aca="false">IF($A194="","",IF($U194="","",IF($U194&gt;$B194+IFERROR(VLOOKUP($C194,Dim_Fund!$A:$AH,34,0),0)/24,"Yes","No")))</f>
        <v/>
      </c>
      <c r="AN194" s="22" t="str">
        <f aca="false">IF($A194="","",IFERROR(VLOOKUP($C194,Dim_Fund!$A:$AH,34,0),""))</f>
        <v/>
      </c>
      <c r="AO194" s="22" t="str">
        <f aca="false">IF($A194="","",IF($AL194="","",IFERROR(FLOOR(IF(COUNTIFS(Fact_Milestone!$A:$A,$B194,Fact_Milestone!$B:$B,$AL194,Fact_Milestone!$F:$F,"&gt;0")&gt;0,_xlfn.MINIFS(Fact_Milestone!$F:$F,Fact_Milestone!$A:$A,$B194,Fact_Milestone!$B:$B,$AL194,Fact_Milestone!$F:$F,"&gt;0"),VLOOKUP($AL194,Dim_TOP!$A:$E,5,0)),0.5),"")))</f>
        <v/>
      </c>
      <c r="AP194" s="22" t="str">
        <f aca="false">IF($A194="","",IF($U194="","",ROUND(($U194-INT($U194))*24,4)))</f>
        <v/>
      </c>
      <c r="AQ194" s="22" t="str">
        <f aca="false">IF($A194="","",IF($W194="","",ROUND(($W194-INT($W194))*24,4)))</f>
        <v/>
      </c>
      <c r="AR194" s="22" t="str">
        <f aca="false">IF($A194="","",IF($X194="","",ROUND(($X194-INT($X194))*24,4)))</f>
        <v/>
      </c>
      <c r="AS194" s="38" t="str">
        <f aca="false">IF($A194="","",IF(OR($AN194="",$V194="",$S194="",$T194=""),"",ROUND(($V194-($B194+$AN194/24))*1440-$S194-$T194,0)))</f>
        <v/>
      </c>
      <c r="AT194" s="38" t="str">
        <f aca="false">IF($A194="","",IF(OR($AN194="",$U194=""),"",ROUND(($U194-($B194+$AN194/24))*1440,0)))</f>
        <v/>
      </c>
      <c r="AU194" s="38" t="str">
        <f aca="false">IF($A194="","",IF(OR($AD194="",$S194=""),"",ROUND($AD194-$S194,0)))</f>
        <v/>
      </c>
      <c r="AV194" s="38" t="str">
        <f aca="false">IF($A194="","",N($AE194))</f>
        <v/>
      </c>
      <c r="AW194" s="38" t="str">
        <f aca="false">IF($A194="","",IF(OR($AF194="",$T194=""),"",$AF194-$T194))</f>
        <v/>
      </c>
      <c r="AX194" s="38" t="str">
        <f aca="false">IF($A194="","",IF(COUNT($AT194,$AB194,$AU194,$AW194,$AS194,$AH194)&lt;6,"",ROUND($AT194+$AB194+$AU194+$AV194+$AW194-$AS194-$AH194,0)))</f>
        <v/>
      </c>
      <c r="AY194" s="4" t="str">
        <f aca="false">IF($A194="","",IF($AX194="","No",IF(ABS($AX194)&lt;=2,"Yes","No")))</f>
        <v/>
      </c>
      <c r="AZ194" s="4" t="str">
        <f aca="false">IF($A194="","",IF($AI194&lt;&gt;"Yes","n/a",IF(OR($AA194="",$S194="",$T194=""),"Unknown",IF($AA194&lt;$S194+$T194,"Lost on arrival","Lost after arrival"))))</f>
        <v/>
      </c>
      <c r="BA194" s="10" t="str">
        <f aca="false">IF($A194="","",IFERROR(VLOOKUP($C194,Dim_Fund!$A:$D,4,0),""))</f>
        <v/>
      </c>
      <c r="BB194" s="10" t="str">
        <f aca="false">IF($A194="","",IF($AL194="","",IF(COUNTIFS(Fact_Milestone!$A:$A,$B194,Fact_Milestone!$B:$B,$AL194,Fact_Milestone!$I:$I,"No")&gt;0,"No",IF(COUNTIFS(Fact_Milestone!$A:$A,$B194,Fact_Milestone!$B:$B,$AL194,Fact_Milestone!$I:$I,"Yes")&gt;0,"Yes",""))))</f>
        <v/>
      </c>
      <c r="BC194" s="45" t="str">
        <f aca="false">IF($A194="","",IF(OR($L194="",$W194=""),"",IF(COUNTIFS($L:$L,$L194,$B:$B,$B194,$W:$W,"&lt;"&amp;$W194)=0,"",_xlfn.MAXIFS($W:$W,$L:$L,$L194,$B:$B,$B194,$W:$W,"&lt;"&amp;$W194))))</f>
        <v/>
      </c>
      <c r="BD194" s="39" t="str">
        <f aca="false">IF($A194="","",IF($AC194="","",IF(OR($L194="",$AC194=0),0,MIN($AC194,ROUND(ROUND(1440*SUMPRODUCT(($L$2:INDEX($L:$L,COUNTA($C:$C))=$L194)*($B$2:INDEX($B:$B,COUNTA($C:$C))=$B194)*(ROW($L$2:INDEX($L:$L,COUNTA($C:$C)))&lt;&gt;ROW())*((((($W194+$BT$2:INDEX($BT:$BT,COUNTA($C:$C))-ABS($W194-$BT$2:INDEX($BT:$BT,COUNTA($C:$C))))/2)-(($U194+$BS$2:INDEX($BS:$BS,COUNTA($C:$C))+ABS($U194-$BS$2:INDEX($BS:$BS,COUNTA($C:$C))))/2))+ABS(((($W194+$BT$2:INDEX($BT:$BT,COUNTA($C:$C))-ABS($W194-$BT$2:INDEX($BT:$BT,COUNTA($C:$C))))/2)-(($U194+$BS$2:INDEX($BS:$BS,COUNTA($C:$C))+ABS($U194-$BS$2:INDEX($BS:$BS,COUNTA($C:$C))))/2))))/2)),4),0)))))</f>
        <v/>
      </c>
      <c r="BE194" s="39" t="str">
        <f aca="false">IF($A194="","",IF($AC194="","",ROUND(MIN($AC194-$BD194,N($R194)),0)))</f>
        <v/>
      </c>
      <c r="BF194" s="10" t="str">
        <f aca="false">IF($A194="","",IFERROR(VLOOKUP($C194,Dim_Fund!$A:$BD,56,0),""))</f>
        <v/>
      </c>
      <c r="BG194" s="10" t="str">
        <f aca="false">IF($A194="","",IFERROR(VLOOKUP($C194,Dim_Fund!$A:$BH,60,0),""))</f>
        <v/>
      </c>
      <c r="BH194" s="10" t="str">
        <f aca="false">IF($A194="","",IF($AI194&lt;&gt;"Yes","Not breached",IF($AM194="Yes","Pricing late",IF($BG194="Thin custody slack","Thin custody slack",IF($BF194="Yes","Broker-dependent","None of these")))))</f>
        <v/>
      </c>
      <c r="BI194" s="23" t="str">
        <f aca="false">IF($A194="","",IFERROR(IF(VLOOKUP($C194,Dim_Fund!$A:$AI,35,0)&gt;0,VLOOKUP($C194,Dim_Fund!$A:$AI,35,0),""),""))</f>
        <v/>
      </c>
      <c r="BJ194" s="10" t="str">
        <f aca="false">IF($A194="","",$C194&amp;IF($E194="Client","*",""))</f>
        <v/>
      </c>
      <c r="BK194" s="39" t="str">
        <f aca="false">IF($A194="","",IFERROR(ROUND(($Y194-$X194)*1440,0),""))</f>
        <v/>
      </c>
      <c r="BL194" s="39" t="str">
        <f aca="false">IF($A194="","",IF($AH194="","",-$AH194))</f>
        <v/>
      </c>
      <c r="BM194" s="46" t="str">
        <f aca="false">IF($A194="","",IF($AQ194="","",IF($AP194="",$AQ194,MIN($AP194,$AQ194))))</f>
        <v/>
      </c>
      <c r="BN194" s="46" t="str">
        <f aca="false">IF($A194="","",IF($BM194="","",ROUND(N($AC194)/60,4)))</f>
        <v/>
      </c>
      <c r="BO194" s="46" t="str">
        <f aca="false">IF($A194="","",IF(OR($BM194="",$AD194=""),"",ROUND($AD194/60,4)))</f>
        <v/>
      </c>
      <c r="BP194" s="46" t="str">
        <f aca="false">IF($A194="","",IF($BM194="","",ROUND(N($AE194)/60,4)))</f>
        <v/>
      </c>
      <c r="BQ194" s="46" t="str">
        <f aca="false">IF($A194="","",IF(OR($BM194="",$AF194=""),"",ROUND($AF194/60,4)))</f>
        <v/>
      </c>
      <c r="BR194" s="39" t="str">
        <f aca="false">IF($A194="","",IF($AC194="","",$AC194-$BD194-$BE194))</f>
        <v/>
      </c>
      <c r="BS194" s="45" t="str">
        <f aca="false">IF($A194="","",IF(AND(ISNUMBER($Z194),ISNUMBER($W194)),$Z194,0))</f>
        <v/>
      </c>
      <c r="BT194" s="45" t="str">
        <f aca="false">IF($A194="","",IF(ISNUMBER($W194),$W194,0))</f>
        <v/>
      </c>
      <c r="BU194" s="23" t="str">
        <f aca="false">IF($A194="","",IF(ISNUMBER($W194),ROUND(($W194-$B194)*24,4),""))</f>
        <v/>
      </c>
      <c r="BV194" s="23" t="str">
        <f aca="false">IF($A194="","",IF(ISNUMBER($X194),ROUND(($X194-$B194)*24,4),""))</f>
        <v/>
      </c>
      <c r="BW194" s="10" t="str">
        <f aca="false">IF($A194="","",IF(NOT(ISNUMBER($W194)),"Missing Calculated",IF(NOT(ISNUMBER($X194)),IF($E194="Client","Missing FA signed off","Missing Controlled"),IF($X194&lt;$W194,"End before start","OK"))))</f>
        <v/>
      </c>
      <c r="BX194" s="23" t="str">
        <f aca="false">IF($A194="","",IF(NOT(ISNUMBER($Z194)),"",ROUND((IF(ISNUMBER($U194),MIN($U194,$Z194),$Z194)-$B194)*24,4)))</f>
        <v/>
      </c>
      <c r="BY194" s="23" t="str">
        <f aca="false">IF($A194="","",IF(ISNUMBER($Z194),ROUND(($Z194-$B194)*24,4),""))</f>
        <v/>
      </c>
      <c r="BZ194" s="23" t="str">
        <f aca="false">IF($A194="","",IF(AND(ISNUMBER($W194),ISNUMBER($S194)),ROUND(($W194+$S194/1440-$B194)*24,4),""))</f>
        <v/>
      </c>
    </row>
    <row r="195" customFormat="false" ht="15" hidden="false" customHeight="true" outlineLevel="0" collapsed="false">
      <c r="A195" s="47"/>
      <c r="B195" s="47"/>
      <c r="D195" s="4" t="str">
        <f aca="false">IF($A195="","",$B195-$A195)</f>
        <v/>
      </c>
      <c r="E195" s="4" t="str">
        <f aca="false">IF($A195="","",IFERROR(VLOOKUP($C195,Dim_Fund!$A:$X,24,0),""))</f>
        <v/>
      </c>
      <c r="F195" s="37" t="str">
        <f aca="false">IF($A195="","",IF(COUNTIFS(Status_Log!$A:$A,$A195,Status_Log!$B:$B,$B195,Status_Log!$C:$C,$C195,Status_Log!$D:$D,"Changed to the status of Calculated")=0,"",_xlfn.MINIFS(Status_Log!$E:$E,Status_Log!$A:$A,$A195,Status_Log!$B:$B,$B195,Status_Log!$C:$C,$C195,Status_Log!$D:$D,"Changed to the status of Calculated")))</f>
        <v/>
      </c>
      <c r="G195" s="37" t="str">
        <f aca="false">IF($A195="","",IF(COUNTIFS(Status_Log!$A:$A,$A195,Status_Log!$B:$B,$B195,Status_Log!$C:$C,$C195,Status_Log!$D:$D,"Changed to the status of Controlled")=0,"",_xlfn.MAXIFS(Status_Log!$E:$E,Status_Log!$A:$A,$A195,Status_Log!$B:$B,$B195,Status_Log!$C:$C,$C195,Status_Log!$D:$D,"Changed to the status of Controlled")))</f>
        <v/>
      </c>
      <c r="H195" s="37" t="str">
        <f aca="false">IF($A195="","",IF(COUNTIFS(Status_Log!$A:$A,$A195,Status_Log!$B:$B,$B195,Status_Log!$C:$C,$C195,Status_Log!$D:$D,"Changed to the status of Fund accounting signed off")=0,"",_xlfn.MAXIFS(Status_Log!$E:$E,Status_Log!$A:$A,$A195,Status_Log!$B:$B,$B195,Status_Log!$C:$C,$C195,Status_Log!$D:$D,"Changed to the status of Fund accounting signed off")))</f>
        <v/>
      </c>
      <c r="I195" s="37" t="str">
        <f aca="false">IF($A195="","",IF(COUNTIFS(Status_Log!$A:$A,$A195,Status_Log!$B:$B,$B195,Status_Log!$C:$C,$C195,Status_Log!$D:$D,"Changed to the status of signed off")=0,"",_xlfn.MAXIFS(Status_Log!$E:$E,Status_Log!$A:$A,$A195,Status_Log!$B:$B,$B195,Status_Log!$C:$C,$C195,Status_Log!$D:$D,"Changed to the status of signed off")))</f>
        <v/>
      </c>
      <c r="J195" s="4" t="str">
        <f aca="false">IF($A195="","",COUNTIFS(Status_Log!$A:$A,$A195,Status_Log!$B:$B,$B195,Status_Log!$C:$C,$C195,Status_Log!$D:$D,"Changed to the status of Calculated"))</f>
        <v/>
      </c>
      <c r="K195" s="38" t="str">
        <f aca="false">IF($A195="","",IF(J195&lt;=1,0,ROUND((_xlfn.MAXIFS(Status_Log!$E:$E,Status_Log!$A:$A,$A195,Status_Log!$B:$B,$B195,Status_Log!$C:$C,$C195,Status_Log!$D:$D,"Changed to the status of Calculated")-F195)*1440,0)))</f>
        <v/>
      </c>
      <c r="L195" s="4" t="str">
        <f aca="false">IF($A195="","",IFERROR(INDEX(Status_Log!$F:$F,MATCH($A195&amp;"|"&amp;$B195&amp;"|"&amp;$C195&amp;"|Changed to the status of Calculated|"&amp;TEXT(_xlfn.MAXIFS(Status_Log!$E:$E,Status_Log!$A:$A,$A195,Status_Log!$B:$B,$B195,Status_Log!$C:$C,$C195,Status_Log!$D:$D,"Changed to the status of Calculated"),"0.000000"),Status_Log!$H:$H,0)),""))</f>
        <v/>
      </c>
      <c r="M195" s="4" t="str">
        <f aca="false">IF($A195="","",IF(E195="Client","n/a — no control step",IFERROR(INDEX(Status_Log!$F:$F,MATCH($A195&amp;"|"&amp;$B195&amp;"|"&amp;$C195&amp;"|Changed to the status of Controlled|"&amp;TEXT(_xlfn.MAXIFS(Status_Log!$E:$E,Status_Log!$A:$A,$A195,Status_Log!$B:$B,$B195,Status_Log!$C:$C,$C195,Status_Log!$D:$D,"Changed to the status of Controlled"),"0.000000"),Status_Log!$H:$H,0)),"")))</f>
        <v/>
      </c>
      <c r="N195" s="4" t="str">
        <f aca="false">IF($A195="","",IFERROR(VLOOKUP($C195,Dim_Fund!$A:$G,7,0),""))</f>
        <v/>
      </c>
      <c r="O195" s="4" t="str">
        <f aca="false">IF($A195="","",IF(L195=N195,"No","Yes"))</f>
        <v/>
      </c>
      <c r="P195" s="4" t="str">
        <f aca="false">IF($A195="","",IF(E195="Client","n/a",IF(L195=M195,"YES — four-eyes breach","No")))</f>
        <v/>
      </c>
      <c r="Q195" s="38" t="str">
        <f aca="false">IF($A195="","",IFERROR(VLOOKUP($C195,Dim_Fund!$A:$AB,28,0),""))</f>
        <v/>
      </c>
      <c r="R195" s="38" t="str">
        <f aca="false">IF($A195="","",IFERROR(VLOOKUP($C195,Dim_Fund!$A:$AC,29,0),""))</f>
        <v/>
      </c>
      <c r="S195" s="38" t="str">
        <f aca="false">IF($A195="","",IFERROR(VLOOKUP($C195,Dim_Fund!$A:$AD,30,0),""))</f>
        <v/>
      </c>
      <c r="T195" s="38" t="str">
        <f aca="false">IF($A195="","",IFERROR(VLOOKUP($C195,Dim_Fund!$A:$AL,38,0),""))</f>
        <v/>
      </c>
      <c r="U195" s="37" t="str">
        <f aca="false">IF($A195="","",IF(AL195="","",IFERROR(IF(COUNTIFS(Fact_Milestone!$A:$A,$B195,Fact_Milestone!$B:$B,AL195)=0,"",_xlfn.MAXIFS(Fact_Milestone!$C:$C,Fact_Milestone!$A:$A,$B195,Fact_Milestone!$B:$B,AL195)),"")))</f>
        <v/>
      </c>
      <c r="V195" s="37" t="str">
        <f aca="false">IF($A195="","",IFERROR(IF(VLOOKUP($C195,Dim_Fund!$A:$AI,35,0)&gt;0,$B195+VLOOKUP($C195,Dim_Fund!$A:$AI,35,0)/24,""),""))</f>
        <v/>
      </c>
      <c r="W195" s="37" t="str">
        <f aca="false">IF($A195="","",F195)</f>
        <v/>
      </c>
      <c r="X195" s="37" t="str">
        <f aca="false">IF($A195="","",IF(E195="Client",H195,G195))</f>
        <v/>
      </c>
      <c r="Y195" s="37" t="str">
        <f aca="false">IF($A195="","",I195)</f>
        <v/>
      </c>
      <c r="Z195" s="37" t="str">
        <f aca="false">IF($A195="","",IFERROR(W195-R195/1440,""))</f>
        <v/>
      </c>
      <c r="AA195" s="38" t="str">
        <f aca="false">IF($A195="","",IF(OR(U195="",V195=""),"",ROUND((V195-U195)*1440,0)))</f>
        <v/>
      </c>
      <c r="AB195" s="38" t="str">
        <f aca="false">IF($A195="","",IF(U195="","",ROUND((W195-U195)*1440,0)))</f>
        <v/>
      </c>
      <c r="AC195" s="38" t="str">
        <f aca="false">IF($A195="","",IF(AB195="","",MAX(0,AB195)))</f>
        <v/>
      </c>
      <c r="AD195" s="38" t="str">
        <f aca="false">IF($A195="","",IFERROR(ROUND((X195-W195)*1440,0),""))</f>
        <v/>
      </c>
      <c r="AE195" s="38" t="str">
        <f aca="false">IF($A195="","",IF(E195="Client","n/a",IFERROR(ROUND((H195-G195)*1440,0),"")))</f>
        <v/>
      </c>
      <c r="AF195" s="38" t="str">
        <f aca="false">IF($A195="","",IFERROR(ROUND((Y195-H195)*1440,0),""))</f>
        <v/>
      </c>
      <c r="AG195" s="38" t="str">
        <f aca="false">IF($A195="","",IFERROR(ROUND((H195-F195)*1440,0),""))</f>
        <v/>
      </c>
      <c r="AH195" s="38" t="str">
        <f aca="false">IF($A195="","",IFERROR(ROUND((Y195-V195)*1440,0),""))</f>
        <v/>
      </c>
      <c r="AI195" s="4" t="str">
        <f aca="false">IF($A195="","",IF(AH195="","",IF(AH195&gt;0,"Yes","No")))</f>
        <v/>
      </c>
      <c r="AJ195" s="4" t="str">
        <f aca="false">IF($A195="","",IF(AI195&lt;&gt;"Yes","On time",IF(N(AC195)&gt;=MAX(N(AF195),N(K195)),"Wait for analyst",IF(N(AF195)&gt;=N(K195),"External sign-off","Rework"))))</f>
        <v/>
      </c>
      <c r="AK195" s="4" t="str">
        <f aca="false">IF($A195="","",IF(OR(F195="",Y195="",ISNA(MATCH(L195,Dim_Analyst!$A:$A,0))),"CHECK","OK"))</f>
        <v/>
      </c>
      <c r="AL195" s="4" t="str">
        <f aca="false">IF($A195="","",IFERROR(VLOOKUP($C195,Dim_Fund!$A:$U,21,0),""))</f>
        <v/>
      </c>
      <c r="AM195" s="4" t="str">
        <f aca="false">IF($A195="","",IF($U195="","",IF($U195&gt;$B195+IFERROR(VLOOKUP($C195,Dim_Fund!$A:$AH,34,0),0)/24,"Yes","No")))</f>
        <v/>
      </c>
      <c r="AN195" s="22" t="str">
        <f aca="false">IF($A195="","",IFERROR(VLOOKUP($C195,Dim_Fund!$A:$AH,34,0),""))</f>
        <v/>
      </c>
      <c r="AO195" s="22" t="str">
        <f aca="false">IF($A195="","",IF($AL195="","",IFERROR(FLOOR(IF(COUNTIFS(Fact_Milestone!$A:$A,$B195,Fact_Milestone!$B:$B,$AL195,Fact_Milestone!$F:$F,"&gt;0")&gt;0,_xlfn.MINIFS(Fact_Milestone!$F:$F,Fact_Milestone!$A:$A,$B195,Fact_Milestone!$B:$B,$AL195,Fact_Milestone!$F:$F,"&gt;0"),VLOOKUP($AL195,Dim_TOP!$A:$E,5,0)),0.5),"")))</f>
        <v/>
      </c>
      <c r="AP195" s="22" t="str">
        <f aca="false">IF($A195="","",IF($U195="","",ROUND(($U195-INT($U195))*24,4)))</f>
        <v/>
      </c>
      <c r="AQ195" s="22" t="str">
        <f aca="false">IF($A195="","",IF($W195="","",ROUND(($W195-INT($W195))*24,4)))</f>
        <v/>
      </c>
      <c r="AR195" s="22" t="str">
        <f aca="false">IF($A195="","",IF($X195="","",ROUND(($X195-INT($X195))*24,4)))</f>
        <v/>
      </c>
      <c r="AS195" s="38" t="str">
        <f aca="false">IF($A195="","",IF(OR($AN195="",$V195="",$S195="",$T195=""),"",ROUND(($V195-($B195+$AN195/24))*1440-$S195-$T195,0)))</f>
        <v/>
      </c>
      <c r="AT195" s="38" t="str">
        <f aca="false">IF($A195="","",IF(OR($AN195="",$U195=""),"",ROUND(($U195-($B195+$AN195/24))*1440,0)))</f>
        <v/>
      </c>
      <c r="AU195" s="38" t="str">
        <f aca="false">IF($A195="","",IF(OR($AD195="",$S195=""),"",ROUND($AD195-$S195,0)))</f>
        <v/>
      </c>
      <c r="AV195" s="38" t="str">
        <f aca="false">IF($A195="","",N($AE195))</f>
        <v/>
      </c>
      <c r="AW195" s="38" t="str">
        <f aca="false">IF($A195="","",IF(OR($AF195="",$T195=""),"",$AF195-$T195))</f>
        <v/>
      </c>
      <c r="AX195" s="38" t="str">
        <f aca="false">IF($A195="","",IF(COUNT($AT195,$AB195,$AU195,$AW195,$AS195,$AH195)&lt;6,"",ROUND($AT195+$AB195+$AU195+$AV195+$AW195-$AS195-$AH195,0)))</f>
        <v/>
      </c>
      <c r="AY195" s="4" t="str">
        <f aca="false">IF($A195="","",IF($AX195="","No",IF(ABS($AX195)&lt;=2,"Yes","No")))</f>
        <v/>
      </c>
      <c r="AZ195" s="4" t="str">
        <f aca="false">IF($A195="","",IF($AI195&lt;&gt;"Yes","n/a",IF(OR($AA195="",$S195="",$T195=""),"Unknown",IF($AA195&lt;$S195+$T195,"Lost on arrival","Lost after arrival"))))</f>
        <v/>
      </c>
      <c r="BA195" s="10" t="str">
        <f aca="false">IF($A195="","",IFERROR(VLOOKUP($C195,Dim_Fund!$A:$D,4,0),""))</f>
        <v/>
      </c>
      <c r="BB195" s="10" t="str">
        <f aca="false">IF($A195="","",IF($AL195="","",IF(COUNTIFS(Fact_Milestone!$A:$A,$B195,Fact_Milestone!$B:$B,$AL195,Fact_Milestone!$I:$I,"No")&gt;0,"No",IF(COUNTIFS(Fact_Milestone!$A:$A,$B195,Fact_Milestone!$B:$B,$AL195,Fact_Milestone!$I:$I,"Yes")&gt;0,"Yes",""))))</f>
        <v/>
      </c>
      <c r="BC195" s="45" t="str">
        <f aca="false">IF($A195="","",IF(OR($L195="",$W195=""),"",IF(COUNTIFS($L:$L,$L195,$B:$B,$B195,$W:$W,"&lt;"&amp;$W195)=0,"",_xlfn.MAXIFS($W:$W,$L:$L,$L195,$B:$B,$B195,$W:$W,"&lt;"&amp;$W195))))</f>
        <v/>
      </c>
      <c r="BD195" s="39" t="str">
        <f aca="false">IF($A195="","",IF($AC195="","",IF(OR($L195="",$AC195=0),0,MIN($AC195,ROUND(ROUND(1440*SUMPRODUCT(($L$2:INDEX($L:$L,COUNTA($C:$C))=$L195)*($B$2:INDEX($B:$B,COUNTA($C:$C))=$B195)*(ROW($L$2:INDEX($L:$L,COUNTA($C:$C)))&lt;&gt;ROW())*((((($W195+$BT$2:INDEX($BT:$BT,COUNTA($C:$C))-ABS($W195-$BT$2:INDEX($BT:$BT,COUNTA($C:$C))))/2)-(($U195+$BS$2:INDEX($BS:$BS,COUNTA($C:$C))+ABS($U195-$BS$2:INDEX($BS:$BS,COUNTA($C:$C))))/2))+ABS(((($W195+$BT$2:INDEX($BT:$BT,COUNTA($C:$C))-ABS($W195-$BT$2:INDEX($BT:$BT,COUNTA($C:$C))))/2)-(($U195+$BS$2:INDEX($BS:$BS,COUNTA($C:$C))+ABS($U195-$BS$2:INDEX($BS:$BS,COUNTA($C:$C))))/2))))/2)),4),0)))))</f>
        <v/>
      </c>
      <c r="BE195" s="39" t="str">
        <f aca="false">IF($A195="","",IF($AC195="","",ROUND(MIN($AC195-$BD195,N($R195)),0)))</f>
        <v/>
      </c>
      <c r="BF195" s="10" t="str">
        <f aca="false">IF($A195="","",IFERROR(VLOOKUP($C195,Dim_Fund!$A:$BD,56,0),""))</f>
        <v/>
      </c>
      <c r="BG195" s="10" t="str">
        <f aca="false">IF($A195="","",IFERROR(VLOOKUP($C195,Dim_Fund!$A:$BH,60,0),""))</f>
        <v/>
      </c>
      <c r="BH195" s="10" t="str">
        <f aca="false">IF($A195="","",IF($AI195&lt;&gt;"Yes","Not breached",IF($AM195="Yes","Pricing late",IF($BG195="Thin custody slack","Thin custody slack",IF($BF195="Yes","Broker-dependent","None of these")))))</f>
        <v/>
      </c>
      <c r="BI195" s="23" t="str">
        <f aca="false">IF($A195="","",IFERROR(IF(VLOOKUP($C195,Dim_Fund!$A:$AI,35,0)&gt;0,VLOOKUP($C195,Dim_Fund!$A:$AI,35,0),""),""))</f>
        <v/>
      </c>
      <c r="BJ195" s="10" t="str">
        <f aca="false">IF($A195="","",$C195&amp;IF($E195="Client","*",""))</f>
        <v/>
      </c>
      <c r="BK195" s="39" t="str">
        <f aca="false">IF($A195="","",IFERROR(ROUND(($Y195-$X195)*1440,0),""))</f>
        <v/>
      </c>
      <c r="BL195" s="39" t="str">
        <f aca="false">IF($A195="","",IF($AH195="","",-$AH195))</f>
        <v/>
      </c>
      <c r="BM195" s="46" t="str">
        <f aca="false">IF($A195="","",IF($AQ195="","",IF($AP195="",$AQ195,MIN($AP195,$AQ195))))</f>
        <v/>
      </c>
      <c r="BN195" s="46" t="str">
        <f aca="false">IF($A195="","",IF($BM195="","",ROUND(N($AC195)/60,4)))</f>
        <v/>
      </c>
      <c r="BO195" s="46" t="str">
        <f aca="false">IF($A195="","",IF(OR($BM195="",$AD195=""),"",ROUND($AD195/60,4)))</f>
        <v/>
      </c>
      <c r="BP195" s="46" t="str">
        <f aca="false">IF($A195="","",IF($BM195="","",ROUND(N($AE195)/60,4)))</f>
        <v/>
      </c>
      <c r="BQ195" s="46" t="str">
        <f aca="false">IF($A195="","",IF(OR($BM195="",$AF195=""),"",ROUND($AF195/60,4)))</f>
        <v/>
      </c>
      <c r="BR195" s="39" t="str">
        <f aca="false">IF($A195="","",IF($AC195="","",$AC195-$BD195-$BE195))</f>
        <v/>
      </c>
      <c r="BS195" s="45" t="str">
        <f aca="false">IF($A195="","",IF(AND(ISNUMBER($Z195),ISNUMBER($W195)),$Z195,0))</f>
        <v/>
      </c>
      <c r="BT195" s="45" t="str">
        <f aca="false">IF($A195="","",IF(ISNUMBER($W195),$W195,0))</f>
        <v/>
      </c>
      <c r="BU195" s="23" t="str">
        <f aca="false">IF($A195="","",IF(ISNUMBER($W195),ROUND(($W195-$B195)*24,4),""))</f>
        <v/>
      </c>
      <c r="BV195" s="23" t="str">
        <f aca="false">IF($A195="","",IF(ISNUMBER($X195),ROUND(($X195-$B195)*24,4),""))</f>
        <v/>
      </c>
      <c r="BW195" s="10" t="str">
        <f aca="false">IF($A195="","",IF(NOT(ISNUMBER($W195)),"Missing Calculated",IF(NOT(ISNUMBER($X195)),IF($E195="Client","Missing FA signed off","Missing Controlled"),IF($X195&lt;$W195,"End before start","OK"))))</f>
        <v/>
      </c>
      <c r="BX195" s="23" t="str">
        <f aca="false">IF($A195="","",IF(NOT(ISNUMBER($Z195)),"",ROUND((IF(ISNUMBER($U195),MIN($U195,$Z195),$Z195)-$B195)*24,4)))</f>
        <v/>
      </c>
      <c r="BY195" s="23" t="str">
        <f aca="false">IF($A195="","",IF(ISNUMBER($Z195),ROUND(($Z195-$B195)*24,4),""))</f>
        <v/>
      </c>
      <c r="BZ195" s="23" t="str">
        <f aca="false">IF($A195="","",IF(AND(ISNUMBER($W195),ISNUMBER($S195)),ROUND(($W195+$S195/1440-$B195)*24,4),""))</f>
        <v/>
      </c>
    </row>
    <row r="196" customFormat="false" ht="15" hidden="false" customHeight="true" outlineLevel="0" collapsed="false">
      <c r="A196" s="47"/>
      <c r="B196" s="47"/>
      <c r="D196" s="4" t="str">
        <f aca="false">IF($A196="","",$B196-$A196)</f>
        <v/>
      </c>
      <c r="E196" s="4" t="str">
        <f aca="false">IF($A196="","",IFERROR(VLOOKUP($C196,Dim_Fund!$A:$X,24,0),""))</f>
        <v/>
      </c>
      <c r="F196" s="37" t="str">
        <f aca="false">IF($A196="","",IF(COUNTIFS(Status_Log!$A:$A,$A196,Status_Log!$B:$B,$B196,Status_Log!$C:$C,$C196,Status_Log!$D:$D,"Changed to the status of Calculated")=0,"",_xlfn.MINIFS(Status_Log!$E:$E,Status_Log!$A:$A,$A196,Status_Log!$B:$B,$B196,Status_Log!$C:$C,$C196,Status_Log!$D:$D,"Changed to the status of Calculated")))</f>
        <v/>
      </c>
      <c r="G196" s="37" t="str">
        <f aca="false">IF($A196="","",IF(COUNTIFS(Status_Log!$A:$A,$A196,Status_Log!$B:$B,$B196,Status_Log!$C:$C,$C196,Status_Log!$D:$D,"Changed to the status of Controlled")=0,"",_xlfn.MAXIFS(Status_Log!$E:$E,Status_Log!$A:$A,$A196,Status_Log!$B:$B,$B196,Status_Log!$C:$C,$C196,Status_Log!$D:$D,"Changed to the status of Controlled")))</f>
        <v/>
      </c>
      <c r="H196" s="37" t="str">
        <f aca="false">IF($A196="","",IF(COUNTIFS(Status_Log!$A:$A,$A196,Status_Log!$B:$B,$B196,Status_Log!$C:$C,$C196,Status_Log!$D:$D,"Changed to the status of Fund accounting signed off")=0,"",_xlfn.MAXIFS(Status_Log!$E:$E,Status_Log!$A:$A,$A196,Status_Log!$B:$B,$B196,Status_Log!$C:$C,$C196,Status_Log!$D:$D,"Changed to the status of Fund accounting signed off")))</f>
        <v/>
      </c>
      <c r="I196" s="37" t="str">
        <f aca="false">IF($A196="","",IF(COUNTIFS(Status_Log!$A:$A,$A196,Status_Log!$B:$B,$B196,Status_Log!$C:$C,$C196,Status_Log!$D:$D,"Changed to the status of signed off")=0,"",_xlfn.MAXIFS(Status_Log!$E:$E,Status_Log!$A:$A,$A196,Status_Log!$B:$B,$B196,Status_Log!$C:$C,$C196,Status_Log!$D:$D,"Changed to the status of signed off")))</f>
        <v/>
      </c>
      <c r="J196" s="4" t="str">
        <f aca="false">IF($A196="","",COUNTIFS(Status_Log!$A:$A,$A196,Status_Log!$B:$B,$B196,Status_Log!$C:$C,$C196,Status_Log!$D:$D,"Changed to the status of Calculated"))</f>
        <v/>
      </c>
      <c r="K196" s="38" t="str">
        <f aca="false">IF($A196="","",IF(J196&lt;=1,0,ROUND((_xlfn.MAXIFS(Status_Log!$E:$E,Status_Log!$A:$A,$A196,Status_Log!$B:$B,$B196,Status_Log!$C:$C,$C196,Status_Log!$D:$D,"Changed to the status of Calculated")-F196)*1440,0)))</f>
        <v/>
      </c>
      <c r="L196" s="4" t="str">
        <f aca="false">IF($A196="","",IFERROR(INDEX(Status_Log!$F:$F,MATCH($A196&amp;"|"&amp;$B196&amp;"|"&amp;$C196&amp;"|Changed to the status of Calculated|"&amp;TEXT(_xlfn.MAXIFS(Status_Log!$E:$E,Status_Log!$A:$A,$A196,Status_Log!$B:$B,$B196,Status_Log!$C:$C,$C196,Status_Log!$D:$D,"Changed to the status of Calculated"),"0.000000"),Status_Log!$H:$H,0)),""))</f>
        <v/>
      </c>
      <c r="M196" s="4" t="str">
        <f aca="false">IF($A196="","",IF(E196="Client","n/a — no control step",IFERROR(INDEX(Status_Log!$F:$F,MATCH($A196&amp;"|"&amp;$B196&amp;"|"&amp;$C196&amp;"|Changed to the status of Controlled|"&amp;TEXT(_xlfn.MAXIFS(Status_Log!$E:$E,Status_Log!$A:$A,$A196,Status_Log!$B:$B,$B196,Status_Log!$C:$C,$C196,Status_Log!$D:$D,"Changed to the status of Controlled"),"0.000000"),Status_Log!$H:$H,0)),"")))</f>
        <v/>
      </c>
      <c r="N196" s="4" t="str">
        <f aca="false">IF($A196="","",IFERROR(VLOOKUP($C196,Dim_Fund!$A:$G,7,0),""))</f>
        <v/>
      </c>
      <c r="O196" s="4" t="str">
        <f aca="false">IF($A196="","",IF(L196=N196,"No","Yes"))</f>
        <v/>
      </c>
      <c r="P196" s="4" t="str">
        <f aca="false">IF($A196="","",IF(E196="Client","n/a",IF(L196=M196,"YES — four-eyes breach","No")))</f>
        <v/>
      </c>
      <c r="Q196" s="38" t="str">
        <f aca="false">IF($A196="","",IFERROR(VLOOKUP($C196,Dim_Fund!$A:$AB,28,0),""))</f>
        <v/>
      </c>
      <c r="R196" s="38" t="str">
        <f aca="false">IF($A196="","",IFERROR(VLOOKUP($C196,Dim_Fund!$A:$AC,29,0),""))</f>
        <v/>
      </c>
      <c r="S196" s="38" t="str">
        <f aca="false">IF($A196="","",IFERROR(VLOOKUP($C196,Dim_Fund!$A:$AD,30,0),""))</f>
        <v/>
      </c>
      <c r="T196" s="38" t="str">
        <f aca="false">IF($A196="","",IFERROR(VLOOKUP($C196,Dim_Fund!$A:$AL,38,0),""))</f>
        <v/>
      </c>
      <c r="U196" s="37" t="str">
        <f aca="false">IF($A196="","",IF(AL196="","",IFERROR(IF(COUNTIFS(Fact_Milestone!$A:$A,$B196,Fact_Milestone!$B:$B,AL196)=0,"",_xlfn.MAXIFS(Fact_Milestone!$C:$C,Fact_Milestone!$A:$A,$B196,Fact_Milestone!$B:$B,AL196)),"")))</f>
        <v/>
      </c>
      <c r="V196" s="37" t="str">
        <f aca="false">IF($A196="","",IFERROR(IF(VLOOKUP($C196,Dim_Fund!$A:$AI,35,0)&gt;0,$B196+VLOOKUP($C196,Dim_Fund!$A:$AI,35,0)/24,""),""))</f>
        <v/>
      </c>
      <c r="W196" s="37" t="str">
        <f aca="false">IF($A196="","",F196)</f>
        <v/>
      </c>
      <c r="X196" s="37" t="str">
        <f aca="false">IF($A196="","",IF(E196="Client",H196,G196))</f>
        <v/>
      </c>
      <c r="Y196" s="37" t="str">
        <f aca="false">IF($A196="","",I196)</f>
        <v/>
      </c>
      <c r="Z196" s="37" t="str">
        <f aca="false">IF($A196="","",IFERROR(W196-R196/1440,""))</f>
        <v/>
      </c>
      <c r="AA196" s="38" t="str">
        <f aca="false">IF($A196="","",IF(OR(U196="",V196=""),"",ROUND((V196-U196)*1440,0)))</f>
        <v/>
      </c>
      <c r="AB196" s="38" t="str">
        <f aca="false">IF($A196="","",IF(U196="","",ROUND((W196-U196)*1440,0)))</f>
        <v/>
      </c>
      <c r="AC196" s="38" t="str">
        <f aca="false">IF($A196="","",IF(AB196="","",MAX(0,AB196)))</f>
        <v/>
      </c>
      <c r="AD196" s="38" t="str">
        <f aca="false">IF($A196="","",IFERROR(ROUND((X196-W196)*1440,0),""))</f>
        <v/>
      </c>
      <c r="AE196" s="38" t="str">
        <f aca="false">IF($A196="","",IF(E196="Client","n/a",IFERROR(ROUND((H196-G196)*1440,0),"")))</f>
        <v/>
      </c>
      <c r="AF196" s="38" t="str">
        <f aca="false">IF($A196="","",IFERROR(ROUND((Y196-H196)*1440,0),""))</f>
        <v/>
      </c>
      <c r="AG196" s="38" t="str">
        <f aca="false">IF($A196="","",IFERROR(ROUND((H196-F196)*1440,0),""))</f>
        <v/>
      </c>
      <c r="AH196" s="38" t="str">
        <f aca="false">IF($A196="","",IFERROR(ROUND((Y196-V196)*1440,0),""))</f>
        <v/>
      </c>
      <c r="AI196" s="4" t="str">
        <f aca="false">IF($A196="","",IF(AH196="","",IF(AH196&gt;0,"Yes","No")))</f>
        <v/>
      </c>
      <c r="AJ196" s="4" t="str">
        <f aca="false">IF($A196="","",IF(AI196&lt;&gt;"Yes","On time",IF(N(AC196)&gt;=MAX(N(AF196),N(K196)),"Wait for analyst",IF(N(AF196)&gt;=N(K196),"External sign-off","Rework"))))</f>
        <v/>
      </c>
      <c r="AK196" s="4" t="str">
        <f aca="false">IF($A196="","",IF(OR(F196="",Y196="",ISNA(MATCH(L196,Dim_Analyst!$A:$A,0))),"CHECK","OK"))</f>
        <v/>
      </c>
      <c r="AL196" s="4" t="str">
        <f aca="false">IF($A196="","",IFERROR(VLOOKUP($C196,Dim_Fund!$A:$U,21,0),""))</f>
        <v/>
      </c>
      <c r="AM196" s="4" t="str">
        <f aca="false">IF($A196="","",IF($U196="","",IF($U196&gt;$B196+IFERROR(VLOOKUP($C196,Dim_Fund!$A:$AH,34,0),0)/24,"Yes","No")))</f>
        <v/>
      </c>
      <c r="AN196" s="22" t="str">
        <f aca="false">IF($A196="","",IFERROR(VLOOKUP($C196,Dim_Fund!$A:$AH,34,0),""))</f>
        <v/>
      </c>
      <c r="AO196" s="22" t="str">
        <f aca="false">IF($A196="","",IF($AL196="","",IFERROR(FLOOR(IF(COUNTIFS(Fact_Milestone!$A:$A,$B196,Fact_Milestone!$B:$B,$AL196,Fact_Milestone!$F:$F,"&gt;0")&gt;0,_xlfn.MINIFS(Fact_Milestone!$F:$F,Fact_Milestone!$A:$A,$B196,Fact_Milestone!$B:$B,$AL196,Fact_Milestone!$F:$F,"&gt;0"),VLOOKUP($AL196,Dim_TOP!$A:$E,5,0)),0.5),"")))</f>
        <v/>
      </c>
      <c r="AP196" s="22" t="str">
        <f aca="false">IF($A196="","",IF($U196="","",ROUND(($U196-INT($U196))*24,4)))</f>
        <v/>
      </c>
      <c r="AQ196" s="22" t="str">
        <f aca="false">IF($A196="","",IF($W196="","",ROUND(($W196-INT($W196))*24,4)))</f>
        <v/>
      </c>
      <c r="AR196" s="22" t="str">
        <f aca="false">IF($A196="","",IF($X196="","",ROUND(($X196-INT($X196))*24,4)))</f>
        <v/>
      </c>
      <c r="AS196" s="38" t="str">
        <f aca="false">IF($A196="","",IF(OR($AN196="",$V196="",$S196="",$T196=""),"",ROUND(($V196-($B196+$AN196/24))*1440-$S196-$T196,0)))</f>
        <v/>
      </c>
      <c r="AT196" s="38" t="str">
        <f aca="false">IF($A196="","",IF(OR($AN196="",$U196=""),"",ROUND(($U196-($B196+$AN196/24))*1440,0)))</f>
        <v/>
      </c>
      <c r="AU196" s="38" t="str">
        <f aca="false">IF($A196="","",IF(OR($AD196="",$S196=""),"",ROUND($AD196-$S196,0)))</f>
        <v/>
      </c>
      <c r="AV196" s="38" t="str">
        <f aca="false">IF($A196="","",N($AE196))</f>
        <v/>
      </c>
      <c r="AW196" s="38" t="str">
        <f aca="false">IF($A196="","",IF(OR($AF196="",$T196=""),"",$AF196-$T196))</f>
        <v/>
      </c>
      <c r="AX196" s="38" t="str">
        <f aca="false">IF($A196="","",IF(COUNT($AT196,$AB196,$AU196,$AW196,$AS196,$AH196)&lt;6,"",ROUND($AT196+$AB196+$AU196+$AV196+$AW196-$AS196-$AH196,0)))</f>
        <v/>
      </c>
      <c r="AY196" s="4" t="str">
        <f aca="false">IF($A196="","",IF($AX196="","No",IF(ABS($AX196)&lt;=2,"Yes","No")))</f>
        <v/>
      </c>
      <c r="AZ196" s="4" t="str">
        <f aca="false">IF($A196="","",IF($AI196&lt;&gt;"Yes","n/a",IF(OR($AA196="",$S196="",$T196=""),"Unknown",IF($AA196&lt;$S196+$T196,"Lost on arrival","Lost after arrival"))))</f>
        <v/>
      </c>
      <c r="BA196" s="10" t="str">
        <f aca="false">IF($A196="","",IFERROR(VLOOKUP($C196,Dim_Fund!$A:$D,4,0),""))</f>
        <v/>
      </c>
      <c r="BB196" s="10" t="str">
        <f aca="false">IF($A196="","",IF($AL196="","",IF(COUNTIFS(Fact_Milestone!$A:$A,$B196,Fact_Milestone!$B:$B,$AL196,Fact_Milestone!$I:$I,"No")&gt;0,"No",IF(COUNTIFS(Fact_Milestone!$A:$A,$B196,Fact_Milestone!$B:$B,$AL196,Fact_Milestone!$I:$I,"Yes")&gt;0,"Yes",""))))</f>
        <v/>
      </c>
      <c r="BC196" s="45" t="str">
        <f aca="false">IF($A196="","",IF(OR($L196="",$W196=""),"",IF(COUNTIFS($L:$L,$L196,$B:$B,$B196,$W:$W,"&lt;"&amp;$W196)=0,"",_xlfn.MAXIFS($W:$W,$L:$L,$L196,$B:$B,$B196,$W:$W,"&lt;"&amp;$W196))))</f>
        <v/>
      </c>
      <c r="BD196" s="39" t="str">
        <f aca="false">IF($A196="","",IF($AC196="","",IF(OR($L196="",$AC196=0),0,MIN($AC196,ROUND(ROUND(1440*SUMPRODUCT(($L$2:INDEX($L:$L,COUNTA($C:$C))=$L196)*($B$2:INDEX($B:$B,COUNTA($C:$C))=$B196)*(ROW($L$2:INDEX($L:$L,COUNTA($C:$C)))&lt;&gt;ROW())*((((($W196+$BT$2:INDEX($BT:$BT,COUNTA($C:$C))-ABS($W196-$BT$2:INDEX($BT:$BT,COUNTA($C:$C))))/2)-(($U196+$BS$2:INDEX($BS:$BS,COUNTA($C:$C))+ABS($U196-$BS$2:INDEX($BS:$BS,COUNTA($C:$C))))/2))+ABS(((($W196+$BT$2:INDEX($BT:$BT,COUNTA($C:$C))-ABS($W196-$BT$2:INDEX($BT:$BT,COUNTA($C:$C))))/2)-(($U196+$BS$2:INDEX($BS:$BS,COUNTA($C:$C))+ABS($U196-$BS$2:INDEX($BS:$BS,COUNTA($C:$C))))/2))))/2)),4),0)))))</f>
        <v/>
      </c>
      <c r="BE196" s="39" t="str">
        <f aca="false">IF($A196="","",IF($AC196="","",ROUND(MIN($AC196-$BD196,N($R196)),0)))</f>
        <v/>
      </c>
      <c r="BF196" s="10" t="str">
        <f aca="false">IF($A196="","",IFERROR(VLOOKUP($C196,Dim_Fund!$A:$BD,56,0),""))</f>
        <v/>
      </c>
      <c r="BG196" s="10" t="str">
        <f aca="false">IF($A196="","",IFERROR(VLOOKUP($C196,Dim_Fund!$A:$BH,60,0),""))</f>
        <v/>
      </c>
      <c r="BH196" s="10" t="str">
        <f aca="false">IF($A196="","",IF($AI196&lt;&gt;"Yes","Not breached",IF($AM196="Yes","Pricing late",IF($BG196="Thin custody slack","Thin custody slack",IF($BF196="Yes","Broker-dependent","None of these")))))</f>
        <v/>
      </c>
      <c r="BI196" s="23" t="str">
        <f aca="false">IF($A196="","",IFERROR(IF(VLOOKUP($C196,Dim_Fund!$A:$AI,35,0)&gt;0,VLOOKUP($C196,Dim_Fund!$A:$AI,35,0),""),""))</f>
        <v/>
      </c>
      <c r="BJ196" s="10" t="str">
        <f aca="false">IF($A196="","",$C196&amp;IF($E196="Client","*",""))</f>
        <v/>
      </c>
      <c r="BK196" s="39" t="str">
        <f aca="false">IF($A196="","",IFERROR(ROUND(($Y196-$X196)*1440,0),""))</f>
        <v/>
      </c>
      <c r="BL196" s="39" t="str">
        <f aca="false">IF($A196="","",IF($AH196="","",-$AH196))</f>
        <v/>
      </c>
      <c r="BM196" s="46" t="str">
        <f aca="false">IF($A196="","",IF($AQ196="","",IF($AP196="",$AQ196,MIN($AP196,$AQ196))))</f>
        <v/>
      </c>
      <c r="BN196" s="46" t="str">
        <f aca="false">IF($A196="","",IF($BM196="","",ROUND(N($AC196)/60,4)))</f>
        <v/>
      </c>
      <c r="BO196" s="46" t="str">
        <f aca="false">IF($A196="","",IF(OR($BM196="",$AD196=""),"",ROUND($AD196/60,4)))</f>
        <v/>
      </c>
      <c r="BP196" s="46" t="str">
        <f aca="false">IF($A196="","",IF($BM196="","",ROUND(N($AE196)/60,4)))</f>
        <v/>
      </c>
      <c r="BQ196" s="46" t="str">
        <f aca="false">IF($A196="","",IF(OR($BM196="",$AF196=""),"",ROUND($AF196/60,4)))</f>
        <v/>
      </c>
      <c r="BR196" s="39" t="str">
        <f aca="false">IF($A196="","",IF($AC196="","",$AC196-$BD196-$BE196))</f>
        <v/>
      </c>
      <c r="BS196" s="45" t="str">
        <f aca="false">IF($A196="","",IF(AND(ISNUMBER($Z196),ISNUMBER($W196)),$Z196,0))</f>
        <v/>
      </c>
      <c r="BT196" s="45" t="str">
        <f aca="false">IF($A196="","",IF(ISNUMBER($W196),$W196,0))</f>
        <v/>
      </c>
      <c r="BU196" s="23" t="str">
        <f aca="false">IF($A196="","",IF(ISNUMBER($W196),ROUND(($W196-$B196)*24,4),""))</f>
        <v/>
      </c>
      <c r="BV196" s="23" t="str">
        <f aca="false">IF($A196="","",IF(ISNUMBER($X196),ROUND(($X196-$B196)*24,4),""))</f>
        <v/>
      </c>
      <c r="BW196" s="10" t="str">
        <f aca="false">IF($A196="","",IF(NOT(ISNUMBER($W196)),"Missing Calculated",IF(NOT(ISNUMBER($X196)),IF($E196="Client","Missing FA signed off","Missing Controlled"),IF($X196&lt;$W196,"End before start","OK"))))</f>
        <v/>
      </c>
      <c r="BX196" s="23" t="str">
        <f aca="false">IF($A196="","",IF(NOT(ISNUMBER($Z196)),"",ROUND((IF(ISNUMBER($U196),MIN($U196,$Z196),$Z196)-$B196)*24,4)))</f>
        <v/>
      </c>
      <c r="BY196" s="23" t="str">
        <f aca="false">IF($A196="","",IF(ISNUMBER($Z196),ROUND(($Z196-$B196)*24,4),""))</f>
        <v/>
      </c>
      <c r="BZ196" s="23" t="str">
        <f aca="false">IF($A196="","",IF(AND(ISNUMBER($W196),ISNUMBER($S196)),ROUND(($W196+$S196/1440-$B196)*24,4),""))</f>
        <v/>
      </c>
    </row>
    <row r="197" customFormat="false" ht="15" hidden="false" customHeight="true" outlineLevel="0" collapsed="false">
      <c r="A197" s="47"/>
      <c r="B197" s="47"/>
      <c r="D197" s="4" t="str">
        <f aca="false">IF($A197="","",$B197-$A197)</f>
        <v/>
      </c>
      <c r="E197" s="4" t="str">
        <f aca="false">IF($A197="","",IFERROR(VLOOKUP($C197,Dim_Fund!$A:$X,24,0),""))</f>
        <v/>
      </c>
      <c r="F197" s="37" t="str">
        <f aca="false">IF($A197="","",IF(COUNTIFS(Status_Log!$A:$A,$A197,Status_Log!$B:$B,$B197,Status_Log!$C:$C,$C197,Status_Log!$D:$D,"Changed to the status of Calculated")=0,"",_xlfn.MINIFS(Status_Log!$E:$E,Status_Log!$A:$A,$A197,Status_Log!$B:$B,$B197,Status_Log!$C:$C,$C197,Status_Log!$D:$D,"Changed to the status of Calculated")))</f>
        <v/>
      </c>
      <c r="G197" s="37" t="str">
        <f aca="false">IF($A197="","",IF(COUNTIFS(Status_Log!$A:$A,$A197,Status_Log!$B:$B,$B197,Status_Log!$C:$C,$C197,Status_Log!$D:$D,"Changed to the status of Controlled")=0,"",_xlfn.MAXIFS(Status_Log!$E:$E,Status_Log!$A:$A,$A197,Status_Log!$B:$B,$B197,Status_Log!$C:$C,$C197,Status_Log!$D:$D,"Changed to the status of Controlled")))</f>
        <v/>
      </c>
      <c r="H197" s="37" t="str">
        <f aca="false">IF($A197="","",IF(COUNTIFS(Status_Log!$A:$A,$A197,Status_Log!$B:$B,$B197,Status_Log!$C:$C,$C197,Status_Log!$D:$D,"Changed to the status of Fund accounting signed off")=0,"",_xlfn.MAXIFS(Status_Log!$E:$E,Status_Log!$A:$A,$A197,Status_Log!$B:$B,$B197,Status_Log!$C:$C,$C197,Status_Log!$D:$D,"Changed to the status of Fund accounting signed off")))</f>
        <v/>
      </c>
      <c r="I197" s="37" t="str">
        <f aca="false">IF($A197="","",IF(COUNTIFS(Status_Log!$A:$A,$A197,Status_Log!$B:$B,$B197,Status_Log!$C:$C,$C197,Status_Log!$D:$D,"Changed to the status of signed off")=0,"",_xlfn.MAXIFS(Status_Log!$E:$E,Status_Log!$A:$A,$A197,Status_Log!$B:$B,$B197,Status_Log!$C:$C,$C197,Status_Log!$D:$D,"Changed to the status of signed off")))</f>
        <v/>
      </c>
      <c r="J197" s="4" t="str">
        <f aca="false">IF($A197="","",COUNTIFS(Status_Log!$A:$A,$A197,Status_Log!$B:$B,$B197,Status_Log!$C:$C,$C197,Status_Log!$D:$D,"Changed to the status of Calculated"))</f>
        <v/>
      </c>
      <c r="K197" s="38" t="str">
        <f aca="false">IF($A197="","",IF(J197&lt;=1,0,ROUND((_xlfn.MAXIFS(Status_Log!$E:$E,Status_Log!$A:$A,$A197,Status_Log!$B:$B,$B197,Status_Log!$C:$C,$C197,Status_Log!$D:$D,"Changed to the status of Calculated")-F197)*1440,0)))</f>
        <v/>
      </c>
      <c r="L197" s="4" t="str">
        <f aca="false">IF($A197="","",IFERROR(INDEX(Status_Log!$F:$F,MATCH($A197&amp;"|"&amp;$B197&amp;"|"&amp;$C197&amp;"|Changed to the status of Calculated|"&amp;TEXT(_xlfn.MAXIFS(Status_Log!$E:$E,Status_Log!$A:$A,$A197,Status_Log!$B:$B,$B197,Status_Log!$C:$C,$C197,Status_Log!$D:$D,"Changed to the status of Calculated"),"0.000000"),Status_Log!$H:$H,0)),""))</f>
        <v/>
      </c>
      <c r="M197" s="4" t="str">
        <f aca="false">IF($A197="","",IF(E197="Client","n/a — no control step",IFERROR(INDEX(Status_Log!$F:$F,MATCH($A197&amp;"|"&amp;$B197&amp;"|"&amp;$C197&amp;"|Changed to the status of Controlled|"&amp;TEXT(_xlfn.MAXIFS(Status_Log!$E:$E,Status_Log!$A:$A,$A197,Status_Log!$B:$B,$B197,Status_Log!$C:$C,$C197,Status_Log!$D:$D,"Changed to the status of Controlled"),"0.000000"),Status_Log!$H:$H,0)),"")))</f>
        <v/>
      </c>
      <c r="N197" s="4" t="str">
        <f aca="false">IF($A197="","",IFERROR(VLOOKUP($C197,Dim_Fund!$A:$G,7,0),""))</f>
        <v/>
      </c>
      <c r="O197" s="4" t="str">
        <f aca="false">IF($A197="","",IF(L197=N197,"No","Yes"))</f>
        <v/>
      </c>
      <c r="P197" s="4" t="str">
        <f aca="false">IF($A197="","",IF(E197="Client","n/a",IF(L197=M197,"YES — four-eyes breach","No")))</f>
        <v/>
      </c>
      <c r="Q197" s="38" t="str">
        <f aca="false">IF($A197="","",IFERROR(VLOOKUP($C197,Dim_Fund!$A:$AB,28,0),""))</f>
        <v/>
      </c>
      <c r="R197" s="38" t="str">
        <f aca="false">IF($A197="","",IFERROR(VLOOKUP($C197,Dim_Fund!$A:$AC,29,0),""))</f>
        <v/>
      </c>
      <c r="S197" s="38" t="str">
        <f aca="false">IF($A197="","",IFERROR(VLOOKUP($C197,Dim_Fund!$A:$AD,30,0),""))</f>
        <v/>
      </c>
      <c r="T197" s="38" t="str">
        <f aca="false">IF($A197="","",IFERROR(VLOOKUP($C197,Dim_Fund!$A:$AL,38,0),""))</f>
        <v/>
      </c>
      <c r="U197" s="37" t="str">
        <f aca="false">IF($A197="","",IF(AL197="","",IFERROR(IF(COUNTIFS(Fact_Milestone!$A:$A,$B197,Fact_Milestone!$B:$B,AL197)=0,"",_xlfn.MAXIFS(Fact_Milestone!$C:$C,Fact_Milestone!$A:$A,$B197,Fact_Milestone!$B:$B,AL197)),"")))</f>
        <v/>
      </c>
      <c r="V197" s="37" t="str">
        <f aca="false">IF($A197="","",IFERROR(IF(VLOOKUP($C197,Dim_Fund!$A:$AI,35,0)&gt;0,$B197+VLOOKUP($C197,Dim_Fund!$A:$AI,35,0)/24,""),""))</f>
        <v/>
      </c>
      <c r="W197" s="37" t="str">
        <f aca="false">IF($A197="","",F197)</f>
        <v/>
      </c>
      <c r="X197" s="37" t="str">
        <f aca="false">IF($A197="","",IF(E197="Client",H197,G197))</f>
        <v/>
      </c>
      <c r="Y197" s="37" t="str">
        <f aca="false">IF($A197="","",I197)</f>
        <v/>
      </c>
      <c r="Z197" s="37" t="str">
        <f aca="false">IF($A197="","",IFERROR(W197-R197/1440,""))</f>
        <v/>
      </c>
      <c r="AA197" s="38" t="str">
        <f aca="false">IF($A197="","",IF(OR(U197="",V197=""),"",ROUND((V197-U197)*1440,0)))</f>
        <v/>
      </c>
      <c r="AB197" s="38" t="str">
        <f aca="false">IF($A197="","",IF(U197="","",ROUND((W197-U197)*1440,0)))</f>
        <v/>
      </c>
      <c r="AC197" s="38" t="str">
        <f aca="false">IF($A197="","",IF(AB197="","",MAX(0,AB197)))</f>
        <v/>
      </c>
      <c r="AD197" s="38" t="str">
        <f aca="false">IF($A197="","",IFERROR(ROUND((X197-W197)*1440,0),""))</f>
        <v/>
      </c>
      <c r="AE197" s="38" t="str">
        <f aca="false">IF($A197="","",IF(E197="Client","n/a",IFERROR(ROUND((H197-G197)*1440,0),"")))</f>
        <v/>
      </c>
      <c r="AF197" s="38" t="str">
        <f aca="false">IF($A197="","",IFERROR(ROUND((Y197-H197)*1440,0),""))</f>
        <v/>
      </c>
      <c r="AG197" s="38" t="str">
        <f aca="false">IF($A197="","",IFERROR(ROUND((H197-F197)*1440,0),""))</f>
        <v/>
      </c>
      <c r="AH197" s="38" t="str">
        <f aca="false">IF($A197="","",IFERROR(ROUND((Y197-V197)*1440,0),""))</f>
        <v/>
      </c>
      <c r="AI197" s="4" t="str">
        <f aca="false">IF($A197="","",IF(AH197="","",IF(AH197&gt;0,"Yes","No")))</f>
        <v/>
      </c>
      <c r="AJ197" s="4" t="str">
        <f aca="false">IF($A197="","",IF(AI197&lt;&gt;"Yes","On time",IF(N(AC197)&gt;=MAX(N(AF197),N(K197)),"Wait for analyst",IF(N(AF197)&gt;=N(K197),"External sign-off","Rework"))))</f>
        <v/>
      </c>
      <c r="AK197" s="4" t="str">
        <f aca="false">IF($A197="","",IF(OR(F197="",Y197="",ISNA(MATCH(L197,Dim_Analyst!$A:$A,0))),"CHECK","OK"))</f>
        <v/>
      </c>
      <c r="AL197" s="4" t="str">
        <f aca="false">IF($A197="","",IFERROR(VLOOKUP($C197,Dim_Fund!$A:$U,21,0),""))</f>
        <v/>
      </c>
      <c r="AM197" s="4" t="str">
        <f aca="false">IF($A197="","",IF($U197="","",IF($U197&gt;$B197+IFERROR(VLOOKUP($C197,Dim_Fund!$A:$AH,34,0),0)/24,"Yes","No")))</f>
        <v/>
      </c>
      <c r="AN197" s="22" t="str">
        <f aca="false">IF($A197="","",IFERROR(VLOOKUP($C197,Dim_Fund!$A:$AH,34,0),""))</f>
        <v/>
      </c>
      <c r="AO197" s="22" t="str">
        <f aca="false">IF($A197="","",IF($AL197="","",IFERROR(FLOOR(IF(COUNTIFS(Fact_Milestone!$A:$A,$B197,Fact_Milestone!$B:$B,$AL197,Fact_Milestone!$F:$F,"&gt;0")&gt;0,_xlfn.MINIFS(Fact_Milestone!$F:$F,Fact_Milestone!$A:$A,$B197,Fact_Milestone!$B:$B,$AL197,Fact_Milestone!$F:$F,"&gt;0"),VLOOKUP($AL197,Dim_TOP!$A:$E,5,0)),0.5),"")))</f>
        <v/>
      </c>
      <c r="AP197" s="22" t="str">
        <f aca="false">IF($A197="","",IF($U197="","",ROUND(($U197-INT($U197))*24,4)))</f>
        <v/>
      </c>
      <c r="AQ197" s="22" t="str">
        <f aca="false">IF($A197="","",IF($W197="","",ROUND(($W197-INT($W197))*24,4)))</f>
        <v/>
      </c>
      <c r="AR197" s="22" t="str">
        <f aca="false">IF($A197="","",IF($X197="","",ROUND(($X197-INT($X197))*24,4)))</f>
        <v/>
      </c>
      <c r="AS197" s="38" t="str">
        <f aca="false">IF($A197="","",IF(OR($AN197="",$V197="",$S197="",$T197=""),"",ROUND(($V197-($B197+$AN197/24))*1440-$S197-$T197,0)))</f>
        <v/>
      </c>
      <c r="AT197" s="38" t="str">
        <f aca="false">IF($A197="","",IF(OR($AN197="",$U197=""),"",ROUND(($U197-($B197+$AN197/24))*1440,0)))</f>
        <v/>
      </c>
      <c r="AU197" s="38" t="str">
        <f aca="false">IF($A197="","",IF(OR($AD197="",$S197=""),"",ROUND($AD197-$S197,0)))</f>
        <v/>
      </c>
      <c r="AV197" s="38" t="str">
        <f aca="false">IF($A197="","",N($AE197))</f>
        <v/>
      </c>
      <c r="AW197" s="38" t="str">
        <f aca="false">IF($A197="","",IF(OR($AF197="",$T197=""),"",$AF197-$T197))</f>
        <v/>
      </c>
      <c r="AX197" s="38" t="str">
        <f aca="false">IF($A197="","",IF(COUNT($AT197,$AB197,$AU197,$AW197,$AS197,$AH197)&lt;6,"",ROUND($AT197+$AB197+$AU197+$AV197+$AW197-$AS197-$AH197,0)))</f>
        <v/>
      </c>
      <c r="AY197" s="4" t="str">
        <f aca="false">IF($A197="","",IF($AX197="","No",IF(ABS($AX197)&lt;=2,"Yes","No")))</f>
        <v/>
      </c>
      <c r="AZ197" s="4" t="str">
        <f aca="false">IF($A197="","",IF($AI197&lt;&gt;"Yes","n/a",IF(OR($AA197="",$S197="",$T197=""),"Unknown",IF($AA197&lt;$S197+$T197,"Lost on arrival","Lost after arrival"))))</f>
        <v/>
      </c>
      <c r="BA197" s="10" t="str">
        <f aca="false">IF($A197="","",IFERROR(VLOOKUP($C197,Dim_Fund!$A:$D,4,0),""))</f>
        <v/>
      </c>
      <c r="BB197" s="10" t="str">
        <f aca="false">IF($A197="","",IF($AL197="","",IF(COUNTIFS(Fact_Milestone!$A:$A,$B197,Fact_Milestone!$B:$B,$AL197,Fact_Milestone!$I:$I,"No")&gt;0,"No",IF(COUNTIFS(Fact_Milestone!$A:$A,$B197,Fact_Milestone!$B:$B,$AL197,Fact_Milestone!$I:$I,"Yes")&gt;0,"Yes",""))))</f>
        <v/>
      </c>
      <c r="BC197" s="45" t="str">
        <f aca="false">IF($A197="","",IF(OR($L197="",$W197=""),"",IF(COUNTIFS($L:$L,$L197,$B:$B,$B197,$W:$W,"&lt;"&amp;$W197)=0,"",_xlfn.MAXIFS($W:$W,$L:$L,$L197,$B:$B,$B197,$W:$W,"&lt;"&amp;$W197))))</f>
        <v/>
      </c>
      <c r="BD197" s="39" t="str">
        <f aca="false">IF($A197="","",IF($AC197="","",IF(OR($L197="",$AC197=0),0,MIN($AC197,ROUND(ROUND(1440*SUMPRODUCT(($L$2:INDEX($L:$L,COUNTA($C:$C))=$L197)*($B$2:INDEX($B:$B,COUNTA($C:$C))=$B197)*(ROW($L$2:INDEX($L:$L,COUNTA($C:$C)))&lt;&gt;ROW())*((((($W197+$BT$2:INDEX($BT:$BT,COUNTA($C:$C))-ABS($W197-$BT$2:INDEX($BT:$BT,COUNTA($C:$C))))/2)-(($U197+$BS$2:INDEX($BS:$BS,COUNTA($C:$C))+ABS($U197-$BS$2:INDEX($BS:$BS,COUNTA($C:$C))))/2))+ABS(((($W197+$BT$2:INDEX($BT:$BT,COUNTA($C:$C))-ABS($W197-$BT$2:INDEX($BT:$BT,COUNTA($C:$C))))/2)-(($U197+$BS$2:INDEX($BS:$BS,COUNTA($C:$C))+ABS($U197-$BS$2:INDEX($BS:$BS,COUNTA($C:$C))))/2))))/2)),4),0)))))</f>
        <v/>
      </c>
      <c r="BE197" s="39" t="str">
        <f aca="false">IF($A197="","",IF($AC197="","",ROUND(MIN($AC197-$BD197,N($R197)),0)))</f>
        <v/>
      </c>
      <c r="BF197" s="10" t="str">
        <f aca="false">IF($A197="","",IFERROR(VLOOKUP($C197,Dim_Fund!$A:$BD,56,0),""))</f>
        <v/>
      </c>
      <c r="BG197" s="10" t="str">
        <f aca="false">IF($A197="","",IFERROR(VLOOKUP($C197,Dim_Fund!$A:$BH,60,0),""))</f>
        <v/>
      </c>
      <c r="BH197" s="10" t="str">
        <f aca="false">IF($A197="","",IF($AI197&lt;&gt;"Yes","Not breached",IF($AM197="Yes","Pricing late",IF($BG197="Thin custody slack","Thin custody slack",IF($BF197="Yes","Broker-dependent","None of these")))))</f>
        <v/>
      </c>
      <c r="BI197" s="23" t="str">
        <f aca="false">IF($A197="","",IFERROR(IF(VLOOKUP($C197,Dim_Fund!$A:$AI,35,0)&gt;0,VLOOKUP($C197,Dim_Fund!$A:$AI,35,0),""),""))</f>
        <v/>
      </c>
      <c r="BJ197" s="10" t="str">
        <f aca="false">IF($A197="","",$C197&amp;IF($E197="Client","*",""))</f>
        <v/>
      </c>
      <c r="BK197" s="39" t="str">
        <f aca="false">IF($A197="","",IFERROR(ROUND(($Y197-$X197)*1440,0),""))</f>
        <v/>
      </c>
      <c r="BL197" s="39" t="str">
        <f aca="false">IF($A197="","",IF($AH197="","",-$AH197))</f>
        <v/>
      </c>
      <c r="BM197" s="46" t="str">
        <f aca="false">IF($A197="","",IF($AQ197="","",IF($AP197="",$AQ197,MIN($AP197,$AQ197))))</f>
        <v/>
      </c>
      <c r="BN197" s="46" t="str">
        <f aca="false">IF($A197="","",IF($BM197="","",ROUND(N($AC197)/60,4)))</f>
        <v/>
      </c>
      <c r="BO197" s="46" t="str">
        <f aca="false">IF($A197="","",IF(OR($BM197="",$AD197=""),"",ROUND($AD197/60,4)))</f>
        <v/>
      </c>
      <c r="BP197" s="46" t="str">
        <f aca="false">IF($A197="","",IF($BM197="","",ROUND(N($AE197)/60,4)))</f>
        <v/>
      </c>
      <c r="BQ197" s="46" t="str">
        <f aca="false">IF($A197="","",IF(OR($BM197="",$AF197=""),"",ROUND($AF197/60,4)))</f>
        <v/>
      </c>
      <c r="BR197" s="39" t="str">
        <f aca="false">IF($A197="","",IF($AC197="","",$AC197-$BD197-$BE197))</f>
        <v/>
      </c>
      <c r="BS197" s="45" t="str">
        <f aca="false">IF($A197="","",IF(AND(ISNUMBER($Z197),ISNUMBER($W197)),$Z197,0))</f>
        <v/>
      </c>
      <c r="BT197" s="45" t="str">
        <f aca="false">IF($A197="","",IF(ISNUMBER($W197),$W197,0))</f>
        <v/>
      </c>
      <c r="BU197" s="23" t="str">
        <f aca="false">IF($A197="","",IF(ISNUMBER($W197),ROUND(($W197-$B197)*24,4),""))</f>
        <v/>
      </c>
      <c r="BV197" s="23" t="str">
        <f aca="false">IF($A197="","",IF(ISNUMBER($X197),ROUND(($X197-$B197)*24,4),""))</f>
        <v/>
      </c>
      <c r="BW197" s="10" t="str">
        <f aca="false">IF($A197="","",IF(NOT(ISNUMBER($W197)),"Missing Calculated",IF(NOT(ISNUMBER($X197)),IF($E197="Client","Missing FA signed off","Missing Controlled"),IF($X197&lt;$W197,"End before start","OK"))))</f>
        <v/>
      </c>
      <c r="BX197" s="23" t="str">
        <f aca="false">IF($A197="","",IF(NOT(ISNUMBER($Z197)),"",ROUND((IF(ISNUMBER($U197),MIN($U197,$Z197),$Z197)-$B197)*24,4)))</f>
        <v/>
      </c>
      <c r="BY197" s="23" t="str">
        <f aca="false">IF($A197="","",IF(ISNUMBER($Z197),ROUND(($Z197-$B197)*24,4),""))</f>
        <v/>
      </c>
      <c r="BZ197" s="23" t="str">
        <f aca="false">IF($A197="","",IF(AND(ISNUMBER($W197),ISNUMBER($S197)),ROUND(($W197+$S197/1440-$B197)*24,4),""))</f>
        <v/>
      </c>
    </row>
    <row r="198" customFormat="false" ht="15" hidden="false" customHeight="true" outlineLevel="0" collapsed="false">
      <c r="A198" s="47"/>
      <c r="B198" s="47"/>
      <c r="D198" s="4" t="str">
        <f aca="false">IF($A198="","",$B198-$A198)</f>
        <v/>
      </c>
      <c r="E198" s="4" t="str">
        <f aca="false">IF($A198="","",IFERROR(VLOOKUP($C198,Dim_Fund!$A:$X,24,0),""))</f>
        <v/>
      </c>
      <c r="F198" s="37" t="str">
        <f aca="false">IF($A198="","",IF(COUNTIFS(Status_Log!$A:$A,$A198,Status_Log!$B:$B,$B198,Status_Log!$C:$C,$C198,Status_Log!$D:$D,"Changed to the status of Calculated")=0,"",_xlfn.MINIFS(Status_Log!$E:$E,Status_Log!$A:$A,$A198,Status_Log!$B:$B,$B198,Status_Log!$C:$C,$C198,Status_Log!$D:$D,"Changed to the status of Calculated")))</f>
        <v/>
      </c>
      <c r="G198" s="37" t="str">
        <f aca="false">IF($A198="","",IF(COUNTIFS(Status_Log!$A:$A,$A198,Status_Log!$B:$B,$B198,Status_Log!$C:$C,$C198,Status_Log!$D:$D,"Changed to the status of Controlled")=0,"",_xlfn.MAXIFS(Status_Log!$E:$E,Status_Log!$A:$A,$A198,Status_Log!$B:$B,$B198,Status_Log!$C:$C,$C198,Status_Log!$D:$D,"Changed to the status of Controlled")))</f>
        <v/>
      </c>
      <c r="H198" s="37" t="str">
        <f aca="false">IF($A198="","",IF(COUNTIFS(Status_Log!$A:$A,$A198,Status_Log!$B:$B,$B198,Status_Log!$C:$C,$C198,Status_Log!$D:$D,"Changed to the status of Fund accounting signed off")=0,"",_xlfn.MAXIFS(Status_Log!$E:$E,Status_Log!$A:$A,$A198,Status_Log!$B:$B,$B198,Status_Log!$C:$C,$C198,Status_Log!$D:$D,"Changed to the status of Fund accounting signed off")))</f>
        <v/>
      </c>
      <c r="I198" s="37" t="str">
        <f aca="false">IF($A198="","",IF(COUNTIFS(Status_Log!$A:$A,$A198,Status_Log!$B:$B,$B198,Status_Log!$C:$C,$C198,Status_Log!$D:$D,"Changed to the status of signed off")=0,"",_xlfn.MAXIFS(Status_Log!$E:$E,Status_Log!$A:$A,$A198,Status_Log!$B:$B,$B198,Status_Log!$C:$C,$C198,Status_Log!$D:$D,"Changed to the status of signed off")))</f>
        <v/>
      </c>
      <c r="J198" s="4" t="str">
        <f aca="false">IF($A198="","",COUNTIFS(Status_Log!$A:$A,$A198,Status_Log!$B:$B,$B198,Status_Log!$C:$C,$C198,Status_Log!$D:$D,"Changed to the status of Calculated"))</f>
        <v/>
      </c>
      <c r="K198" s="38" t="str">
        <f aca="false">IF($A198="","",IF(J198&lt;=1,0,ROUND((_xlfn.MAXIFS(Status_Log!$E:$E,Status_Log!$A:$A,$A198,Status_Log!$B:$B,$B198,Status_Log!$C:$C,$C198,Status_Log!$D:$D,"Changed to the status of Calculated")-F198)*1440,0)))</f>
        <v/>
      </c>
      <c r="L198" s="4" t="str">
        <f aca="false">IF($A198="","",IFERROR(INDEX(Status_Log!$F:$F,MATCH($A198&amp;"|"&amp;$B198&amp;"|"&amp;$C198&amp;"|Changed to the status of Calculated|"&amp;TEXT(_xlfn.MAXIFS(Status_Log!$E:$E,Status_Log!$A:$A,$A198,Status_Log!$B:$B,$B198,Status_Log!$C:$C,$C198,Status_Log!$D:$D,"Changed to the status of Calculated"),"0.000000"),Status_Log!$H:$H,0)),""))</f>
        <v/>
      </c>
      <c r="M198" s="4" t="str">
        <f aca="false">IF($A198="","",IF(E198="Client","n/a — no control step",IFERROR(INDEX(Status_Log!$F:$F,MATCH($A198&amp;"|"&amp;$B198&amp;"|"&amp;$C198&amp;"|Changed to the status of Controlled|"&amp;TEXT(_xlfn.MAXIFS(Status_Log!$E:$E,Status_Log!$A:$A,$A198,Status_Log!$B:$B,$B198,Status_Log!$C:$C,$C198,Status_Log!$D:$D,"Changed to the status of Controlled"),"0.000000"),Status_Log!$H:$H,0)),"")))</f>
        <v/>
      </c>
      <c r="N198" s="4" t="str">
        <f aca="false">IF($A198="","",IFERROR(VLOOKUP($C198,Dim_Fund!$A:$G,7,0),""))</f>
        <v/>
      </c>
      <c r="O198" s="4" t="str">
        <f aca="false">IF($A198="","",IF(L198=N198,"No","Yes"))</f>
        <v/>
      </c>
      <c r="P198" s="4" t="str">
        <f aca="false">IF($A198="","",IF(E198="Client","n/a",IF(L198=M198,"YES — four-eyes breach","No")))</f>
        <v/>
      </c>
      <c r="Q198" s="38" t="str">
        <f aca="false">IF($A198="","",IFERROR(VLOOKUP($C198,Dim_Fund!$A:$AB,28,0),""))</f>
        <v/>
      </c>
      <c r="R198" s="38" t="str">
        <f aca="false">IF($A198="","",IFERROR(VLOOKUP($C198,Dim_Fund!$A:$AC,29,0),""))</f>
        <v/>
      </c>
      <c r="S198" s="38" t="str">
        <f aca="false">IF($A198="","",IFERROR(VLOOKUP($C198,Dim_Fund!$A:$AD,30,0),""))</f>
        <v/>
      </c>
      <c r="T198" s="38" t="str">
        <f aca="false">IF($A198="","",IFERROR(VLOOKUP($C198,Dim_Fund!$A:$AL,38,0),""))</f>
        <v/>
      </c>
      <c r="U198" s="37" t="str">
        <f aca="false">IF($A198="","",IF(AL198="","",IFERROR(IF(COUNTIFS(Fact_Milestone!$A:$A,$B198,Fact_Milestone!$B:$B,AL198)=0,"",_xlfn.MAXIFS(Fact_Milestone!$C:$C,Fact_Milestone!$A:$A,$B198,Fact_Milestone!$B:$B,AL198)),"")))</f>
        <v/>
      </c>
      <c r="V198" s="37" t="str">
        <f aca="false">IF($A198="","",IFERROR(IF(VLOOKUP($C198,Dim_Fund!$A:$AI,35,0)&gt;0,$B198+VLOOKUP($C198,Dim_Fund!$A:$AI,35,0)/24,""),""))</f>
        <v/>
      </c>
      <c r="W198" s="37" t="str">
        <f aca="false">IF($A198="","",F198)</f>
        <v/>
      </c>
      <c r="X198" s="37" t="str">
        <f aca="false">IF($A198="","",IF(E198="Client",H198,G198))</f>
        <v/>
      </c>
      <c r="Y198" s="37" t="str">
        <f aca="false">IF($A198="","",I198)</f>
        <v/>
      </c>
      <c r="Z198" s="37" t="str">
        <f aca="false">IF($A198="","",IFERROR(W198-R198/1440,""))</f>
        <v/>
      </c>
      <c r="AA198" s="38" t="str">
        <f aca="false">IF($A198="","",IF(OR(U198="",V198=""),"",ROUND((V198-U198)*1440,0)))</f>
        <v/>
      </c>
      <c r="AB198" s="38" t="str">
        <f aca="false">IF($A198="","",IF(U198="","",ROUND((W198-U198)*1440,0)))</f>
        <v/>
      </c>
      <c r="AC198" s="38" t="str">
        <f aca="false">IF($A198="","",IF(AB198="","",MAX(0,AB198)))</f>
        <v/>
      </c>
      <c r="AD198" s="38" t="str">
        <f aca="false">IF($A198="","",IFERROR(ROUND((X198-W198)*1440,0),""))</f>
        <v/>
      </c>
      <c r="AE198" s="38" t="str">
        <f aca="false">IF($A198="","",IF(E198="Client","n/a",IFERROR(ROUND((H198-G198)*1440,0),"")))</f>
        <v/>
      </c>
      <c r="AF198" s="38" t="str">
        <f aca="false">IF($A198="","",IFERROR(ROUND((Y198-H198)*1440,0),""))</f>
        <v/>
      </c>
      <c r="AG198" s="38" t="str">
        <f aca="false">IF($A198="","",IFERROR(ROUND((H198-F198)*1440,0),""))</f>
        <v/>
      </c>
      <c r="AH198" s="38" t="str">
        <f aca="false">IF($A198="","",IFERROR(ROUND((Y198-V198)*1440,0),""))</f>
        <v/>
      </c>
      <c r="AI198" s="4" t="str">
        <f aca="false">IF($A198="","",IF(AH198="","",IF(AH198&gt;0,"Yes","No")))</f>
        <v/>
      </c>
      <c r="AJ198" s="4" t="str">
        <f aca="false">IF($A198="","",IF(AI198&lt;&gt;"Yes","On time",IF(N(AC198)&gt;=MAX(N(AF198),N(K198)),"Wait for analyst",IF(N(AF198)&gt;=N(K198),"External sign-off","Rework"))))</f>
        <v/>
      </c>
      <c r="AK198" s="4" t="str">
        <f aca="false">IF($A198="","",IF(OR(F198="",Y198="",ISNA(MATCH(L198,Dim_Analyst!$A:$A,0))),"CHECK","OK"))</f>
        <v/>
      </c>
      <c r="AL198" s="4" t="str">
        <f aca="false">IF($A198="","",IFERROR(VLOOKUP($C198,Dim_Fund!$A:$U,21,0),""))</f>
        <v/>
      </c>
      <c r="AM198" s="4" t="str">
        <f aca="false">IF($A198="","",IF($U198="","",IF($U198&gt;$B198+IFERROR(VLOOKUP($C198,Dim_Fund!$A:$AH,34,0),0)/24,"Yes","No")))</f>
        <v/>
      </c>
      <c r="AN198" s="22" t="str">
        <f aca="false">IF($A198="","",IFERROR(VLOOKUP($C198,Dim_Fund!$A:$AH,34,0),""))</f>
        <v/>
      </c>
      <c r="AO198" s="22" t="str">
        <f aca="false">IF($A198="","",IF($AL198="","",IFERROR(FLOOR(IF(COUNTIFS(Fact_Milestone!$A:$A,$B198,Fact_Milestone!$B:$B,$AL198,Fact_Milestone!$F:$F,"&gt;0")&gt;0,_xlfn.MINIFS(Fact_Milestone!$F:$F,Fact_Milestone!$A:$A,$B198,Fact_Milestone!$B:$B,$AL198,Fact_Milestone!$F:$F,"&gt;0"),VLOOKUP($AL198,Dim_TOP!$A:$E,5,0)),0.5),"")))</f>
        <v/>
      </c>
      <c r="AP198" s="22" t="str">
        <f aca="false">IF($A198="","",IF($U198="","",ROUND(($U198-INT($U198))*24,4)))</f>
        <v/>
      </c>
      <c r="AQ198" s="22" t="str">
        <f aca="false">IF($A198="","",IF($W198="","",ROUND(($W198-INT($W198))*24,4)))</f>
        <v/>
      </c>
      <c r="AR198" s="22" t="str">
        <f aca="false">IF($A198="","",IF($X198="","",ROUND(($X198-INT($X198))*24,4)))</f>
        <v/>
      </c>
      <c r="AS198" s="38" t="str">
        <f aca="false">IF($A198="","",IF(OR($AN198="",$V198="",$S198="",$T198=""),"",ROUND(($V198-($B198+$AN198/24))*1440-$S198-$T198,0)))</f>
        <v/>
      </c>
      <c r="AT198" s="38" t="str">
        <f aca="false">IF($A198="","",IF(OR($AN198="",$U198=""),"",ROUND(($U198-($B198+$AN198/24))*1440,0)))</f>
        <v/>
      </c>
      <c r="AU198" s="38" t="str">
        <f aca="false">IF($A198="","",IF(OR($AD198="",$S198=""),"",ROUND($AD198-$S198,0)))</f>
        <v/>
      </c>
      <c r="AV198" s="38" t="str">
        <f aca="false">IF($A198="","",N($AE198))</f>
        <v/>
      </c>
      <c r="AW198" s="38" t="str">
        <f aca="false">IF($A198="","",IF(OR($AF198="",$T198=""),"",$AF198-$T198))</f>
        <v/>
      </c>
      <c r="AX198" s="38" t="str">
        <f aca="false">IF($A198="","",IF(COUNT($AT198,$AB198,$AU198,$AW198,$AS198,$AH198)&lt;6,"",ROUND($AT198+$AB198+$AU198+$AV198+$AW198-$AS198-$AH198,0)))</f>
        <v/>
      </c>
      <c r="AY198" s="4" t="str">
        <f aca="false">IF($A198="","",IF($AX198="","No",IF(ABS($AX198)&lt;=2,"Yes","No")))</f>
        <v/>
      </c>
      <c r="AZ198" s="4" t="str">
        <f aca="false">IF($A198="","",IF($AI198&lt;&gt;"Yes","n/a",IF(OR($AA198="",$S198="",$T198=""),"Unknown",IF($AA198&lt;$S198+$T198,"Lost on arrival","Lost after arrival"))))</f>
        <v/>
      </c>
      <c r="BA198" s="10" t="str">
        <f aca="false">IF($A198="","",IFERROR(VLOOKUP($C198,Dim_Fund!$A:$D,4,0),""))</f>
        <v/>
      </c>
      <c r="BB198" s="10" t="str">
        <f aca="false">IF($A198="","",IF($AL198="","",IF(COUNTIFS(Fact_Milestone!$A:$A,$B198,Fact_Milestone!$B:$B,$AL198,Fact_Milestone!$I:$I,"No")&gt;0,"No",IF(COUNTIFS(Fact_Milestone!$A:$A,$B198,Fact_Milestone!$B:$B,$AL198,Fact_Milestone!$I:$I,"Yes")&gt;0,"Yes",""))))</f>
        <v/>
      </c>
      <c r="BC198" s="45" t="str">
        <f aca="false">IF($A198="","",IF(OR($L198="",$W198=""),"",IF(COUNTIFS($L:$L,$L198,$B:$B,$B198,$W:$W,"&lt;"&amp;$W198)=0,"",_xlfn.MAXIFS($W:$W,$L:$L,$L198,$B:$B,$B198,$W:$W,"&lt;"&amp;$W198))))</f>
        <v/>
      </c>
      <c r="BD198" s="39" t="str">
        <f aca="false">IF($A198="","",IF($AC198="","",IF(OR($L198="",$AC198=0),0,MIN($AC198,ROUND(ROUND(1440*SUMPRODUCT(($L$2:INDEX($L:$L,COUNTA($C:$C))=$L198)*($B$2:INDEX($B:$B,COUNTA($C:$C))=$B198)*(ROW($L$2:INDEX($L:$L,COUNTA($C:$C)))&lt;&gt;ROW())*((((($W198+$BT$2:INDEX($BT:$BT,COUNTA($C:$C))-ABS($W198-$BT$2:INDEX($BT:$BT,COUNTA($C:$C))))/2)-(($U198+$BS$2:INDEX($BS:$BS,COUNTA($C:$C))+ABS($U198-$BS$2:INDEX($BS:$BS,COUNTA($C:$C))))/2))+ABS(((($W198+$BT$2:INDEX($BT:$BT,COUNTA($C:$C))-ABS($W198-$BT$2:INDEX($BT:$BT,COUNTA($C:$C))))/2)-(($U198+$BS$2:INDEX($BS:$BS,COUNTA($C:$C))+ABS($U198-$BS$2:INDEX($BS:$BS,COUNTA($C:$C))))/2))))/2)),4),0)))))</f>
        <v/>
      </c>
      <c r="BE198" s="39" t="str">
        <f aca="false">IF($A198="","",IF($AC198="","",ROUND(MIN($AC198-$BD198,N($R198)),0)))</f>
        <v/>
      </c>
      <c r="BF198" s="10" t="str">
        <f aca="false">IF($A198="","",IFERROR(VLOOKUP($C198,Dim_Fund!$A:$BD,56,0),""))</f>
        <v/>
      </c>
      <c r="BG198" s="10" t="str">
        <f aca="false">IF($A198="","",IFERROR(VLOOKUP($C198,Dim_Fund!$A:$BH,60,0),""))</f>
        <v/>
      </c>
      <c r="BH198" s="10" t="str">
        <f aca="false">IF($A198="","",IF($AI198&lt;&gt;"Yes","Not breached",IF($AM198="Yes","Pricing late",IF($BG198="Thin custody slack","Thin custody slack",IF($BF198="Yes","Broker-dependent","None of these")))))</f>
        <v/>
      </c>
      <c r="BI198" s="23" t="str">
        <f aca="false">IF($A198="","",IFERROR(IF(VLOOKUP($C198,Dim_Fund!$A:$AI,35,0)&gt;0,VLOOKUP($C198,Dim_Fund!$A:$AI,35,0),""),""))</f>
        <v/>
      </c>
      <c r="BJ198" s="10" t="str">
        <f aca="false">IF($A198="","",$C198&amp;IF($E198="Client","*",""))</f>
        <v/>
      </c>
      <c r="BK198" s="39" t="str">
        <f aca="false">IF($A198="","",IFERROR(ROUND(($Y198-$X198)*1440,0),""))</f>
        <v/>
      </c>
      <c r="BL198" s="39" t="str">
        <f aca="false">IF($A198="","",IF($AH198="","",-$AH198))</f>
        <v/>
      </c>
      <c r="BM198" s="46" t="str">
        <f aca="false">IF($A198="","",IF($AQ198="","",IF($AP198="",$AQ198,MIN($AP198,$AQ198))))</f>
        <v/>
      </c>
      <c r="BN198" s="46" t="str">
        <f aca="false">IF($A198="","",IF($BM198="","",ROUND(N($AC198)/60,4)))</f>
        <v/>
      </c>
      <c r="BO198" s="46" t="str">
        <f aca="false">IF($A198="","",IF(OR($BM198="",$AD198=""),"",ROUND($AD198/60,4)))</f>
        <v/>
      </c>
      <c r="BP198" s="46" t="str">
        <f aca="false">IF($A198="","",IF($BM198="","",ROUND(N($AE198)/60,4)))</f>
        <v/>
      </c>
      <c r="BQ198" s="46" t="str">
        <f aca="false">IF($A198="","",IF(OR($BM198="",$AF198=""),"",ROUND($AF198/60,4)))</f>
        <v/>
      </c>
      <c r="BR198" s="39" t="str">
        <f aca="false">IF($A198="","",IF($AC198="","",$AC198-$BD198-$BE198))</f>
        <v/>
      </c>
      <c r="BS198" s="45" t="str">
        <f aca="false">IF($A198="","",IF(AND(ISNUMBER($Z198),ISNUMBER($W198)),$Z198,0))</f>
        <v/>
      </c>
      <c r="BT198" s="45" t="str">
        <f aca="false">IF($A198="","",IF(ISNUMBER($W198),$W198,0))</f>
        <v/>
      </c>
      <c r="BU198" s="23" t="str">
        <f aca="false">IF($A198="","",IF(ISNUMBER($W198),ROUND(($W198-$B198)*24,4),""))</f>
        <v/>
      </c>
      <c r="BV198" s="23" t="str">
        <f aca="false">IF($A198="","",IF(ISNUMBER($X198),ROUND(($X198-$B198)*24,4),""))</f>
        <v/>
      </c>
      <c r="BW198" s="10" t="str">
        <f aca="false">IF($A198="","",IF(NOT(ISNUMBER($W198)),"Missing Calculated",IF(NOT(ISNUMBER($X198)),IF($E198="Client","Missing FA signed off","Missing Controlled"),IF($X198&lt;$W198,"End before start","OK"))))</f>
        <v/>
      </c>
      <c r="BX198" s="23" t="str">
        <f aca="false">IF($A198="","",IF(NOT(ISNUMBER($Z198)),"",ROUND((IF(ISNUMBER($U198),MIN($U198,$Z198),$Z198)-$B198)*24,4)))</f>
        <v/>
      </c>
      <c r="BY198" s="23" t="str">
        <f aca="false">IF($A198="","",IF(ISNUMBER($Z198),ROUND(($Z198-$B198)*24,4),""))</f>
        <v/>
      </c>
      <c r="BZ198" s="23" t="str">
        <f aca="false">IF($A198="","",IF(AND(ISNUMBER($W198),ISNUMBER($S198)),ROUND(($W198+$S198/1440-$B198)*24,4),""))</f>
        <v/>
      </c>
    </row>
    <row r="199" customFormat="false" ht="15" hidden="false" customHeight="true" outlineLevel="0" collapsed="false">
      <c r="A199" s="47"/>
      <c r="B199" s="47"/>
      <c r="D199" s="4" t="str">
        <f aca="false">IF($A199="","",$B199-$A199)</f>
        <v/>
      </c>
      <c r="E199" s="4" t="str">
        <f aca="false">IF($A199="","",IFERROR(VLOOKUP($C199,Dim_Fund!$A:$X,24,0),""))</f>
        <v/>
      </c>
      <c r="F199" s="37" t="str">
        <f aca="false">IF($A199="","",IF(COUNTIFS(Status_Log!$A:$A,$A199,Status_Log!$B:$B,$B199,Status_Log!$C:$C,$C199,Status_Log!$D:$D,"Changed to the status of Calculated")=0,"",_xlfn.MINIFS(Status_Log!$E:$E,Status_Log!$A:$A,$A199,Status_Log!$B:$B,$B199,Status_Log!$C:$C,$C199,Status_Log!$D:$D,"Changed to the status of Calculated")))</f>
        <v/>
      </c>
      <c r="G199" s="37" t="str">
        <f aca="false">IF($A199="","",IF(COUNTIFS(Status_Log!$A:$A,$A199,Status_Log!$B:$B,$B199,Status_Log!$C:$C,$C199,Status_Log!$D:$D,"Changed to the status of Controlled")=0,"",_xlfn.MAXIFS(Status_Log!$E:$E,Status_Log!$A:$A,$A199,Status_Log!$B:$B,$B199,Status_Log!$C:$C,$C199,Status_Log!$D:$D,"Changed to the status of Controlled")))</f>
        <v/>
      </c>
      <c r="H199" s="37" t="str">
        <f aca="false">IF($A199="","",IF(COUNTIFS(Status_Log!$A:$A,$A199,Status_Log!$B:$B,$B199,Status_Log!$C:$C,$C199,Status_Log!$D:$D,"Changed to the status of Fund accounting signed off")=0,"",_xlfn.MAXIFS(Status_Log!$E:$E,Status_Log!$A:$A,$A199,Status_Log!$B:$B,$B199,Status_Log!$C:$C,$C199,Status_Log!$D:$D,"Changed to the status of Fund accounting signed off")))</f>
        <v/>
      </c>
      <c r="I199" s="37" t="str">
        <f aca="false">IF($A199="","",IF(COUNTIFS(Status_Log!$A:$A,$A199,Status_Log!$B:$B,$B199,Status_Log!$C:$C,$C199,Status_Log!$D:$D,"Changed to the status of signed off")=0,"",_xlfn.MAXIFS(Status_Log!$E:$E,Status_Log!$A:$A,$A199,Status_Log!$B:$B,$B199,Status_Log!$C:$C,$C199,Status_Log!$D:$D,"Changed to the status of signed off")))</f>
        <v/>
      </c>
      <c r="J199" s="4" t="str">
        <f aca="false">IF($A199="","",COUNTIFS(Status_Log!$A:$A,$A199,Status_Log!$B:$B,$B199,Status_Log!$C:$C,$C199,Status_Log!$D:$D,"Changed to the status of Calculated"))</f>
        <v/>
      </c>
      <c r="K199" s="38" t="str">
        <f aca="false">IF($A199="","",IF(J199&lt;=1,0,ROUND((_xlfn.MAXIFS(Status_Log!$E:$E,Status_Log!$A:$A,$A199,Status_Log!$B:$B,$B199,Status_Log!$C:$C,$C199,Status_Log!$D:$D,"Changed to the status of Calculated")-F199)*1440,0)))</f>
        <v/>
      </c>
      <c r="L199" s="4" t="str">
        <f aca="false">IF($A199="","",IFERROR(INDEX(Status_Log!$F:$F,MATCH($A199&amp;"|"&amp;$B199&amp;"|"&amp;$C199&amp;"|Changed to the status of Calculated|"&amp;TEXT(_xlfn.MAXIFS(Status_Log!$E:$E,Status_Log!$A:$A,$A199,Status_Log!$B:$B,$B199,Status_Log!$C:$C,$C199,Status_Log!$D:$D,"Changed to the status of Calculated"),"0.000000"),Status_Log!$H:$H,0)),""))</f>
        <v/>
      </c>
      <c r="M199" s="4" t="str">
        <f aca="false">IF($A199="","",IF(E199="Client","n/a — no control step",IFERROR(INDEX(Status_Log!$F:$F,MATCH($A199&amp;"|"&amp;$B199&amp;"|"&amp;$C199&amp;"|Changed to the status of Controlled|"&amp;TEXT(_xlfn.MAXIFS(Status_Log!$E:$E,Status_Log!$A:$A,$A199,Status_Log!$B:$B,$B199,Status_Log!$C:$C,$C199,Status_Log!$D:$D,"Changed to the status of Controlled"),"0.000000"),Status_Log!$H:$H,0)),"")))</f>
        <v/>
      </c>
      <c r="N199" s="4" t="str">
        <f aca="false">IF($A199="","",IFERROR(VLOOKUP($C199,Dim_Fund!$A:$G,7,0),""))</f>
        <v/>
      </c>
      <c r="O199" s="4" t="str">
        <f aca="false">IF($A199="","",IF(L199=N199,"No","Yes"))</f>
        <v/>
      </c>
      <c r="P199" s="4" t="str">
        <f aca="false">IF($A199="","",IF(E199="Client","n/a",IF(L199=M199,"YES — four-eyes breach","No")))</f>
        <v/>
      </c>
      <c r="Q199" s="38" t="str">
        <f aca="false">IF($A199="","",IFERROR(VLOOKUP($C199,Dim_Fund!$A:$AB,28,0),""))</f>
        <v/>
      </c>
      <c r="R199" s="38" t="str">
        <f aca="false">IF($A199="","",IFERROR(VLOOKUP($C199,Dim_Fund!$A:$AC,29,0),""))</f>
        <v/>
      </c>
      <c r="S199" s="38" t="str">
        <f aca="false">IF($A199="","",IFERROR(VLOOKUP($C199,Dim_Fund!$A:$AD,30,0),""))</f>
        <v/>
      </c>
      <c r="T199" s="38" t="str">
        <f aca="false">IF($A199="","",IFERROR(VLOOKUP($C199,Dim_Fund!$A:$AL,38,0),""))</f>
        <v/>
      </c>
      <c r="U199" s="37" t="str">
        <f aca="false">IF($A199="","",IF(AL199="","",IFERROR(IF(COUNTIFS(Fact_Milestone!$A:$A,$B199,Fact_Milestone!$B:$B,AL199)=0,"",_xlfn.MAXIFS(Fact_Milestone!$C:$C,Fact_Milestone!$A:$A,$B199,Fact_Milestone!$B:$B,AL199)),"")))</f>
        <v/>
      </c>
      <c r="V199" s="37" t="str">
        <f aca="false">IF($A199="","",IFERROR(IF(VLOOKUP($C199,Dim_Fund!$A:$AI,35,0)&gt;0,$B199+VLOOKUP($C199,Dim_Fund!$A:$AI,35,0)/24,""),""))</f>
        <v/>
      </c>
      <c r="W199" s="37" t="str">
        <f aca="false">IF($A199="","",F199)</f>
        <v/>
      </c>
      <c r="X199" s="37" t="str">
        <f aca="false">IF($A199="","",IF(E199="Client",H199,G199))</f>
        <v/>
      </c>
      <c r="Y199" s="37" t="str">
        <f aca="false">IF($A199="","",I199)</f>
        <v/>
      </c>
      <c r="Z199" s="37" t="str">
        <f aca="false">IF($A199="","",IFERROR(W199-R199/1440,""))</f>
        <v/>
      </c>
      <c r="AA199" s="38" t="str">
        <f aca="false">IF($A199="","",IF(OR(U199="",V199=""),"",ROUND((V199-U199)*1440,0)))</f>
        <v/>
      </c>
      <c r="AB199" s="38" t="str">
        <f aca="false">IF($A199="","",IF(U199="","",ROUND((W199-U199)*1440,0)))</f>
        <v/>
      </c>
      <c r="AC199" s="38" t="str">
        <f aca="false">IF($A199="","",IF(AB199="","",MAX(0,AB199)))</f>
        <v/>
      </c>
      <c r="AD199" s="38" t="str">
        <f aca="false">IF($A199="","",IFERROR(ROUND((X199-W199)*1440,0),""))</f>
        <v/>
      </c>
      <c r="AE199" s="38" t="str">
        <f aca="false">IF($A199="","",IF(E199="Client","n/a",IFERROR(ROUND((H199-G199)*1440,0),"")))</f>
        <v/>
      </c>
      <c r="AF199" s="38" t="str">
        <f aca="false">IF($A199="","",IFERROR(ROUND((Y199-H199)*1440,0),""))</f>
        <v/>
      </c>
      <c r="AG199" s="38" t="str">
        <f aca="false">IF($A199="","",IFERROR(ROUND((H199-F199)*1440,0),""))</f>
        <v/>
      </c>
      <c r="AH199" s="38" t="str">
        <f aca="false">IF($A199="","",IFERROR(ROUND((Y199-V199)*1440,0),""))</f>
        <v/>
      </c>
      <c r="AI199" s="4" t="str">
        <f aca="false">IF($A199="","",IF(AH199="","",IF(AH199&gt;0,"Yes","No")))</f>
        <v/>
      </c>
      <c r="AJ199" s="4" t="str">
        <f aca="false">IF($A199="","",IF(AI199&lt;&gt;"Yes","On time",IF(N(AC199)&gt;=MAX(N(AF199),N(K199)),"Wait for analyst",IF(N(AF199)&gt;=N(K199),"External sign-off","Rework"))))</f>
        <v/>
      </c>
      <c r="AK199" s="4" t="str">
        <f aca="false">IF($A199="","",IF(OR(F199="",Y199="",ISNA(MATCH(L199,Dim_Analyst!$A:$A,0))),"CHECK","OK"))</f>
        <v/>
      </c>
      <c r="AL199" s="4" t="str">
        <f aca="false">IF($A199="","",IFERROR(VLOOKUP($C199,Dim_Fund!$A:$U,21,0),""))</f>
        <v/>
      </c>
      <c r="AM199" s="4" t="str">
        <f aca="false">IF($A199="","",IF($U199="","",IF($U199&gt;$B199+IFERROR(VLOOKUP($C199,Dim_Fund!$A:$AH,34,0),0)/24,"Yes","No")))</f>
        <v/>
      </c>
      <c r="AN199" s="22" t="str">
        <f aca="false">IF($A199="","",IFERROR(VLOOKUP($C199,Dim_Fund!$A:$AH,34,0),""))</f>
        <v/>
      </c>
      <c r="AO199" s="22" t="str">
        <f aca="false">IF($A199="","",IF($AL199="","",IFERROR(FLOOR(IF(COUNTIFS(Fact_Milestone!$A:$A,$B199,Fact_Milestone!$B:$B,$AL199,Fact_Milestone!$F:$F,"&gt;0")&gt;0,_xlfn.MINIFS(Fact_Milestone!$F:$F,Fact_Milestone!$A:$A,$B199,Fact_Milestone!$B:$B,$AL199,Fact_Milestone!$F:$F,"&gt;0"),VLOOKUP($AL199,Dim_TOP!$A:$E,5,0)),0.5),"")))</f>
        <v/>
      </c>
      <c r="AP199" s="22" t="str">
        <f aca="false">IF($A199="","",IF($U199="","",ROUND(($U199-INT($U199))*24,4)))</f>
        <v/>
      </c>
      <c r="AQ199" s="22" t="str">
        <f aca="false">IF($A199="","",IF($W199="","",ROUND(($W199-INT($W199))*24,4)))</f>
        <v/>
      </c>
      <c r="AR199" s="22" t="str">
        <f aca="false">IF($A199="","",IF($X199="","",ROUND(($X199-INT($X199))*24,4)))</f>
        <v/>
      </c>
      <c r="AS199" s="38" t="str">
        <f aca="false">IF($A199="","",IF(OR($AN199="",$V199="",$S199="",$T199=""),"",ROUND(($V199-($B199+$AN199/24))*1440-$S199-$T199,0)))</f>
        <v/>
      </c>
      <c r="AT199" s="38" t="str">
        <f aca="false">IF($A199="","",IF(OR($AN199="",$U199=""),"",ROUND(($U199-($B199+$AN199/24))*1440,0)))</f>
        <v/>
      </c>
      <c r="AU199" s="38" t="str">
        <f aca="false">IF($A199="","",IF(OR($AD199="",$S199=""),"",ROUND($AD199-$S199,0)))</f>
        <v/>
      </c>
      <c r="AV199" s="38" t="str">
        <f aca="false">IF($A199="","",N($AE199))</f>
        <v/>
      </c>
      <c r="AW199" s="38" t="str">
        <f aca="false">IF($A199="","",IF(OR($AF199="",$T199=""),"",$AF199-$T199))</f>
        <v/>
      </c>
      <c r="AX199" s="38" t="str">
        <f aca="false">IF($A199="","",IF(COUNT($AT199,$AB199,$AU199,$AW199,$AS199,$AH199)&lt;6,"",ROUND($AT199+$AB199+$AU199+$AV199+$AW199-$AS199-$AH199,0)))</f>
        <v/>
      </c>
      <c r="AY199" s="4" t="str">
        <f aca="false">IF($A199="","",IF($AX199="","No",IF(ABS($AX199)&lt;=2,"Yes","No")))</f>
        <v/>
      </c>
      <c r="AZ199" s="4" t="str">
        <f aca="false">IF($A199="","",IF($AI199&lt;&gt;"Yes","n/a",IF(OR($AA199="",$S199="",$T199=""),"Unknown",IF($AA199&lt;$S199+$T199,"Lost on arrival","Lost after arrival"))))</f>
        <v/>
      </c>
      <c r="BA199" s="10" t="str">
        <f aca="false">IF($A199="","",IFERROR(VLOOKUP($C199,Dim_Fund!$A:$D,4,0),""))</f>
        <v/>
      </c>
      <c r="BB199" s="10" t="str">
        <f aca="false">IF($A199="","",IF($AL199="","",IF(COUNTIFS(Fact_Milestone!$A:$A,$B199,Fact_Milestone!$B:$B,$AL199,Fact_Milestone!$I:$I,"No")&gt;0,"No",IF(COUNTIFS(Fact_Milestone!$A:$A,$B199,Fact_Milestone!$B:$B,$AL199,Fact_Milestone!$I:$I,"Yes")&gt;0,"Yes",""))))</f>
        <v/>
      </c>
      <c r="BC199" s="45" t="str">
        <f aca="false">IF($A199="","",IF(OR($L199="",$W199=""),"",IF(COUNTIFS($L:$L,$L199,$B:$B,$B199,$W:$W,"&lt;"&amp;$W199)=0,"",_xlfn.MAXIFS($W:$W,$L:$L,$L199,$B:$B,$B199,$W:$W,"&lt;"&amp;$W199))))</f>
        <v/>
      </c>
      <c r="BD199" s="39" t="str">
        <f aca="false">IF($A199="","",IF($AC199="","",IF(OR($L199="",$AC199=0),0,MIN($AC199,ROUND(ROUND(1440*SUMPRODUCT(($L$2:INDEX($L:$L,COUNTA($C:$C))=$L199)*($B$2:INDEX($B:$B,COUNTA($C:$C))=$B199)*(ROW($L$2:INDEX($L:$L,COUNTA($C:$C)))&lt;&gt;ROW())*((((($W199+$BT$2:INDEX($BT:$BT,COUNTA($C:$C))-ABS($W199-$BT$2:INDEX($BT:$BT,COUNTA($C:$C))))/2)-(($U199+$BS$2:INDEX($BS:$BS,COUNTA($C:$C))+ABS($U199-$BS$2:INDEX($BS:$BS,COUNTA($C:$C))))/2))+ABS(((($W199+$BT$2:INDEX($BT:$BT,COUNTA($C:$C))-ABS($W199-$BT$2:INDEX($BT:$BT,COUNTA($C:$C))))/2)-(($U199+$BS$2:INDEX($BS:$BS,COUNTA($C:$C))+ABS($U199-$BS$2:INDEX($BS:$BS,COUNTA($C:$C))))/2))))/2)),4),0)))))</f>
        <v/>
      </c>
      <c r="BE199" s="39" t="str">
        <f aca="false">IF($A199="","",IF($AC199="","",ROUND(MIN($AC199-$BD199,N($R199)),0)))</f>
        <v/>
      </c>
      <c r="BF199" s="10" t="str">
        <f aca="false">IF($A199="","",IFERROR(VLOOKUP($C199,Dim_Fund!$A:$BD,56,0),""))</f>
        <v/>
      </c>
      <c r="BG199" s="10" t="str">
        <f aca="false">IF($A199="","",IFERROR(VLOOKUP($C199,Dim_Fund!$A:$BH,60,0),""))</f>
        <v/>
      </c>
      <c r="BH199" s="10" t="str">
        <f aca="false">IF($A199="","",IF($AI199&lt;&gt;"Yes","Not breached",IF($AM199="Yes","Pricing late",IF($BG199="Thin custody slack","Thin custody slack",IF($BF199="Yes","Broker-dependent","None of these")))))</f>
        <v/>
      </c>
      <c r="BI199" s="23" t="str">
        <f aca="false">IF($A199="","",IFERROR(IF(VLOOKUP($C199,Dim_Fund!$A:$AI,35,0)&gt;0,VLOOKUP($C199,Dim_Fund!$A:$AI,35,0),""),""))</f>
        <v/>
      </c>
      <c r="BJ199" s="10" t="str">
        <f aca="false">IF($A199="","",$C199&amp;IF($E199="Client","*",""))</f>
        <v/>
      </c>
      <c r="BK199" s="39" t="str">
        <f aca="false">IF($A199="","",IFERROR(ROUND(($Y199-$X199)*1440,0),""))</f>
        <v/>
      </c>
      <c r="BL199" s="39" t="str">
        <f aca="false">IF($A199="","",IF($AH199="","",-$AH199))</f>
        <v/>
      </c>
      <c r="BM199" s="46" t="str">
        <f aca="false">IF($A199="","",IF($AQ199="","",IF($AP199="",$AQ199,MIN($AP199,$AQ199))))</f>
        <v/>
      </c>
      <c r="BN199" s="46" t="str">
        <f aca="false">IF($A199="","",IF($BM199="","",ROUND(N($AC199)/60,4)))</f>
        <v/>
      </c>
      <c r="BO199" s="46" t="str">
        <f aca="false">IF($A199="","",IF(OR($BM199="",$AD199=""),"",ROUND($AD199/60,4)))</f>
        <v/>
      </c>
      <c r="BP199" s="46" t="str">
        <f aca="false">IF($A199="","",IF($BM199="","",ROUND(N($AE199)/60,4)))</f>
        <v/>
      </c>
      <c r="BQ199" s="46" t="str">
        <f aca="false">IF($A199="","",IF(OR($BM199="",$AF199=""),"",ROUND($AF199/60,4)))</f>
        <v/>
      </c>
      <c r="BR199" s="39" t="str">
        <f aca="false">IF($A199="","",IF($AC199="","",$AC199-$BD199-$BE199))</f>
        <v/>
      </c>
      <c r="BS199" s="45" t="str">
        <f aca="false">IF($A199="","",IF(AND(ISNUMBER($Z199),ISNUMBER($W199)),$Z199,0))</f>
        <v/>
      </c>
      <c r="BT199" s="45" t="str">
        <f aca="false">IF($A199="","",IF(ISNUMBER($W199),$W199,0))</f>
        <v/>
      </c>
      <c r="BU199" s="23" t="str">
        <f aca="false">IF($A199="","",IF(ISNUMBER($W199),ROUND(($W199-$B199)*24,4),""))</f>
        <v/>
      </c>
      <c r="BV199" s="23" t="str">
        <f aca="false">IF($A199="","",IF(ISNUMBER($X199),ROUND(($X199-$B199)*24,4),""))</f>
        <v/>
      </c>
      <c r="BW199" s="10" t="str">
        <f aca="false">IF($A199="","",IF(NOT(ISNUMBER($W199)),"Missing Calculated",IF(NOT(ISNUMBER($X199)),IF($E199="Client","Missing FA signed off","Missing Controlled"),IF($X199&lt;$W199,"End before start","OK"))))</f>
        <v/>
      </c>
      <c r="BX199" s="23" t="str">
        <f aca="false">IF($A199="","",IF(NOT(ISNUMBER($Z199)),"",ROUND((IF(ISNUMBER($U199),MIN($U199,$Z199),$Z199)-$B199)*24,4)))</f>
        <v/>
      </c>
      <c r="BY199" s="23" t="str">
        <f aca="false">IF($A199="","",IF(ISNUMBER($Z199),ROUND(($Z199-$B199)*24,4),""))</f>
        <v/>
      </c>
      <c r="BZ199" s="23" t="str">
        <f aca="false">IF($A199="","",IF(AND(ISNUMBER($W199),ISNUMBER($S199)),ROUND(($W199+$S199/1440-$B199)*24,4),""))</f>
        <v/>
      </c>
    </row>
    <row r="200" customFormat="false" ht="15" hidden="false" customHeight="true" outlineLevel="0" collapsed="false">
      <c r="A200" s="47"/>
      <c r="B200" s="47"/>
      <c r="D200" s="4" t="str">
        <f aca="false">IF($A200="","",$B200-$A200)</f>
        <v/>
      </c>
      <c r="E200" s="4" t="str">
        <f aca="false">IF($A200="","",IFERROR(VLOOKUP($C200,Dim_Fund!$A:$X,24,0),""))</f>
        <v/>
      </c>
      <c r="F200" s="37" t="str">
        <f aca="false">IF($A200="","",IF(COUNTIFS(Status_Log!$A:$A,$A200,Status_Log!$B:$B,$B200,Status_Log!$C:$C,$C200,Status_Log!$D:$D,"Changed to the status of Calculated")=0,"",_xlfn.MINIFS(Status_Log!$E:$E,Status_Log!$A:$A,$A200,Status_Log!$B:$B,$B200,Status_Log!$C:$C,$C200,Status_Log!$D:$D,"Changed to the status of Calculated")))</f>
        <v/>
      </c>
      <c r="G200" s="37" t="str">
        <f aca="false">IF($A200="","",IF(COUNTIFS(Status_Log!$A:$A,$A200,Status_Log!$B:$B,$B200,Status_Log!$C:$C,$C200,Status_Log!$D:$D,"Changed to the status of Controlled")=0,"",_xlfn.MAXIFS(Status_Log!$E:$E,Status_Log!$A:$A,$A200,Status_Log!$B:$B,$B200,Status_Log!$C:$C,$C200,Status_Log!$D:$D,"Changed to the status of Controlled")))</f>
        <v/>
      </c>
      <c r="H200" s="37" t="str">
        <f aca="false">IF($A200="","",IF(COUNTIFS(Status_Log!$A:$A,$A200,Status_Log!$B:$B,$B200,Status_Log!$C:$C,$C200,Status_Log!$D:$D,"Changed to the status of Fund accounting signed off")=0,"",_xlfn.MAXIFS(Status_Log!$E:$E,Status_Log!$A:$A,$A200,Status_Log!$B:$B,$B200,Status_Log!$C:$C,$C200,Status_Log!$D:$D,"Changed to the status of Fund accounting signed off")))</f>
        <v/>
      </c>
      <c r="I200" s="37" t="str">
        <f aca="false">IF($A200="","",IF(COUNTIFS(Status_Log!$A:$A,$A200,Status_Log!$B:$B,$B200,Status_Log!$C:$C,$C200,Status_Log!$D:$D,"Changed to the status of signed off")=0,"",_xlfn.MAXIFS(Status_Log!$E:$E,Status_Log!$A:$A,$A200,Status_Log!$B:$B,$B200,Status_Log!$C:$C,$C200,Status_Log!$D:$D,"Changed to the status of signed off")))</f>
        <v/>
      </c>
      <c r="J200" s="4" t="str">
        <f aca="false">IF($A200="","",COUNTIFS(Status_Log!$A:$A,$A200,Status_Log!$B:$B,$B200,Status_Log!$C:$C,$C200,Status_Log!$D:$D,"Changed to the status of Calculated"))</f>
        <v/>
      </c>
      <c r="K200" s="38" t="str">
        <f aca="false">IF($A200="","",IF(J200&lt;=1,0,ROUND((_xlfn.MAXIFS(Status_Log!$E:$E,Status_Log!$A:$A,$A200,Status_Log!$B:$B,$B200,Status_Log!$C:$C,$C200,Status_Log!$D:$D,"Changed to the status of Calculated")-F200)*1440,0)))</f>
        <v/>
      </c>
      <c r="L200" s="4" t="str">
        <f aca="false">IF($A200="","",IFERROR(INDEX(Status_Log!$F:$F,MATCH($A200&amp;"|"&amp;$B200&amp;"|"&amp;$C200&amp;"|Changed to the status of Calculated|"&amp;TEXT(_xlfn.MAXIFS(Status_Log!$E:$E,Status_Log!$A:$A,$A200,Status_Log!$B:$B,$B200,Status_Log!$C:$C,$C200,Status_Log!$D:$D,"Changed to the status of Calculated"),"0.000000"),Status_Log!$H:$H,0)),""))</f>
        <v/>
      </c>
      <c r="M200" s="4" t="str">
        <f aca="false">IF($A200="","",IF(E200="Client","n/a — no control step",IFERROR(INDEX(Status_Log!$F:$F,MATCH($A200&amp;"|"&amp;$B200&amp;"|"&amp;$C200&amp;"|Changed to the status of Controlled|"&amp;TEXT(_xlfn.MAXIFS(Status_Log!$E:$E,Status_Log!$A:$A,$A200,Status_Log!$B:$B,$B200,Status_Log!$C:$C,$C200,Status_Log!$D:$D,"Changed to the status of Controlled"),"0.000000"),Status_Log!$H:$H,0)),"")))</f>
        <v/>
      </c>
      <c r="N200" s="4" t="str">
        <f aca="false">IF($A200="","",IFERROR(VLOOKUP($C200,Dim_Fund!$A:$G,7,0),""))</f>
        <v/>
      </c>
      <c r="O200" s="4" t="str">
        <f aca="false">IF($A200="","",IF(L200=N200,"No","Yes"))</f>
        <v/>
      </c>
      <c r="P200" s="4" t="str">
        <f aca="false">IF($A200="","",IF(E200="Client","n/a",IF(L200=M200,"YES — four-eyes breach","No")))</f>
        <v/>
      </c>
      <c r="Q200" s="38" t="str">
        <f aca="false">IF($A200="","",IFERROR(VLOOKUP($C200,Dim_Fund!$A:$AB,28,0),""))</f>
        <v/>
      </c>
      <c r="R200" s="38" t="str">
        <f aca="false">IF($A200="","",IFERROR(VLOOKUP($C200,Dim_Fund!$A:$AC,29,0),""))</f>
        <v/>
      </c>
      <c r="S200" s="38" t="str">
        <f aca="false">IF($A200="","",IFERROR(VLOOKUP($C200,Dim_Fund!$A:$AD,30,0),""))</f>
        <v/>
      </c>
      <c r="T200" s="38" t="str">
        <f aca="false">IF($A200="","",IFERROR(VLOOKUP($C200,Dim_Fund!$A:$AL,38,0),""))</f>
        <v/>
      </c>
      <c r="U200" s="37" t="str">
        <f aca="false">IF($A200="","",IF(AL200="","",IFERROR(IF(COUNTIFS(Fact_Milestone!$A:$A,$B200,Fact_Milestone!$B:$B,AL200)=0,"",_xlfn.MAXIFS(Fact_Milestone!$C:$C,Fact_Milestone!$A:$A,$B200,Fact_Milestone!$B:$B,AL200)),"")))</f>
        <v/>
      </c>
      <c r="V200" s="37" t="str">
        <f aca="false">IF($A200="","",IFERROR(IF(VLOOKUP($C200,Dim_Fund!$A:$AI,35,0)&gt;0,$B200+VLOOKUP($C200,Dim_Fund!$A:$AI,35,0)/24,""),""))</f>
        <v/>
      </c>
      <c r="W200" s="37" t="str">
        <f aca="false">IF($A200="","",F200)</f>
        <v/>
      </c>
      <c r="X200" s="37" t="str">
        <f aca="false">IF($A200="","",IF(E200="Client",H200,G200))</f>
        <v/>
      </c>
      <c r="Y200" s="37" t="str">
        <f aca="false">IF($A200="","",I200)</f>
        <v/>
      </c>
      <c r="Z200" s="37" t="str">
        <f aca="false">IF($A200="","",IFERROR(W200-R200/1440,""))</f>
        <v/>
      </c>
      <c r="AA200" s="38" t="str">
        <f aca="false">IF($A200="","",IF(OR(U200="",V200=""),"",ROUND((V200-U200)*1440,0)))</f>
        <v/>
      </c>
      <c r="AB200" s="38" t="str">
        <f aca="false">IF($A200="","",IF(U200="","",ROUND((W200-U200)*1440,0)))</f>
        <v/>
      </c>
      <c r="AC200" s="38" t="str">
        <f aca="false">IF($A200="","",IF(AB200="","",MAX(0,AB200)))</f>
        <v/>
      </c>
      <c r="AD200" s="38" t="str">
        <f aca="false">IF($A200="","",IFERROR(ROUND((X200-W200)*1440,0),""))</f>
        <v/>
      </c>
      <c r="AE200" s="38" t="str">
        <f aca="false">IF($A200="","",IF(E200="Client","n/a",IFERROR(ROUND((H200-G200)*1440,0),"")))</f>
        <v/>
      </c>
      <c r="AF200" s="38" t="str">
        <f aca="false">IF($A200="","",IFERROR(ROUND((Y200-H200)*1440,0),""))</f>
        <v/>
      </c>
      <c r="AG200" s="38" t="str">
        <f aca="false">IF($A200="","",IFERROR(ROUND((H200-F200)*1440,0),""))</f>
        <v/>
      </c>
      <c r="AH200" s="38" t="str">
        <f aca="false">IF($A200="","",IFERROR(ROUND((Y200-V200)*1440,0),""))</f>
        <v/>
      </c>
      <c r="AI200" s="4" t="str">
        <f aca="false">IF($A200="","",IF(AH200="","",IF(AH200&gt;0,"Yes","No")))</f>
        <v/>
      </c>
      <c r="AJ200" s="4" t="str">
        <f aca="false">IF($A200="","",IF(AI200&lt;&gt;"Yes","On time",IF(N(AC200)&gt;=MAX(N(AF200),N(K200)),"Wait for analyst",IF(N(AF200)&gt;=N(K200),"External sign-off","Rework"))))</f>
        <v/>
      </c>
      <c r="AK200" s="4" t="str">
        <f aca="false">IF($A200="","",IF(OR(F200="",Y200="",ISNA(MATCH(L200,Dim_Analyst!$A:$A,0))),"CHECK","OK"))</f>
        <v/>
      </c>
      <c r="AL200" s="4" t="str">
        <f aca="false">IF($A200="","",IFERROR(VLOOKUP($C200,Dim_Fund!$A:$U,21,0),""))</f>
        <v/>
      </c>
      <c r="AM200" s="4" t="str">
        <f aca="false">IF($A200="","",IF($U200="","",IF($U200&gt;$B200+IFERROR(VLOOKUP($C200,Dim_Fund!$A:$AH,34,0),0)/24,"Yes","No")))</f>
        <v/>
      </c>
      <c r="AN200" s="22" t="str">
        <f aca="false">IF($A200="","",IFERROR(VLOOKUP($C200,Dim_Fund!$A:$AH,34,0),""))</f>
        <v/>
      </c>
      <c r="AO200" s="22" t="str">
        <f aca="false">IF($A200="","",IF($AL200="","",IFERROR(FLOOR(IF(COUNTIFS(Fact_Milestone!$A:$A,$B200,Fact_Milestone!$B:$B,$AL200,Fact_Milestone!$F:$F,"&gt;0")&gt;0,_xlfn.MINIFS(Fact_Milestone!$F:$F,Fact_Milestone!$A:$A,$B200,Fact_Milestone!$B:$B,$AL200,Fact_Milestone!$F:$F,"&gt;0"),VLOOKUP($AL200,Dim_TOP!$A:$E,5,0)),0.5),"")))</f>
        <v/>
      </c>
      <c r="AP200" s="22" t="str">
        <f aca="false">IF($A200="","",IF($U200="","",ROUND(($U200-INT($U200))*24,4)))</f>
        <v/>
      </c>
      <c r="AQ200" s="22" t="str">
        <f aca="false">IF($A200="","",IF($W200="","",ROUND(($W200-INT($W200))*24,4)))</f>
        <v/>
      </c>
      <c r="AR200" s="22" t="str">
        <f aca="false">IF($A200="","",IF($X200="","",ROUND(($X200-INT($X200))*24,4)))</f>
        <v/>
      </c>
      <c r="AS200" s="38" t="str">
        <f aca="false">IF($A200="","",IF(OR($AN200="",$V200="",$S200="",$T200=""),"",ROUND(($V200-($B200+$AN200/24))*1440-$S200-$T200,0)))</f>
        <v/>
      </c>
      <c r="AT200" s="38" t="str">
        <f aca="false">IF($A200="","",IF(OR($AN200="",$U200=""),"",ROUND(($U200-($B200+$AN200/24))*1440,0)))</f>
        <v/>
      </c>
      <c r="AU200" s="38" t="str">
        <f aca="false">IF($A200="","",IF(OR($AD200="",$S200=""),"",ROUND($AD200-$S200,0)))</f>
        <v/>
      </c>
      <c r="AV200" s="38" t="str">
        <f aca="false">IF($A200="","",N($AE200))</f>
        <v/>
      </c>
      <c r="AW200" s="38" t="str">
        <f aca="false">IF($A200="","",IF(OR($AF200="",$T200=""),"",$AF200-$T200))</f>
        <v/>
      </c>
      <c r="AX200" s="38" t="str">
        <f aca="false">IF($A200="","",IF(COUNT($AT200,$AB200,$AU200,$AW200,$AS200,$AH200)&lt;6,"",ROUND($AT200+$AB200+$AU200+$AV200+$AW200-$AS200-$AH200,0)))</f>
        <v/>
      </c>
      <c r="AY200" s="4" t="str">
        <f aca="false">IF($A200="","",IF($AX200="","No",IF(ABS($AX200)&lt;=2,"Yes","No")))</f>
        <v/>
      </c>
      <c r="AZ200" s="4" t="str">
        <f aca="false">IF($A200="","",IF($AI200&lt;&gt;"Yes","n/a",IF(OR($AA200="",$S200="",$T200=""),"Unknown",IF($AA200&lt;$S200+$T200,"Lost on arrival","Lost after arrival"))))</f>
        <v/>
      </c>
      <c r="BA200" s="10" t="str">
        <f aca="false">IF($A200="","",IFERROR(VLOOKUP($C200,Dim_Fund!$A:$D,4,0),""))</f>
        <v/>
      </c>
      <c r="BB200" s="10" t="str">
        <f aca="false">IF($A200="","",IF($AL200="","",IF(COUNTIFS(Fact_Milestone!$A:$A,$B200,Fact_Milestone!$B:$B,$AL200,Fact_Milestone!$I:$I,"No")&gt;0,"No",IF(COUNTIFS(Fact_Milestone!$A:$A,$B200,Fact_Milestone!$B:$B,$AL200,Fact_Milestone!$I:$I,"Yes")&gt;0,"Yes",""))))</f>
        <v/>
      </c>
      <c r="BC200" s="45" t="str">
        <f aca="false">IF($A200="","",IF(OR($L200="",$W200=""),"",IF(COUNTIFS($L:$L,$L200,$B:$B,$B200,$W:$W,"&lt;"&amp;$W200)=0,"",_xlfn.MAXIFS($W:$W,$L:$L,$L200,$B:$B,$B200,$W:$W,"&lt;"&amp;$W200))))</f>
        <v/>
      </c>
      <c r="BD200" s="39" t="str">
        <f aca="false">IF($A200="","",IF($AC200="","",IF(OR($L200="",$AC200=0),0,MIN($AC200,ROUND(ROUND(1440*SUMPRODUCT(($L$2:INDEX($L:$L,COUNTA($C:$C))=$L200)*($B$2:INDEX($B:$B,COUNTA($C:$C))=$B200)*(ROW($L$2:INDEX($L:$L,COUNTA($C:$C)))&lt;&gt;ROW())*((((($W200+$BT$2:INDEX($BT:$BT,COUNTA($C:$C))-ABS($W200-$BT$2:INDEX($BT:$BT,COUNTA($C:$C))))/2)-(($U200+$BS$2:INDEX($BS:$BS,COUNTA($C:$C))+ABS($U200-$BS$2:INDEX($BS:$BS,COUNTA($C:$C))))/2))+ABS(((($W200+$BT$2:INDEX($BT:$BT,COUNTA($C:$C))-ABS($W200-$BT$2:INDEX($BT:$BT,COUNTA($C:$C))))/2)-(($U200+$BS$2:INDEX($BS:$BS,COUNTA($C:$C))+ABS($U200-$BS$2:INDEX($BS:$BS,COUNTA($C:$C))))/2))))/2)),4),0)))))</f>
        <v/>
      </c>
      <c r="BE200" s="39" t="str">
        <f aca="false">IF($A200="","",IF($AC200="","",ROUND(MIN($AC200-$BD200,N($R200)),0)))</f>
        <v/>
      </c>
      <c r="BF200" s="10" t="str">
        <f aca="false">IF($A200="","",IFERROR(VLOOKUP($C200,Dim_Fund!$A:$BD,56,0),""))</f>
        <v/>
      </c>
      <c r="BG200" s="10" t="str">
        <f aca="false">IF($A200="","",IFERROR(VLOOKUP($C200,Dim_Fund!$A:$BH,60,0),""))</f>
        <v/>
      </c>
      <c r="BH200" s="10" t="str">
        <f aca="false">IF($A200="","",IF($AI200&lt;&gt;"Yes","Not breached",IF($AM200="Yes","Pricing late",IF($BG200="Thin custody slack","Thin custody slack",IF($BF200="Yes","Broker-dependent","None of these")))))</f>
        <v/>
      </c>
      <c r="BI200" s="23" t="str">
        <f aca="false">IF($A200="","",IFERROR(IF(VLOOKUP($C200,Dim_Fund!$A:$AI,35,0)&gt;0,VLOOKUP($C200,Dim_Fund!$A:$AI,35,0),""),""))</f>
        <v/>
      </c>
      <c r="BJ200" s="10" t="str">
        <f aca="false">IF($A200="","",$C200&amp;IF($E200="Client","*",""))</f>
        <v/>
      </c>
      <c r="BK200" s="39" t="str">
        <f aca="false">IF($A200="","",IFERROR(ROUND(($Y200-$X200)*1440,0),""))</f>
        <v/>
      </c>
      <c r="BL200" s="39" t="str">
        <f aca="false">IF($A200="","",IF($AH200="","",-$AH200))</f>
        <v/>
      </c>
      <c r="BM200" s="46" t="str">
        <f aca="false">IF($A200="","",IF($AQ200="","",IF($AP200="",$AQ200,MIN($AP200,$AQ200))))</f>
        <v/>
      </c>
      <c r="BN200" s="46" t="str">
        <f aca="false">IF($A200="","",IF($BM200="","",ROUND(N($AC200)/60,4)))</f>
        <v/>
      </c>
      <c r="BO200" s="46" t="str">
        <f aca="false">IF($A200="","",IF(OR($BM200="",$AD200=""),"",ROUND($AD200/60,4)))</f>
        <v/>
      </c>
      <c r="BP200" s="46" t="str">
        <f aca="false">IF($A200="","",IF($BM200="","",ROUND(N($AE200)/60,4)))</f>
        <v/>
      </c>
      <c r="BQ200" s="46" t="str">
        <f aca="false">IF($A200="","",IF(OR($BM200="",$AF200=""),"",ROUND($AF200/60,4)))</f>
        <v/>
      </c>
      <c r="BR200" s="39" t="str">
        <f aca="false">IF($A200="","",IF($AC200="","",$AC200-$BD200-$BE200))</f>
        <v/>
      </c>
      <c r="BS200" s="45" t="str">
        <f aca="false">IF($A200="","",IF(AND(ISNUMBER($Z200),ISNUMBER($W200)),$Z200,0))</f>
        <v/>
      </c>
      <c r="BT200" s="45" t="str">
        <f aca="false">IF($A200="","",IF(ISNUMBER($W200),$W200,0))</f>
        <v/>
      </c>
      <c r="BU200" s="23" t="str">
        <f aca="false">IF($A200="","",IF(ISNUMBER($W200),ROUND(($W200-$B200)*24,4),""))</f>
        <v/>
      </c>
      <c r="BV200" s="23" t="str">
        <f aca="false">IF($A200="","",IF(ISNUMBER($X200),ROUND(($X200-$B200)*24,4),""))</f>
        <v/>
      </c>
      <c r="BW200" s="10" t="str">
        <f aca="false">IF($A200="","",IF(NOT(ISNUMBER($W200)),"Missing Calculated",IF(NOT(ISNUMBER($X200)),IF($E200="Client","Missing FA signed off","Missing Controlled"),IF($X200&lt;$W200,"End before start","OK"))))</f>
        <v/>
      </c>
      <c r="BX200" s="23" t="str">
        <f aca="false">IF($A200="","",IF(NOT(ISNUMBER($Z200)),"",ROUND((IF(ISNUMBER($U200),MIN($U200,$Z200),$Z200)-$B200)*24,4)))</f>
        <v/>
      </c>
      <c r="BY200" s="23" t="str">
        <f aca="false">IF($A200="","",IF(ISNUMBER($Z200),ROUND(($Z200-$B200)*24,4),""))</f>
        <v/>
      </c>
      <c r="BZ200" s="23" t="str">
        <f aca="false">IF($A200="","",IF(AND(ISNUMBER($W200),ISNUMBER($S200)),ROUND(($W200+$S200/1440-$B200)*24,4),""))</f>
        <v/>
      </c>
    </row>
    <row r="201" customFormat="false" ht="15" hidden="false" customHeight="true" outlineLevel="0" collapsed="false">
      <c r="A201" s="47"/>
      <c r="B201" s="47"/>
      <c r="D201" s="4" t="str">
        <f aca="false">IF($A201="","",$B201-$A201)</f>
        <v/>
      </c>
      <c r="E201" s="4" t="str">
        <f aca="false">IF($A201="","",IFERROR(VLOOKUP($C201,Dim_Fund!$A:$X,24,0),""))</f>
        <v/>
      </c>
      <c r="F201" s="37" t="str">
        <f aca="false">IF($A201="","",IF(COUNTIFS(Status_Log!$A:$A,$A201,Status_Log!$B:$B,$B201,Status_Log!$C:$C,$C201,Status_Log!$D:$D,"Changed to the status of Calculated")=0,"",_xlfn.MINIFS(Status_Log!$E:$E,Status_Log!$A:$A,$A201,Status_Log!$B:$B,$B201,Status_Log!$C:$C,$C201,Status_Log!$D:$D,"Changed to the status of Calculated")))</f>
        <v/>
      </c>
      <c r="G201" s="37" t="str">
        <f aca="false">IF($A201="","",IF(COUNTIFS(Status_Log!$A:$A,$A201,Status_Log!$B:$B,$B201,Status_Log!$C:$C,$C201,Status_Log!$D:$D,"Changed to the status of Controlled")=0,"",_xlfn.MAXIFS(Status_Log!$E:$E,Status_Log!$A:$A,$A201,Status_Log!$B:$B,$B201,Status_Log!$C:$C,$C201,Status_Log!$D:$D,"Changed to the status of Controlled")))</f>
        <v/>
      </c>
      <c r="H201" s="37" t="str">
        <f aca="false">IF($A201="","",IF(COUNTIFS(Status_Log!$A:$A,$A201,Status_Log!$B:$B,$B201,Status_Log!$C:$C,$C201,Status_Log!$D:$D,"Changed to the status of Fund accounting signed off")=0,"",_xlfn.MAXIFS(Status_Log!$E:$E,Status_Log!$A:$A,$A201,Status_Log!$B:$B,$B201,Status_Log!$C:$C,$C201,Status_Log!$D:$D,"Changed to the status of Fund accounting signed off")))</f>
        <v/>
      </c>
      <c r="I201" s="37" t="str">
        <f aca="false">IF($A201="","",IF(COUNTIFS(Status_Log!$A:$A,$A201,Status_Log!$B:$B,$B201,Status_Log!$C:$C,$C201,Status_Log!$D:$D,"Changed to the status of signed off")=0,"",_xlfn.MAXIFS(Status_Log!$E:$E,Status_Log!$A:$A,$A201,Status_Log!$B:$B,$B201,Status_Log!$C:$C,$C201,Status_Log!$D:$D,"Changed to the status of signed off")))</f>
        <v/>
      </c>
      <c r="J201" s="4" t="str">
        <f aca="false">IF($A201="","",COUNTIFS(Status_Log!$A:$A,$A201,Status_Log!$B:$B,$B201,Status_Log!$C:$C,$C201,Status_Log!$D:$D,"Changed to the status of Calculated"))</f>
        <v/>
      </c>
      <c r="K201" s="38" t="str">
        <f aca="false">IF($A201="","",IF(J201&lt;=1,0,ROUND((_xlfn.MAXIFS(Status_Log!$E:$E,Status_Log!$A:$A,$A201,Status_Log!$B:$B,$B201,Status_Log!$C:$C,$C201,Status_Log!$D:$D,"Changed to the status of Calculated")-F201)*1440,0)))</f>
        <v/>
      </c>
      <c r="L201" s="4" t="str">
        <f aca="false">IF($A201="","",IFERROR(INDEX(Status_Log!$F:$F,MATCH($A201&amp;"|"&amp;$B201&amp;"|"&amp;$C201&amp;"|Changed to the status of Calculated|"&amp;TEXT(_xlfn.MAXIFS(Status_Log!$E:$E,Status_Log!$A:$A,$A201,Status_Log!$B:$B,$B201,Status_Log!$C:$C,$C201,Status_Log!$D:$D,"Changed to the status of Calculated"),"0.000000"),Status_Log!$H:$H,0)),""))</f>
        <v/>
      </c>
      <c r="M201" s="4" t="str">
        <f aca="false">IF($A201="","",IF(E201="Client","n/a — no control step",IFERROR(INDEX(Status_Log!$F:$F,MATCH($A201&amp;"|"&amp;$B201&amp;"|"&amp;$C201&amp;"|Changed to the status of Controlled|"&amp;TEXT(_xlfn.MAXIFS(Status_Log!$E:$E,Status_Log!$A:$A,$A201,Status_Log!$B:$B,$B201,Status_Log!$C:$C,$C201,Status_Log!$D:$D,"Changed to the status of Controlled"),"0.000000"),Status_Log!$H:$H,0)),"")))</f>
        <v/>
      </c>
      <c r="N201" s="4" t="str">
        <f aca="false">IF($A201="","",IFERROR(VLOOKUP($C201,Dim_Fund!$A:$G,7,0),""))</f>
        <v/>
      </c>
      <c r="O201" s="4" t="str">
        <f aca="false">IF($A201="","",IF(L201=N201,"No","Yes"))</f>
        <v/>
      </c>
      <c r="P201" s="4" t="str">
        <f aca="false">IF($A201="","",IF(E201="Client","n/a",IF(L201=M201,"YES — four-eyes breach","No")))</f>
        <v/>
      </c>
      <c r="Q201" s="38" t="str">
        <f aca="false">IF($A201="","",IFERROR(VLOOKUP($C201,Dim_Fund!$A:$AB,28,0),""))</f>
        <v/>
      </c>
      <c r="R201" s="38" t="str">
        <f aca="false">IF($A201="","",IFERROR(VLOOKUP($C201,Dim_Fund!$A:$AC,29,0),""))</f>
        <v/>
      </c>
      <c r="S201" s="38" t="str">
        <f aca="false">IF($A201="","",IFERROR(VLOOKUP($C201,Dim_Fund!$A:$AD,30,0),""))</f>
        <v/>
      </c>
      <c r="T201" s="38" t="str">
        <f aca="false">IF($A201="","",IFERROR(VLOOKUP($C201,Dim_Fund!$A:$AL,38,0),""))</f>
        <v/>
      </c>
      <c r="U201" s="37" t="str">
        <f aca="false">IF($A201="","",IF(AL201="","",IFERROR(IF(COUNTIFS(Fact_Milestone!$A:$A,$B201,Fact_Milestone!$B:$B,AL201)=0,"",_xlfn.MAXIFS(Fact_Milestone!$C:$C,Fact_Milestone!$A:$A,$B201,Fact_Milestone!$B:$B,AL201)),"")))</f>
        <v/>
      </c>
      <c r="V201" s="37" t="str">
        <f aca="false">IF($A201="","",IFERROR(IF(VLOOKUP($C201,Dim_Fund!$A:$AI,35,0)&gt;0,$B201+VLOOKUP($C201,Dim_Fund!$A:$AI,35,0)/24,""),""))</f>
        <v/>
      </c>
      <c r="W201" s="37" t="str">
        <f aca="false">IF($A201="","",F201)</f>
        <v/>
      </c>
      <c r="X201" s="37" t="str">
        <f aca="false">IF($A201="","",IF(E201="Client",H201,G201))</f>
        <v/>
      </c>
      <c r="Y201" s="37" t="str">
        <f aca="false">IF($A201="","",I201)</f>
        <v/>
      </c>
      <c r="Z201" s="37" t="str">
        <f aca="false">IF($A201="","",IFERROR(W201-R201/1440,""))</f>
        <v/>
      </c>
      <c r="AA201" s="38" t="str">
        <f aca="false">IF($A201="","",IF(OR(U201="",V201=""),"",ROUND((V201-U201)*1440,0)))</f>
        <v/>
      </c>
      <c r="AB201" s="38" t="str">
        <f aca="false">IF($A201="","",IF(U201="","",ROUND((W201-U201)*1440,0)))</f>
        <v/>
      </c>
      <c r="AC201" s="38" t="str">
        <f aca="false">IF($A201="","",IF(AB201="","",MAX(0,AB201)))</f>
        <v/>
      </c>
      <c r="AD201" s="38" t="str">
        <f aca="false">IF($A201="","",IFERROR(ROUND((X201-W201)*1440,0),""))</f>
        <v/>
      </c>
      <c r="AE201" s="38" t="str">
        <f aca="false">IF($A201="","",IF(E201="Client","n/a",IFERROR(ROUND((H201-G201)*1440,0),"")))</f>
        <v/>
      </c>
      <c r="AF201" s="38" t="str">
        <f aca="false">IF($A201="","",IFERROR(ROUND((Y201-H201)*1440,0),""))</f>
        <v/>
      </c>
      <c r="AG201" s="38" t="str">
        <f aca="false">IF($A201="","",IFERROR(ROUND((H201-F201)*1440,0),""))</f>
        <v/>
      </c>
      <c r="AH201" s="38" t="str">
        <f aca="false">IF($A201="","",IFERROR(ROUND((Y201-V201)*1440,0),""))</f>
        <v/>
      </c>
      <c r="AI201" s="4" t="str">
        <f aca="false">IF($A201="","",IF(AH201="","",IF(AH201&gt;0,"Yes","No")))</f>
        <v/>
      </c>
      <c r="AJ201" s="4" t="str">
        <f aca="false">IF($A201="","",IF(AI201&lt;&gt;"Yes","On time",IF(N(AC201)&gt;=MAX(N(AF201),N(K201)),"Wait for analyst",IF(N(AF201)&gt;=N(K201),"External sign-off","Rework"))))</f>
        <v/>
      </c>
      <c r="AK201" s="4" t="str">
        <f aca="false">IF($A201="","",IF(OR(F201="",Y201="",ISNA(MATCH(L201,Dim_Analyst!$A:$A,0))),"CHECK","OK"))</f>
        <v/>
      </c>
      <c r="AL201" s="4" t="str">
        <f aca="false">IF($A201="","",IFERROR(VLOOKUP($C201,Dim_Fund!$A:$U,21,0),""))</f>
        <v/>
      </c>
      <c r="AM201" s="4" t="str">
        <f aca="false">IF($A201="","",IF($U201="","",IF($U201&gt;$B201+IFERROR(VLOOKUP($C201,Dim_Fund!$A:$AH,34,0),0)/24,"Yes","No")))</f>
        <v/>
      </c>
      <c r="AN201" s="22" t="str">
        <f aca="false">IF($A201="","",IFERROR(VLOOKUP($C201,Dim_Fund!$A:$AH,34,0),""))</f>
        <v/>
      </c>
      <c r="AO201" s="22" t="str">
        <f aca="false">IF($A201="","",IF($AL201="","",IFERROR(FLOOR(IF(COUNTIFS(Fact_Milestone!$A:$A,$B201,Fact_Milestone!$B:$B,$AL201,Fact_Milestone!$F:$F,"&gt;0")&gt;0,_xlfn.MINIFS(Fact_Milestone!$F:$F,Fact_Milestone!$A:$A,$B201,Fact_Milestone!$B:$B,$AL201,Fact_Milestone!$F:$F,"&gt;0"),VLOOKUP($AL201,Dim_TOP!$A:$E,5,0)),0.5),"")))</f>
        <v/>
      </c>
      <c r="AP201" s="22" t="str">
        <f aca="false">IF($A201="","",IF($U201="","",ROUND(($U201-INT($U201))*24,4)))</f>
        <v/>
      </c>
      <c r="AQ201" s="22" t="str">
        <f aca="false">IF($A201="","",IF($W201="","",ROUND(($W201-INT($W201))*24,4)))</f>
        <v/>
      </c>
      <c r="AR201" s="22" t="str">
        <f aca="false">IF($A201="","",IF($X201="","",ROUND(($X201-INT($X201))*24,4)))</f>
        <v/>
      </c>
      <c r="AS201" s="38" t="str">
        <f aca="false">IF($A201="","",IF(OR($AN201="",$V201="",$S201="",$T201=""),"",ROUND(($V201-($B201+$AN201/24))*1440-$S201-$T201,0)))</f>
        <v/>
      </c>
      <c r="AT201" s="38" t="str">
        <f aca="false">IF($A201="","",IF(OR($AN201="",$U201=""),"",ROUND(($U201-($B201+$AN201/24))*1440,0)))</f>
        <v/>
      </c>
      <c r="AU201" s="38" t="str">
        <f aca="false">IF($A201="","",IF(OR($AD201="",$S201=""),"",ROUND($AD201-$S201,0)))</f>
        <v/>
      </c>
      <c r="AV201" s="38" t="str">
        <f aca="false">IF($A201="","",N($AE201))</f>
        <v/>
      </c>
      <c r="AW201" s="38" t="str">
        <f aca="false">IF($A201="","",IF(OR($AF201="",$T201=""),"",$AF201-$T201))</f>
        <v/>
      </c>
      <c r="AX201" s="38" t="str">
        <f aca="false">IF($A201="","",IF(COUNT($AT201,$AB201,$AU201,$AW201,$AS201,$AH201)&lt;6,"",ROUND($AT201+$AB201+$AU201+$AV201+$AW201-$AS201-$AH201,0)))</f>
        <v/>
      </c>
      <c r="AY201" s="4" t="str">
        <f aca="false">IF($A201="","",IF($AX201="","No",IF(ABS($AX201)&lt;=2,"Yes","No")))</f>
        <v/>
      </c>
      <c r="AZ201" s="4" t="str">
        <f aca="false">IF($A201="","",IF($AI201&lt;&gt;"Yes","n/a",IF(OR($AA201="",$S201="",$T201=""),"Unknown",IF($AA201&lt;$S201+$T201,"Lost on arrival","Lost after arrival"))))</f>
        <v/>
      </c>
      <c r="BA201" s="10" t="str">
        <f aca="false">IF($A201="","",IFERROR(VLOOKUP($C201,Dim_Fund!$A:$D,4,0),""))</f>
        <v/>
      </c>
      <c r="BB201" s="10" t="str">
        <f aca="false">IF($A201="","",IF($AL201="","",IF(COUNTIFS(Fact_Milestone!$A:$A,$B201,Fact_Milestone!$B:$B,$AL201,Fact_Milestone!$I:$I,"No")&gt;0,"No",IF(COUNTIFS(Fact_Milestone!$A:$A,$B201,Fact_Milestone!$B:$B,$AL201,Fact_Milestone!$I:$I,"Yes")&gt;0,"Yes",""))))</f>
        <v/>
      </c>
      <c r="BC201" s="45" t="str">
        <f aca="false">IF($A201="","",IF(OR($L201="",$W201=""),"",IF(COUNTIFS($L:$L,$L201,$B:$B,$B201,$W:$W,"&lt;"&amp;$W201)=0,"",_xlfn.MAXIFS($W:$W,$L:$L,$L201,$B:$B,$B201,$W:$W,"&lt;"&amp;$W201))))</f>
        <v/>
      </c>
      <c r="BD201" s="39" t="str">
        <f aca="false">IF($A201="","",IF($AC201="","",IF(OR($L201="",$AC201=0),0,MIN($AC201,ROUND(ROUND(1440*SUMPRODUCT(($L$2:INDEX($L:$L,COUNTA($C:$C))=$L201)*($B$2:INDEX($B:$B,COUNTA($C:$C))=$B201)*(ROW($L$2:INDEX($L:$L,COUNTA($C:$C)))&lt;&gt;ROW())*((((($W201+$BT$2:INDEX($BT:$BT,COUNTA($C:$C))-ABS($W201-$BT$2:INDEX($BT:$BT,COUNTA($C:$C))))/2)-(($U201+$BS$2:INDEX($BS:$BS,COUNTA($C:$C))+ABS($U201-$BS$2:INDEX($BS:$BS,COUNTA($C:$C))))/2))+ABS(((($W201+$BT$2:INDEX($BT:$BT,COUNTA($C:$C))-ABS($W201-$BT$2:INDEX($BT:$BT,COUNTA($C:$C))))/2)-(($U201+$BS$2:INDEX($BS:$BS,COUNTA($C:$C))+ABS($U201-$BS$2:INDEX($BS:$BS,COUNTA($C:$C))))/2))))/2)),4),0)))))</f>
        <v/>
      </c>
      <c r="BE201" s="39" t="str">
        <f aca="false">IF($A201="","",IF($AC201="","",ROUND(MIN($AC201-$BD201,N($R201)),0)))</f>
        <v/>
      </c>
      <c r="BF201" s="10" t="str">
        <f aca="false">IF($A201="","",IFERROR(VLOOKUP($C201,Dim_Fund!$A:$BD,56,0),""))</f>
        <v/>
      </c>
      <c r="BG201" s="10" t="str">
        <f aca="false">IF($A201="","",IFERROR(VLOOKUP($C201,Dim_Fund!$A:$BH,60,0),""))</f>
        <v/>
      </c>
      <c r="BH201" s="10" t="str">
        <f aca="false">IF($A201="","",IF($AI201&lt;&gt;"Yes","Not breached",IF($AM201="Yes","Pricing late",IF($BG201="Thin custody slack","Thin custody slack",IF($BF201="Yes","Broker-dependent","None of these")))))</f>
        <v/>
      </c>
      <c r="BI201" s="23" t="str">
        <f aca="false">IF($A201="","",IFERROR(IF(VLOOKUP($C201,Dim_Fund!$A:$AI,35,0)&gt;0,VLOOKUP($C201,Dim_Fund!$A:$AI,35,0),""),""))</f>
        <v/>
      </c>
      <c r="BJ201" s="10" t="str">
        <f aca="false">IF($A201="","",$C201&amp;IF($E201="Client","*",""))</f>
        <v/>
      </c>
      <c r="BK201" s="39" t="str">
        <f aca="false">IF($A201="","",IFERROR(ROUND(($Y201-$X201)*1440,0),""))</f>
        <v/>
      </c>
      <c r="BL201" s="39" t="str">
        <f aca="false">IF($A201="","",IF($AH201="","",-$AH201))</f>
        <v/>
      </c>
      <c r="BM201" s="46" t="str">
        <f aca="false">IF($A201="","",IF($AQ201="","",IF($AP201="",$AQ201,MIN($AP201,$AQ201))))</f>
        <v/>
      </c>
      <c r="BN201" s="46" t="str">
        <f aca="false">IF($A201="","",IF($BM201="","",ROUND(N($AC201)/60,4)))</f>
        <v/>
      </c>
      <c r="BO201" s="46" t="str">
        <f aca="false">IF($A201="","",IF(OR($BM201="",$AD201=""),"",ROUND($AD201/60,4)))</f>
        <v/>
      </c>
      <c r="BP201" s="46" t="str">
        <f aca="false">IF($A201="","",IF($BM201="","",ROUND(N($AE201)/60,4)))</f>
        <v/>
      </c>
      <c r="BQ201" s="46" t="str">
        <f aca="false">IF($A201="","",IF(OR($BM201="",$AF201=""),"",ROUND($AF201/60,4)))</f>
        <v/>
      </c>
      <c r="BR201" s="39" t="str">
        <f aca="false">IF($A201="","",IF($AC201="","",$AC201-$BD201-$BE201))</f>
        <v/>
      </c>
      <c r="BS201" s="45" t="str">
        <f aca="false">IF($A201="","",IF(AND(ISNUMBER($Z201),ISNUMBER($W201)),$Z201,0))</f>
        <v/>
      </c>
      <c r="BT201" s="45" t="str">
        <f aca="false">IF($A201="","",IF(ISNUMBER($W201),$W201,0))</f>
        <v/>
      </c>
      <c r="BU201" s="23" t="str">
        <f aca="false">IF($A201="","",IF(ISNUMBER($W201),ROUND(($W201-$B201)*24,4),""))</f>
        <v/>
      </c>
      <c r="BV201" s="23" t="str">
        <f aca="false">IF($A201="","",IF(ISNUMBER($X201),ROUND(($X201-$B201)*24,4),""))</f>
        <v/>
      </c>
      <c r="BW201" s="10" t="str">
        <f aca="false">IF($A201="","",IF(NOT(ISNUMBER($W201)),"Missing Calculated",IF(NOT(ISNUMBER($X201)),IF($E201="Client","Missing FA signed off","Missing Controlled"),IF($X201&lt;$W201,"End before start","OK"))))</f>
        <v/>
      </c>
      <c r="BX201" s="23" t="str">
        <f aca="false">IF($A201="","",IF(NOT(ISNUMBER($Z201)),"",ROUND((IF(ISNUMBER($U201),MIN($U201,$Z201),$Z201)-$B201)*24,4)))</f>
        <v/>
      </c>
      <c r="BY201" s="23" t="str">
        <f aca="false">IF($A201="","",IF(ISNUMBER($Z201),ROUND(($Z201-$B201)*24,4),""))</f>
        <v/>
      </c>
      <c r="BZ201" s="23" t="str">
        <f aca="false">IF($A201="","",IF(AND(ISNUMBER($W201),ISNUMBER($S201)),ROUND(($W201+$S201/1440-$B201)*24,4),""))</f>
        <v/>
      </c>
    </row>
    <row r="202" customFormat="false" ht="15" hidden="false" customHeight="true" outlineLevel="0" collapsed="false">
      <c r="A202" s="47"/>
      <c r="B202" s="47"/>
      <c r="D202" s="4" t="str">
        <f aca="false">IF($A202="","",$B202-$A202)</f>
        <v/>
      </c>
      <c r="E202" s="4" t="str">
        <f aca="false">IF($A202="","",IFERROR(VLOOKUP($C202,Dim_Fund!$A:$X,24,0),""))</f>
        <v/>
      </c>
      <c r="F202" s="37" t="str">
        <f aca="false">IF($A202="","",IF(COUNTIFS(Status_Log!$A:$A,$A202,Status_Log!$B:$B,$B202,Status_Log!$C:$C,$C202,Status_Log!$D:$D,"Changed to the status of Calculated")=0,"",_xlfn.MINIFS(Status_Log!$E:$E,Status_Log!$A:$A,$A202,Status_Log!$B:$B,$B202,Status_Log!$C:$C,$C202,Status_Log!$D:$D,"Changed to the status of Calculated")))</f>
        <v/>
      </c>
      <c r="G202" s="37" t="str">
        <f aca="false">IF($A202="","",IF(COUNTIFS(Status_Log!$A:$A,$A202,Status_Log!$B:$B,$B202,Status_Log!$C:$C,$C202,Status_Log!$D:$D,"Changed to the status of Controlled")=0,"",_xlfn.MAXIFS(Status_Log!$E:$E,Status_Log!$A:$A,$A202,Status_Log!$B:$B,$B202,Status_Log!$C:$C,$C202,Status_Log!$D:$D,"Changed to the status of Controlled")))</f>
        <v/>
      </c>
      <c r="H202" s="37" t="str">
        <f aca="false">IF($A202="","",IF(COUNTIFS(Status_Log!$A:$A,$A202,Status_Log!$B:$B,$B202,Status_Log!$C:$C,$C202,Status_Log!$D:$D,"Changed to the status of Fund accounting signed off")=0,"",_xlfn.MAXIFS(Status_Log!$E:$E,Status_Log!$A:$A,$A202,Status_Log!$B:$B,$B202,Status_Log!$C:$C,$C202,Status_Log!$D:$D,"Changed to the status of Fund accounting signed off")))</f>
        <v/>
      </c>
      <c r="I202" s="37" t="str">
        <f aca="false">IF($A202="","",IF(COUNTIFS(Status_Log!$A:$A,$A202,Status_Log!$B:$B,$B202,Status_Log!$C:$C,$C202,Status_Log!$D:$D,"Changed to the status of signed off")=0,"",_xlfn.MAXIFS(Status_Log!$E:$E,Status_Log!$A:$A,$A202,Status_Log!$B:$B,$B202,Status_Log!$C:$C,$C202,Status_Log!$D:$D,"Changed to the status of signed off")))</f>
        <v/>
      </c>
      <c r="J202" s="4" t="str">
        <f aca="false">IF($A202="","",COUNTIFS(Status_Log!$A:$A,$A202,Status_Log!$B:$B,$B202,Status_Log!$C:$C,$C202,Status_Log!$D:$D,"Changed to the status of Calculated"))</f>
        <v/>
      </c>
      <c r="K202" s="38" t="str">
        <f aca="false">IF($A202="","",IF(J202&lt;=1,0,ROUND((_xlfn.MAXIFS(Status_Log!$E:$E,Status_Log!$A:$A,$A202,Status_Log!$B:$B,$B202,Status_Log!$C:$C,$C202,Status_Log!$D:$D,"Changed to the status of Calculated")-F202)*1440,0)))</f>
        <v/>
      </c>
      <c r="L202" s="4" t="str">
        <f aca="false">IF($A202="","",IFERROR(INDEX(Status_Log!$F:$F,MATCH($A202&amp;"|"&amp;$B202&amp;"|"&amp;$C202&amp;"|Changed to the status of Calculated|"&amp;TEXT(_xlfn.MAXIFS(Status_Log!$E:$E,Status_Log!$A:$A,$A202,Status_Log!$B:$B,$B202,Status_Log!$C:$C,$C202,Status_Log!$D:$D,"Changed to the status of Calculated"),"0.000000"),Status_Log!$H:$H,0)),""))</f>
        <v/>
      </c>
      <c r="M202" s="4" t="str">
        <f aca="false">IF($A202="","",IF(E202="Client","n/a — no control step",IFERROR(INDEX(Status_Log!$F:$F,MATCH($A202&amp;"|"&amp;$B202&amp;"|"&amp;$C202&amp;"|Changed to the status of Controlled|"&amp;TEXT(_xlfn.MAXIFS(Status_Log!$E:$E,Status_Log!$A:$A,$A202,Status_Log!$B:$B,$B202,Status_Log!$C:$C,$C202,Status_Log!$D:$D,"Changed to the status of Controlled"),"0.000000"),Status_Log!$H:$H,0)),"")))</f>
        <v/>
      </c>
      <c r="N202" s="4" t="str">
        <f aca="false">IF($A202="","",IFERROR(VLOOKUP($C202,Dim_Fund!$A:$G,7,0),""))</f>
        <v/>
      </c>
      <c r="O202" s="4" t="str">
        <f aca="false">IF($A202="","",IF(L202=N202,"No","Yes"))</f>
        <v/>
      </c>
      <c r="P202" s="4" t="str">
        <f aca="false">IF($A202="","",IF(E202="Client","n/a",IF(L202=M202,"YES — four-eyes breach","No")))</f>
        <v/>
      </c>
      <c r="Q202" s="38" t="str">
        <f aca="false">IF($A202="","",IFERROR(VLOOKUP($C202,Dim_Fund!$A:$AB,28,0),""))</f>
        <v/>
      </c>
      <c r="R202" s="38" t="str">
        <f aca="false">IF($A202="","",IFERROR(VLOOKUP($C202,Dim_Fund!$A:$AC,29,0),""))</f>
        <v/>
      </c>
      <c r="S202" s="38" t="str">
        <f aca="false">IF($A202="","",IFERROR(VLOOKUP($C202,Dim_Fund!$A:$AD,30,0),""))</f>
        <v/>
      </c>
      <c r="T202" s="38" t="str">
        <f aca="false">IF($A202="","",IFERROR(VLOOKUP($C202,Dim_Fund!$A:$AL,38,0),""))</f>
        <v/>
      </c>
      <c r="U202" s="37" t="str">
        <f aca="false">IF($A202="","",IF(AL202="","",IFERROR(IF(COUNTIFS(Fact_Milestone!$A:$A,$B202,Fact_Milestone!$B:$B,AL202)=0,"",_xlfn.MAXIFS(Fact_Milestone!$C:$C,Fact_Milestone!$A:$A,$B202,Fact_Milestone!$B:$B,AL202)),"")))</f>
        <v/>
      </c>
      <c r="V202" s="37" t="str">
        <f aca="false">IF($A202="","",IFERROR(IF(VLOOKUP($C202,Dim_Fund!$A:$AI,35,0)&gt;0,$B202+VLOOKUP($C202,Dim_Fund!$A:$AI,35,0)/24,""),""))</f>
        <v/>
      </c>
      <c r="W202" s="37" t="str">
        <f aca="false">IF($A202="","",F202)</f>
        <v/>
      </c>
      <c r="X202" s="37" t="str">
        <f aca="false">IF($A202="","",IF(E202="Client",H202,G202))</f>
        <v/>
      </c>
      <c r="Y202" s="37" t="str">
        <f aca="false">IF($A202="","",I202)</f>
        <v/>
      </c>
      <c r="Z202" s="37" t="str">
        <f aca="false">IF($A202="","",IFERROR(W202-R202/1440,""))</f>
        <v/>
      </c>
      <c r="AA202" s="38" t="str">
        <f aca="false">IF($A202="","",IF(OR(U202="",V202=""),"",ROUND((V202-U202)*1440,0)))</f>
        <v/>
      </c>
      <c r="AB202" s="38" t="str">
        <f aca="false">IF($A202="","",IF(U202="","",ROUND((W202-U202)*1440,0)))</f>
        <v/>
      </c>
      <c r="AC202" s="38" t="str">
        <f aca="false">IF($A202="","",IF(AB202="","",MAX(0,AB202)))</f>
        <v/>
      </c>
      <c r="AD202" s="38" t="str">
        <f aca="false">IF($A202="","",IFERROR(ROUND((X202-W202)*1440,0),""))</f>
        <v/>
      </c>
      <c r="AE202" s="38" t="str">
        <f aca="false">IF($A202="","",IF(E202="Client","n/a",IFERROR(ROUND((H202-G202)*1440,0),"")))</f>
        <v/>
      </c>
      <c r="AF202" s="38" t="str">
        <f aca="false">IF($A202="","",IFERROR(ROUND((Y202-H202)*1440,0),""))</f>
        <v/>
      </c>
      <c r="AG202" s="38" t="str">
        <f aca="false">IF($A202="","",IFERROR(ROUND((H202-F202)*1440,0),""))</f>
        <v/>
      </c>
      <c r="AH202" s="38" t="str">
        <f aca="false">IF($A202="","",IFERROR(ROUND((Y202-V202)*1440,0),""))</f>
        <v/>
      </c>
      <c r="AI202" s="4" t="str">
        <f aca="false">IF($A202="","",IF(AH202="","",IF(AH202&gt;0,"Yes","No")))</f>
        <v/>
      </c>
      <c r="AJ202" s="4" t="str">
        <f aca="false">IF($A202="","",IF(AI202&lt;&gt;"Yes","On time",IF(N(AC202)&gt;=MAX(N(AF202),N(K202)),"Wait for analyst",IF(N(AF202)&gt;=N(K202),"External sign-off","Rework"))))</f>
        <v/>
      </c>
      <c r="AK202" s="4" t="str">
        <f aca="false">IF($A202="","",IF(OR(F202="",Y202="",ISNA(MATCH(L202,Dim_Analyst!$A:$A,0))),"CHECK","OK"))</f>
        <v/>
      </c>
      <c r="AL202" s="4" t="str">
        <f aca="false">IF($A202="","",IFERROR(VLOOKUP($C202,Dim_Fund!$A:$U,21,0),""))</f>
        <v/>
      </c>
      <c r="AM202" s="4" t="str">
        <f aca="false">IF($A202="","",IF($U202="","",IF($U202&gt;$B202+IFERROR(VLOOKUP($C202,Dim_Fund!$A:$AH,34,0),0)/24,"Yes","No")))</f>
        <v/>
      </c>
      <c r="AN202" s="22" t="str">
        <f aca="false">IF($A202="","",IFERROR(VLOOKUP($C202,Dim_Fund!$A:$AH,34,0),""))</f>
        <v/>
      </c>
      <c r="AO202" s="22" t="str">
        <f aca="false">IF($A202="","",IF($AL202="","",IFERROR(FLOOR(IF(COUNTIFS(Fact_Milestone!$A:$A,$B202,Fact_Milestone!$B:$B,$AL202,Fact_Milestone!$F:$F,"&gt;0")&gt;0,_xlfn.MINIFS(Fact_Milestone!$F:$F,Fact_Milestone!$A:$A,$B202,Fact_Milestone!$B:$B,$AL202,Fact_Milestone!$F:$F,"&gt;0"),VLOOKUP($AL202,Dim_TOP!$A:$E,5,0)),0.5),"")))</f>
        <v/>
      </c>
      <c r="AP202" s="22" t="str">
        <f aca="false">IF($A202="","",IF($U202="","",ROUND(($U202-INT($U202))*24,4)))</f>
        <v/>
      </c>
      <c r="AQ202" s="22" t="str">
        <f aca="false">IF($A202="","",IF($W202="","",ROUND(($W202-INT($W202))*24,4)))</f>
        <v/>
      </c>
      <c r="AR202" s="22" t="str">
        <f aca="false">IF($A202="","",IF($X202="","",ROUND(($X202-INT($X202))*24,4)))</f>
        <v/>
      </c>
      <c r="AS202" s="38" t="str">
        <f aca="false">IF($A202="","",IF(OR($AN202="",$V202="",$S202="",$T202=""),"",ROUND(($V202-($B202+$AN202/24))*1440-$S202-$T202,0)))</f>
        <v/>
      </c>
      <c r="AT202" s="38" t="str">
        <f aca="false">IF($A202="","",IF(OR($AN202="",$U202=""),"",ROUND(($U202-($B202+$AN202/24))*1440,0)))</f>
        <v/>
      </c>
      <c r="AU202" s="38" t="str">
        <f aca="false">IF($A202="","",IF(OR($AD202="",$S202=""),"",ROUND($AD202-$S202,0)))</f>
        <v/>
      </c>
      <c r="AV202" s="38" t="str">
        <f aca="false">IF($A202="","",N($AE202))</f>
        <v/>
      </c>
      <c r="AW202" s="38" t="str">
        <f aca="false">IF($A202="","",IF(OR($AF202="",$T202=""),"",$AF202-$T202))</f>
        <v/>
      </c>
      <c r="AX202" s="38" t="str">
        <f aca="false">IF($A202="","",IF(COUNT($AT202,$AB202,$AU202,$AW202,$AS202,$AH202)&lt;6,"",ROUND($AT202+$AB202+$AU202+$AV202+$AW202-$AS202-$AH202,0)))</f>
        <v/>
      </c>
      <c r="AY202" s="4" t="str">
        <f aca="false">IF($A202="","",IF($AX202="","No",IF(ABS($AX202)&lt;=2,"Yes","No")))</f>
        <v/>
      </c>
      <c r="AZ202" s="4" t="str">
        <f aca="false">IF($A202="","",IF($AI202&lt;&gt;"Yes","n/a",IF(OR($AA202="",$S202="",$T202=""),"Unknown",IF($AA202&lt;$S202+$T202,"Lost on arrival","Lost after arrival"))))</f>
        <v/>
      </c>
      <c r="BA202" s="10" t="str">
        <f aca="false">IF($A202="","",IFERROR(VLOOKUP($C202,Dim_Fund!$A:$D,4,0),""))</f>
        <v/>
      </c>
      <c r="BB202" s="10" t="str">
        <f aca="false">IF($A202="","",IF($AL202="","",IF(COUNTIFS(Fact_Milestone!$A:$A,$B202,Fact_Milestone!$B:$B,$AL202,Fact_Milestone!$I:$I,"No")&gt;0,"No",IF(COUNTIFS(Fact_Milestone!$A:$A,$B202,Fact_Milestone!$B:$B,$AL202,Fact_Milestone!$I:$I,"Yes")&gt;0,"Yes",""))))</f>
        <v/>
      </c>
      <c r="BC202" s="45" t="str">
        <f aca="false">IF($A202="","",IF(OR($L202="",$W202=""),"",IF(COUNTIFS($L:$L,$L202,$B:$B,$B202,$W:$W,"&lt;"&amp;$W202)=0,"",_xlfn.MAXIFS($W:$W,$L:$L,$L202,$B:$B,$B202,$W:$W,"&lt;"&amp;$W202))))</f>
        <v/>
      </c>
      <c r="BD202" s="39" t="str">
        <f aca="false">IF($A202="","",IF($AC202="","",IF(OR($L202="",$AC202=0),0,MIN($AC202,ROUND(ROUND(1440*SUMPRODUCT(($L$2:INDEX($L:$L,COUNTA($C:$C))=$L202)*($B$2:INDEX($B:$B,COUNTA($C:$C))=$B202)*(ROW($L$2:INDEX($L:$L,COUNTA($C:$C)))&lt;&gt;ROW())*((((($W202+$BT$2:INDEX($BT:$BT,COUNTA($C:$C))-ABS($W202-$BT$2:INDEX($BT:$BT,COUNTA($C:$C))))/2)-(($U202+$BS$2:INDEX($BS:$BS,COUNTA($C:$C))+ABS($U202-$BS$2:INDEX($BS:$BS,COUNTA($C:$C))))/2))+ABS(((($W202+$BT$2:INDEX($BT:$BT,COUNTA($C:$C))-ABS($W202-$BT$2:INDEX($BT:$BT,COUNTA($C:$C))))/2)-(($U202+$BS$2:INDEX($BS:$BS,COUNTA($C:$C))+ABS($U202-$BS$2:INDEX($BS:$BS,COUNTA($C:$C))))/2))))/2)),4),0)))))</f>
        <v/>
      </c>
      <c r="BE202" s="39" t="str">
        <f aca="false">IF($A202="","",IF($AC202="","",ROUND(MIN($AC202-$BD202,N($R202)),0)))</f>
        <v/>
      </c>
      <c r="BF202" s="10" t="str">
        <f aca="false">IF($A202="","",IFERROR(VLOOKUP($C202,Dim_Fund!$A:$BD,56,0),""))</f>
        <v/>
      </c>
      <c r="BG202" s="10" t="str">
        <f aca="false">IF($A202="","",IFERROR(VLOOKUP($C202,Dim_Fund!$A:$BH,60,0),""))</f>
        <v/>
      </c>
      <c r="BH202" s="10" t="str">
        <f aca="false">IF($A202="","",IF($AI202&lt;&gt;"Yes","Not breached",IF($AM202="Yes","Pricing late",IF($BG202="Thin custody slack","Thin custody slack",IF($BF202="Yes","Broker-dependent","None of these")))))</f>
        <v/>
      </c>
      <c r="BI202" s="23" t="str">
        <f aca="false">IF($A202="","",IFERROR(IF(VLOOKUP($C202,Dim_Fund!$A:$AI,35,0)&gt;0,VLOOKUP($C202,Dim_Fund!$A:$AI,35,0),""),""))</f>
        <v/>
      </c>
      <c r="BJ202" s="10" t="str">
        <f aca="false">IF($A202="","",$C202&amp;IF($E202="Client","*",""))</f>
        <v/>
      </c>
      <c r="BK202" s="39" t="str">
        <f aca="false">IF($A202="","",IFERROR(ROUND(($Y202-$X202)*1440,0),""))</f>
        <v/>
      </c>
      <c r="BL202" s="39" t="str">
        <f aca="false">IF($A202="","",IF($AH202="","",-$AH202))</f>
        <v/>
      </c>
      <c r="BM202" s="46" t="str">
        <f aca="false">IF($A202="","",IF($AQ202="","",IF($AP202="",$AQ202,MIN($AP202,$AQ202))))</f>
        <v/>
      </c>
      <c r="BN202" s="46" t="str">
        <f aca="false">IF($A202="","",IF($BM202="","",ROUND(N($AC202)/60,4)))</f>
        <v/>
      </c>
      <c r="BO202" s="46" t="str">
        <f aca="false">IF($A202="","",IF(OR($BM202="",$AD202=""),"",ROUND($AD202/60,4)))</f>
        <v/>
      </c>
      <c r="BP202" s="46" t="str">
        <f aca="false">IF($A202="","",IF($BM202="","",ROUND(N($AE202)/60,4)))</f>
        <v/>
      </c>
      <c r="BQ202" s="46" t="str">
        <f aca="false">IF($A202="","",IF(OR($BM202="",$AF202=""),"",ROUND($AF202/60,4)))</f>
        <v/>
      </c>
      <c r="BR202" s="39" t="str">
        <f aca="false">IF($A202="","",IF($AC202="","",$AC202-$BD202-$BE202))</f>
        <v/>
      </c>
      <c r="BS202" s="45" t="str">
        <f aca="false">IF($A202="","",IF(AND(ISNUMBER($Z202),ISNUMBER($W202)),$Z202,0))</f>
        <v/>
      </c>
      <c r="BT202" s="45" t="str">
        <f aca="false">IF($A202="","",IF(ISNUMBER($W202),$W202,0))</f>
        <v/>
      </c>
      <c r="BU202" s="23" t="str">
        <f aca="false">IF($A202="","",IF(ISNUMBER($W202),ROUND(($W202-$B202)*24,4),""))</f>
        <v/>
      </c>
      <c r="BV202" s="23" t="str">
        <f aca="false">IF($A202="","",IF(ISNUMBER($X202),ROUND(($X202-$B202)*24,4),""))</f>
        <v/>
      </c>
      <c r="BW202" s="10" t="str">
        <f aca="false">IF($A202="","",IF(NOT(ISNUMBER($W202)),"Missing Calculated",IF(NOT(ISNUMBER($X202)),IF($E202="Client","Missing FA signed off","Missing Controlled"),IF($X202&lt;$W202,"End before start","OK"))))</f>
        <v/>
      </c>
      <c r="BX202" s="23" t="str">
        <f aca="false">IF($A202="","",IF(NOT(ISNUMBER($Z202)),"",ROUND((IF(ISNUMBER($U202),MIN($U202,$Z202),$Z202)-$B202)*24,4)))</f>
        <v/>
      </c>
      <c r="BY202" s="23" t="str">
        <f aca="false">IF($A202="","",IF(ISNUMBER($Z202),ROUND(($Z202-$B202)*24,4),""))</f>
        <v/>
      </c>
      <c r="BZ202" s="23" t="str">
        <f aca="false">IF($A202="","",IF(AND(ISNUMBER($W202),ISNUMBER($S202)),ROUND(($W202+$S202/1440-$B202)*24,4),""))</f>
        <v/>
      </c>
    </row>
    <row r="203" customFormat="false" ht="15" hidden="false" customHeight="true" outlineLevel="0" collapsed="false">
      <c r="A203" s="47"/>
      <c r="B203" s="47"/>
      <c r="D203" s="4" t="str">
        <f aca="false">IF($A203="","",$B203-$A203)</f>
        <v/>
      </c>
      <c r="E203" s="4" t="str">
        <f aca="false">IF($A203="","",IFERROR(VLOOKUP($C203,Dim_Fund!$A:$X,24,0),""))</f>
        <v/>
      </c>
      <c r="F203" s="37" t="str">
        <f aca="false">IF($A203="","",IF(COUNTIFS(Status_Log!$A:$A,$A203,Status_Log!$B:$B,$B203,Status_Log!$C:$C,$C203,Status_Log!$D:$D,"Changed to the status of Calculated")=0,"",_xlfn.MINIFS(Status_Log!$E:$E,Status_Log!$A:$A,$A203,Status_Log!$B:$B,$B203,Status_Log!$C:$C,$C203,Status_Log!$D:$D,"Changed to the status of Calculated")))</f>
        <v/>
      </c>
      <c r="G203" s="37" t="str">
        <f aca="false">IF($A203="","",IF(COUNTIFS(Status_Log!$A:$A,$A203,Status_Log!$B:$B,$B203,Status_Log!$C:$C,$C203,Status_Log!$D:$D,"Changed to the status of Controlled")=0,"",_xlfn.MAXIFS(Status_Log!$E:$E,Status_Log!$A:$A,$A203,Status_Log!$B:$B,$B203,Status_Log!$C:$C,$C203,Status_Log!$D:$D,"Changed to the status of Controlled")))</f>
        <v/>
      </c>
      <c r="H203" s="37" t="str">
        <f aca="false">IF($A203="","",IF(COUNTIFS(Status_Log!$A:$A,$A203,Status_Log!$B:$B,$B203,Status_Log!$C:$C,$C203,Status_Log!$D:$D,"Changed to the status of Fund accounting signed off")=0,"",_xlfn.MAXIFS(Status_Log!$E:$E,Status_Log!$A:$A,$A203,Status_Log!$B:$B,$B203,Status_Log!$C:$C,$C203,Status_Log!$D:$D,"Changed to the status of Fund accounting signed off")))</f>
        <v/>
      </c>
      <c r="I203" s="37" t="str">
        <f aca="false">IF($A203="","",IF(COUNTIFS(Status_Log!$A:$A,$A203,Status_Log!$B:$B,$B203,Status_Log!$C:$C,$C203,Status_Log!$D:$D,"Changed to the status of signed off")=0,"",_xlfn.MAXIFS(Status_Log!$E:$E,Status_Log!$A:$A,$A203,Status_Log!$B:$B,$B203,Status_Log!$C:$C,$C203,Status_Log!$D:$D,"Changed to the status of signed off")))</f>
        <v/>
      </c>
      <c r="J203" s="4" t="str">
        <f aca="false">IF($A203="","",COUNTIFS(Status_Log!$A:$A,$A203,Status_Log!$B:$B,$B203,Status_Log!$C:$C,$C203,Status_Log!$D:$D,"Changed to the status of Calculated"))</f>
        <v/>
      </c>
      <c r="K203" s="38" t="str">
        <f aca="false">IF($A203="","",IF(J203&lt;=1,0,ROUND((_xlfn.MAXIFS(Status_Log!$E:$E,Status_Log!$A:$A,$A203,Status_Log!$B:$B,$B203,Status_Log!$C:$C,$C203,Status_Log!$D:$D,"Changed to the status of Calculated")-F203)*1440,0)))</f>
        <v/>
      </c>
      <c r="L203" s="4" t="str">
        <f aca="false">IF($A203="","",IFERROR(INDEX(Status_Log!$F:$F,MATCH($A203&amp;"|"&amp;$B203&amp;"|"&amp;$C203&amp;"|Changed to the status of Calculated|"&amp;TEXT(_xlfn.MAXIFS(Status_Log!$E:$E,Status_Log!$A:$A,$A203,Status_Log!$B:$B,$B203,Status_Log!$C:$C,$C203,Status_Log!$D:$D,"Changed to the status of Calculated"),"0.000000"),Status_Log!$H:$H,0)),""))</f>
        <v/>
      </c>
      <c r="M203" s="4" t="str">
        <f aca="false">IF($A203="","",IF(E203="Client","n/a — no control step",IFERROR(INDEX(Status_Log!$F:$F,MATCH($A203&amp;"|"&amp;$B203&amp;"|"&amp;$C203&amp;"|Changed to the status of Controlled|"&amp;TEXT(_xlfn.MAXIFS(Status_Log!$E:$E,Status_Log!$A:$A,$A203,Status_Log!$B:$B,$B203,Status_Log!$C:$C,$C203,Status_Log!$D:$D,"Changed to the status of Controlled"),"0.000000"),Status_Log!$H:$H,0)),"")))</f>
        <v/>
      </c>
      <c r="N203" s="4" t="str">
        <f aca="false">IF($A203="","",IFERROR(VLOOKUP($C203,Dim_Fund!$A:$G,7,0),""))</f>
        <v/>
      </c>
      <c r="O203" s="4" t="str">
        <f aca="false">IF($A203="","",IF(L203=N203,"No","Yes"))</f>
        <v/>
      </c>
      <c r="P203" s="4" t="str">
        <f aca="false">IF($A203="","",IF(E203="Client","n/a",IF(L203=M203,"YES — four-eyes breach","No")))</f>
        <v/>
      </c>
      <c r="Q203" s="38" t="str">
        <f aca="false">IF($A203="","",IFERROR(VLOOKUP($C203,Dim_Fund!$A:$AB,28,0),""))</f>
        <v/>
      </c>
      <c r="R203" s="38" t="str">
        <f aca="false">IF($A203="","",IFERROR(VLOOKUP($C203,Dim_Fund!$A:$AC,29,0),""))</f>
        <v/>
      </c>
      <c r="S203" s="38" t="str">
        <f aca="false">IF($A203="","",IFERROR(VLOOKUP($C203,Dim_Fund!$A:$AD,30,0),""))</f>
        <v/>
      </c>
      <c r="T203" s="38" t="str">
        <f aca="false">IF($A203="","",IFERROR(VLOOKUP($C203,Dim_Fund!$A:$AL,38,0),""))</f>
        <v/>
      </c>
      <c r="U203" s="37" t="str">
        <f aca="false">IF($A203="","",IF(AL203="","",IFERROR(IF(COUNTIFS(Fact_Milestone!$A:$A,$B203,Fact_Milestone!$B:$B,AL203)=0,"",_xlfn.MAXIFS(Fact_Milestone!$C:$C,Fact_Milestone!$A:$A,$B203,Fact_Milestone!$B:$B,AL203)),"")))</f>
        <v/>
      </c>
      <c r="V203" s="37" t="str">
        <f aca="false">IF($A203="","",IFERROR(IF(VLOOKUP($C203,Dim_Fund!$A:$AI,35,0)&gt;0,$B203+VLOOKUP($C203,Dim_Fund!$A:$AI,35,0)/24,""),""))</f>
        <v/>
      </c>
      <c r="W203" s="37" t="str">
        <f aca="false">IF($A203="","",F203)</f>
        <v/>
      </c>
      <c r="X203" s="37" t="str">
        <f aca="false">IF($A203="","",IF(E203="Client",H203,G203))</f>
        <v/>
      </c>
      <c r="Y203" s="37" t="str">
        <f aca="false">IF($A203="","",I203)</f>
        <v/>
      </c>
      <c r="Z203" s="37" t="str">
        <f aca="false">IF($A203="","",IFERROR(W203-R203/1440,""))</f>
        <v/>
      </c>
      <c r="AA203" s="38" t="str">
        <f aca="false">IF($A203="","",IF(OR(U203="",V203=""),"",ROUND((V203-U203)*1440,0)))</f>
        <v/>
      </c>
      <c r="AB203" s="38" t="str">
        <f aca="false">IF($A203="","",IF(U203="","",ROUND((W203-U203)*1440,0)))</f>
        <v/>
      </c>
      <c r="AC203" s="38" t="str">
        <f aca="false">IF($A203="","",IF(AB203="","",MAX(0,AB203)))</f>
        <v/>
      </c>
      <c r="AD203" s="38" t="str">
        <f aca="false">IF($A203="","",IFERROR(ROUND((X203-W203)*1440,0),""))</f>
        <v/>
      </c>
      <c r="AE203" s="38" t="str">
        <f aca="false">IF($A203="","",IF(E203="Client","n/a",IFERROR(ROUND((H203-G203)*1440,0),"")))</f>
        <v/>
      </c>
      <c r="AF203" s="38" t="str">
        <f aca="false">IF($A203="","",IFERROR(ROUND((Y203-H203)*1440,0),""))</f>
        <v/>
      </c>
      <c r="AG203" s="38" t="str">
        <f aca="false">IF($A203="","",IFERROR(ROUND((H203-F203)*1440,0),""))</f>
        <v/>
      </c>
      <c r="AH203" s="38" t="str">
        <f aca="false">IF($A203="","",IFERROR(ROUND((Y203-V203)*1440,0),""))</f>
        <v/>
      </c>
      <c r="AI203" s="4" t="str">
        <f aca="false">IF($A203="","",IF(AH203="","",IF(AH203&gt;0,"Yes","No")))</f>
        <v/>
      </c>
      <c r="AJ203" s="4" t="str">
        <f aca="false">IF($A203="","",IF(AI203&lt;&gt;"Yes","On time",IF(N(AC203)&gt;=MAX(N(AF203),N(K203)),"Wait for analyst",IF(N(AF203)&gt;=N(K203),"External sign-off","Rework"))))</f>
        <v/>
      </c>
      <c r="AK203" s="4" t="str">
        <f aca="false">IF($A203="","",IF(OR(F203="",Y203="",ISNA(MATCH(L203,Dim_Analyst!$A:$A,0))),"CHECK","OK"))</f>
        <v/>
      </c>
      <c r="AL203" s="4" t="str">
        <f aca="false">IF($A203="","",IFERROR(VLOOKUP($C203,Dim_Fund!$A:$U,21,0),""))</f>
        <v/>
      </c>
      <c r="AM203" s="4" t="str">
        <f aca="false">IF($A203="","",IF($U203="","",IF($U203&gt;$B203+IFERROR(VLOOKUP($C203,Dim_Fund!$A:$AH,34,0),0)/24,"Yes","No")))</f>
        <v/>
      </c>
      <c r="AN203" s="22" t="str">
        <f aca="false">IF($A203="","",IFERROR(VLOOKUP($C203,Dim_Fund!$A:$AH,34,0),""))</f>
        <v/>
      </c>
      <c r="AO203" s="22" t="str">
        <f aca="false">IF($A203="","",IF($AL203="","",IFERROR(FLOOR(IF(COUNTIFS(Fact_Milestone!$A:$A,$B203,Fact_Milestone!$B:$B,$AL203,Fact_Milestone!$F:$F,"&gt;0")&gt;0,_xlfn.MINIFS(Fact_Milestone!$F:$F,Fact_Milestone!$A:$A,$B203,Fact_Milestone!$B:$B,$AL203,Fact_Milestone!$F:$F,"&gt;0"),VLOOKUP($AL203,Dim_TOP!$A:$E,5,0)),0.5),"")))</f>
        <v/>
      </c>
      <c r="AP203" s="22" t="str">
        <f aca="false">IF($A203="","",IF($U203="","",ROUND(($U203-INT($U203))*24,4)))</f>
        <v/>
      </c>
      <c r="AQ203" s="22" t="str">
        <f aca="false">IF($A203="","",IF($W203="","",ROUND(($W203-INT($W203))*24,4)))</f>
        <v/>
      </c>
      <c r="AR203" s="22" t="str">
        <f aca="false">IF($A203="","",IF($X203="","",ROUND(($X203-INT($X203))*24,4)))</f>
        <v/>
      </c>
      <c r="AS203" s="38" t="str">
        <f aca="false">IF($A203="","",IF(OR($AN203="",$V203="",$S203="",$T203=""),"",ROUND(($V203-($B203+$AN203/24))*1440-$S203-$T203,0)))</f>
        <v/>
      </c>
      <c r="AT203" s="38" t="str">
        <f aca="false">IF($A203="","",IF(OR($AN203="",$U203=""),"",ROUND(($U203-($B203+$AN203/24))*1440,0)))</f>
        <v/>
      </c>
      <c r="AU203" s="38" t="str">
        <f aca="false">IF($A203="","",IF(OR($AD203="",$S203=""),"",ROUND($AD203-$S203,0)))</f>
        <v/>
      </c>
      <c r="AV203" s="38" t="str">
        <f aca="false">IF($A203="","",N($AE203))</f>
        <v/>
      </c>
      <c r="AW203" s="38" t="str">
        <f aca="false">IF($A203="","",IF(OR($AF203="",$T203=""),"",$AF203-$T203))</f>
        <v/>
      </c>
      <c r="AX203" s="38" t="str">
        <f aca="false">IF($A203="","",IF(COUNT($AT203,$AB203,$AU203,$AW203,$AS203,$AH203)&lt;6,"",ROUND($AT203+$AB203+$AU203+$AV203+$AW203-$AS203-$AH203,0)))</f>
        <v/>
      </c>
      <c r="AY203" s="4" t="str">
        <f aca="false">IF($A203="","",IF($AX203="","No",IF(ABS($AX203)&lt;=2,"Yes","No")))</f>
        <v/>
      </c>
      <c r="AZ203" s="4" t="str">
        <f aca="false">IF($A203="","",IF($AI203&lt;&gt;"Yes","n/a",IF(OR($AA203="",$S203="",$T203=""),"Unknown",IF($AA203&lt;$S203+$T203,"Lost on arrival","Lost after arrival"))))</f>
        <v/>
      </c>
      <c r="BA203" s="10" t="str">
        <f aca="false">IF($A203="","",IFERROR(VLOOKUP($C203,Dim_Fund!$A:$D,4,0),""))</f>
        <v/>
      </c>
      <c r="BB203" s="10" t="str">
        <f aca="false">IF($A203="","",IF($AL203="","",IF(COUNTIFS(Fact_Milestone!$A:$A,$B203,Fact_Milestone!$B:$B,$AL203,Fact_Milestone!$I:$I,"No")&gt;0,"No",IF(COUNTIFS(Fact_Milestone!$A:$A,$B203,Fact_Milestone!$B:$B,$AL203,Fact_Milestone!$I:$I,"Yes")&gt;0,"Yes",""))))</f>
        <v/>
      </c>
      <c r="BC203" s="45" t="str">
        <f aca="false">IF($A203="","",IF(OR($L203="",$W203=""),"",IF(COUNTIFS($L:$L,$L203,$B:$B,$B203,$W:$W,"&lt;"&amp;$W203)=0,"",_xlfn.MAXIFS($W:$W,$L:$L,$L203,$B:$B,$B203,$W:$W,"&lt;"&amp;$W203))))</f>
        <v/>
      </c>
      <c r="BD203" s="39" t="str">
        <f aca="false">IF($A203="","",IF($AC203="","",IF(OR($L203="",$AC203=0),0,MIN($AC203,ROUND(ROUND(1440*SUMPRODUCT(($L$2:INDEX($L:$L,COUNTA($C:$C))=$L203)*($B$2:INDEX($B:$B,COUNTA($C:$C))=$B203)*(ROW($L$2:INDEX($L:$L,COUNTA($C:$C)))&lt;&gt;ROW())*((((($W203+$BT$2:INDEX($BT:$BT,COUNTA($C:$C))-ABS($W203-$BT$2:INDEX($BT:$BT,COUNTA($C:$C))))/2)-(($U203+$BS$2:INDEX($BS:$BS,COUNTA($C:$C))+ABS($U203-$BS$2:INDEX($BS:$BS,COUNTA($C:$C))))/2))+ABS(((($W203+$BT$2:INDEX($BT:$BT,COUNTA($C:$C))-ABS($W203-$BT$2:INDEX($BT:$BT,COUNTA($C:$C))))/2)-(($U203+$BS$2:INDEX($BS:$BS,COUNTA($C:$C))+ABS($U203-$BS$2:INDEX($BS:$BS,COUNTA($C:$C))))/2))))/2)),4),0)))))</f>
        <v/>
      </c>
      <c r="BE203" s="39" t="str">
        <f aca="false">IF($A203="","",IF($AC203="","",ROUND(MIN($AC203-$BD203,N($R203)),0)))</f>
        <v/>
      </c>
      <c r="BF203" s="10" t="str">
        <f aca="false">IF($A203="","",IFERROR(VLOOKUP($C203,Dim_Fund!$A:$BD,56,0),""))</f>
        <v/>
      </c>
      <c r="BG203" s="10" t="str">
        <f aca="false">IF($A203="","",IFERROR(VLOOKUP($C203,Dim_Fund!$A:$BH,60,0),""))</f>
        <v/>
      </c>
      <c r="BH203" s="10" t="str">
        <f aca="false">IF($A203="","",IF($AI203&lt;&gt;"Yes","Not breached",IF($AM203="Yes","Pricing late",IF($BG203="Thin custody slack","Thin custody slack",IF($BF203="Yes","Broker-dependent","None of these")))))</f>
        <v/>
      </c>
      <c r="BI203" s="23" t="str">
        <f aca="false">IF($A203="","",IFERROR(IF(VLOOKUP($C203,Dim_Fund!$A:$AI,35,0)&gt;0,VLOOKUP($C203,Dim_Fund!$A:$AI,35,0),""),""))</f>
        <v/>
      </c>
      <c r="BJ203" s="10" t="str">
        <f aca="false">IF($A203="","",$C203&amp;IF($E203="Client","*",""))</f>
        <v/>
      </c>
      <c r="BK203" s="39" t="str">
        <f aca="false">IF($A203="","",IFERROR(ROUND(($Y203-$X203)*1440,0),""))</f>
        <v/>
      </c>
      <c r="BL203" s="39" t="str">
        <f aca="false">IF($A203="","",IF($AH203="","",-$AH203))</f>
        <v/>
      </c>
      <c r="BM203" s="46" t="str">
        <f aca="false">IF($A203="","",IF($AQ203="","",IF($AP203="",$AQ203,MIN($AP203,$AQ203))))</f>
        <v/>
      </c>
      <c r="BN203" s="46" t="str">
        <f aca="false">IF($A203="","",IF($BM203="","",ROUND(N($AC203)/60,4)))</f>
        <v/>
      </c>
      <c r="BO203" s="46" t="str">
        <f aca="false">IF($A203="","",IF(OR($BM203="",$AD203=""),"",ROUND($AD203/60,4)))</f>
        <v/>
      </c>
      <c r="BP203" s="46" t="str">
        <f aca="false">IF($A203="","",IF($BM203="","",ROUND(N($AE203)/60,4)))</f>
        <v/>
      </c>
      <c r="BQ203" s="46" t="str">
        <f aca="false">IF($A203="","",IF(OR($BM203="",$AF203=""),"",ROUND($AF203/60,4)))</f>
        <v/>
      </c>
      <c r="BR203" s="39" t="str">
        <f aca="false">IF($A203="","",IF($AC203="","",$AC203-$BD203-$BE203))</f>
        <v/>
      </c>
      <c r="BS203" s="45" t="str">
        <f aca="false">IF($A203="","",IF(AND(ISNUMBER($Z203),ISNUMBER($W203)),$Z203,0))</f>
        <v/>
      </c>
      <c r="BT203" s="45" t="str">
        <f aca="false">IF($A203="","",IF(ISNUMBER($W203),$W203,0))</f>
        <v/>
      </c>
      <c r="BU203" s="23" t="str">
        <f aca="false">IF($A203="","",IF(ISNUMBER($W203),ROUND(($W203-$B203)*24,4),""))</f>
        <v/>
      </c>
      <c r="BV203" s="23" t="str">
        <f aca="false">IF($A203="","",IF(ISNUMBER($X203),ROUND(($X203-$B203)*24,4),""))</f>
        <v/>
      </c>
      <c r="BW203" s="10" t="str">
        <f aca="false">IF($A203="","",IF(NOT(ISNUMBER($W203)),"Missing Calculated",IF(NOT(ISNUMBER($X203)),IF($E203="Client","Missing FA signed off","Missing Controlled"),IF($X203&lt;$W203,"End before start","OK"))))</f>
        <v/>
      </c>
      <c r="BX203" s="23" t="str">
        <f aca="false">IF($A203="","",IF(NOT(ISNUMBER($Z203)),"",ROUND((IF(ISNUMBER($U203),MIN($U203,$Z203),$Z203)-$B203)*24,4)))</f>
        <v/>
      </c>
      <c r="BY203" s="23" t="str">
        <f aca="false">IF($A203="","",IF(ISNUMBER($Z203),ROUND(($Z203-$B203)*24,4),""))</f>
        <v/>
      </c>
      <c r="BZ203" s="23" t="str">
        <f aca="false">IF($A203="","",IF(AND(ISNUMBER($W203),ISNUMBER($S203)),ROUND(($W203+$S203/1440-$B203)*24,4),""))</f>
        <v/>
      </c>
    </row>
    <row r="204" customFormat="false" ht="15" hidden="false" customHeight="true" outlineLevel="0" collapsed="false">
      <c r="A204" s="47"/>
      <c r="B204" s="47"/>
      <c r="D204" s="4" t="str">
        <f aca="false">IF($A204="","",$B204-$A204)</f>
        <v/>
      </c>
      <c r="E204" s="4" t="str">
        <f aca="false">IF($A204="","",IFERROR(VLOOKUP($C204,Dim_Fund!$A:$X,24,0),""))</f>
        <v/>
      </c>
      <c r="F204" s="37" t="str">
        <f aca="false">IF($A204="","",IF(COUNTIFS(Status_Log!$A:$A,$A204,Status_Log!$B:$B,$B204,Status_Log!$C:$C,$C204,Status_Log!$D:$D,"Changed to the status of Calculated")=0,"",_xlfn.MINIFS(Status_Log!$E:$E,Status_Log!$A:$A,$A204,Status_Log!$B:$B,$B204,Status_Log!$C:$C,$C204,Status_Log!$D:$D,"Changed to the status of Calculated")))</f>
        <v/>
      </c>
      <c r="G204" s="37" t="str">
        <f aca="false">IF($A204="","",IF(COUNTIFS(Status_Log!$A:$A,$A204,Status_Log!$B:$B,$B204,Status_Log!$C:$C,$C204,Status_Log!$D:$D,"Changed to the status of Controlled")=0,"",_xlfn.MAXIFS(Status_Log!$E:$E,Status_Log!$A:$A,$A204,Status_Log!$B:$B,$B204,Status_Log!$C:$C,$C204,Status_Log!$D:$D,"Changed to the status of Controlled")))</f>
        <v/>
      </c>
      <c r="H204" s="37" t="str">
        <f aca="false">IF($A204="","",IF(COUNTIFS(Status_Log!$A:$A,$A204,Status_Log!$B:$B,$B204,Status_Log!$C:$C,$C204,Status_Log!$D:$D,"Changed to the status of Fund accounting signed off")=0,"",_xlfn.MAXIFS(Status_Log!$E:$E,Status_Log!$A:$A,$A204,Status_Log!$B:$B,$B204,Status_Log!$C:$C,$C204,Status_Log!$D:$D,"Changed to the status of Fund accounting signed off")))</f>
        <v/>
      </c>
      <c r="I204" s="37" t="str">
        <f aca="false">IF($A204="","",IF(COUNTIFS(Status_Log!$A:$A,$A204,Status_Log!$B:$B,$B204,Status_Log!$C:$C,$C204,Status_Log!$D:$D,"Changed to the status of signed off")=0,"",_xlfn.MAXIFS(Status_Log!$E:$E,Status_Log!$A:$A,$A204,Status_Log!$B:$B,$B204,Status_Log!$C:$C,$C204,Status_Log!$D:$D,"Changed to the status of signed off")))</f>
        <v/>
      </c>
      <c r="J204" s="4" t="str">
        <f aca="false">IF($A204="","",COUNTIFS(Status_Log!$A:$A,$A204,Status_Log!$B:$B,$B204,Status_Log!$C:$C,$C204,Status_Log!$D:$D,"Changed to the status of Calculated"))</f>
        <v/>
      </c>
      <c r="K204" s="38" t="str">
        <f aca="false">IF($A204="","",IF(J204&lt;=1,0,ROUND((_xlfn.MAXIFS(Status_Log!$E:$E,Status_Log!$A:$A,$A204,Status_Log!$B:$B,$B204,Status_Log!$C:$C,$C204,Status_Log!$D:$D,"Changed to the status of Calculated")-F204)*1440,0)))</f>
        <v/>
      </c>
      <c r="L204" s="4" t="str">
        <f aca="false">IF($A204="","",IFERROR(INDEX(Status_Log!$F:$F,MATCH($A204&amp;"|"&amp;$B204&amp;"|"&amp;$C204&amp;"|Changed to the status of Calculated|"&amp;TEXT(_xlfn.MAXIFS(Status_Log!$E:$E,Status_Log!$A:$A,$A204,Status_Log!$B:$B,$B204,Status_Log!$C:$C,$C204,Status_Log!$D:$D,"Changed to the status of Calculated"),"0.000000"),Status_Log!$H:$H,0)),""))</f>
        <v/>
      </c>
      <c r="M204" s="4" t="str">
        <f aca="false">IF($A204="","",IF(E204="Client","n/a — no control step",IFERROR(INDEX(Status_Log!$F:$F,MATCH($A204&amp;"|"&amp;$B204&amp;"|"&amp;$C204&amp;"|Changed to the status of Controlled|"&amp;TEXT(_xlfn.MAXIFS(Status_Log!$E:$E,Status_Log!$A:$A,$A204,Status_Log!$B:$B,$B204,Status_Log!$C:$C,$C204,Status_Log!$D:$D,"Changed to the status of Controlled"),"0.000000"),Status_Log!$H:$H,0)),"")))</f>
        <v/>
      </c>
      <c r="N204" s="4" t="str">
        <f aca="false">IF($A204="","",IFERROR(VLOOKUP($C204,Dim_Fund!$A:$G,7,0),""))</f>
        <v/>
      </c>
      <c r="O204" s="4" t="str">
        <f aca="false">IF($A204="","",IF(L204=N204,"No","Yes"))</f>
        <v/>
      </c>
      <c r="P204" s="4" t="str">
        <f aca="false">IF($A204="","",IF(E204="Client","n/a",IF(L204=M204,"YES — four-eyes breach","No")))</f>
        <v/>
      </c>
      <c r="Q204" s="38" t="str">
        <f aca="false">IF($A204="","",IFERROR(VLOOKUP($C204,Dim_Fund!$A:$AB,28,0),""))</f>
        <v/>
      </c>
      <c r="R204" s="38" t="str">
        <f aca="false">IF($A204="","",IFERROR(VLOOKUP($C204,Dim_Fund!$A:$AC,29,0),""))</f>
        <v/>
      </c>
      <c r="S204" s="38" t="str">
        <f aca="false">IF($A204="","",IFERROR(VLOOKUP($C204,Dim_Fund!$A:$AD,30,0),""))</f>
        <v/>
      </c>
      <c r="T204" s="38" t="str">
        <f aca="false">IF($A204="","",IFERROR(VLOOKUP($C204,Dim_Fund!$A:$AL,38,0),""))</f>
        <v/>
      </c>
      <c r="U204" s="37" t="str">
        <f aca="false">IF($A204="","",IF(AL204="","",IFERROR(IF(COUNTIFS(Fact_Milestone!$A:$A,$B204,Fact_Milestone!$B:$B,AL204)=0,"",_xlfn.MAXIFS(Fact_Milestone!$C:$C,Fact_Milestone!$A:$A,$B204,Fact_Milestone!$B:$B,AL204)),"")))</f>
        <v/>
      </c>
      <c r="V204" s="37" t="str">
        <f aca="false">IF($A204="","",IFERROR(IF(VLOOKUP($C204,Dim_Fund!$A:$AI,35,0)&gt;0,$B204+VLOOKUP($C204,Dim_Fund!$A:$AI,35,0)/24,""),""))</f>
        <v/>
      </c>
      <c r="W204" s="37" t="str">
        <f aca="false">IF($A204="","",F204)</f>
        <v/>
      </c>
      <c r="X204" s="37" t="str">
        <f aca="false">IF($A204="","",IF(E204="Client",H204,G204))</f>
        <v/>
      </c>
      <c r="Y204" s="37" t="str">
        <f aca="false">IF($A204="","",I204)</f>
        <v/>
      </c>
      <c r="Z204" s="37" t="str">
        <f aca="false">IF($A204="","",IFERROR(W204-R204/1440,""))</f>
        <v/>
      </c>
      <c r="AA204" s="38" t="str">
        <f aca="false">IF($A204="","",IF(OR(U204="",V204=""),"",ROUND((V204-U204)*1440,0)))</f>
        <v/>
      </c>
      <c r="AB204" s="38" t="str">
        <f aca="false">IF($A204="","",IF(U204="","",ROUND((W204-U204)*1440,0)))</f>
        <v/>
      </c>
      <c r="AC204" s="38" t="str">
        <f aca="false">IF($A204="","",IF(AB204="","",MAX(0,AB204)))</f>
        <v/>
      </c>
      <c r="AD204" s="38" t="str">
        <f aca="false">IF($A204="","",IFERROR(ROUND((X204-W204)*1440,0),""))</f>
        <v/>
      </c>
      <c r="AE204" s="38" t="str">
        <f aca="false">IF($A204="","",IF(E204="Client","n/a",IFERROR(ROUND((H204-G204)*1440,0),"")))</f>
        <v/>
      </c>
      <c r="AF204" s="38" t="str">
        <f aca="false">IF($A204="","",IFERROR(ROUND((Y204-H204)*1440,0),""))</f>
        <v/>
      </c>
      <c r="AG204" s="38" t="str">
        <f aca="false">IF($A204="","",IFERROR(ROUND((H204-F204)*1440,0),""))</f>
        <v/>
      </c>
      <c r="AH204" s="38" t="str">
        <f aca="false">IF($A204="","",IFERROR(ROUND((Y204-V204)*1440,0),""))</f>
        <v/>
      </c>
      <c r="AI204" s="4" t="str">
        <f aca="false">IF($A204="","",IF(AH204="","",IF(AH204&gt;0,"Yes","No")))</f>
        <v/>
      </c>
      <c r="AJ204" s="4" t="str">
        <f aca="false">IF($A204="","",IF(AI204&lt;&gt;"Yes","On time",IF(N(AC204)&gt;=MAX(N(AF204),N(K204)),"Wait for analyst",IF(N(AF204)&gt;=N(K204),"External sign-off","Rework"))))</f>
        <v/>
      </c>
      <c r="AK204" s="4" t="str">
        <f aca="false">IF($A204="","",IF(OR(F204="",Y204="",ISNA(MATCH(L204,Dim_Analyst!$A:$A,0))),"CHECK","OK"))</f>
        <v/>
      </c>
      <c r="AL204" s="4" t="str">
        <f aca="false">IF($A204="","",IFERROR(VLOOKUP($C204,Dim_Fund!$A:$U,21,0),""))</f>
        <v/>
      </c>
      <c r="AM204" s="4" t="str">
        <f aca="false">IF($A204="","",IF($U204="","",IF($U204&gt;$B204+IFERROR(VLOOKUP($C204,Dim_Fund!$A:$AH,34,0),0)/24,"Yes","No")))</f>
        <v/>
      </c>
      <c r="AN204" s="22" t="str">
        <f aca="false">IF($A204="","",IFERROR(VLOOKUP($C204,Dim_Fund!$A:$AH,34,0),""))</f>
        <v/>
      </c>
      <c r="AO204" s="22" t="str">
        <f aca="false">IF($A204="","",IF($AL204="","",IFERROR(FLOOR(IF(COUNTIFS(Fact_Milestone!$A:$A,$B204,Fact_Milestone!$B:$B,$AL204,Fact_Milestone!$F:$F,"&gt;0")&gt;0,_xlfn.MINIFS(Fact_Milestone!$F:$F,Fact_Milestone!$A:$A,$B204,Fact_Milestone!$B:$B,$AL204,Fact_Milestone!$F:$F,"&gt;0"),VLOOKUP($AL204,Dim_TOP!$A:$E,5,0)),0.5),"")))</f>
        <v/>
      </c>
      <c r="AP204" s="22" t="str">
        <f aca="false">IF($A204="","",IF($U204="","",ROUND(($U204-INT($U204))*24,4)))</f>
        <v/>
      </c>
      <c r="AQ204" s="22" t="str">
        <f aca="false">IF($A204="","",IF($W204="","",ROUND(($W204-INT($W204))*24,4)))</f>
        <v/>
      </c>
      <c r="AR204" s="22" t="str">
        <f aca="false">IF($A204="","",IF($X204="","",ROUND(($X204-INT($X204))*24,4)))</f>
        <v/>
      </c>
      <c r="AS204" s="38" t="str">
        <f aca="false">IF($A204="","",IF(OR($AN204="",$V204="",$S204="",$T204=""),"",ROUND(($V204-($B204+$AN204/24))*1440-$S204-$T204,0)))</f>
        <v/>
      </c>
      <c r="AT204" s="38" t="str">
        <f aca="false">IF($A204="","",IF(OR($AN204="",$U204=""),"",ROUND(($U204-($B204+$AN204/24))*1440,0)))</f>
        <v/>
      </c>
      <c r="AU204" s="38" t="str">
        <f aca="false">IF($A204="","",IF(OR($AD204="",$S204=""),"",ROUND($AD204-$S204,0)))</f>
        <v/>
      </c>
      <c r="AV204" s="38" t="str">
        <f aca="false">IF($A204="","",N($AE204))</f>
        <v/>
      </c>
      <c r="AW204" s="38" t="str">
        <f aca="false">IF($A204="","",IF(OR($AF204="",$T204=""),"",$AF204-$T204))</f>
        <v/>
      </c>
      <c r="AX204" s="38" t="str">
        <f aca="false">IF($A204="","",IF(COUNT($AT204,$AB204,$AU204,$AW204,$AS204,$AH204)&lt;6,"",ROUND($AT204+$AB204+$AU204+$AV204+$AW204-$AS204-$AH204,0)))</f>
        <v/>
      </c>
      <c r="AY204" s="4" t="str">
        <f aca="false">IF($A204="","",IF($AX204="","No",IF(ABS($AX204)&lt;=2,"Yes","No")))</f>
        <v/>
      </c>
      <c r="AZ204" s="4" t="str">
        <f aca="false">IF($A204="","",IF($AI204&lt;&gt;"Yes","n/a",IF(OR($AA204="",$S204="",$T204=""),"Unknown",IF($AA204&lt;$S204+$T204,"Lost on arrival","Lost after arrival"))))</f>
        <v/>
      </c>
      <c r="BA204" s="10" t="str">
        <f aca="false">IF($A204="","",IFERROR(VLOOKUP($C204,Dim_Fund!$A:$D,4,0),""))</f>
        <v/>
      </c>
      <c r="BB204" s="10" t="str">
        <f aca="false">IF($A204="","",IF($AL204="","",IF(COUNTIFS(Fact_Milestone!$A:$A,$B204,Fact_Milestone!$B:$B,$AL204,Fact_Milestone!$I:$I,"No")&gt;0,"No",IF(COUNTIFS(Fact_Milestone!$A:$A,$B204,Fact_Milestone!$B:$B,$AL204,Fact_Milestone!$I:$I,"Yes")&gt;0,"Yes",""))))</f>
        <v/>
      </c>
      <c r="BC204" s="45" t="str">
        <f aca="false">IF($A204="","",IF(OR($L204="",$W204=""),"",IF(COUNTIFS($L:$L,$L204,$B:$B,$B204,$W:$W,"&lt;"&amp;$W204)=0,"",_xlfn.MAXIFS($W:$W,$L:$L,$L204,$B:$B,$B204,$W:$W,"&lt;"&amp;$W204))))</f>
        <v/>
      </c>
      <c r="BD204" s="39" t="str">
        <f aca="false">IF($A204="","",IF($AC204="","",IF(OR($L204="",$AC204=0),0,MIN($AC204,ROUND(ROUND(1440*SUMPRODUCT(($L$2:INDEX($L:$L,COUNTA($C:$C))=$L204)*($B$2:INDEX($B:$B,COUNTA($C:$C))=$B204)*(ROW($L$2:INDEX($L:$L,COUNTA($C:$C)))&lt;&gt;ROW())*((((($W204+$BT$2:INDEX($BT:$BT,COUNTA($C:$C))-ABS($W204-$BT$2:INDEX($BT:$BT,COUNTA($C:$C))))/2)-(($U204+$BS$2:INDEX($BS:$BS,COUNTA($C:$C))+ABS($U204-$BS$2:INDEX($BS:$BS,COUNTA($C:$C))))/2))+ABS(((($W204+$BT$2:INDEX($BT:$BT,COUNTA($C:$C))-ABS($W204-$BT$2:INDEX($BT:$BT,COUNTA($C:$C))))/2)-(($U204+$BS$2:INDEX($BS:$BS,COUNTA($C:$C))+ABS($U204-$BS$2:INDEX($BS:$BS,COUNTA($C:$C))))/2))))/2)),4),0)))))</f>
        <v/>
      </c>
      <c r="BE204" s="39" t="str">
        <f aca="false">IF($A204="","",IF($AC204="","",ROUND(MIN($AC204-$BD204,N($R204)),0)))</f>
        <v/>
      </c>
      <c r="BF204" s="10" t="str">
        <f aca="false">IF($A204="","",IFERROR(VLOOKUP($C204,Dim_Fund!$A:$BD,56,0),""))</f>
        <v/>
      </c>
      <c r="BG204" s="10" t="str">
        <f aca="false">IF($A204="","",IFERROR(VLOOKUP($C204,Dim_Fund!$A:$BH,60,0),""))</f>
        <v/>
      </c>
      <c r="BH204" s="10" t="str">
        <f aca="false">IF($A204="","",IF($AI204&lt;&gt;"Yes","Not breached",IF($AM204="Yes","Pricing late",IF($BG204="Thin custody slack","Thin custody slack",IF($BF204="Yes","Broker-dependent","None of these")))))</f>
        <v/>
      </c>
      <c r="BI204" s="23" t="str">
        <f aca="false">IF($A204="","",IFERROR(IF(VLOOKUP($C204,Dim_Fund!$A:$AI,35,0)&gt;0,VLOOKUP($C204,Dim_Fund!$A:$AI,35,0),""),""))</f>
        <v/>
      </c>
      <c r="BJ204" s="10" t="str">
        <f aca="false">IF($A204="","",$C204&amp;IF($E204="Client","*",""))</f>
        <v/>
      </c>
      <c r="BK204" s="39" t="str">
        <f aca="false">IF($A204="","",IFERROR(ROUND(($Y204-$X204)*1440,0),""))</f>
        <v/>
      </c>
      <c r="BL204" s="39" t="str">
        <f aca="false">IF($A204="","",IF($AH204="","",-$AH204))</f>
        <v/>
      </c>
      <c r="BM204" s="46" t="str">
        <f aca="false">IF($A204="","",IF($AQ204="","",IF($AP204="",$AQ204,MIN($AP204,$AQ204))))</f>
        <v/>
      </c>
      <c r="BN204" s="46" t="str">
        <f aca="false">IF($A204="","",IF($BM204="","",ROUND(N($AC204)/60,4)))</f>
        <v/>
      </c>
      <c r="BO204" s="46" t="str">
        <f aca="false">IF($A204="","",IF(OR($BM204="",$AD204=""),"",ROUND($AD204/60,4)))</f>
        <v/>
      </c>
      <c r="BP204" s="46" t="str">
        <f aca="false">IF($A204="","",IF($BM204="","",ROUND(N($AE204)/60,4)))</f>
        <v/>
      </c>
      <c r="BQ204" s="46" t="str">
        <f aca="false">IF($A204="","",IF(OR($BM204="",$AF204=""),"",ROUND($AF204/60,4)))</f>
        <v/>
      </c>
      <c r="BR204" s="39" t="str">
        <f aca="false">IF($A204="","",IF($AC204="","",$AC204-$BD204-$BE204))</f>
        <v/>
      </c>
      <c r="BS204" s="45" t="str">
        <f aca="false">IF($A204="","",IF(AND(ISNUMBER($Z204),ISNUMBER($W204)),$Z204,0))</f>
        <v/>
      </c>
      <c r="BT204" s="45" t="str">
        <f aca="false">IF($A204="","",IF(ISNUMBER($W204),$W204,0))</f>
        <v/>
      </c>
      <c r="BU204" s="23" t="str">
        <f aca="false">IF($A204="","",IF(ISNUMBER($W204),ROUND(($W204-$B204)*24,4),""))</f>
        <v/>
      </c>
      <c r="BV204" s="23" t="str">
        <f aca="false">IF($A204="","",IF(ISNUMBER($X204),ROUND(($X204-$B204)*24,4),""))</f>
        <v/>
      </c>
      <c r="BW204" s="10" t="str">
        <f aca="false">IF($A204="","",IF(NOT(ISNUMBER($W204)),"Missing Calculated",IF(NOT(ISNUMBER($X204)),IF($E204="Client","Missing FA signed off","Missing Controlled"),IF($X204&lt;$W204,"End before start","OK"))))</f>
        <v/>
      </c>
      <c r="BX204" s="23" t="str">
        <f aca="false">IF($A204="","",IF(NOT(ISNUMBER($Z204)),"",ROUND((IF(ISNUMBER($U204),MIN($U204,$Z204),$Z204)-$B204)*24,4)))</f>
        <v/>
      </c>
      <c r="BY204" s="23" t="str">
        <f aca="false">IF($A204="","",IF(ISNUMBER($Z204),ROUND(($Z204-$B204)*24,4),""))</f>
        <v/>
      </c>
      <c r="BZ204" s="23" t="str">
        <f aca="false">IF($A204="","",IF(AND(ISNUMBER($W204),ISNUMBER($S204)),ROUND(($W204+$S204/1440-$B204)*24,4),""))</f>
        <v/>
      </c>
    </row>
    <row r="205" customFormat="false" ht="15" hidden="false" customHeight="true" outlineLevel="0" collapsed="false">
      <c r="A205" s="47"/>
      <c r="B205" s="47"/>
      <c r="D205" s="4" t="str">
        <f aca="false">IF($A205="","",$B205-$A205)</f>
        <v/>
      </c>
      <c r="E205" s="4" t="str">
        <f aca="false">IF($A205="","",IFERROR(VLOOKUP($C205,Dim_Fund!$A:$X,24,0),""))</f>
        <v/>
      </c>
      <c r="F205" s="37" t="str">
        <f aca="false">IF($A205="","",IF(COUNTIFS(Status_Log!$A:$A,$A205,Status_Log!$B:$B,$B205,Status_Log!$C:$C,$C205,Status_Log!$D:$D,"Changed to the status of Calculated")=0,"",_xlfn.MINIFS(Status_Log!$E:$E,Status_Log!$A:$A,$A205,Status_Log!$B:$B,$B205,Status_Log!$C:$C,$C205,Status_Log!$D:$D,"Changed to the status of Calculated")))</f>
        <v/>
      </c>
      <c r="G205" s="37" t="str">
        <f aca="false">IF($A205="","",IF(COUNTIFS(Status_Log!$A:$A,$A205,Status_Log!$B:$B,$B205,Status_Log!$C:$C,$C205,Status_Log!$D:$D,"Changed to the status of Controlled")=0,"",_xlfn.MAXIFS(Status_Log!$E:$E,Status_Log!$A:$A,$A205,Status_Log!$B:$B,$B205,Status_Log!$C:$C,$C205,Status_Log!$D:$D,"Changed to the status of Controlled")))</f>
        <v/>
      </c>
      <c r="H205" s="37" t="str">
        <f aca="false">IF($A205="","",IF(COUNTIFS(Status_Log!$A:$A,$A205,Status_Log!$B:$B,$B205,Status_Log!$C:$C,$C205,Status_Log!$D:$D,"Changed to the status of Fund accounting signed off")=0,"",_xlfn.MAXIFS(Status_Log!$E:$E,Status_Log!$A:$A,$A205,Status_Log!$B:$B,$B205,Status_Log!$C:$C,$C205,Status_Log!$D:$D,"Changed to the status of Fund accounting signed off")))</f>
        <v/>
      </c>
      <c r="I205" s="37" t="str">
        <f aca="false">IF($A205="","",IF(COUNTIFS(Status_Log!$A:$A,$A205,Status_Log!$B:$B,$B205,Status_Log!$C:$C,$C205,Status_Log!$D:$D,"Changed to the status of signed off")=0,"",_xlfn.MAXIFS(Status_Log!$E:$E,Status_Log!$A:$A,$A205,Status_Log!$B:$B,$B205,Status_Log!$C:$C,$C205,Status_Log!$D:$D,"Changed to the status of signed off")))</f>
        <v/>
      </c>
      <c r="J205" s="4" t="str">
        <f aca="false">IF($A205="","",COUNTIFS(Status_Log!$A:$A,$A205,Status_Log!$B:$B,$B205,Status_Log!$C:$C,$C205,Status_Log!$D:$D,"Changed to the status of Calculated"))</f>
        <v/>
      </c>
      <c r="K205" s="38" t="str">
        <f aca="false">IF($A205="","",IF(J205&lt;=1,0,ROUND((_xlfn.MAXIFS(Status_Log!$E:$E,Status_Log!$A:$A,$A205,Status_Log!$B:$B,$B205,Status_Log!$C:$C,$C205,Status_Log!$D:$D,"Changed to the status of Calculated")-F205)*1440,0)))</f>
        <v/>
      </c>
      <c r="L205" s="4" t="str">
        <f aca="false">IF($A205="","",IFERROR(INDEX(Status_Log!$F:$F,MATCH($A205&amp;"|"&amp;$B205&amp;"|"&amp;$C205&amp;"|Changed to the status of Calculated|"&amp;TEXT(_xlfn.MAXIFS(Status_Log!$E:$E,Status_Log!$A:$A,$A205,Status_Log!$B:$B,$B205,Status_Log!$C:$C,$C205,Status_Log!$D:$D,"Changed to the status of Calculated"),"0.000000"),Status_Log!$H:$H,0)),""))</f>
        <v/>
      </c>
      <c r="M205" s="4" t="str">
        <f aca="false">IF($A205="","",IF(E205="Client","n/a — no control step",IFERROR(INDEX(Status_Log!$F:$F,MATCH($A205&amp;"|"&amp;$B205&amp;"|"&amp;$C205&amp;"|Changed to the status of Controlled|"&amp;TEXT(_xlfn.MAXIFS(Status_Log!$E:$E,Status_Log!$A:$A,$A205,Status_Log!$B:$B,$B205,Status_Log!$C:$C,$C205,Status_Log!$D:$D,"Changed to the status of Controlled"),"0.000000"),Status_Log!$H:$H,0)),"")))</f>
        <v/>
      </c>
      <c r="N205" s="4" t="str">
        <f aca="false">IF($A205="","",IFERROR(VLOOKUP($C205,Dim_Fund!$A:$G,7,0),""))</f>
        <v/>
      </c>
      <c r="O205" s="4" t="str">
        <f aca="false">IF($A205="","",IF(L205=N205,"No","Yes"))</f>
        <v/>
      </c>
      <c r="P205" s="4" t="str">
        <f aca="false">IF($A205="","",IF(E205="Client","n/a",IF(L205=M205,"YES — four-eyes breach","No")))</f>
        <v/>
      </c>
      <c r="Q205" s="38" t="str">
        <f aca="false">IF($A205="","",IFERROR(VLOOKUP($C205,Dim_Fund!$A:$AB,28,0),""))</f>
        <v/>
      </c>
      <c r="R205" s="38" t="str">
        <f aca="false">IF($A205="","",IFERROR(VLOOKUP($C205,Dim_Fund!$A:$AC,29,0),""))</f>
        <v/>
      </c>
      <c r="S205" s="38" t="str">
        <f aca="false">IF($A205="","",IFERROR(VLOOKUP($C205,Dim_Fund!$A:$AD,30,0),""))</f>
        <v/>
      </c>
      <c r="T205" s="38" t="str">
        <f aca="false">IF($A205="","",IFERROR(VLOOKUP($C205,Dim_Fund!$A:$AL,38,0),""))</f>
        <v/>
      </c>
      <c r="U205" s="37" t="str">
        <f aca="false">IF($A205="","",IF(AL205="","",IFERROR(IF(COUNTIFS(Fact_Milestone!$A:$A,$B205,Fact_Milestone!$B:$B,AL205)=0,"",_xlfn.MAXIFS(Fact_Milestone!$C:$C,Fact_Milestone!$A:$A,$B205,Fact_Milestone!$B:$B,AL205)),"")))</f>
        <v/>
      </c>
      <c r="V205" s="37" t="str">
        <f aca="false">IF($A205="","",IFERROR(IF(VLOOKUP($C205,Dim_Fund!$A:$AI,35,0)&gt;0,$B205+VLOOKUP($C205,Dim_Fund!$A:$AI,35,0)/24,""),""))</f>
        <v/>
      </c>
      <c r="W205" s="37" t="str">
        <f aca="false">IF($A205="","",F205)</f>
        <v/>
      </c>
      <c r="X205" s="37" t="str">
        <f aca="false">IF($A205="","",IF(E205="Client",H205,G205))</f>
        <v/>
      </c>
      <c r="Y205" s="37" t="str">
        <f aca="false">IF($A205="","",I205)</f>
        <v/>
      </c>
      <c r="Z205" s="37" t="str">
        <f aca="false">IF($A205="","",IFERROR(W205-R205/1440,""))</f>
        <v/>
      </c>
      <c r="AA205" s="38" t="str">
        <f aca="false">IF($A205="","",IF(OR(U205="",V205=""),"",ROUND((V205-U205)*1440,0)))</f>
        <v/>
      </c>
      <c r="AB205" s="38" t="str">
        <f aca="false">IF($A205="","",IF(U205="","",ROUND((W205-U205)*1440,0)))</f>
        <v/>
      </c>
      <c r="AC205" s="38" t="str">
        <f aca="false">IF($A205="","",IF(AB205="","",MAX(0,AB205)))</f>
        <v/>
      </c>
      <c r="AD205" s="38" t="str">
        <f aca="false">IF($A205="","",IFERROR(ROUND((X205-W205)*1440,0),""))</f>
        <v/>
      </c>
      <c r="AE205" s="38" t="str">
        <f aca="false">IF($A205="","",IF(E205="Client","n/a",IFERROR(ROUND((H205-G205)*1440,0),"")))</f>
        <v/>
      </c>
      <c r="AF205" s="38" t="str">
        <f aca="false">IF($A205="","",IFERROR(ROUND((Y205-H205)*1440,0),""))</f>
        <v/>
      </c>
      <c r="AG205" s="38" t="str">
        <f aca="false">IF($A205="","",IFERROR(ROUND((H205-F205)*1440,0),""))</f>
        <v/>
      </c>
      <c r="AH205" s="38" t="str">
        <f aca="false">IF($A205="","",IFERROR(ROUND((Y205-V205)*1440,0),""))</f>
        <v/>
      </c>
      <c r="AI205" s="4" t="str">
        <f aca="false">IF($A205="","",IF(AH205="","",IF(AH205&gt;0,"Yes","No")))</f>
        <v/>
      </c>
      <c r="AJ205" s="4" t="str">
        <f aca="false">IF($A205="","",IF(AI205&lt;&gt;"Yes","On time",IF(N(AC205)&gt;=MAX(N(AF205),N(K205)),"Wait for analyst",IF(N(AF205)&gt;=N(K205),"External sign-off","Rework"))))</f>
        <v/>
      </c>
      <c r="AK205" s="4" t="str">
        <f aca="false">IF($A205="","",IF(OR(F205="",Y205="",ISNA(MATCH(L205,Dim_Analyst!$A:$A,0))),"CHECK","OK"))</f>
        <v/>
      </c>
      <c r="AL205" s="4" t="str">
        <f aca="false">IF($A205="","",IFERROR(VLOOKUP($C205,Dim_Fund!$A:$U,21,0),""))</f>
        <v/>
      </c>
      <c r="AM205" s="4" t="str">
        <f aca="false">IF($A205="","",IF($U205="","",IF($U205&gt;$B205+IFERROR(VLOOKUP($C205,Dim_Fund!$A:$AH,34,0),0)/24,"Yes","No")))</f>
        <v/>
      </c>
      <c r="AN205" s="22" t="str">
        <f aca="false">IF($A205="","",IFERROR(VLOOKUP($C205,Dim_Fund!$A:$AH,34,0),""))</f>
        <v/>
      </c>
      <c r="AO205" s="22" t="str">
        <f aca="false">IF($A205="","",IF($AL205="","",IFERROR(FLOOR(IF(COUNTIFS(Fact_Milestone!$A:$A,$B205,Fact_Milestone!$B:$B,$AL205,Fact_Milestone!$F:$F,"&gt;0")&gt;0,_xlfn.MINIFS(Fact_Milestone!$F:$F,Fact_Milestone!$A:$A,$B205,Fact_Milestone!$B:$B,$AL205,Fact_Milestone!$F:$F,"&gt;0"),VLOOKUP($AL205,Dim_TOP!$A:$E,5,0)),0.5),"")))</f>
        <v/>
      </c>
      <c r="AP205" s="22" t="str">
        <f aca="false">IF($A205="","",IF($U205="","",ROUND(($U205-INT($U205))*24,4)))</f>
        <v/>
      </c>
      <c r="AQ205" s="22" t="str">
        <f aca="false">IF($A205="","",IF($W205="","",ROUND(($W205-INT($W205))*24,4)))</f>
        <v/>
      </c>
      <c r="AR205" s="22" t="str">
        <f aca="false">IF($A205="","",IF($X205="","",ROUND(($X205-INT($X205))*24,4)))</f>
        <v/>
      </c>
      <c r="AS205" s="38" t="str">
        <f aca="false">IF($A205="","",IF(OR($AN205="",$V205="",$S205="",$T205=""),"",ROUND(($V205-($B205+$AN205/24))*1440-$S205-$T205,0)))</f>
        <v/>
      </c>
      <c r="AT205" s="38" t="str">
        <f aca="false">IF($A205="","",IF(OR($AN205="",$U205=""),"",ROUND(($U205-($B205+$AN205/24))*1440,0)))</f>
        <v/>
      </c>
      <c r="AU205" s="38" t="str">
        <f aca="false">IF($A205="","",IF(OR($AD205="",$S205=""),"",ROUND($AD205-$S205,0)))</f>
        <v/>
      </c>
      <c r="AV205" s="38" t="str">
        <f aca="false">IF($A205="","",N($AE205))</f>
        <v/>
      </c>
      <c r="AW205" s="38" t="str">
        <f aca="false">IF($A205="","",IF(OR($AF205="",$T205=""),"",$AF205-$T205))</f>
        <v/>
      </c>
      <c r="AX205" s="38" t="str">
        <f aca="false">IF($A205="","",IF(COUNT($AT205,$AB205,$AU205,$AW205,$AS205,$AH205)&lt;6,"",ROUND($AT205+$AB205+$AU205+$AV205+$AW205-$AS205-$AH205,0)))</f>
        <v/>
      </c>
      <c r="AY205" s="4" t="str">
        <f aca="false">IF($A205="","",IF($AX205="","No",IF(ABS($AX205)&lt;=2,"Yes","No")))</f>
        <v/>
      </c>
      <c r="AZ205" s="4" t="str">
        <f aca="false">IF($A205="","",IF($AI205&lt;&gt;"Yes","n/a",IF(OR($AA205="",$S205="",$T205=""),"Unknown",IF($AA205&lt;$S205+$T205,"Lost on arrival","Lost after arrival"))))</f>
        <v/>
      </c>
      <c r="BA205" s="10" t="str">
        <f aca="false">IF($A205="","",IFERROR(VLOOKUP($C205,Dim_Fund!$A:$D,4,0),""))</f>
        <v/>
      </c>
      <c r="BB205" s="10" t="str">
        <f aca="false">IF($A205="","",IF($AL205="","",IF(COUNTIFS(Fact_Milestone!$A:$A,$B205,Fact_Milestone!$B:$B,$AL205,Fact_Milestone!$I:$I,"No")&gt;0,"No",IF(COUNTIFS(Fact_Milestone!$A:$A,$B205,Fact_Milestone!$B:$B,$AL205,Fact_Milestone!$I:$I,"Yes")&gt;0,"Yes",""))))</f>
        <v/>
      </c>
      <c r="BC205" s="45" t="str">
        <f aca="false">IF($A205="","",IF(OR($L205="",$W205=""),"",IF(COUNTIFS($L:$L,$L205,$B:$B,$B205,$W:$W,"&lt;"&amp;$W205)=0,"",_xlfn.MAXIFS($W:$W,$L:$L,$L205,$B:$B,$B205,$W:$W,"&lt;"&amp;$W205))))</f>
        <v/>
      </c>
      <c r="BD205" s="39" t="str">
        <f aca="false">IF($A205="","",IF($AC205="","",IF(OR($L205="",$AC205=0),0,MIN($AC205,ROUND(ROUND(1440*SUMPRODUCT(($L$2:INDEX($L:$L,COUNTA($C:$C))=$L205)*($B$2:INDEX($B:$B,COUNTA($C:$C))=$B205)*(ROW($L$2:INDEX($L:$L,COUNTA($C:$C)))&lt;&gt;ROW())*((((($W205+$BT$2:INDEX($BT:$BT,COUNTA($C:$C))-ABS($W205-$BT$2:INDEX($BT:$BT,COUNTA($C:$C))))/2)-(($U205+$BS$2:INDEX($BS:$BS,COUNTA($C:$C))+ABS($U205-$BS$2:INDEX($BS:$BS,COUNTA($C:$C))))/2))+ABS(((($W205+$BT$2:INDEX($BT:$BT,COUNTA($C:$C))-ABS($W205-$BT$2:INDEX($BT:$BT,COUNTA($C:$C))))/2)-(($U205+$BS$2:INDEX($BS:$BS,COUNTA($C:$C))+ABS($U205-$BS$2:INDEX($BS:$BS,COUNTA($C:$C))))/2))))/2)),4),0)))))</f>
        <v/>
      </c>
      <c r="BE205" s="39" t="str">
        <f aca="false">IF($A205="","",IF($AC205="","",ROUND(MIN($AC205-$BD205,N($R205)),0)))</f>
        <v/>
      </c>
      <c r="BF205" s="10" t="str">
        <f aca="false">IF($A205="","",IFERROR(VLOOKUP($C205,Dim_Fund!$A:$BD,56,0),""))</f>
        <v/>
      </c>
      <c r="BG205" s="10" t="str">
        <f aca="false">IF($A205="","",IFERROR(VLOOKUP($C205,Dim_Fund!$A:$BH,60,0),""))</f>
        <v/>
      </c>
      <c r="BH205" s="10" t="str">
        <f aca="false">IF($A205="","",IF($AI205&lt;&gt;"Yes","Not breached",IF($AM205="Yes","Pricing late",IF($BG205="Thin custody slack","Thin custody slack",IF($BF205="Yes","Broker-dependent","None of these")))))</f>
        <v/>
      </c>
      <c r="BI205" s="23" t="str">
        <f aca="false">IF($A205="","",IFERROR(IF(VLOOKUP($C205,Dim_Fund!$A:$AI,35,0)&gt;0,VLOOKUP($C205,Dim_Fund!$A:$AI,35,0),""),""))</f>
        <v/>
      </c>
      <c r="BJ205" s="10" t="str">
        <f aca="false">IF($A205="","",$C205&amp;IF($E205="Client","*",""))</f>
        <v/>
      </c>
      <c r="BK205" s="39" t="str">
        <f aca="false">IF($A205="","",IFERROR(ROUND(($Y205-$X205)*1440,0),""))</f>
        <v/>
      </c>
      <c r="BL205" s="39" t="str">
        <f aca="false">IF($A205="","",IF($AH205="","",-$AH205))</f>
        <v/>
      </c>
      <c r="BM205" s="46" t="str">
        <f aca="false">IF($A205="","",IF($AQ205="","",IF($AP205="",$AQ205,MIN($AP205,$AQ205))))</f>
        <v/>
      </c>
      <c r="BN205" s="46" t="str">
        <f aca="false">IF($A205="","",IF($BM205="","",ROUND(N($AC205)/60,4)))</f>
        <v/>
      </c>
      <c r="BO205" s="46" t="str">
        <f aca="false">IF($A205="","",IF(OR($BM205="",$AD205=""),"",ROUND($AD205/60,4)))</f>
        <v/>
      </c>
      <c r="BP205" s="46" t="str">
        <f aca="false">IF($A205="","",IF($BM205="","",ROUND(N($AE205)/60,4)))</f>
        <v/>
      </c>
      <c r="BQ205" s="46" t="str">
        <f aca="false">IF($A205="","",IF(OR($BM205="",$AF205=""),"",ROUND($AF205/60,4)))</f>
        <v/>
      </c>
      <c r="BR205" s="39" t="str">
        <f aca="false">IF($A205="","",IF($AC205="","",$AC205-$BD205-$BE205))</f>
        <v/>
      </c>
      <c r="BS205" s="45" t="str">
        <f aca="false">IF($A205="","",IF(AND(ISNUMBER($Z205),ISNUMBER($W205)),$Z205,0))</f>
        <v/>
      </c>
      <c r="BT205" s="45" t="str">
        <f aca="false">IF($A205="","",IF(ISNUMBER($W205),$W205,0))</f>
        <v/>
      </c>
      <c r="BU205" s="23" t="str">
        <f aca="false">IF($A205="","",IF(ISNUMBER($W205),ROUND(($W205-$B205)*24,4),""))</f>
        <v/>
      </c>
      <c r="BV205" s="23" t="str">
        <f aca="false">IF($A205="","",IF(ISNUMBER($X205),ROUND(($X205-$B205)*24,4),""))</f>
        <v/>
      </c>
      <c r="BW205" s="10" t="str">
        <f aca="false">IF($A205="","",IF(NOT(ISNUMBER($W205)),"Missing Calculated",IF(NOT(ISNUMBER($X205)),IF($E205="Client","Missing FA signed off","Missing Controlled"),IF($X205&lt;$W205,"End before start","OK"))))</f>
        <v/>
      </c>
      <c r="BX205" s="23" t="str">
        <f aca="false">IF($A205="","",IF(NOT(ISNUMBER($Z205)),"",ROUND((IF(ISNUMBER($U205),MIN($U205,$Z205),$Z205)-$B205)*24,4)))</f>
        <v/>
      </c>
      <c r="BY205" s="23" t="str">
        <f aca="false">IF($A205="","",IF(ISNUMBER($Z205),ROUND(($Z205-$B205)*24,4),""))</f>
        <v/>
      </c>
      <c r="BZ205" s="23" t="str">
        <f aca="false">IF($A205="","",IF(AND(ISNUMBER($W205),ISNUMBER($S205)),ROUND(($W205+$S205/1440-$B205)*24,4),""))</f>
        <v/>
      </c>
    </row>
    <row r="206" customFormat="false" ht="15" hidden="false" customHeight="true" outlineLevel="0" collapsed="false">
      <c r="A206" s="47"/>
      <c r="B206" s="47"/>
      <c r="D206" s="4" t="str">
        <f aca="false">IF($A206="","",$B206-$A206)</f>
        <v/>
      </c>
      <c r="E206" s="4" t="str">
        <f aca="false">IF($A206="","",IFERROR(VLOOKUP($C206,Dim_Fund!$A:$X,24,0),""))</f>
        <v/>
      </c>
      <c r="F206" s="37" t="str">
        <f aca="false">IF($A206="","",IF(COUNTIFS(Status_Log!$A:$A,$A206,Status_Log!$B:$B,$B206,Status_Log!$C:$C,$C206,Status_Log!$D:$D,"Changed to the status of Calculated")=0,"",_xlfn.MINIFS(Status_Log!$E:$E,Status_Log!$A:$A,$A206,Status_Log!$B:$B,$B206,Status_Log!$C:$C,$C206,Status_Log!$D:$D,"Changed to the status of Calculated")))</f>
        <v/>
      </c>
      <c r="G206" s="37" t="str">
        <f aca="false">IF($A206="","",IF(COUNTIFS(Status_Log!$A:$A,$A206,Status_Log!$B:$B,$B206,Status_Log!$C:$C,$C206,Status_Log!$D:$D,"Changed to the status of Controlled")=0,"",_xlfn.MAXIFS(Status_Log!$E:$E,Status_Log!$A:$A,$A206,Status_Log!$B:$B,$B206,Status_Log!$C:$C,$C206,Status_Log!$D:$D,"Changed to the status of Controlled")))</f>
        <v/>
      </c>
      <c r="H206" s="37" t="str">
        <f aca="false">IF($A206="","",IF(COUNTIFS(Status_Log!$A:$A,$A206,Status_Log!$B:$B,$B206,Status_Log!$C:$C,$C206,Status_Log!$D:$D,"Changed to the status of Fund accounting signed off")=0,"",_xlfn.MAXIFS(Status_Log!$E:$E,Status_Log!$A:$A,$A206,Status_Log!$B:$B,$B206,Status_Log!$C:$C,$C206,Status_Log!$D:$D,"Changed to the status of Fund accounting signed off")))</f>
        <v/>
      </c>
      <c r="I206" s="37" t="str">
        <f aca="false">IF($A206="","",IF(COUNTIFS(Status_Log!$A:$A,$A206,Status_Log!$B:$B,$B206,Status_Log!$C:$C,$C206,Status_Log!$D:$D,"Changed to the status of signed off")=0,"",_xlfn.MAXIFS(Status_Log!$E:$E,Status_Log!$A:$A,$A206,Status_Log!$B:$B,$B206,Status_Log!$C:$C,$C206,Status_Log!$D:$D,"Changed to the status of signed off")))</f>
        <v/>
      </c>
      <c r="J206" s="4" t="str">
        <f aca="false">IF($A206="","",COUNTIFS(Status_Log!$A:$A,$A206,Status_Log!$B:$B,$B206,Status_Log!$C:$C,$C206,Status_Log!$D:$D,"Changed to the status of Calculated"))</f>
        <v/>
      </c>
      <c r="K206" s="38" t="str">
        <f aca="false">IF($A206="","",IF(J206&lt;=1,0,ROUND((_xlfn.MAXIFS(Status_Log!$E:$E,Status_Log!$A:$A,$A206,Status_Log!$B:$B,$B206,Status_Log!$C:$C,$C206,Status_Log!$D:$D,"Changed to the status of Calculated")-F206)*1440,0)))</f>
        <v/>
      </c>
      <c r="L206" s="4" t="str">
        <f aca="false">IF($A206="","",IFERROR(INDEX(Status_Log!$F:$F,MATCH($A206&amp;"|"&amp;$B206&amp;"|"&amp;$C206&amp;"|Changed to the status of Calculated|"&amp;TEXT(_xlfn.MAXIFS(Status_Log!$E:$E,Status_Log!$A:$A,$A206,Status_Log!$B:$B,$B206,Status_Log!$C:$C,$C206,Status_Log!$D:$D,"Changed to the status of Calculated"),"0.000000"),Status_Log!$H:$H,0)),""))</f>
        <v/>
      </c>
      <c r="M206" s="4" t="str">
        <f aca="false">IF($A206="","",IF(E206="Client","n/a — no control step",IFERROR(INDEX(Status_Log!$F:$F,MATCH($A206&amp;"|"&amp;$B206&amp;"|"&amp;$C206&amp;"|Changed to the status of Controlled|"&amp;TEXT(_xlfn.MAXIFS(Status_Log!$E:$E,Status_Log!$A:$A,$A206,Status_Log!$B:$B,$B206,Status_Log!$C:$C,$C206,Status_Log!$D:$D,"Changed to the status of Controlled"),"0.000000"),Status_Log!$H:$H,0)),"")))</f>
        <v/>
      </c>
      <c r="N206" s="4" t="str">
        <f aca="false">IF($A206="","",IFERROR(VLOOKUP($C206,Dim_Fund!$A:$G,7,0),""))</f>
        <v/>
      </c>
      <c r="O206" s="4" t="str">
        <f aca="false">IF($A206="","",IF(L206=N206,"No","Yes"))</f>
        <v/>
      </c>
      <c r="P206" s="4" t="str">
        <f aca="false">IF($A206="","",IF(E206="Client","n/a",IF(L206=M206,"YES — four-eyes breach","No")))</f>
        <v/>
      </c>
      <c r="Q206" s="38" t="str">
        <f aca="false">IF($A206="","",IFERROR(VLOOKUP($C206,Dim_Fund!$A:$AB,28,0),""))</f>
        <v/>
      </c>
      <c r="R206" s="38" t="str">
        <f aca="false">IF($A206="","",IFERROR(VLOOKUP($C206,Dim_Fund!$A:$AC,29,0),""))</f>
        <v/>
      </c>
      <c r="S206" s="38" t="str">
        <f aca="false">IF($A206="","",IFERROR(VLOOKUP($C206,Dim_Fund!$A:$AD,30,0),""))</f>
        <v/>
      </c>
      <c r="T206" s="38" t="str">
        <f aca="false">IF($A206="","",IFERROR(VLOOKUP($C206,Dim_Fund!$A:$AL,38,0),""))</f>
        <v/>
      </c>
      <c r="U206" s="37" t="str">
        <f aca="false">IF($A206="","",IF(AL206="","",IFERROR(IF(COUNTIFS(Fact_Milestone!$A:$A,$B206,Fact_Milestone!$B:$B,AL206)=0,"",_xlfn.MAXIFS(Fact_Milestone!$C:$C,Fact_Milestone!$A:$A,$B206,Fact_Milestone!$B:$B,AL206)),"")))</f>
        <v/>
      </c>
      <c r="V206" s="37" t="str">
        <f aca="false">IF($A206="","",IFERROR(IF(VLOOKUP($C206,Dim_Fund!$A:$AI,35,0)&gt;0,$B206+VLOOKUP($C206,Dim_Fund!$A:$AI,35,0)/24,""),""))</f>
        <v/>
      </c>
      <c r="W206" s="37" t="str">
        <f aca="false">IF($A206="","",F206)</f>
        <v/>
      </c>
      <c r="X206" s="37" t="str">
        <f aca="false">IF($A206="","",IF(E206="Client",H206,G206))</f>
        <v/>
      </c>
      <c r="Y206" s="37" t="str">
        <f aca="false">IF($A206="","",I206)</f>
        <v/>
      </c>
      <c r="Z206" s="37" t="str">
        <f aca="false">IF($A206="","",IFERROR(W206-R206/1440,""))</f>
        <v/>
      </c>
      <c r="AA206" s="38" t="str">
        <f aca="false">IF($A206="","",IF(OR(U206="",V206=""),"",ROUND((V206-U206)*1440,0)))</f>
        <v/>
      </c>
      <c r="AB206" s="38" t="str">
        <f aca="false">IF($A206="","",IF(U206="","",ROUND((W206-U206)*1440,0)))</f>
        <v/>
      </c>
      <c r="AC206" s="38" t="str">
        <f aca="false">IF($A206="","",IF(AB206="","",MAX(0,AB206)))</f>
        <v/>
      </c>
      <c r="AD206" s="38" t="str">
        <f aca="false">IF($A206="","",IFERROR(ROUND((X206-W206)*1440,0),""))</f>
        <v/>
      </c>
      <c r="AE206" s="38" t="str">
        <f aca="false">IF($A206="","",IF(E206="Client","n/a",IFERROR(ROUND((H206-G206)*1440,0),"")))</f>
        <v/>
      </c>
      <c r="AF206" s="38" t="str">
        <f aca="false">IF($A206="","",IFERROR(ROUND((Y206-H206)*1440,0),""))</f>
        <v/>
      </c>
      <c r="AG206" s="38" t="str">
        <f aca="false">IF($A206="","",IFERROR(ROUND((H206-F206)*1440,0),""))</f>
        <v/>
      </c>
      <c r="AH206" s="38" t="str">
        <f aca="false">IF($A206="","",IFERROR(ROUND((Y206-V206)*1440,0),""))</f>
        <v/>
      </c>
      <c r="AI206" s="4" t="str">
        <f aca="false">IF($A206="","",IF(AH206="","",IF(AH206&gt;0,"Yes","No")))</f>
        <v/>
      </c>
      <c r="AJ206" s="4" t="str">
        <f aca="false">IF($A206="","",IF(AI206&lt;&gt;"Yes","On time",IF(N(AC206)&gt;=MAX(N(AF206),N(K206)),"Wait for analyst",IF(N(AF206)&gt;=N(K206),"External sign-off","Rework"))))</f>
        <v/>
      </c>
      <c r="AK206" s="4" t="str">
        <f aca="false">IF($A206="","",IF(OR(F206="",Y206="",ISNA(MATCH(L206,Dim_Analyst!$A:$A,0))),"CHECK","OK"))</f>
        <v/>
      </c>
      <c r="AL206" s="4" t="str">
        <f aca="false">IF($A206="","",IFERROR(VLOOKUP($C206,Dim_Fund!$A:$U,21,0),""))</f>
        <v/>
      </c>
      <c r="AM206" s="4" t="str">
        <f aca="false">IF($A206="","",IF($U206="","",IF($U206&gt;$B206+IFERROR(VLOOKUP($C206,Dim_Fund!$A:$AH,34,0),0)/24,"Yes","No")))</f>
        <v/>
      </c>
      <c r="AN206" s="22" t="str">
        <f aca="false">IF($A206="","",IFERROR(VLOOKUP($C206,Dim_Fund!$A:$AH,34,0),""))</f>
        <v/>
      </c>
      <c r="AO206" s="22" t="str">
        <f aca="false">IF($A206="","",IF($AL206="","",IFERROR(FLOOR(IF(COUNTIFS(Fact_Milestone!$A:$A,$B206,Fact_Milestone!$B:$B,$AL206,Fact_Milestone!$F:$F,"&gt;0")&gt;0,_xlfn.MINIFS(Fact_Milestone!$F:$F,Fact_Milestone!$A:$A,$B206,Fact_Milestone!$B:$B,$AL206,Fact_Milestone!$F:$F,"&gt;0"),VLOOKUP($AL206,Dim_TOP!$A:$E,5,0)),0.5),"")))</f>
        <v/>
      </c>
      <c r="AP206" s="22" t="str">
        <f aca="false">IF($A206="","",IF($U206="","",ROUND(($U206-INT($U206))*24,4)))</f>
        <v/>
      </c>
      <c r="AQ206" s="22" t="str">
        <f aca="false">IF($A206="","",IF($W206="","",ROUND(($W206-INT($W206))*24,4)))</f>
        <v/>
      </c>
      <c r="AR206" s="22" t="str">
        <f aca="false">IF($A206="","",IF($X206="","",ROUND(($X206-INT($X206))*24,4)))</f>
        <v/>
      </c>
      <c r="AS206" s="38" t="str">
        <f aca="false">IF($A206="","",IF(OR($AN206="",$V206="",$S206="",$T206=""),"",ROUND(($V206-($B206+$AN206/24))*1440-$S206-$T206,0)))</f>
        <v/>
      </c>
      <c r="AT206" s="38" t="str">
        <f aca="false">IF($A206="","",IF(OR($AN206="",$U206=""),"",ROUND(($U206-($B206+$AN206/24))*1440,0)))</f>
        <v/>
      </c>
      <c r="AU206" s="38" t="str">
        <f aca="false">IF($A206="","",IF(OR($AD206="",$S206=""),"",ROUND($AD206-$S206,0)))</f>
        <v/>
      </c>
      <c r="AV206" s="38" t="str">
        <f aca="false">IF($A206="","",N($AE206))</f>
        <v/>
      </c>
      <c r="AW206" s="38" t="str">
        <f aca="false">IF($A206="","",IF(OR($AF206="",$T206=""),"",$AF206-$T206))</f>
        <v/>
      </c>
      <c r="AX206" s="38" t="str">
        <f aca="false">IF($A206="","",IF(COUNT($AT206,$AB206,$AU206,$AW206,$AS206,$AH206)&lt;6,"",ROUND($AT206+$AB206+$AU206+$AV206+$AW206-$AS206-$AH206,0)))</f>
        <v/>
      </c>
      <c r="AY206" s="4" t="str">
        <f aca="false">IF($A206="","",IF($AX206="","No",IF(ABS($AX206)&lt;=2,"Yes","No")))</f>
        <v/>
      </c>
      <c r="AZ206" s="4" t="str">
        <f aca="false">IF($A206="","",IF($AI206&lt;&gt;"Yes","n/a",IF(OR($AA206="",$S206="",$T206=""),"Unknown",IF($AA206&lt;$S206+$T206,"Lost on arrival","Lost after arrival"))))</f>
        <v/>
      </c>
      <c r="BA206" s="10" t="str">
        <f aca="false">IF($A206="","",IFERROR(VLOOKUP($C206,Dim_Fund!$A:$D,4,0),""))</f>
        <v/>
      </c>
      <c r="BB206" s="10" t="str">
        <f aca="false">IF($A206="","",IF($AL206="","",IF(COUNTIFS(Fact_Milestone!$A:$A,$B206,Fact_Milestone!$B:$B,$AL206,Fact_Milestone!$I:$I,"No")&gt;0,"No",IF(COUNTIFS(Fact_Milestone!$A:$A,$B206,Fact_Milestone!$B:$B,$AL206,Fact_Milestone!$I:$I,"Yes")&gt;0,"Yes",""))))</f>
        <v/>
      </c>
      <c r="BC206" s="45" t="str">
        <f aca="false">IF($A206="","",IF(OR($L206="",$W206=""),"",IF(COUNTIFS($L:$L,$L206,$B:$B,$B206,$W:$W,"&lt;"&amp;$W206)=0,"",_xlfn.MAXIFS($W:$W,$L:$L,$L206,$B:$B,$B206,$W:$W,"&lt;"&amp;$W206))))</f>
        <v/>
      </c>
      <c r="BD206" s="39" t="str">
        <f aca="false">IF($A206="","",IF($AC206="","",IF(OR($L206="",$AC206=0),0,MIN($AC206,ROUND(ROUND(1440*SUMPRODUCT(($L$2:INDEX($L:$L,COUNTA($C:$C))=$L206)*($B$2:INDEX($B:$B,COUNTA($C:$C))=$B206)*(ROW($L$2:INDEX($L:$L,COUNTA($C:$C)))&lt;&gt;ROW())*((((($W206+$BT$2:INDEX($BT:$BT,COUNTA($C:$C))-ABS($W206-$BT$2:INDEX($BT:$BT,COUNTA($C:$C))))/2)-(($U206+$BS$2:INDEX($BS:$BS,COUNTA($C:$C))+ABS($U206-$BS$2:INDEX($BS:$BS,COUNTA($C:$C))))/2))+ABS(((($W206+$BT$2:INDEX($BT:$BT,COUNTA($C:$C))-ABS($W206-$BT$2:INDEX($BT:$BT,COUNTA($C:$C))))/2)-(($U206+$BS$2:INDEX($BS:$BS,COUNTA($C:$C))+ABS($U206-$BS$2:INDEX($BS:$BS,COUNTA($C:$C))))/2))))/2)),4),0)))))</f>
        <v/>
      </c>
      <c r="BE206" s="39" t="str">
        <f aca="false">IF($A206="","",IF($AC206="","",ROUND(MIN($AC206-$BD206,N($R206)),0)))</f>
        <v/>
      </c>
      <c r="BF206" s="10" t="str">
        <f aca="false">IF($A206="","",IFERROR(VLOOKUP($C206,Dim_Fund!$A:$BD,56,0),""))</f>
        <v/>
      </c>
      <c r="BG206" s="10" t="str">
        <f aca="false">IF($A206="","",IFERROR(VLOOKUP($C206,Dim_Fund!$A:$BH,60,0),""))</f>
        <v/>
      </c>
      <c r="BH206" s="10" t="str">
        <f aca="false">IF($A206="","",IF($AI206&lt;&gt;"Yes","Not breached",IF($AM206="Yes","Pricing late",IF($BG206="Thin custody slack","Thin custody slack",IF($BF206="Yes","Broker-dependent","None of these")))))</f>
        <v/>
      </c>
      <c r="BI206" s="23" t="str">
        <f aca="false">IF($A206="","",IFERROR(IF(VLOOKUP($C206,Dim_Fund!$A:$AI,35,0)&gt;0,VLOOKUP($C206,Dim_Fund!$A:$AI,35,0),""),""))</f>
        <v/>
      </c>
      <c r="BJ206" s="10" t="str">
        <f aca="false">IF($A206="","",$C206&amp;IF($E206="Client","*",""))</f>
        <v/>
      </c>
      <c r="BK206" s="39" t="str">
        <f aca="false">IF($A206="","",IFERROR(ROUND(($Y206-$X206)*1440,0),""))</f>
        <v/>
      </c>
      <c r="BL206" s="39" t="str">
        <f aca="false">IF($A206="","",IF($AH206="","",-$AH206))</f>
        <v/>
      </c>
      <c r="BM206" s="46" t="str">
        <f aca="false">IF($A206="","",IF($AQ206="","",IF($AP206="",$AQ206,MIN($AP206,$AQ206))))</f>
        <v/>
      </c>
      <c r="BN206" s="46" t="str">
        <f aca="false">IF($A206="","",IF($BM206="","",ROUND(N($AC206)/60,4)))</f>
        <v/>
      </c>
      <c r="BO206" s="46" t="str">
        <f aca="false">IF($A206="","",IF(OR($BM206="",$AD206=""),"",ROUND($AD206/60,4)))</f>
        <v/>
      </c>
      <c r="BP206" s="46" t="str">
        <f aca="false">IF($A206="","",IF($BM206="","",ROUND(N($AE206)/60,4)))</f>
        <v/>
      </c>
      <c r="BQ206" s="46" t="str">
        <f aca="false">IF($A206="","",IF(OR($BM206="",$AF206=""),"",ROUND($AF206/60,4)))</f>
        <v/>
      </c>
      <c r="BR206" s="39" t="str">
        <f aca="false">IF($A206="","",IF($AC206="","",$AC206-$BD206-$BE206))</f>
        <v/>
      </c>
      <c r="BS206" s="45" t="str">
        <f aca="false">IF($A206="","",IF(AND(ISNUMBER($Z206),ISNUMBER($W206)),$Z206,0))</f>
        <v/>
      </c>
      <c r="BT206" s="45" t="str">
        <f aca="false">IF($A206="","",IF(ISNUMBER($W206),$W206,0))</f>
        <v/>
      </c>
      <c r="BU206" s="23" t="str">
        <f aca="false">IF($A206="","",IF(ISNUMBER($W206),ROUND(($W206-$B206)*24,4),""))</f>
        <v/>
      </c>
      <c r="BV206" s="23" t="str">
        <f aca="false">IF($A206="","",IF(ISNUMBER($X206),ROUND(($X206-$B206)*24,4),""))</f>
        <v/>
      </c>
      <c r="BW206" s="10" t="str">
        <f aca="false">IF($A206="","",IF(NOT(ISNUMBER($W206)),"Missing Calculated",IF(NOT(ISNUMBER($X206)),IF($E206="Client","Missing FA signed off","Missing Controlled"),IF($X206&lt;$W206,"End before start","OK"))))</f>
        <v/>
      </c>
      <c r="BX206" s="23" t="str">
        <f aca="false">IF($A206="","",IF(NOT(ISNUMBER($Z206)),"",ROUND((IF(ISNUMBER($U206),MIN($U206,$Z206),$Z206)-$B206)*24,4)))</f>
        <v/>
      </c>
      <c r="BY206" s="23" t="str">
        <f aca="false">IF($A206="","",IF(ISNUMBER($Z206),ROUND(($Z206-$B206)*24,4),""))</f>
        <v/>
      </c>
      <c r="BZ206" s="23" t="str">
        <f aca="false">IF($A206="","",IF(AND(ISNUMBER($W206),ISNUMBER($S206)),ROUND(($W206+$S206/1440-$B206)*24,4),""))</f>
        <v/>
      </c>
    </row>
    <row r="207" customFormat="false" ht="15" hidden="false" customHeight="true" outlineLevel="0" collapsed="false">
      <c r="A207" s="47"/>
      <c r="B207" s="47"/>
      <c r="D207" s="4" t="str">
        <f aca="false">IF($A207="","",$B207-$A207)</f>
        <v/>
      </c>
      <c r="E207" s="4" t="str">
        <f aca="false">IF($A207="","",IFERROR(VLOOKUP($C207,Dim_Fund!$A:$X,24,0),""))</f>
        <v/>
      </c>
      <c r="F207" s="37" t="str">
        <f aca="false">IF($A207="","",IF(COUNTIFS(Status_Log!$A:$A,$A207,Status_Log!$B:$B,$B207,Status_Log!$C:$C,$C207,Status_Log!$D:$D,"Changed to the status of Calculated")=0,"",_xlfn.MINIFS(Status_Log!$E:$E,Status_Log!$A:$A,$A207,Status_Log!$B:$B,$B207,Status_Log!$C:$C,$C207,Status_Log!$D:$D,"Changed to the status of Calculated")))</f>
        <v/>
      </c>
      <c r="G207" s="37" t="str">
        <f aca="false">IF($A207="","",IF(COUNTIFS(Status_Log!$A:$A,$A207,Status_Log!$B:$B,$B207,Status_Log!$C:$C,$C207,Status_Log!$D:$D,"Changed to the status of Controlled")=0,"",_xlfn.MAXIFS(Status_Log!$E:$E,Status_Log!$A:$A,$A207,Status_Log!$B:$B,$B207,Status_Log!$C:$C,$C207,Status_Log!$D:$D,"Changed to the status of Controlled")))</f>
        <v/>
      </c>
      <c r="H207" s="37" t="str">
        <f aca="false">IF($A207="","",IF(COUNTIFS(Status_Log!$A:$A,$A207,Status_Log!$B:$B,$B207,Status_Log!$C:$C,$C207,Status_Log!$D:$D,"Changed to the status of Fund accounting signed off")=0,"",_xlfn.MAXIFS(Status_Log!$E:$E,Status_Log!$A:$A,$A207,Status_Log!$B:$B,$B207,Status_Log!$C:$C,$C207,Status_Log!$D:$D,"Changed to the status of Fund accounting signed off")))</f>
        <v/>
      </c>
      <c r="I207" s="37" t="str">
        <f aca="false">IF($A207="","",IF(COUNTIFS(Status_Log!$A:$A,$A207,Status_Log!$B:$B,$B207,Status_Log!$C:$C,$C207,Status_Log!$D:$D,"Changed to the status of signed off")=0,"",_xlfn.MAXIFS(Status_Log!$E:$E,Status_Log!$A:$A,$A207,Status_Log!$B:$B,$B207,Status_Log!$C:$C,$C207,Status_Log!$D:$D,"Changed to the status of signed off")))</f>
        <v/>
      </c>
      <c r="J207" s="4" t="str">
        <f aca="false">IF($A207="","",COUNTIFS(Status_Log!$A:$A,$A207,Status_Log!$B:$B,$B207,Status_Log!$C:$C,$C207,Status_Log!$D:$D,"Changed to the status of Calculated"))</f>
        <v/>
      </c>
      <c r="K207" s="38" t="str">
        <f aca="false">IF($A207="","",IF(J207&lt;=1,0,ROUND((_xlfn.MAXIFS(Status_Log!$E:$E,Status_Log!$A:$A,$A207,Status_Log!$B:$B,$B207,Status_Log!$C:$C,$C207,Status_Log!$D:$D,"Changed to the status of Calculated")-F207)*1440,0)))</f>
        <v/>
      </c>
      <c r="L207" s="4" t="str">
        <f aca="false">IF($A207="","",IFERROR(INDEX(Status_Log!$F:$F,MATCH($A207&amp;"|"&amp;$B207&amp;"|"&amp;$C207&amp;"|Changed to the status of Calculated|"&amp;TEXT(_xlfn.MAXIFS(Status_Log!$E:$E,Status_Log!$A:$A,$A207,Status_Log!$B:$B,$B207,Status_Log!$C:$C,$C207,Status_Log!$D:$D,"Changed to the status of Calculated"),"0.000000"),Status_Log!$H:$H,0)),""))</f>
        <v/>
      </c>
      <c r="M207" s="4" t="str">
        <f aca="false">IF($A207="","",IF(E207="Client","n/a — no control step",IFERROR(INDEX(Status_Log!$F:$F,MATCH($A207&amp;"|"&amp;$B207&amp;"|"&amp;$C207&amp;"|Changed to the status of Controlled|"&amp;TEXT(_xlfn.MAXIFS(Status_Log!$E:$E,Status_Log!$A:$A,$A207,Status_Log!$B:$B,$B207,Status_Log!$C:$C,$C207,Status_Log!$D:$D,"Changed to the status of Controlled"),"0.000000"),Status_Log!$H:$H,0)),"")))</f>
        <v/>
      </c>
      <c r="N207" s="4" t="str">
        <f aca="false">IF($A207="","",IFERROR(VLOOKUP($C207,Dim_Fund!$A:$G,7,0),""))</f>
        <v/>
      </c>
      <c r="O207" s="4" t="str">
        <f aca="false">IF($A207="","",IF(L207=N207,"No","Yes"))</f>
        <v/>
      </c>
      <c r="P207" s="4" t="str">
        <f aca="false">IF($A207="","",IF(E207="Client","n/a",IF(L207=M207,"YES — four-eyes breach","No")))</f>
        <v/>
      </c>
      <c r="Q207" s="38" t="str">
        <f aca="false">IF($A207="","",IFERROR(VLOOKUP($C207,Dim_Fund!$A:$AB,28,0),""))</f>
        <v/>
      </c>
      <c r="R207" s="38" t="str">
        <f aca="false">IF($A207="","",IFERROR(VLOOKUP($C207,Dim_Fund!$A:$AC,29,0),""))</f>
        <v/>
      </c>
      <c r="S207" s="38" t="str">
        <f aca="false">IF($A207="","",IFERROR(VLOOKUP($C207,Dim_Fund!$A:$AD,30,0),""))</f>
        <v/>
      </c>
      <c r="T207" s="38" t="str">
        <f aca="false">IF($A207="","",IFERROR(VLOOKUP($C207,Dim_Fund!$A:$AL,38,0),""))</f>
        <v/>
      </c>
      <c r="U207" s="37" t="str">
        <f aca="false">IF($A207="","",IF(AL207="","",IFERROR(IF(COUNTIFS(Fact_Milestone!$A:$A,$B207,Fact_Milestone!$B:$B,AL207)=0,"",_xlfn.MAXIFS(Fact_Milestone!$C:$C,Fact_Milestone!$A:$A,$B207,Fact_Milestone!$B:$B,AL207)),"")))</f>
        <v/>
      </c>
      <c r="V207" s="37" t="str">
        <f aca="false">IF($A207="","",IFERROR(IF(VLOOKUP($C207,Dim_Fund!$A:$AI,35,0)&gt;0,$B207+VLOOKUP($C207,Dim_Fund!$A:$AI,35,0)/24,""),""))</f>
        <v/>
      </c>
      <c r="W207" s="37" t="str">
        <f aca="false">IF($A207="","",F207)</f>
        <v/>
      </c>
      <c r="X207" s="37" t="str">
        <f aca="false">IF($A207="","",IF(E207="Client",H207,G207))</f>
        <v/>
      </c>
      <c r="Y207" s="37" t="str">
        <f aca="false">IF($A207="","",I207)</f>
        <v/>
      </c>
      <c r="Z207" s="37" t="str">
        <f aca="false">IF($A207="","",IFERROR(W207-R207/1440,""))</f>
        <v/>
      </c>
      <c r="AA207" s="38" t="str">
        <f aca="false">IF($A207="","",IF(OR(U207="",V207=""),"",ROUND((V207-U207)*1440,0)))</f>
        <v/>
      </c>
      <c r="AB207" s="38" t="str">
        <f aca="false">IF($A207="","",IF(U207="","",ROUND((W207-U207)*1440,0)))</f>
        <v/>
      </c>
      <c r="AC207" s="38" t="str">
        <f aca="false">IF($A207="","",IF(AB207="","",MAX(0,AB207)))</f>
        <v/>
      </c>
      <c r="AD207" s="38" t="str">
        <f aca="false">IF($A207="","",IFERROR(ROUND((X207-W207)*1440,0),""))</f>
        <v/>
      </c>
      <c r="AE207" s="38" t="str">
        <f aca="false">IF($A207="","",IF(E207="Client","n/a",IFERROR(ROUND((H207-G207)*1440,0),"")))</f>
        <v/>
      </c>
      <c r="AF207" s="38" t="str">
        <f aca="false">IF($A207="","",IFERROR(ROUND((Y207-H207)*1440,0),""))</f>
        <v/>
      </c>
      <c r="AG207" s="38" t="str">
        <f aca="false">IF($A207="","",IFERROR(ROUND((H207-F207)*1440,0),""))</f>
        <v/>
      </c>
      <c r="AH207" s="38" t="str">
        <f aca="false">IF($A207="","",IFERROR(ROUND((Y207-V207)*1440,0),""))</f>
        <v/>
      </c>
      <c r="AI207" s="4" t="str">
        <f aca="false">IF($A207="","",IF(AH207="","",IF(AH207&gt;0,"Yes","No")))</f>
        <v/>
      </c>
      <c r="AJ207" s="4" t="str">
        <f aca="false">IF($A207="","",IF(AI207&lt;&gt;"Yes","On time",IF(N(AC207)&gt;=MAX(N(AF207),N(K207)),"Wait for analyst",IF(N(AF207)&gt;=N(K207),"External sign-off","Rework"))))</f>
        <v/>
      </c>
      <c r="AK207" s="4" t="str">
        <f aca="false">IF($A207="","",IF(OR(F207="",Y207="",ISNA(MATCH(L207,Dim_Analyst!$A:$A,0))),"CHECK","OK"))</f>
        <v/>
      </c>
      <c r="AL207" s="4" t="str">
        <f aca="false">IF($A207="","",IFERROR(VLOOKUP($C207,Dim_Fund!$A:$U,21,0),""))</f>
        <v/>
      </c>
      <c r="AM207" s="4" t="str">
        <f aca="false">IF($A207="","",IF($U207="","",IF($U207&gt;$B207+IFERROR(VLOOKUP($C207,Dim_Fund!$A:$AH,34,0),0)/24,"Yes","No")))</f>
        <v/>
      </c>
      <c r="AN207" s="22" t="str">
        <f aca="false">IF($A207="","",IFERROR(VLOOKUP($C207,Dim_Fund!$A:$AH,34,0),""))</f>
        <v/>
      </c>
      <c r="AO207" s="22" t="str">
        <f aca="false">IF($A207="","",IF($AL207="","",IFERROR(FLOOR(IF(COUNTIFS(Fact_Milestone!$A:$A,$B207,Fact_Milestone!$B:$B,$AL207,Fact_Milestone!$F:$F,"&gt;0")&gt;0,_xlfn.MINIFS(Fact_Milestone!$F:$F,Fact_Milestone!$A:$A,$B207,Fact_Milestone!$B:$B,$AL207,Fact_Milestone!$F:$F,"&gt;0"),VLOOKUP($AL207,Dim_TOP!$A:$E,5,0)),0.5),"")))</f>
        <v/>
      </c>
      <c r="AP207" s="22" t="str">
        <f aca="false">IF($A207="","",IF($U207="","",ROUND(($U207-INT($U207))*24,4)))</f>
        <v/>
      </c>
      <c r="AQ207" s="22" t="str">
        <f aca="false">IF($A207="","",IF($W207="","",ROUND(($W207-INT($W207))*24,4)))</f>
        <v/>
      </c>
      <c r="AR207" s="22" t="str">
        <f aca="false">IF($A207="","",IF($X207="","",ROUND(($X207-INT($X207))*24,4)))</f>
        <v/>
      </c>
      <c r="AS207" s="38" t="str">
        <f aca="false">IF($A207="","",IF(OR($AN207="",$V207="",$S207="",$T207=""),"",ROUND(($V207-($B207+$AN207/24))*1440-$S207-$T207,0)))</f>
        <v/>
      </c>
      <c r="AT207" s="38" t="str">
        <f aca="false">IF($A207="","",IF(OR($AN207="",$U207=""),"",ROUND(($U207-($B207+$AN207/24))*1440,0)))</f>
        <v/>
      </c>
      <c r="AU207" s="38" t="str">
        <f aca="false">IF($A207="","",IF(OR($AD207="",$S207=""),"",ROUND($AD207-$S207,0)))</f>
        <v/>
      </c>
      <c r="AV207" s="38" t="str">
        <f aca="false">IF($A207="","",N($AE207))</f>
        <v/>
      </c>
      <c r="AW207" s="38" t="str">
        <f aca="false">IF($A207="","",IF(OR($AF207="",$T207=""),"",$AF207-$T207))</f>
        <v/>
      </c>
      <c r="AX207" s="38" t="str">
        <f aca="false">IF($A207="","",IF(COUNT($AT207,$AB207,$AU207,$AW207,$AS207,$AH207)&lt;6,"",ROUND($AT207+$AB207+$AU207+$AV207+$AW207-$AS207-$AH207,0)))</f>
        <v/>
      </c>
      <c r="AY207" s="4" t="str">
        <f aca="false">IF($A207="","",IF($AX207="","No",IF(ABS($AX207)&lt;=2,"Yes","No")))</f>
        <v/>
      </c>
      <c r="AZ207" s="4" t="str">
        <f aca="false">IF($A207="","",IF($AI207&lt;&gt;"Yes","n/a",IF(OR($AA207="",$S207="",$T207=""),"Unknown",IF($AA207&lt;$S207+$T207,"Lost on arrival","Lost after arrival"))))</f>
        <v/>
      </c>
      <c r="BA207" s="10" t="str">
        <f aca="false">IF($A207="","",IFERROR(VLOOKUP($C207,Dim_Fund!$A:$D,4,0),""))</f>
        <v/>
      </c>
      <c r="BB207" s="10" t="str">
        <f aca="false">IF($A207="","",IF($AL207="","",IF(COUNTIFS(Fact_Milestone!$A:$A,$B207,Fact_Milestone!$B:$B,$AL207,Fact_Milestone!$I:$I,"No")&gt;0,"No",IF(COUNTIFS(Fact_Milestone!$A:$A,$B207,Fact_Milestone!$B:$B,$AL207,Fact_Milestone!$I:$I,"Yes")&gt;0,"Yes",""))))</f>
        <v/>
      </c>
      <c r="BC207" s="45" t="str">
        <f aca="false">IF($A207="","",IF(OR($L207="",$W207=""),"",IF(COUNTIFS($L:$L,$L207,$B:$B,$B207,$W:$W,"&lt;"&amp;$W207)=0,"",_xlfn.MAXIFS($W:$W,$L:$L,$L207,$B:$B,$B207,$W:$W,"&lt;"&amp;$W207))))</f>
        <v/>
      </c>
      <c r="BD207" s="39" t="str">
        <f aca="false">IF($A207="","",IF($AC207="","",IF(OR($L207="",$AC207=0),0,MIN($AC207,ROUND(ROUND(1440*SUMPRODUCT(($L$2:INDEX($L:$L,COUNTA($C:$C))=$L207)*($B$2:INDEX($B:$B,COUNTA($C:$C))=$B207)*(ROW($L$2:INDEX($L:$L,COUNTA($C:$C)))&lt;&gt;ROW())*((((($W207+$BT$2:INDEX($BT:$BT,COUNTA($C:$C))-ABS($W207-$BT$2:INDEX($BT:$BT,COUNTA($C:$C))))/2)-(($U207+$BS$2:INDEX($BS:$BS,COUNTA($C:$C))+ABS($U207-$BS$2:INDEX($BS:$BS,COUNTA($C:$C))))/2))+ABS(((($W207+$BT$2:INDEX($BT:$BT,COUNTA($C:$C))-ABS($W207-$BT$2:INDEX($BT:$BT,COUNTA($C:$C))))/2)-(($U207+$BS$2:INDEX($BS:$BS,COUNTA($C:$C))+ABS($U207-$BS$2:INDEX($BS:$BS,COUNTA($C:$C))))/2))))/2)),4),0)))))</f>
        <v/>
      </c>
      <c r="BE207" s="39" t="str">
        <f aca="false">IF($A207="","",IF($AC207="","",ROUND(MIN($AC207-$BD207,N($R207)),0)))</f>
        <v/>
      </c>
      <c r="BF207" s="10" t="str">
        <f aca="false">IF($A207="","",IFERROR(VLOOKUP($C207,Dim_Fund!$A:$BD,56,0),""))</f>
        <v/>
      </c>
      <c r="BG207" s="10" t="str">
        <f aca="false">IF($A207="","",IFERROR(VLOOKUP($C207,Dim_Fund!$A:$BH,60,0),""))</f>
        <v/>
      </c>
      <c r="BH207" s="10" t="str">
        <f aca="false">IF($A207="","",IF($AI207&lt;&gt;"Yes","Not breached",IF($AM207="Yes","Pricing late",IF($BG207="Thin custody slack","Thin custody slack",IF($BF207="Yes","Broker-dependent","None of these")))))</f>
        <v/>
      </c>
      <c r="BI207" s="23" t="str">
        <f aca="false">IF($A207="","",IFERROR(IF(VLOOKUP($C207,Dim_Fund!$A:$AI,35,0)&gt;0,VLOOKUP($C207,Dim_Fund!$A:$AI,35,0),""),""))</f>
        <v/>
      </c>
      <c r="BJ207" s="10" t="str">
        <f aca="false">IF($A207="","",$C207&amp;IF($E207="Client","*",""))</f>
        <v/>
      </c>
      <c r="BK207" s="39" t="str">
        <f aca="false">IF($A207="","",IFERROR(ROUND(($Y207-$X207)*1440,0),""))</f>
        <v/>
      </c>
      <c r="BL207" s="39" t="str">
        <f aca="false">IF($A207="","",IF($AH207="","",-$AH207))</f>
        <v/>
      </c>
      <c r="BM207" s="46" t="str">
        <f aca="false">IF($A207="","",IF($AQ207="","",IF($AP207="",$AQ207,MIN($AP207,$AQ207))))</f>
        <v/>
      </c>
      <c r="BN207" s="46" t="str">
        <f aca="false">IF($A207="","",IF($BM207="","",ROUND(N($AC207)/60,4)))</f>
        <v/>
      </c>
      <c r="BO207" s="46" t="str">
        <f aca="false">IF($A207="","",IF(OR($BM207="",$AD207=""),"",ROUND($AD207/60,4)))</f>
        <v/>
      </c>
      <c r="BP207" s="46" t="str">
        <f aca="false">IF($A207="","",IF($BM207="","",ROUND(N($AE207)/60,4)))</f>
        <v/>
      </c>
      <c r="BQ207" s="46" t="str">
        <f aca="false">IF($A207="","",IF(OR($BM207="",$AF207=""),"",ROUND($AF207/60,4)))</f>
        <v/>
      </c>
      <c r="BR207" s="39" t="str">
        <f aca="false">IF($A207="","",IF($AC207="","",$AC207-$BD207-$BE207))</f>
        <v/>
      </c>
      <c r="BS207" s="45" t="str">
        <f aca="false">IF($A207="","",IF(AND(ISNUMBER($Z207),ISNUMBER($W207)),$Z207,0))</f>
        <v/>
      </c>
      <c r="BT207" s="45" t="str">
        <f aca="false">IF($A207="","",IF(ISNUMBER($W207),$W207,0))</f>
        <v/>
      </c>
      <c r="BU207" s="23" t="str">
        <f aca="false">IF($A207="","",IF(ISNUMBER($W207),ROUND(($W207-$B207)*24,4),""))</f>
        <v/>
      </c>
      <c r="BV207" s="23" t="str">
        <f aca="false">IF($A207="","",IF(ISNUMBER($X207),ROUND(($X207-$B207)*24,4),""))</f>
        <v/>
      </c>
      <c r="BW207" s="10" t="str">
        <f aca="false">IF($A207="","",IF(NOT(ISNUMBER($W207)),"Missing Calculated",IF(NOT(ISNUMBER($X207)),IF($E207="Client","Missing FA signed off","Missing Controlled"),IF($X207&lt;$W207,"End before start","OK"))))</f>
        <v/>
      </c>
      <c r="BX207" s="23" t="str">
        <f aca="false">IF($A207="","",IF(NOT(ISNUMBER($Z207)),"",ROUND((IF(ISNUMBER($U207),MIN($U207,$Z207),$Z207)-$B207)*24,4)))</f>
        <v/>
      </c>
      <c r="BY207" s="23" t="str">
        <f aca="false">IF($A207="","",IF(ISNUMBER($Z207),ROUND(($Z207-$B207)*24,4),""))</f>
        <v/>
      </c>
      <c r="BZ207" s="23" t="str">
        <f aca="false">IF($A207="","",IF(AND(ISNUMBER($W207),ISNUMBER($S207)),ROUND(($W207+$S207/1440-$B207)*24,4),""))</f>
        <v/>
      </c>
    </row>
    <row r="208" customFormat="false" ht="15" hidden="false" customHeight="true" outlineLevel="0" collapsed="false">
      <c r="A208" s="47"/>
      <c r="B208" s="47"/>
      <c r="D208" s="4" t="str">
        <f aca="false">IF($A208="","",$B208-$A208)</f>
        <v/>
      </c>
      <c r="E208" s="4" t="str">
        <f aca="false">IF($A208="","",IFERROR(VLOOKUP($C208,Dim_Fund!$A:$X,24,0),""))</f>
        <v/>
      </c>
      <c r="F208" s="37" t="str">
        <f aca="false">IF($A208="","",IF(COUNTIFS(Status_Log!$A:$A,$A208,Status_Log!$B:$B,$B208,Status_Log!$C:$C,$C208,Status_Log!$D:$D,"Changed to the status of Calculated")=0,"",_xlfn.MINIFS(Status_Log!$E:$E,Status_Log!$A:$A,$A208,Status_Log!$B:$B,$B208,Status_Log!$C:$C,$C208,Status_Log!$D:$D,"Changed to the status of Calculated")))</f>
        <v/>
      </c>
      <c r="G208" s="37" t="str">
        <f aca="false">IF($A208="","",IF(COUNTIFS(Status_Log!$A:$A,$A208,Status_Log!$B:$B,$B208,Status_Log!$C:$C,$C208,Status_Log!$D:$D,"Changed to the status of Controlled")=0,"",_xlfn.MAXIFS(Status_Log!$E:$E,Status_Log!$A:$A,$A208,Status_Log!$B:$B,$B208,Status_Log!$C:$C,$C208,Status_Log!$D:$D,"Changed to the status of Controlled")))</f>
        <v/>
      </c>
      <c r="H208" s="37" t="str">
        <f aca="false">IF($A208="","",IF(COUNTIFS(Status_Log!$A:$A,$A208,Status_Log!$B:$B,$B208,Status_Log!$C:$C,$C208,Status_Log!$D:$D,"Changed to the status of Fund accounting signed off")=0,"",_xlfn.MAXIFS(Status_Log!$E:$E,Status_Log!$A:$A,$A208,Status_Log!$B:$B,$B208,Status_Log!$C:$C,$C208,Status_Log!$D:$D,"Changed to the status of Fund accounting signed off")))</f>
        <v/>
      </c>
      <c r="I208" s="37" t="str">
        <f aca="false">IF($A208="","",IF(COUNTIFS(Status_Log!$A:$A,$A208,Status_Log!$B:$B,$B208,Status_Log!$C:$C,$C208,Status_Log!$D:$D,"Changed to the status of signed off")=0,"",_xlfn.MAXIFS(Status_Log!$E:$E,Status_Log!$A:$A,$A208,Status_Log!$B:$B,$B208,Status_Log!$C:$C,$C208,Status_Log!$D:$D,"Changed to the status of signed off")))</f>
        <v/>
      </c>
      <c r="J208" s="4" t="str">
        <f aca="false">IF($A208="","",COUNTIFS(Status_Log!$A:$A,$A208,Status_Log!$B:$B,$B208,Status_Log!$C:$C,$C208,Status_Log!$D:$D,"Changed to the status of Calculated"))</f>
        <v/>
      </c>
      <c r="K208" s="38" t="str">
        <f aca="false">IF($A208="","",IF(J208&lt;=1,0,ROUND((_xlfn.MAXIFS(Status_Log!$E:$E,Status_Log!$A:$A,$A208,Status_Log!$B:$B,$B208,Status_Log!$C:$C,$C208,Status_Log!$D:$D,"Changed to the status of Calculated")-F208)*1440,0)))</f>
        <v/>
      </c>
      <c r="L208" s="4" t="str">
        <f aca="false">IF($A208="","",IFERROR(INDEX(Status_Log!$F:$F,MATCH($A208&amp;"|"&amp;$B208&amp;"|"&amp;$C208&amp;"|Changed to the status of Calculated|"&amp;TEXT(_xlfn.MAXIFS(Status_Log!$E:$E,Status_Log!$A:$A,$A208,Status_Log!$B:$B,$B208,Status_Log!$C:$C,$C208,Status_Log!$D:$D,"Changed to the status of Calculated"),"0.000000"),Status_Log!$H:$H,0)),""))</f>
        <v/>
      </c>
      <c r="M208" s="4" t="str">
        <f aca="false">IF($A208="","",IF(E208="Client","n/a — no control step",IFERROR(INDEX(Status_Log!$F:$F,MATCH($A208&amp;"|"&amp;$B208&amp;"|"&amp;$C208&amp;"|Changed to the status of Controlled|"&amp;TEXT(_xlfn.MAXIFS(Status_Log!$E:$E,Status_Log!$A:$A,$A208,Status_Log!$B:$B,$B208,Status_Log!$C:$C,$C208,Status_Log!$D:$D,"Changed to the status of Controlled"),"0.000000"),Status_Log!$H:$H,0)),"")))</f>
        <v/>
      </c>
      <c r="N208" s="4" t="str">
        <f aca="false">IF($A208="","",IFERROR(VLOOKUP($C208,Dim_Fund!$A:$G,7,0),""))</f>
        <v/>
      </c>
      <c r="O208" s="4" t="str">
        <f aca="false">IF($A208="","",IF(L208=N208,"No","Yes"))</f>
        <v/>
      </c>
      <c r="P208" s="4" t="str">
        <f aca="false">IF($A208="","",IF(E208="Client","n/a",IF(L208=M208,"YES — four-eyes breach","No")))</f>
        <v/>
      </c>
      <c r="Q208" s="38" t="str">
        <f aca="false">IF($A208="","",IFERROR(VLOOKUP($C208,Dim_Fund!$A:$AB,28,0),""))</f>
        <v/>
      </c>
      <c r="R208" s="38" t="str">
        <f aca="false">IF($A208="","",IFERROR(VLOOKUP($C208,Dim_Fund!$A:$AC,29,0),""))</f>
        <v/>
      </c>
      <c r="S208" s="38" t="str">
        <f aca="false">IF($A208="","",IFERROR(VLOOKUP($C208,Dim_Fund!$A:$AD,30,0),""))</f>
        <v/>
      </c>
      <c r="T208" s="38" t="str">
        <f aca="false">IF($A208="","",IFERROR(VLOOKUP($C208,Dim_Fund!$A:$AL,38,0),""))</f>
        <v/>
      </c>
      <c r="U208" s="37" t="str">
        <f aca="false">IF($A208="","",IF(AL208="","",IFERROR(IF(COUNTIFS(Fact_Milestone!$A:$A,$B208,Fact_Milestone!$B:$B,AL208)=0,"",_xlfn.MAXIFS(Fact_Milestone!$C:$C,Fact_Milestone!$A:$A,$B208,Fact_Milestone!$B:$B,AL208)),"")))</f>
        <v/>
      </c>
      <c r="V208" s="37" t="str">
        <f aca="false">IF($A208="","",IFERROR(IF(VLOOKUP($C208,Dim_Fund!$A:$AI,35,0)&gt;0,$B208+VLOOKUP($C208,Dim_Fund!$A:$AI,35,0)/24,""),""))</f>
        <v/>
      </c>
      <c r="W208" s="37" t="str">
        <f aca="false">IF($A208="","",F208)</f>
        <v/>
      </c>
      <c r="X208" s="37" t="str">
        <f aca="false">IF($A208="","",IF(E208="Client",H208,G208))</f>
        <v/>
      </c>
      <c r="Y208" s="37" t="str">
        <f aca="false">IF($A208="","",I208)</f>
        <v/>
      </c>
      <c r="Z208" s="37" t="str">
        <f aca="false">IF($A208="","",IFERROR(W208-R208/1440,""))</f>
        <v/>
      </c>
      <c r="AA208" s="38" t="str">
        <f aca="false">IF($A208="","",IF(OR(U208="",V208=""),"",ROUND((V208-U208)*1440,0)))</f>
        <v/>
      </c>
      <c r="AB208" s="38" t="str">
        <f aca="false">IF($A208="","",IF(U208="","",ROUND((W208-U208)*1440,0)))</f>
        <v/>
      </c>
      <c r="AC208" s="38" t="str">
        <f aca="false">IF($A208="","",IF(AB208="","",MAX(0,AB208)))</f>
        <v/>
      </c>
      <c r="AD208" s="38" t="str">
        <f aca="false">IF($A208="","",IFERROR(ROUND((X208-W208)*1440,0),""))</f>
        <v/>
      </c>
      <c r="AE208" s="38" t="str">
        <f aca="false">IF($A208="","",IF(E208="Client","n/a",IFERROR(ROUND((H208-G208)*1440,0),"")))</f>
        <v/>
      </c>
      <c r="AF208" s="38" t="str">
        <f aca="false">IF($A208="","",IFERROR(ROUND((Y208-H208)*1440,0),""))</f>
        <v/>
      </c>
      <c r="AG208" s="38" t="str">
        <f aca="false">IF($A208="","",IFERROR(ROUND((H208-F208)*1440,0),""))</f>
        <v/>
      </c>
      <c r="AH208" s="38" t="str">
        <f aca="false">IF($A208="","",IFERROR(ROUND((Y208-V208)*1440,0),""))</f>
        <v/>
      </c>
      <c r="AI208" s="4" t="str">
        <f aca="false">IF($A208="","",IF(AH208="","",IF(AH208&gt;0,"Yes","No")))</f>
        <v/>
      </c>
      <c r="AJ208" s="4" t="str">
        <f aca="false">IF($A208="","",IF(AI208&lt;&gt;"Yes","On time",IF(N(AC208)&gt;=MAX(N(AF208),N(K208)),"Wait for analyst",IF(N(AF208)&gt;=N(K208),"External sign-off","Rework"))))</f>
        <v/>
      </c>
      <c r="AK208" s="4" t="str">
        <f aca="false">IF($A208="","",IF(OR(F208="",Y208="",ISNA(MATCH(L208,Dim_Analyst!$A:$A,0))),"CHECK","OK"))</f>
        <v/>
      </c>
      <c r="AL208" s="4" t="str">
        <f aca="false">IF($A208="","",IFERROR(VLOOKUP($C208,Dim_Fund!$A:$U,21,0),""))</f>
        <v/>
      </c>
      <c r="AM208" s="4" t="str">
        <f aca="false">IF($A208="","",IF($U208="","",IF($U208&gt;$B208+IFERROR(VLOOKUP($C208,Dim_Fund!$A:$AH,34,0),0)/24,"Yes","No")))</f>
        <v/>
      </c>
      <c r="AN208" s="22" t="str">
        <f aca="false">IF($A208="","",IFERROR(VLOOKUP($C208,Dim_Fund!$A:$AH,34,0),""))</f>
        <v/>
      </c>
      <c r="AO208" s="22" t="str">
        <f aca="false">IF($A208="","",IF($AL208="","",IFERROR(FLOOR(IF(COUNTIFS(Fact_Milestone!$A:$A,$B208,Fact_Milestone!$B:$B,$AL208,Fact_Milestone!$F:$F,"&gt;0")&gt;0,_xlfn.MINIFS(Fact_Milestone!$F:$F,Fact_Milestone!$A:$A,$B208,Fact_Milestone!$B:$B,$AL208,Fact_Milestone!$F:$F,"&gt;0"),VLOOKUP($AL208,Dim_TOP!$A:$E,5,0)),0.5),"")))</f>
        <v/>
      </c>
      <c r="AP208" s="22" t="str">
        <f aca="false">IF($A208="","",IF($U208="","",ROUND(($U208-INT($U208))*24,4)))</f>
        <v/>
      </c>
      <c r="AQ208" s="22" t="str">
        <f aca="false">IF($A208="","",IF($W208="","",ROUND(($W208-INT($W208))*24,4)))</f>
        <v/>
      </c>
      <c r="AR208" s="22" t="str">
        <f aca="false">IF($A208="","",IF($X208="","",ROUND(($X208-INT($X208))*24,4)))</f>
        <v/>
      </c>
      <c r="AS208" s="38" t="str">
        <f aca="false">IF($A208="","",IF(OR($AN208="",$V208="",$S208="",$T208=""),"",ROUND(($V208-($B208+$AN208/24))*1440-$S208-$T208,0)))</f>
        <v/>
      </c>
      <c r="AT208" s="38" t="str">
        <f aca="false">IF($A208="","",IF(OR($AN208="",$U208=""),"",ROUND(($U208-($B208+$AN208/24))*1440,0)))</f>
        <v/>
      </c>
      <c r="AU208" s="38" t="str">
        <f aca="false">IF($A208="","",IF(OR($AD208="",$S208=""),"",ROUND($AD208-$S208,0)))</f>
        <v/>
      </c>
      <c r="AV208" s="38" t="str">
        <f aca="false">IF($A208="","",N($AE208))</f>
        <v/>
      </c>
      <c r="AW208" s="38" t="str">
        <f aca="false">IF($A208="","",IF(OR($AF208="",$T208=""),"",$AF208-$T208))</f>
        <v/>
      </c>
      <c r="AX208" s="38" t="str">
        <f aca="false">IF($A208="","",IF(COUNT($AT208,$AB208,$AU208,$AW208,$AS208,$AH208)&lt;6,"",ROUND($AT208+$AB208+$AU208+$AV208+$AW208-$AS208-$AH208,0)))</f>
        <v/>
      </c>
      <c r="AY208" s="4" t="str">
        <f aca="false">IF($A208="","",IF($AX208="","No",IF(ABS($AX208)&lt;=2,"Yes","No")))</f>
        <v/>
      </c>
      <c r="AZ208" s="4" t="str">
        <f aca="false">IF($A208="","",IF($AI208&lt;&gt;"Yes","n/a",IF(OR($AA208="",$S208="",$T208=""),"Unknown",IF($AA208&lt;$S208+$T208,"Lost on arrival","Lost after arrival"))))</f>
        <v/>
      </c>
      <c r="BA208" s="10" t="str">
        <f aca="false">IF($A208="","",IFERROR(VLOOKUP($C208,Dim_Fund!$A:$D,4,0),""))</f>
        <v/>
      </c>
      <c r="BB208" s="10" t="str">
        <f aca="false">IF($A208="","",IF($AL208="","",IF(COUNTIFS(Fact_Milestone!$A:$A,$B208,Fact_Milestone!$B:$B,$AL208,Fact_Milestone!$I:$I,"No")&gt;0,"No",IF(COUNTIFS(Fact_Milestone!$A:$A,$B208,Fact_Milestone!$B:$B,$AL208,Fact_Milestone!$I:$I,"Yes")&gt;0,"Yes",""))))</f>
        <v/>
      </c>
      <c r="BC208" s="45" t="str">
        <f aca="false">IF($A208="","",IF(OR($L208="",$W208=""),"",IF(COUNTIFS($L:$L,$L208,$B:$B,$B208,$W:$W,"&lt;"&amp;$W208)=0,"",_xlfn.MAXIFS($W:$W,$L:$L,$L208,$B:$B,$B208,$W:$W,"&lt;"&amp;$W208))))</f>
        <v/>
      </c>
      <c r="BD208" s="39" t="str">
        <f aca="false">IF($A208="","",IF($AC208="","",IF(OR($L208="",$AC208=0),0,MIN($AC208,ROUND(ROUND(1440*SUMPRODUCT(($L$2:INDEX($L:$L,COUNTA($C:$C))=$L208)*($B$2:INDEX($B:$B,COUNTA($C:$C))=$B208)*(ROW($L$2:INDEX($L:$L,COUNTA($C:$C)))&lt;&gt;ROW())*((((($W208+$BT$2:INDEX($BT:$BT,COUNTA($C:$C))-ABS($W208-$BT$2:INDEX($BT:$BT,COUNTA($C:$C))))/2)-(($U208+$BS$2:INDEX($BS:$BS,COUNTA($C:$C))+ABS($U208-$BS$2:INDEX($BS:$BS,COUNTA($C:$C))))/2))+ABS(((($W208+$BT$2:INDEX($BT:$BT,COUNTA($C:$C))-ABS($W208-$BT$2:INDEX($BT:$BT,COUNTA($C:$C))))/2)-(($U208+$BS$2:INDEX($BS:$BS,COUNTA($C:$C))+ABS($U208-$BS$2:INDEX($BS:$BS,COUNTA($C:$C))))/2))))/2)),4),0)))))</f>
        <v/>
      </c>
      <c r="BE208" s="39" t="str">
        <f aca="false">IF($A208="","",IF($AC208="","",ROUND(MIN($AC208-$BD208,N($R208)),0)))</f>
        <v/>
      </c>
      <c r="BF208" s="10" t="str">
        <f aca="false">IF($A208="","",IFERROR(VLOOKUP($C208,Dim_Fund!$A:$BD,56,0),""))</f>
        <v/>
      </c>
      <c r="BG208" s="10" t="str">
        <f aca="false">IF($A208="","",IFERROR(VLOOKUP($C208,Dim_Fund!$A:$BH,60,0),""))</f>
        <v/>
      </c>
      <c r="BH208" s="10" t="str">
        <f aca="false">IF($A208="","",IF($AI208&lt;&gt;"Yes","Not breached",IF($AM208="Yes","Pricing late",IF($BG208="Thin custody slack","Thin custody slack",IF($BF208="Yes","Broker-dependent","None of these")))))</f>
        <v/>
      </c>
      <c r="BI208" s="23" t="str">
        <f aca="false">IF($A208="","",IFERROR(IF(VLOOKUP($C208,Dim_Fund!$A:$AI,35,0)&gt;0,VLOOKUP($C208,Dim_Fund!$A:$AI,35,0),""),""))</f>
        <v/>
      </c>
      <c r="BJ208" s="10" t="str">
        <f aca="false">IF($A208="","",$C208&amp;IF($E208="Client","*",""))</f>
        <v/>
      </c>
      <c r="BK208" s="39" t="str">
        <f aca="false">IF($A208="","",IFERROR(ROUND(($Y208-$X208)*1440,0),""))</f>
        <v/>
      </c>
      <c r="BL208" s="39" t="str">
        <f aca="false">IF($A208="","",IF($AH208="","",-$AH208))</f>
        <v/>
      </c>
      <c r="BM208" s="46" t="str">
        <f aca="false">IF($A208="","",IF($AQ208="","",IF($AP208="",$AQ208,MIN($AP208,$AQ208))))</f>
        <v/>
      </c>
      <c r="BN208" s="46" t="str">
        <f aca="false">IF($A208="","",IF($BM208="","",ROUND(N($AC208)/60,4)))</f>
        <v/>
      </c>
      <c r="BO208" s="46" t="str">
        <f aca="false">IF($A208="","",IF(OR($BM208="",$AD208=""),"",ROUND($AD208/60,4)))</f>
        <v/>
      </c>
      <c r="BP208" s="46" t="str">
        <f aca="false">IF($A208="","",IF($BM208="","",ROUND(N($AE208)/60,4)))</f>
        <v/>
      </c>
      <c r="BQ208" s="46" t="str">
        <f aca="false">IF($A208="","",IF(OR($BM208="",$AF208=""),"",ROUND($AF208/60,4)))</f>
        <v/>
      </c>
      <c r="BR208" s="39" t="str">
        <f aca="false">IF($A208="","",IF($AC208="","",$AC208-$BD208-$BE208))</f>
        <v/>
      </c>
      <c r="BS208" s="45" t="str">
        <f aca="false">IF($A208="","",IF(AND(ISNUMBER($Z208),ISNUMBER($W208)),$Z208,0))</f>
        <v/>
      </c>
      <c r="BT208" s="45" t="str">
        <f aca="false">IF($A208="","",IF(ISNUMBER($W208),$W208,0))</f>
        <v/>
      </c>
      <c r="BU208" s="23" t="str">
        <f aca="false">IF($A208="","",IF(ISNUMBER($W208),ROUND(($W208-$B208)*24,4),""))</f>
        <v/>
      </c>
      <c r="BV208" s="23" t="str">
        <f aca="false">IF($A208="","",IF(ISNUMBER($X208),ROUND(($X208-$B208)*24,4),""))</f>
        <v/>
      </c>
      <c r="BW208" s="10" t="str">
        <f aca="false">IF($A208="","",IF(NOT(ISNUMBER($W208)),"Missing Calculated",IF(NOT(ISNUMBER($X208)),IF($E208="Client","Missing FA signed off","Missing Controlled"),IF($X208&lt;$W208,"End before start","OK"))))</f>
        <v/>
      </c>
      <c r="BX208" s="23" t="str">
        <f aca="false">IF($A208="","",IF(NOT(ISNUMBER($Z208)),"",ROUND((IF(ISNUMBER($U208),MIN($U208,$Z208),$Z208)-$B208)*24,4)))</f>
        <v/>
      </c>
      <c r="BY208" s="23" t="str">
        <f aca="false">IF($A208="","",IF(ISNUMBER($Z208),ROUND(($Z208-$B208)*24,4),""))</f>
        <v/>
      </c>
      <c r="BZ208" s="23" t="str">
        <f aca="false">IF($A208="","",IF(AND(ISNUMBER($W208),ISNUMBER($S208)),ROUND(($W208+$S208/1440-$B208)*24,4),""))</f>
        <v/>
      </c>
    </row>
    <row r="209" customFormat="false" ht="15" hidden="false" customHeight="true" outlineLevel="0" collapsed="false">
      <c r="A209" s="47"/>
      <c r="B209" s="47"/>
      <c r="D209" s="4" t="str">
        <f aca="false">IF($A209="","",$B209-$A209)</f>
        <v/>
      </c>
      <c r="E209" s="4" t="str">
        <f aca="false">IF($A209="","",IFERROR(VLOOKUP($C209,Dim_Fund!$A:$X,24,0),""))</f>
        <v/>
      </c>
      <c r="F209" s="37" t="str">
        <f aca="false">IF($A209="","",IF(COUNTIFS(Status_Log!$A:$A,$A209,Status_Log!$B:$B,$B209,Status_Log!$C:$C,$C209,Status_Log!$D:$D,"Changed to the status of Calculated")=0,"",_xlfn.MINIFS(Status_Log!$E:$E,Status_Log!$A:$A,$A209,Status_Log!$B:$B,$B209,Status_Log!$C:$C,$C209,Status_Log!$D:$D,"Changed to the status of Calculated")))</f>
        <v/>
      </c>
      <c r="G209" s="37" t="str">
        <f aca="false">IF($A209="","",IF(COUNTIFS(Status_Log!$A:$A,$A209,Status_Log!$B:$B,$B209,Status_Log!$C:$C,$C209,Status_Log!$D:$D,"Changed to the status of Controlled")=0,"",_xlfn.MAXIFS(Status_Log!$E:$E,Status_Log!$A:$A,$A209,Status_Log!$B:$B,$B209,Status_Log!$C:$C,$C209,Status_Log!$D:$D,"Changed to the status of Controlled")))</f>
        <v/>
      </c>
      <c r="H209" s="37" t="str">
        <f aca="false">IF($A209="","",IF(COUNTIFS(Status_Log!$A:$A,$A209,Status_Log!$B:$B,$B209,Status_Log!$C:$C,$C209,Status_Log!$D:$D,"Changed to the status of Fund accounting signed off")=0,"",_xlfn.MAXIFS(Status_Log!$E:$E,Status_Log!$A:$A,$A209,Status_Log!$B:$B,$B209,Status_Log!$C:$C,$C209,Status_Log!$D:$D,"Changed to the status of Fund accounting signed off")))</f>
        <v/>
      </c>
      <c r="I209" s="37" t="str">
        <f aca="false">IF($A209="","",IF(COUNTIFS(Status_Log!$A:$A,$A209,Status_Log!$B:$B,$B209,Status_Log!$C:$C,$C209,Status_Log!$D:$D,"Changed to the status of signed off")=0,"",_xlfn.MAXIFS(Status_Log!$E:$E,Status_Log!$A:$A,$A209,Status_Log!$B:$B,$B209,Status_Log!$C:$C,$C209,Status_Log!$D:$D,"Changed to the status of signed off")))</f>
        <v/>
      </c>
      <c r="J209" s="4" t="str">
        <f aca="false">IF($A209="","",COUNTIFS(Status_Log!$A:$A,$A209,Status_Log!$B:$B,$B209,Status_Log!$C:$C,$C209,Status_Log!$D:$D,"Changed to the status of Calculated"))</f>
        <v/>
      </c>
      <c r="K209" s="38" t="str">
        <f aca="false">IF($A209="","",IF(J209&lt;=1,0,ROUND((_xlfn.MAXIFS(Status_Log!$E:$E,Status_Log!$A:$A,$A209,Status_Log!$B:$B,$B209,Status_Log!$C:$C,$C209,Status_Log!$D:$D,"Changed to the status of Calculated")-F209)*1440,0)))</f>
        <v/>
      </c>
      <c r="L209" s="4" t="str">
        <f aca="false">IF($A209="","",IFERROR(INDEX(Status_Log!$F:$F,MATCH($A209&amp;"|"&amp;$B209&amp;"|"&amp;$C209&amp;"|Changed to the status of Calculated|"&amp;TEXT(_xlfn.MAXIFS(Status_Log!$E:$E,Status_Log!$A:$A,$A209,Status_Log!$B:$B,$B209,Status_Log!$C:$C,$C209,Status_Log!$D:$D,"Changed to the status of Calculated"),"0.000000"),Status_Log!$H:$H,0)),""))</f>
        <v/>
      </c>
      <c r="M209" s="4" t="str">
        <f aca="false">IF($A209="","",IF(E209="Client","n/a — no control step",IFERROR(INDEX(Status_Log!$F:$F,MATCH($A209&amp;"|"&amp;$B209&amp;"|"&amp;$C209&amp;"|Changed to the status of Controlled|"&amp;TEXT(_xlfn.MAXIFS(Status_Log!$E:$E,Status_Log!$A:$A,$A209,Status_Log!$B:$B,$B209,Status_Log!$C:$C,$C209,Status_Log!$D:$D,"Changed to the status of Controlled"),"0.000000"),Status_Log!$H:$H,0)),"")))</f>
        <v/>
      </c>
      <c r="N209" s="4" t="str">
        <f aca="false">IF($A209="","",IFERROR(VLOOKUP($C209,Dim_Fund!$A:$G,7,0),""))</f>
        <v/>
      </c>
      <c r="O209" s="4" t="str">
        <f aca="false">IF($A209="","",IF(L209=N209,"No","Yes"))</f>
        <v/>
      </c>
      <c r="P209" s="4" t="str">
        <f aca="false">IF($A209="","",IF(E209="Client","n/a",IF(L209=M209,"YES — four-eyes breach","No")))</f>
        <v/>
      </c>
      <c r="Q209" s="38" t="str">
        <f aca="false">IF($A209="","",IFERROR(VLOOKUP($C209,Dim_Fund!$A:$AB,28,0),""))</f>
        <v/>
      </c>
      <c r="R209" s="38" t="str">
        <f aca="false">IF($A209="","",IFERROR(VLOOKUP($C209,Dim_Fund!$A:$AC,29,0),""))</f>
        <v/>
      </c>
      <c r="S209" s="38" t="str">
        <f aca="false">IF($A209="","",IFERROR(VLOOKUP($C209,Dim_Fund!$A:$AD,30,0),""))</f>
        <v/>
      </c>
      <c r="T209" s="38" t="str">
        <f aca="false">IF($A209="","",IFERROR(VLOOKUP($C209,Dim_Fund!$A:$AL,38,0),""))</f>
        <v/>
      </c>
      <c r="U209" s="37" t="str">
        <f aca="false">IF($A209="","",IF(AL209="","",IFERROR(IF(COUNTIFS(Fact_Milestone!$A:$A,$B209,Fact_Milestone!$B:$B,AL209)=0,"",_xlfn.MAXIFS(Fact_Milestone!$C:$C,Fact_Milestone!$A:$A,$B209,Fact_Milestone!$B:$B,AL209)),"")))</f>
        <v/>
      </c>
      <c r="V209" s="37" t="str">
        <f aca="false">IF($A209="","",IFERROR(IF(VLOOKUP($C209,Dim_Fund!$A:$AI,35,0)&gt;0,$B209+VLOOKUP($C209,Dim_Fund!$A:$AI,35,0)/24,""),""))</f>
        <v/>
      </c>
      <c r="W209" s="37" t="str">
        <f aca="false">IF($A209="","",F209)</f>
        <v/>
      </c>
      <c r="X209" s="37" t="str">
        <f aca="false">IF($A209="","",IF(E209="Client",H209,G209))</f>
        <v/>
      </c>
      <c r="Y209" s="37" t="str">
        <f aca="false">IF($A209="","",I209)</f>
        <v/>
      </c>
      <c r="Z209" s="37" t="str">
        <f aca="false">IF($A209="","",IFERROR(W209-R209/1440,""))</f>
        <v/>
      </c>
      <c r="AA209" s="38" t="str">
        <f aca="false">IF($A209="","",IF(OR(U209="",V209=""),"",ROUND((V209-U209)*1440,0)))</f>
        <v/>
      </c>
      <c r="AB209" s="38" t="str">
        <f aca="false">IF($A209="","",IF(U209="","",ROUND((W209-U209)*1440,0)))</f>
        <v/>
      </c>
      <c r="AC209" s="38" t="str">
        <f aca="false">IF($A209="","",IF(AB209="","",MAX(0,AB209)))</f>
        <v/>
      </c>
      <c r="AD209" s="38" t="str">
        <f aca="false">IF($A209="","",IFERROR(ROUND((X209-W209)*1440,0),""))</f>
        <v/>
      </c>
      <c r="AE209" s="38" t="str">
        <f aca="false">IF($A209="","",IF(E209="Client","n/a",IFERROR(ROUND((H209-G209)*1440,0),"")))</f>
        <v/>
      </c>
      <c r="AF209" s="38" t="str">
        <f aca="false">IF($A209="","",IFERROR(ROUND((Y209-H209)*1440,0),""))</f>
        <v/>
      </c>
      <c r="AG209" s="38" t="str">
        <f aca="false">IF($A209="","",IFERROR(ROUND((H209-F209)*1440,0),""))</f>
        <v/>
      </c>
      <c r="AH209" s="38" t="str">
        <f aca="false">IF($A209="","",IFERROR(ROUND((Y209-V209)*1440,0),""))</f>
        <v/>
      </c>
      <c r="AI209" s="4" t="str">
        <f aca="false">IF($A209="","",IF(AH209="","",IF(AH209&gt;0,"Yes","No")))</f>
        <v/>
      </c>
      <c r="AJ209" s="4" t="str">
        <f aca="false">IF($A209="","",IF(AI209&lt;&gt;"Yes","On time",IF(N(AC209)&gt;=MAX(N(AF209),N(K209)),"Wait for analyst",IF(N(AF209)&gt;=N(K209),"External sign-off","Rework"))))</f>
        <v/>
      </c>
      <c r="AK209" s="4" t="str">
        <f aca="false">IF($A209="","",IF(OR(F209="",Y209="",ISNA(MATCH(L209,Dim_Analyst!$A:$A,0))),"CHECK","OK"))</f>
        <v/>
      </c>
      <c r="AL209" s="4" t="str">
        <f aca="false">IF($A209="","",IFERROR(VLOOKUP($C209,Dim_Fund!$A:$U,21,0),""))</f>
        <v/>
      </c>
      <c r="AM209" s="4" t="str">
        <f aca="false">IF($A209="","",IF($U209="","",IF($U209&gt;$B209+IFERROR(VLOOKUP($C209,Dim_Fund!$A:$AH,34,0),0)/24,"Yes","No")))</f>
        <v/>
      </c>
      <c r="AN209" s="22" t="str">
        <f aca="false">IF($A209="","",IFERROR(VLOOKUP($C209,Dim_Fund!$A:$AH,34,0),""))</f>
        <v/>
      </c>
      <c r="AO209" s="22" t="str">
        <f aca="false">IF($A209="","",IF($AL209="","",IFERROR(FLOOR(IF(COUNTIFS(Fact_Milestone!$A:$A,$B209,Fact_Milestone!$B:$B,$AL209,Fact_Milestone!$F:$F,"&gt;0")&gt;0,_xlfn.MINIFS(Fact_Milestone!$F:$F,Fact_Milestone!$A:$A,$B209,Fact_Milestone!$B:$B,$AL209,Fact_Milestone!$F:$F,"&gt;0"),VLOOKUP($AL209,Dim_TOP!$A:$E,5,0)),0.5),"")))</f>
        <v/>
      </c>
      <c r="AP209" s="22" t="str">
        <f aca="false">IF($A209="","",IF($U209="","",ROUND(($U209-INT($U209))*24,4)))</f>
        <v/>
      </c>
      <c r="AQ209" s="22" t="str">
        <f aca="false">IF($A209="","",IF($W209="","",ROUND(($W209-INT($W209))*24,4)))</f>
        <v/>
      </c>
      <c r="AR209" s="22" t="str">
        <f aca="false">IF($A209="","",IF($X209="","",ROUND(($X209-INT($X209))*24,4)))</f>
        <v/>
      </c>
      <c r="AS209" s="38" t="str">
        <f aca="false">IF($A209="","",IF(OR($AN209="",$V209="",$S209="",$T209=""),"",ROUND(($V209-($B209+$AN209/24))*1440-$S209-$T209,0)))</f>
        <v/>
      </c>
      <c r="AT209" s="38" t="str">
        <f aca="false">IF($A209="","",IF(OR($AN209="",$U209=""),"",ROUND(($U209-($B209+$AN209/24))*1440,0)))</f>
        <v/>
      </c>
      <c r="AU209" s="38" t="str">
        <f aca="false">IF($A209="","",IF(OR($AD209="",$S209=""),"",ROUND($AD209-$S209,0)))</f>
        <v/>
      </c>
      <c r="AV209" s="38" t="str">
        <f aca="false">IF($A209="","",N($AE209))</f>
        <v/>
      </c>
      <c r="AW209" s="38" t="str">
        <f aca="false">IF($A209="","",IF(OR($AF209="",$T209=""),"",$AF209-$T209))</f>
        <v/>
      </c>
      <c r="AX209" s="38" t="str">
        <f aca="false">IF($A209="","",IF(COUNT($AT209,$AB209,$AU209,$AW209,$AS209,$AH209)&lt;6,"",ROUND($AT209+$AB209+$AU209+$AV209+$AW209-$AS209-$AH209,0)))</f>
        <v/>
      </c>
      <c r="AY209" s="4" t="str">
        <f aca="false">IF($A209="","",IF($AX209="","No",IF(ABS($AX209)&lt;=2,"Yes","No")))</f>
        <v/>
      </c>
      <c r="AZ209" s="4" t="str">
        <f aca="false">IF($A209="","",IF($AI209&lt;&gt;"Yes","n/a",IF(OR($AA209="",$S209="",$T209=""),"Unknown",IF($AA209&lt;$S209+$T209,"Lost on arrival","Lost after arrival"))))</f>
        <v/>
      </c>
      <c r="BA209" s="10" t="str">
        <f aca="false">IF($A209="","",IFERROR(VLOOKUP($C209,Dim_Fund!$A:$D,4,0),""))</f>
        <v/>
      </c>
      <c r="BB209" s="10" t="str">
        <f aca="false">IF($A209="","",IF($AL209="","",IF(COUNTIFS(Fact_Milestone!$A:$A,$B209,Fact_Milestone!$B:$B,$AL209,Fact_Milestone!$I:$I,"No")&gt;0,"No",IF(COUNTIFS(Fact_Milestone!$A:$A,$B209,Fact_Milestone!$B:$B,$AL209,Fact_Milestone!$I:$I,"Yes")&gt;0,"Yes",""))))</f>
        <v/>
      </c>
      <c r="BC209" s="45" t="str">
        <f aca="false">IF($A209="","",IF(OR($L209="",$W209=""),"",IF(COUNTIFS($L:$L,$L209,$B:$B,$B209,$W:$W,"&lt;"&amp;$W209)=0,"",_xlfn.MAXIFS($W:$W,$L:$L,$L209,$B:$B,$B209,$W:$W,"&lt;"&amp;$W209))))</f>
        <v/>
      </c>
      <c r="BD209" s="39" t="str">
        <f aca="false">IF($A209="","",IF($AC209="","",IF(OR($L209="",$AC209=0),0,MIN($AC209,ROUND(ROUND(1440*SUMPRODUCT(($L$2:INDEX($L:$L,COUNTA($C:$C))=$L209)*($B$2:INDEX($B:$B,COUNTA($C:$C))=$B209)*(ROW($L$2:INDEX($L:$L,COUNTA($C:$C)))&lt;&gt;ROW())*((((($W209+$BT$2:INDEX($BT:$BT,COUNTA($C:$C))-ABS($W209-$BT$2:INDEX($BT:$BT,COUNTA($C:$C))))/2)-(($U209+$BS$2:INDEX($BS:$BS,COUNTA($C:$C))+ABS($U209-$BS$2:INDEX($BS:$BS,COUNTA($C:$C))))/2))+ABS(((($W209+$BT$2:INDEX($BT:$BT,COUNTA($C:$C))-ABS($W209-$BT$2:INDEX($BT:$BT,COUNTA($C:$C))))/2)-(($U209+$BS$2:INDEX($BS:$BS,COUNTA($C:$C))+ABS($U209-$BS$2:INDEX($BS:$BS,COUNTA($C:$C))))/2))))/2)),4),0)))))</f>
        <v/>
      </c>
      <c r="BE209" s="39" t="str">
        <f aca="false">IF($A209="","",IF($AC209="","",ROUND(MIN($AC209-$BD209,N($R209)),0)))</f>
        <v/>
      </c>
      <c r="BF209" s="10" t="str">
        <f aca="false">IF($A209="","",IFERROR(VLOOKUP($C209,Dim_Fund!$A:$BD,56,0),""))</f>
        <v/>
      </c>
      <c r="BG209" s="10" t="str">
        <f aca="false">IF($A209="","",IFERROR(VLOOKUP($C209,Dim_Fund!$A:$BH,60,0),""))</f>
        <v/>
      </c>
      <c r="BH209" s="10" t="str">
        <f aca="false">IF($A209="","",IF($AI209&lt;&gt;"Yes","Not breached",IF($AM209="Yes","Pricing late",IF($BG209="Thin custody slack","Thin custody slack",IF($BF209="Yes","Broker-dependent","None of these")))))</f>
        <v/>
      </c>
      <c r="BI209" s="23" t="str">
        <f aca="false">IF($A209="","",IFERROR(IF(VLOOKUP($C209,Dim_Fund!$A:$AI,35,0)&gt;0,VLOOKUP($C209,Dim_Fund!$A:$AI,35,0),""),""))</f>
        <v/>
      </c>
      <c r="BJ209" s="10" t="str">
        <f aca="false">IF($A209="","",$C209&amp;IF($E209="Client","*",""))</f>
        <v/>
      </c>
      <c r="BK209" s="39" t="str">
        <f aca="false">IF($A209="","",IFERROR(ROUND(($Y209-$X209)*1440,0),""))</f>
        <v/>
      </c>
      <c r="BL209" s="39" t="str">
        <f aca="false">IF($A209="","",IF($AH209="","",-$AH209))</f>
        <v/>
      </c>
      <c r="BM209" s="46" t="str">
        <f aca="false">IF($A209="","",IF($AQ209="","",IF($AP209="",$AQ209,MIN($AP209,$AQ209))))</f>
        <v/>
      </c>
      <c r="BN209" s="46" t="str">
        <f aca="false">IF($A209="","",IF($BM209="","",ROUND(N($AC209)/60,4)))</f>
        <v/>
      </c>
      <c r="BO209" s="46" t="str">
        <f aca="false">IF($A209="","",IF(OR($BM209="",$AD209=""),"",ROUND($AD209/60,4)))</f>
        <v/>
      </c>
      <c r="BP209" s="46" t="str">
        <f aca="false">IF($A209="","",IF($BM209="","",ROUND(N($AE209)/60,4)))</f>
        <v/>
      </c>
      <c r="BQ209" s="46" t="str">
        <f aca="false">IF($A209="","",IF(OR($BM209="",$AF209=""),"",ROUND($AF209/60,4)))</f>
        <v/>
      </c>
      <c r="BR209" s="39" t="str">
        <f aca="false">IF($A209="","",IF($AC209="","",$AC209-$BD209-$BE209))</f>
        <v/>
      </c>
      <c r="BS209" s="45" t="str">
        <f aca="false">IF($A209="","",IF(AND(ISNUMBER($Z209),ISNUMBER($W209)),$Z209,0))</f>
        <v/>
      </c>
      <c r="BT209" s="45" t="str">
        <f aca="false">IF($A209="","",IF(ISNUMBER($W209),$W209,0))</f>
        <v/>
      </c>
      <c r="BU209" s="23" t="str">
        <f aca="false">IF($A209="","",IF(ISNUMBER($W209),ROUND(($W209-$B209)*24,4),""))</f>
        <v/>
      </c>
      <c r="BV209" s="23" t="str">
        <f aca="false">IF($A209="","",IF(ISNUMBER($X209),ROUND(($X209-$B209)*24,4),""))</f>
        <v/>
      </c>
      <c r="BW209" s="10" t="str">
        <f aca="false">IF($A209="","",IF(NOT(ISNUMBER($W209)),"Missing Calculated",IF(NOT(ISNUMBER($X209)),IF($E209="Client","Missing FA signed off","Missing Controlled"),IF($X209&lt;$W209,"End before start","OK"))))</f>
        <v/>
      </c>
      <c r="BX209" s="23" t="str">
        <f aca="false">IF($A209="","",IF(NOT(ISNUMBER($Z209)),"",ROUND((IF(ISNUMBER($U209),MIN($U209,$Z209),$Z209)-$B209)*24,4)))</f>
        <v/>
      </c>
      <c r="BY209" s="23" t="str">
        <f aca="false">IF($A209="","",IF(ISNUMBER($Z209),ROUND(($Z209-$B209)*24,4),""))</f>
        <v/>
      </c>
      <c r="BZ209" s="23" t="str">
        <f aca="false">IF($A209="","",IF(AND(ISNUMBER($W209),ISNUMBER($S209)),ROUND(($W209+$S209/1440-$B209)*24,4),""))</f>
        <v/>
      </c>
    </row>
    <row r="210" customFormat="false" ht="15" hidden="false" customHeight="true" outlineLevel="0" collapsed="false">
      <c r="A210" s="47"/>
      <c r="B210" s="47"/>
      <c r="D210" s="4" t="str">
        <f aca="false">IF($A210="","",$B210-$A210)</f>
        <v/>
      </c>
      <c r="E210" s="4" t="str">
        <f aca="false">IF($A210="","",IFERROR(VLOOKUP($C210,Dim_Fund!$A:$X,24,0),""))</f>
        <v/>
      </c>
      <c r="F210" s="37" t="str">
        <f aca="false">IF($A210="","",IF(COUNTIFS(Status_Log!$A:$A,$A210,Status_Log!$B:$B,$B210,Status_Log!$C:$C,$C210,Status_Log!$D:$D,"Changed to the status of Calculated")=0,"",_xlfn.MINIFS(Status_Log!$E:$E,Status_Log!$A:$A,$A210,Status_Log!$B:$B,$B210,Status_Log!$C:$C,$C210,Status_Log!$D:$D,"Changed to the status of Calculated")))</f>
        <v/>
      </c>
      <c r="G210" s="37" t="str">
        <f aca="false">IF($A210="","",IF(COUNTIFS(Status_Log!$A:$A,$A210,Status_Log!$B:$B,$B210,Status_Log!$C:$C,$C210,Status_Log!$D:$D,"Changed to the status of Controlled")=0,"",_xlfn.MAXIFS(Status_Log!$E:$E,Status_Log!$A:$A,$A210,Status_Log!$B:$B,$B210,Status_Log!$C:$C,$C210,Status_Log!$D:$D,"Changed to the status of Controlled")))</f>
        <v/>
      </c>
      <c r="H210" s="37" t="str">
        <f aca="false">IF($A210="","",IF(COUNTIFS(Status_Log!$A:$A,$A210,Status_Log!$B:$B,$B210,Status_Log!$C:$C,$C210,Status_Log!$D:$D,"Changed to the status of Fund accounting signed off")=0,"",_xlfn.MAXIFS(Status_Log!$E:$E,Status_Log!$A:$A,$A210,Status_Log!$B:$B,$B210,Status_Log!$C:$C,$C210,Status_Log!$D:$D,"Changed to the status of Fund accounting signed off")))</f>
        <v/>
      </c>
      <c r="I210" s="37" t="str">
        <f aca="false">IF($A210="","",IF(COUNTIFS(Status_Log!$A:$A,$A210,Status_Log!$B:$B,$B210,Status_Log!$C:$C,$C210,Status_Log!$D:$D,"Changed to the status of signed off")=0,"",_xlfn.MAXIFS(Status_Log!$E:$E,Status_Log!$A:$A,$A210,Status_Log!$B:$B,$B210,Status_Log!$C:$C,$C210,Status_Log!$D:$D,"Changed to the status of signed off")))</f>
        <v/>
      </c>
      <c r="J210" s="4" t="str">
        <f aca="false">IF($A210="","",COUNTIFS(Status_Log!$A:$A,$A210,Status_Log!$B:$B,$B210,Status_Log!$C:$C,$C210,Status_Log!$D:$D,"Changed to the status of Calculated"))</f>
        <v/>
      </c>
      <c r="K210" s="38" t="str">
        <f aca="false">IF($A210="","",IF(J210&lt;=1,0,ROUND((_xlfn.MAXIFS(Status_Log!$E:$E,Status_Log!$A:$A,$A210,Status_Log!$B:$B,$B210,Status_Log!$C:$C,$C210,Status_Log!$D:$D,"Changed to the status of Calculated")-F210)*1440,0)))</f>
        <v/>
      </c>
      <c r="L210" s="4" t="str">
        <f aca="false">IF($A210="","",IFERROR(INDEX(Status_Log!$F:$F,MATCH($A210&amp;"|"&amp;$B210&amp;"|"&amp;$C210&amp;"|Changed to the status of Calculated|"&amp;TEXT(_xlfn.MAXIFS(Status_Log!$E:$E,Status_Log!$A:$A,$A210,Status_Log!$B:$B,$B210,Status_Log!$C:$C,$C210,Status_Log!$D:$D,"Changed to the status of Calculated"),"0.000000"),Status_Log!$H:$H,0)),""))</f>
        <v/>
      </c>
      <c r="M210" s="4" t="str">
        <f aca="false">IF($A210="","",IF(E210="Client","n/a — no control step",IFERROR(INDEX(Status_Log!$F:$F,MATCH($A210&amp;"|"&amp;$B210&amp;"|"&amp;$C210&amp;"|Changed to the status of Controlled|"&amp;TEXT(_xlfn.MAXIFS(Status_Log!$E:$E,Status_Log!$A:$A,$A210,Status_Log!$B:$B,$B210,Status_Log!$C:$C,$C210,Status_Log!$D:$D,"Changed to the status of Controlled"),"0.000000"),Status_Log!$H:$H,0)),"")))</f>
        <v/>
      </c>
      <c r="N210" s="4" t="str">
        <f aca="false">IF($A210="","",IFERROR(VLOOKUP($C210,Dim_Fund!$A:$G,7,0),""))</f>
        <v/>
      </c>
      <c r="O210" s="4" t="str">
        <f aca="false">IF($A210="","",IF(L210=N210,"No","Yes"))</f>
        <v/>
      </c>
      <c r="P210" s="4" t="str">
        <f aca="false">IF($A210="","",IF(E210="Client","n/a",IF(L210=M210,"YES — four-eyes breach","No")))</f>
        <v/>
      </c>
      <c r="Q210" s="38" t="str">
        <f aca="false">IF($A210="","",IFERROR(VLOOKUP($C210,Dim_Fund!$A:$AB,28,0),""))</f>
        <v/>
      </c>
      <c r="R210" s="38" t="str">
        <f aca="false">IF($A210="","",IFERROR(VLOOKUP($C210,Dim_Fund!$A:$AC,29,0),""))</f>
        <v/>
      </c>
      <c r="S210" s="38" t="str">
        <f aca="false">IF($A210="","",IFERROR(VLOOKUP($C210,Dim_Fund!$A:$AD,30,0),""))</f>
        <v/>
      </c>
      <c r="T210" s="38" t="str">
        <f aca="false">IF($A210="","",IFERROR(VLOOKUP($C210,Dim_Fund!$A:$AL,38,0),""))</f>
        <v/>
      </c>
      <c r="U210" s="37" t="str">
        <f aca="false">IF($A210="","",IF(AL210="","",IFERROR(IF(COUNTIFS(Fact_Milestone!$A:$A,$B210,Fact_Milestone!$B:$B,AL210)=0,"",_xlfn.MAXIFS(Fact_Milestone!$C:$C,Fact_Milestone!$A:$A,$B210,Fact_Milestone!$B:$B,AL210)),"")))</f>
        <v/>
      </c>
      <c r="V210" s="37" t="str">
        <f aca="false">IF($A210="","",IFERROR(IF(VLOOKUP($C210,Dim_Fund!$A:$AI,35,0)&gt;0,$B210+VLOOKUP($C210,Dim_Fund!$A:$AI,35,0)/24,""),""))</f>
        <v/>
      </c>
      <c r="W210" s="37" t="str">
        <f aca="false">IF($A210="","",F210)</f>
        <v/>
      </c>
      <c r="X210" s="37" t="str">
        <f aca="false">IF($A210="","",IF(E210="Client",H210,G210))</f>
        <v/>
      </c>
      <c r="Y210" s="37" t="str">
        <f aca="false">IF($A210="","",I210)</f>
        <v/>
      </c>
      <c r="Z210" s="37" t="str">
        <f aca="false">IF($A210="","",IFERROR(W210-R210/1440,""))</f>
        <v/>
      </c>
      <c r="AA210" s="38" t="str">
        <f aca="false">IF($A210="","",IF(OR(U210="",V210=""),"",ROUND((V210-U210)*1440,0)))</f>
        <v/>
      </c>
      <c r="AB210" s="38" t="str">
        <f aca="false">IF($A210="","",IF(U210="","",ROUND((W210-U210)*1440,0)))</f>
        <v/>
      </c>
      <c r="AC210" s="38" t="str">
        <f aca="false">IF($A210="","",IF(AB210="","",MAX(0,AB210)))</f>
        <v/>
      </c>
      <c r="AD210" s="38" t="str">
        <f aca="false">IF($A210="","",IFERROR(ROUND((X210-W210)*1440,0),""))</f>
        <v/>
      </c>
      <c r="AE210" s="38" t="str">
        <f aca="false">IF($A210="","",IF(E210="Client","n/a",IFERROR(ROUND((H210-G210)*1440,0),"")))</f>
        <v/>
      </c>
      <c r="AF210" s="38" t="str">
        <f aca="false">IF($A210="","",IFERROR(ROUND((Y210-H210)*1440,0),""))</f>
        <v/>
      </c>
      <c r="AG210" s="38" t="str">
        <f aca="false">IF($A210="","",IFERROR(ROUND((H210-F210)*1440,0),""))</f>
        <v/>
      </c>
      <c r="AH210" s="38" t="str">
        <f aca="false">IF($A210="","",IFERROR(ROUND((Y210-V210)*1440,0),""))</f>
        <v/>
      </c>
      <c r="AI210" s="4" t="str">
        <f aca="false">IF($A210="","",IF(AH210="","",IF(AH210&gt;0,"Yes","No")))</f>
        <v/>
      </c>
      <c r="AJ210" s="4" t="str">
        <f aca="false">IF($A210="","",IF(AI210&lt;&gt;"Yes","On time",IF(N(AC210)&gt;=MAX(N(AF210),N(K210)),"Wait for analyst",IF(N(AF210)&gt;=N(K210),"External sign-off","Rework"))))</f>
        <v/>
      </c>
      <c r="AK210" s="4" t="str">
        <f aca="false">IF($A210="","",IF(OR(F210="",Y210="",ISNA(MATCH(L210,Dim_Analyst!$A:$A,0))),"CHECK","OK"))</f>
        <v/>
      </c>
      <c r="AL210" s="4" t="str">
        <f aca="false">IF($A210="","",IFERROR(VLOOKUP($C210,Dim_Fund!$A:$U,21,0),""))</f>
        <v/>
      </c>
      <c r="AM210" s="4" t="str">
        <f aca="false">IF($A210="","",IF($U210="","",IF($U210&gt;$B210+IFERROR(VLOOKUP($C210,Dim_Fund!$A:$AH,34,0),0)/24,"Yes","No")))</f>
        <v/>
      </c>
      <c r="AN210" s="22" t="str">
        <f aca="false">IF($A210="","",IFERROR(VLOOKUP($C210,Dim_Fund!$A:$AH,34,0),""))</f>
        <v/>
      </c>
      <c r="AO210" s="22" t="str">
        <f aca="false">IF($A210="","",IF($AL210="","",IFERROR(FLOOR(IF(COUNTIFS(Fact_Milestone!$A:$A,$B210,Fact_Milestone!$B:$B,$AL210,Fact_Milestone!$F:$F,"&gt;0")&gt;0,_xlfn.MINIFS(Fact_Milestone!$F:$F,Fact_Milestone!$A:$A,$B210,Fact_Milestone!$B:$B,$AL210,Fact_Milestone!$F:$F,"&gt;0"),VLOOKUP($AL210,Dim_TOP!$A:$E,5,0)),0.5),"")))</f>
        <v/>
      </c>
      <c r="AP210" s="22" t="str">
        <f aca="false">IF($A210="","",IF($U210="","",ROUND(($U210-INT($U210))*24,4)))</f>
        <v/>
      </c>
      <c r="AQ210" s="22" t="str">
        <f aca="false">IF($A210="","",IF($W210="","",ROUND(($W210-INT($W210))*24,4)))</f>
        <v/>
      </c>
      <c r="AR210" s="22" t="str">
        <f aca="false">IF($A210="","",IF($X210="","",ROUND(($X210-INT($X210))*24,4)))</f>
        <v/>
      </c>
      <c r="AS210" s="38" t="str">
        <f aca="false">IF($A210="","",IF(OR($AN210="",$V210="",$S210="",$T210=""),"",ROUND(($V210-($B210+$AN210/24))*1440-$S210-$T210,0)))</f>
        <v/>
      </c>
      <c r="AT210" s="38" t="str">
        <f aca="false">IF($A210="","",IF(OR($AN210="",$U210=""),"",ROUND(($U210-($B210+$AN210/24))*1440,0)))</f>
        <v/>
      </c>
      <c r="AU210" s="38" t="str">
        <f aca="false">IF($A210="","",IF(OR($AD210="",$S210=""),"",ROUND($AD210-$S210,0)))</f>
        <v/>
      </c>
      <c r="AV210" s="38" t="str">
        <f aca="false">IF($A210="","",N($AE210))</f>
        <v/>
      </c>
      <c r="AW210" s="38" t="str">
        <f aca="false">IF($A210="","",IF(OR($AF210="",$T210=""),"",$AF210-$T210))</f>
        <v/>
      </c>
      <c r="AX210" s="38" t="str">
        <f aca="false">IF($A210="","",IF(COUNT($AT210,$AB210,$AU210,$AW210,$AS210,$AH210)&lt;6,"",ROUND($AT210+$AB210+$AU210+$AV210+$AW210-$AS210-$AH210,0)))</f>
        <v/>
      </c>
      <c r="AY210" s="4" t="str">
        <f aca="false">IF($A210="","",IF($AX210="","No",IF(ABS($AX210)&lt;=2,"Yes","No")))</f>
        <v/>
      </c>
      <c r="AZ210" s="4" t="str">
        <f aca="false">IF($A210="","",IF($AI210&lt;&gt;"Yes","n/a",IF(OR($AA210="",$S210="",$T210=""),"Unknown",IF($AA210&lt;$S210+$T210,"Lost on arrival","Lost after arrival"))))</f>
        <v/>
      </c>
      <c r="BA210" s="10" t="str">
        <f aca="false">IF($A210="","",IFERROR(VLOOKUP($C210,Dim_Fund!$A:$D,4,0),""))</f>
        <v/>
      </c>
      <c r="BB210" s="10" t="str">
        <f aca="false">IF($A210="","",IF($AL210="","",IF(COUNTIFS(Fact_Milestone!$A:$A,$B210,Fact_Milestone!$B:$B,$AL210,Fact_Milestone!$I:$I,"No")&gt;0,"No",IF(COUNTIFS(Fact_Milestone!$A:$A,$B210,Fact_Milestone!$B:$B,$AL210,Fact_Milestone!$I:$I,"Yes")&gt;0,"Yes",""))))</f>
        <v/>
      </c>
      <c r="BC210" s="45" t="str">
        <f aca="false">IF($A210="","",IF(OR($L210="",$W210=""),"",IF(COUNTIFS($L:$L,$L210,$B:$B,$B210,$W:$W,"&lt;"&amp;$W210)=0,"",_xlfn.MAXIFS($W:$W,$L:$L,$L210,$B:$B,$B210,$W:$W,"&lt;"&amp;$W210))))</f>
        <v/>
      </c>
      <c r="BD210" s="39" t="str">
        <f aca="false">IF($A210="","",IF($AC210="","",IF(OR($L210="",$AC210=0),0,MIN($AC210,ROUND(ROUND(1440*SUMPRODUCT(($L$2:INDEX($L:$L,COUNTA($C:$C))=$L210)*($B$2:INDEX($B:$B,COUNTA($C:$C))=$B210)*(ROW($L$2:INDEX($L:$L,COUNTA($C:$C)))&lt;&gt;ROW())*((((($W210+$BT$2:INDEX($BT:$BT,COUNTA($C:$C))-ABS($W210-$BT$2:INDEX($BT:$BT,COUNTA($C:$C))))/2)-(($U210+$BS$2:INDEX($BS:$BS,COUNTA($C:$C))+ABS($U210-$BS$2:INDEX($BS:$BS,COUNTA($C:$C))))/2))+ABS(((($W210+$BT$2:INDEX($BT:$BT,COUNTA($C:$C))-ABS($W210-$BT$2:INDEX($BT:$BT,COUNTA($C:$C))))/2)-(($U210+$BS$2:INDEX($BS:$BS,COUNTA($C:$C))+ABS($U210-$BS$2:INDEX($BS:$BS,COUNTA($C:$C))))/2))))/2)),4),0)))))</f>
        <v/>
      </c>
      <c r="BE210" s="39" t="str">
        <f aca="false">IF($A210="","",IF($AC210="","",ROUND(MIN($AC210-$BD210,N($R210)),0)))</f>
        <v/>
      </c>
      <c r="BF210" s="10" t="str">
        <f aca="false">IF($A210="","",IFERROR(VLOOKUP($C210,Dim_Fund!$A:$BD,56,0),""))</f>
        <v/>
      </c>
      <c r="BG210" s="10" t="str">
        <f aca="false">IF($A210="","",IFERROR(VLOOKUP($C210,Dim_Fund!$A:$BH,60,0),""))</f>
        <v/>
      </c>
      <c r="BH210" s="10" t="str">
        <f aca="false">IF($A210="","",IF($AI210&lt;&gt;"Yes","Not breached",IF($AM210="Yes","Pricing late",IF($BG210="Thin custody slack","Thin custody slack",IF($BF210="Yes","Broker-dependent","None of these")))))</f>
        <v/>
      </c>
      <c r="BI210" s="23" t="str">
        <f aca="false">IF($A210="","",IFERROR(IF(VLOOKUP($C210,Dim_Fund!$A:$AI,35,0)&gt;0,VLOOKUP($C210,Dim_Fund!$A:$AI,35,0),""),""))</f>
        <v/>
      </c>
      <c r="BJ210" s="10" t="str">
        <f aca="false">IF($A210="","",$C210&amp;IF($E210="Client","*",""))</f>
        <v/>
      </c>
      <c r="BK210" s="39" t="str">
        <f aca="false">IF($A210="","",IFERROR(ROUND(($Y210-$X210)*1440,0),""))</f>
        <v/>
      </c>
      <c r="BL210" s="39" t="str">
        <f aca="false">IF($A210="","",IF($AH210="","",-$AH210))</f>
        <v/>
      </c>
      <c r="BM210" s="46" t="str">
        <f aca="false">IF($A210="","",IF($AQ210="","",IF($AP210="",$AQ210,MIN($AP210,$AQ210))))</f>
        <v/>
      </c>
      <c r="BN210" s="46" t="str">
        <f aca="false">IF($A210="","",IF($BM210="","",ROUND(N($AC210)/60,4)))</f>
        <v/>
      </c>
      <c r="BO210" s="46" t="str">
        <f aca="false">IF($A210="","",IF(OR($BM210="",$AD210=""),"",ROUND($AD210/60,4)))</f>
        <v/>
      </c>
      <c r="BP210" s="46" t="str">
        <f aca="false">IF($A210="","",IF($BM210="","",ROUND(N($AE210)/60,4)))</f>
        <v/>
      </c>
      <c r="BQ210" s="46" t="str">
        <f aca="false">IF($A210="","",IF(OR($BM210="",$AF210=""),"",ROUND($AF210/60,4)))</f>
        <v/>
      </c>
      <c r="BR210" s="39" t="str">
        <f aca="false">IF($A210="","",IF($AC210="","",$AC210-$BD210-$BE210))</f>
        <v/>
      </c>
      <c r="BS210" s="45" t="str">
        <f aca="false">IF($A210="","",IF(AND(ISNUMBER($Z210),ISNUMBER($W210)),$Z210,0))</f>
        <v/>
      </c>
      <c r="BT210" s="45" t="str">
        <f aca="false">IF($A210="","",IF(ISNUMBER($W210),$W210,0))</f>
        <v/>
      </c>
      <c r="BU210" s="23" t="str">
        <f aca="false">IF($A210="","",IF(ISNUMBER($W210),ROUND(($W210-$B210)*24,4),""))</f>
        <v/>
      </c>
      <c r="BV210" s="23" t="str">
        <f aca="false">IF($A210="","",IF(ISNUMBER($X210),ROUND(($X210-$B210)*24,4),""))</f>
        <v/>
      </c>
      <c r="BW210" s="10" t="str">
        <f aca="false">IF($A210="","",IF(NOT(ISNUMBER($W210)),"Missing Calculated",IF(NOT(ISNUMBER($X210)),IF($E210="Client","Missing FA signed off","Missing Controlled"),IF($X210&lt;$W210,"End before start","OK"))))</f>
        <v/>
      </c>
      <c r="BX210" s="23" t="str">
        <f aca="false">IF($A210="","",IF(NOT(ISNUMBER($Z210)),"",ROUND((IF(ISNUMBER($U210),MIN($U210,$Z210),$Z210)-$B210)*24,4)))</f>
        <v/>
      </c>
      <c r="BY210" s="23" t="str">
        <f aca="false">IF($A210="","",IF(ISNUMBER($Z210),ROUND(($Z210-$B210)*24,4),""))</f>
        <v/>
      </c>
      <c r="BZ210" s="23" t="str">
        <f aca="false">IF($A210="","",IF(AND(ISNUMBER($W210),ISNUMBER($S210)),ROUND(($W210+$S210/1440-$B210)*24,4),""))</f>
        <v/>
      </c>
    </row>
    <row r="211" customFormat="false" ht="15" hidden="false" customHeight="true" outlineLevel="0" collapsed="false">
      <c r="A211" s="47"/>
      <c r="B211" s="47"/>
      <c r="D211" s="4" t="str">
        <f aca="false">IF($A211="","",$B211-$A211)</f>
        <v/>
      </c>
      <c r="E211" s="4" t="str">
        <f aca="false">IF($A211="","",IFERROR(VLOOKUP($C211,Dim_Fund!$A:$X,24,0),""))</f>
        <v/>
      </c>
      <c r="F211" s="37" t="str">
        <f aca="false">IF($A211="","",IF(COUNTIFS(Status_Log!$A:$A,$A211,Status_Log!$B:$B,$B211,Status_Log!$C:$C,$C211,Status_Log!$D:$D,"Changed to the status of Calculated")=0,"",_xlfn.MINIFS(Status_Log!$E:$E,Status_Log!$A:$A,$A211,Status_Log!$B:$B,$B211,Status_Log!$C:$C,$C211,Status_Log!$D:$D,"Changed to the status of Calculated")))</f>
        <v/>
      </c>
      <c r="G211" s="37" t="str">
        <f aca="false">IF($A211="","",IF(COUNTIFS(Status_Log!$A:$A,$A211,Status_Log!$B:$B,$B211,Status_Log!$C:$C,$C211,Status_Log!$D:$D,"Changed to the status of Controlled")=0,"",_xlfn.MAXIFS(Status_Log!$E:$E,Status_Log!$A:$A,$A211,Status_Log!$B:$B,$B211,Status_Log!$C:$C,$C211,Status_Log!$D:$D,"Changed to the status of Controlled")))</f>
        <v/>
      </c>
      <c r="H211" s="37" t="str">
        <f aca="false">IF($A211="","",IF(COUNTIFS(Status_Log!$A:$A,$A211,Status_Log!$B:$B,$B211,Status_Log!$C:$C,$C211,Status_Log!$D:$D,"Changed to the status of Fund accounting signed off")=0,"",_xlfn.MAXIFS(Status_Log!$E:$E,Status_Log!$A:$A,$A211,Status_Log!$B:$B,$B211,Status_Log!$C:$C,$C211,Status_Log!$D:$D,"Changed to the status of Fund accounting signed off")))</f>
        <v/>
      </c>
      <c r="I211" s="37" t="str">
        <f aca="false">IF($A211="","",IF(COUNTIFS(Status_Log!$A:$A,$A211,Status_Log!$B:$B,$B211,Status_Log!$C:$C,$C211,Status_Log!$D:$D,"Changed to the status of signed off")=0,"",_xlfn.MAXIFS(Status_Log!$E:$E,Status_Log!$A:$A,$A211,Status_Log!$B:$B,$B211,Status_Log!$C:$C,$C211,Status_Log!$D:$D,"Changed to the status of signed off")))</f>
        <v/>
      </c>
      <c r="J211" s="4" t="str">
        <f aca="false">IF($A211="","",COUNTIFS(Status_Log!$A:$A,$A211,Status_Log!$B:$B,$B211,Status_Log!$C:$C,$C211,Status_Log!$D:$D,"Changed to the status of Calculated"))</f>
        <v/>
      </c>
      <c r="K211" s="38" t="str">
        <f aca="false">IF($A211="","",IF(J211&lt;=1,0,ROUND((_xlfn.MAXIFS(Status_Log!$E:$E,Status_Log!$A:$A,$A211,Status_Log!$B:$B,$B211,Status_Log!$C:$C,$C211,Status_Log!$D:$D,"Changed to the status of Calculated")-F211)*1440,0)))</f>
        <v/>
      </c>
      <c r="L211" s="4" t="str">
        <f aca="false">IF($A211="","",IFERROR(INDEX(Status_Log!$F:$F,MATCH($A211&amp;"|"&amp;$B211&amp;"|"&amp;$C211&amp;"|Changed to the status of Calculated|"&amp;TEXT(_xlfn.MAXIFS(Status_Log!$E:$E,Status_Log!$A:$A,$A211,Status_Log!$B:$B,$B211,Status_Log!$C:$C,$C211,Status_Log!$D:$D,"Changed to the status of Calculated"),"0.000000"),Status_Log!$H:$H,0)),""))</f>
        <v/>
      </c>
      <c r="M211" s="4" t="str">
        <f aca="false">IF($A211="","",IF(E211="Client","n/a — no control step",IFERROR(INDEX(Status_Log!$F:$F,MATCH($A211&amp;"|"&amp;$B211&amp;"|"&amp;$C211&amp;"|Changed to the status of Controlled|"&amp;TEXT(_xlfn.MAXIFS(Status_Log!$E:$E,Status_Log!$A:$A,$A211,Status_Log!$B:$B,$B211,Status_Log!$C:$C,$C211,Status_Log!$D:$D,"Changed to the status of Controlled"),"0.000000"),Status_Log!$H:$H,0)),"")))</f>
        <v/>
      </c>
      <c r="N211" s="4" t="str">
        <f aca="false">IF($A211="","",IFERROR(VLOOKUP($C211,Dim_Fund!$A:$G,7,0),""))</f>
        <v/>
      </c>
      <c r="O211" s="4" t="str">
        <f aca="false">IF($A211="","",IF(L211=N211,"No","Yes"))</f>
        <v/>
      </c>
      <c r="P211" s="4" t="str">
        <f aca="false">IF($A211="","",IF(E211="Client","n/a",IF(L211=M211,"YES — four-eyes breach","No")))</f>
        <v/>
      </c>
      <c r="Q211" s="38" t="str">
        <f aca="false">IF($A211="","",IFERROR(VLOOKUP($C211,Dim_Fund!$A:$AB,28,0),""))</f>
        <v/>
      </c>
      <c r="R211" s="38" t="str">
        <f aca="false">IF($A211="","",IFERROR(VLOOKUP($C211,Dim_Fund!$A:$AC,29,0),""))</f>
        <v/>
      </c>
      <c r="S211" s="38" t="str">
        <f aca="false">IF($A211="","",IFERROR(VLOOKUP($C211,Dim_Fund!$A:$AD,30,0),""))</f>
        <v/>
      </c>
      <c r="T211" s="38" t="str">
        <f aca="false">IF($A211="","",IFERROR(VLOOKUP($C211,Dim_Fund!$A:$AL,38,0),""))</f>
        <v/>
      </c>
      <c r="U211" s="37" t="str">
        <f aca="false">IF($A211="","",IF(AL211="","",IFERROR(IF(COUNTIFS(Fact_Milestone!$A:$A,$B211,Fact_Milestone!$B:$B,AL211)=0,"",_xlfn.MAXIFS(Fact_Milestone!$C:$C,Fact_Milestone!$A:$A,$B211,Fact_Milestone!$B:$B,AL211)),"")))</f>
        <v/>
      </c>
      <c r="V211" s="37" t="str">
        <f aca="false">IF($A211="","",IFERROR(IF(VLOOKUP($C211,Dim_Fund!$A:$AI,35,0)&gt;0,$B211+VLOOKUP($C211,Dim_Fund!$A:$AI,35,0)/24,""),""))</f>
        <v/>
      </c>
      <c r="W211" s="37" t="str">
        <f aca="false">IF($A211="","",F211)</f>
        <v/>
      </c>
      <c r="X211" s="37" t="str">
        <f aca="false">IF($A211="","",IF(E211="Client",H211,G211))</f>
        <v/>
      </c>
      <c r="Y211" s="37" t="str">
        <f aca="false">IF($A211="","",I211)</f>
        <v/>
      </c>
      <c r="Z211" s="37" t="str">
        <f aca="false">IF($A211="","",IFERROR(W211-R211/1440,""))</f>
        <v/>
      </c>
      <c r="AA211" s="38" t="str">
        <f aca="false">IF($A211="","",IF(OR(U211="",V211=""),"",ROUND((V211-U211)*1440,0)))</f>
        <v/>
      </c>
      <c r="AB211" s="38" t="str">
        <f aca="false">IF($A211="","",IF(U211="","",ROUND((W211-U211)*1440,0)))</f>
        <v/>
      </c>
      <c r="AC211" s="38" t="str">
        <f aca="false">IF($A211="","",IF(AB211="","",MAX(0,AB211)))</f>
        <v/>
      </c>
      <c r="AD211" s="38" t="str">
        <f aca="false">IF($A211="","",IFERROR(ROUND((X211-W211)*1440,0),""))</f>
        <v/>
      </c>
      <c r="AE211" s="38" t="str">
        <f aca="false">IF($A211="","",IF(E211="Client","n/a",IFERROR(ROUND((H211-G211)*1440,0),"")))</f>
        <v/>
      </c>
      <c r="AF211" s="38" t="str">
        <f aca="false">IF($A211="","",IFERROR(ROUND((Y211-H211)*1440,0),""))</f>
        <v/>
      </c>
      <c r="AG211" s="38" t="str">
        <f aca="false">IF($A211="","",IFERROR(ROUND((H211-F211)*1440,0),""))</f>
        <v/>
      </c>
      <c r="AH211" s="38" t="str">
        <f aca="false">IF($A211="","",IFERROR(ROUND((Y211-V211)*1440,0),""))</f>
        <v/>
      </c>
      <c r="AI211" s="4" t="str">
        <f aca="false">IF($A211="","",IF(AH211="","",IF(AH211&gt;0,"Yes","No")))</f>
        <v/>
      </c>
      <c r="AJ211" s="4" t="str">
        <f aca="false">IF($A211="","",IF(AI211&lt;&gt;"Yes","On time",IF(N(AC211)&gt;=MAX(N(AF211),N(K211)),"Wait for analyst",IF(N(AF211)&gt;=N(K211),"External sign-off","Rework"))))</f>
        <v/>
      </c>
      <c r="AK211" s="4" t="str">
        <f aca="false">IF($A211="","",IF(OR(F211="",Y211="",ISNA(MATCH(L211,Dim_Analyst!$A:$A,0))),"CHECK","OK"))</f>
        <v/>
      </c>
      <c r="AL211" s="4" t="str">
        <f aca="false">IF($A211="","",IFERROR(VLOOKUP($C211,Dim_Fund!$A:$U,21,0),""))</f>
        <v/>
      </c>
      <c r="AM211" s="4" t="str">
        <f aca="false">IF($A211="","",IF($U211="","",IF($U211&gt;$B211+IFERROR(VLOOKUP($C211,Dim_Fund!$A:$AH,34,0),0)/24,"Yes","No")))</f>
        <v/>
      </c>
      <c r="AN211" s="22" t="str">
        <f aca="false">IF($A211="","",IFERROR(VLOOKUP($C211,Dim_Fund!$A:$AH,34,0),""))</f>
        <v/>
      </c>
      <c r="AO211" s="22" t="str">
        <f aca="false">IF($A211="","",IF($AL211="","",IFERROR(FLOOR(IF(COUNTIFS(Fact_Milestone!$A:$A,$B211,Fact_Milestone!$B:$B,$AL211,Fact_Milestone!$F:$F,"&gt;0")&gt;0,_xlfn.MINIFS(Fact_Milestone!$F:$F,Fact_Milestone!$A:$A,$B211,Fact_Milestone!$B:$B,$AL211,Fact_Milestone!$F:$F,"&gt;0"),VLOOKUP($AL211,Dim_TOP!$A:$E,5,0)),0.5),"")))</f>
        <v/>
      </c>
      <c r="AP211" s="22" t="str">
        <f aca="false">IF($A211="","",IF($U211="","",ROUND(($U211-INT($U211))*24,4)))</f>
        <v/>
      </c>
      <c r="AQ211" s="22" t="str">
        <f aca="false">IF($A211="","",IF($W211="","",ROUND(($W211-INT($W211))*24,4)))</f>
        <v/>
      </c>
      <c r="AR211" s="22" t="str">
        <f aca="false">IF($A211="","",IF($X211="","",ROUND(($X211-INT($X211))*24,4)))</f>
        <v/>
      </c>
      <c r="AS211" s="38" t="str">
        <f aca="false">IF($A211="","",IF(OR($AN211="",$V211="",$S211="",$T211=""),"",ROUND(($V211-($B211+$AN211/24))*1440-$S211-$T211,0)))</f>
        <v/>
      </c>
      <c r="AT211" s="38" t="str">
        <f aca="false">IF($A211="","",IF(OR($AN211="",$U211=""),"",ROUND(($U211-($B211+$AN211/24))*1440,0)))</f>
        <v/>
      </c>
      <c r="AU211" s="38" t="str">
        <f aca="false">IF($A211="","",IF(OR($AD211="",$S211=""),"",ROUND($AD211-$S211,0)))</f>
        <v/>
      </c>
      <c r="AV211" s="38" t="str">
        <f aca="false">IF($A211="","",N($AE211))</f>
        <v/>
      </c>
      <c r="AW211" s="38" t="str">
        <f aca="false">IF($A211="","",IF(OR($AF211="",$T211=""),"",$AF211-$T211))</f>
        <v/>
      </c>
      <c r="AX211" s="38" t="str">
        <f aca="false">IF($A211="","",IF(COUNT($AT211,$AB211,$AU211,$AW211,$AS211,$AH211)&lt;6,"",ROUND($AT211+$AB211+$AU211+$AV211+$AW211-$AS211-$AH211,0)))</f>
        <v/>
      </c>
      <c r="AY211" s="4" t="str">
        <f aca="false">IF($A211="","",IF($AX211="","No",IF(ABS($AX211)&lt;=2,"Yes","No")))</f>
        <v/>
      </c>
      <c r="AZ211" s="4" t="str">
        <f aca="false">IF($A211="","",IF($AI211&lt;&gt;"Yes","n/a",IF(OR($AA211="",$S211="",$T211=""),"Unknown",IF($AA211&lt;$S211+$T211,"Lost on arrival","Lost after arrival"))))</f>
        <v/>
      </c>
      <c r="BA211" s="10" t="str">
        <f aca="false">IF($A211="","",IFERROR(VLOOKUP($C211,Dim_Fund!$A:$D,4,0),""))</f>
        <v/>
      </c>
      <c r="BB211" s="10" t="str">
        <f aca="false">IF($A211="","",IF($AL211="","",IF(COUNTIFS(Fact_Milestone!$A:$A,$B211,Fact_Milestone!$B:$B,$AL211,Fact_Milestone!$I:$I,"No")&gt;0,"No",IF(COUNTIFS(Fact_Milestone!$A:$A,$B211,Fact_Milestone!$B:$B,$AL211,Fact_Milestone!$I:$I,"Yes")&gt;0,"Yes",""))))</f>
        <v/>
      </c>
      <c r="BC211" s="45" t="str">
        <f aca="false">IF($A211="","",IF(OR($L211="",$W211=""),"",IF(COUNTIFS($L:$L,$L211,$B:$B,$B211,$W:$W,"&lt;"&amp;$W211)=0,"",_xlfn.MAXIFS($W:$W,$L:$L,$L211,$B:$B,$B211,$W:$W,"&lt;"&amp;$W211))))</f>
        <v/>
      </c>
      <c r="BD211" s="39" t="str">
        <f aca="false">IF($A211="","",IF($AC211="","",IF(OR($L211="",$AC211=0),0,MIN($AC211,ROUND(ROUND(1440*SUMPRODUCT(($L$2:INDEX($L:$L,COUNTA($C:$C))=$L211)*($B$2:INDEX($B:$B,COUNTA($C:$C))=$B211)*(ROW($L$2:INDEX($L:$L,COUNTA($C:$C)))&lt;&gt;ROW())*((((($W211+$BT$2:INDEX($BT:$BT,COUNTA($C:$C))-ABS($W211-$BT$2:INDEX($BT:$BT,COUNTA($C:$C))))/2)-(($U211+$BS$2:INDEX($BS:$BS,COUNTA($C:$C))+ABS($U211-$BS$2:INDEX($BS:$BS,COUNTA($C:$C))))/2))+ABS(((($W211+$BT$2:INDEX($BT:$BT,COUNTA($C:$C))-ABS($W211-$BT$2:INDEX($BT:$BT,COUNTA($C:$C))))/2)-(($U211+$BS$2:INDEX($BS:$BS,COUNTA($C:$C))+ABS($U211-$BS$2:INDEX($BS:$BS,COUNTA($C:$C))))/2))))/2)),4),0)))))</f>
        <v/>
      </c>
      <c r="BE211" s="39" t="str">
        <f aca="false">IF($A211="","",IF($AC211="","",ROUND(MIN($AC211-$BD211,N($R211)),0)))</f>
        <v/>
      </c>
      <c r="BF211" s="10" t="str">
        <f aca="false">IF($A211="","",IFERROR(VLOOKUP($C211,Dim_Fund!$A:$BD,56,0),""))</f>
        <v/>
      </c>
      <c r="BG211" s="10" t="str">
        <f aca="false">IF($A211="","",IFERROR(VLOOKUP($C211,Dim_Fund!$A:$BH,60,0),""))</f>
        <v/>
      </c>
      <c r="BH211" s="10" t="str">
        <f aca="false">IF($A211="","",IF($AI211&lt;&gt;"Yes","Not breached",IF($AM211="Yes","Pricing late",IF($BG211="Thin custody slack","Thin custody slack",IF($BF211="Yes","Broker-dependent","None of these")))))</f>
        <v/>
      </c>
      <c r="BI211" s="23" t="str">
        <f aca="false">IF($A211="","",IFERROR(IF(VLOOKUP($C211,Dim_Fund!$A:$AI,35,0)&gt;0,VLOOKUP($C211,Dim_Fund!$A:$AI,35,0),""),""))</f>
        <v/>
      </c>
      <c r="BJ211" s="10" t="str">
        <f aca="false">IF($A211="","",$C211&amp;IF($E211="Client","*",""))</f>
        <v/>
      </c>
      <c r="BK211" s="39" t="str">
        <f aca="false">IF($A211="","",IFERROR(ROUND(($Y211-$X211)*1440,0),""))</f>
        <v/>
      </c>
      <c r="BL211" s="39" t="str">
        <f aca="false">IF($A211="","",IF($AH211="","",-$AH211))</f>
        <v/>
      </c>
      <c r="BM211" s="46" t="str">
        <f aca="false">IF($A211="","",IF($AQ211="","",IF($AP211="",$AQ211,MIN($AP211,$AQ211))))</f>
        <v/>
      </c>
      <c r="BN211" s="46" t="str">
        <f aca="false">IF($A211="","",IF($BM211="","",ROUND(N($AC211)/60,4)))</f>
        <v/>
      </c>
      <c r="BO211" s="46" t="str">
        <f aca="false">IF($A211="","",IF(OR($BM211="",$AD211=""),"",ROUND($AD211/60,4)))</f>
        <v/>
      </c>
      <c r="BP211" s="46" t="str">
        <f aca="false">IF($A211="","",IF($BM211="","",ROUND(N($AE211)/60,4)))</f>
        <v/>
      </c>
      <c r="BQ211" s="46" t="str">
        <f aca="false">IF($A211="","",IF(OR($BM211="",$AF211=""),"",ROUND($AF211/60,4)))</f>
        <v/>
      </c>
      <c r="BR211" s="39" t="str">
        <f aca="false">IF($A211="","",IF($AC211="","",$AC211-$BD211-$BE211))</f>
        <v/>
      </c>
      <c r="BS211" s="45" t="str">
        <f aca="false">IF($A211="","",IF(AND(ISNUMBER($Z211),ISNUMBER($W211)),$Z211,0))</f>
        <v/>
      </c>
      <c r="BT211" s="45" t="str">
        <f aca="false">IF($A211="","",IF(ISNUMBER($W211),$W211,0))</f>
        <v/>
      </c>
      <c r="BU211" s="23" t="str">
        <f aca="false">IF($A211="","",IF(ISNUMBER($W211),ROUND(($W211-$B211)*24,4),""))</f>
        <v/>
      </c>
      <c r="BV211" s="23" t="str">
        <f aca="false">IF($A211="","",IF(ISNUMBER($X211),ROUND(($X211-$B211)*24,4),""))</f>
        <v/>
      </c>
      <c r="BW211" s="10" t="str">
        <f aca="false">IF($A211="","",IF(NOT(ISNUMBER($W211)),"Missing Calculated",IF(NOT(ISNUMBER($X211)),IF($E211="Client","Missing FA signed off","Missing Controlled"),IF($X211&lt;$W211,"End before start","OK"))))</f>
        <v/>
      </c>
      <c r="BX211" s="23" t="str">
        <f aca="false">IF($A211="","",IF(NOT(ISNUMBER($Z211)),"",ROUND((IF(ISNUMBER($U211),MIN($U211,$Z211),$Z211)-$B211)*24,4)))</f>
        <v/>
      </c>
      <c r="BY211" s="23" t="str">
        <f aca="false">IF($A211="","",IF(ISNUMBER($Z211),ROUND(($Z211-$B211)*24,4),""))</f>
        <v/>
      </c>
      <c r="BZ211" s="23" t="str">
        <f aca="false">IF($A211="","",IF(AND(ISNUMBER($W211),ISNUMBER($S211)),ROUND(($W211+$S211/1440-$B211)*24,4),""))</f>
        <v/>
      </c>
    </row>
    <row r="212" customFormat="false" ht="15" hidden="false" customHeight="true" outlineLevel="0" collapsed="false">
      <c r="A212" s="47"/>
      <c r="B212" s="47"/>
      <c r="D212" s="4" t="str">
        <f aca="false">IF($A212="","",$B212-$A212)</f>
        <v/>
      </c>
      <c r="E212" s="4" t="str">
        <f aca="false">IF($A212="","",IFERROR(VLOOKUP($C212,Dim_Fund!$A:$X,24,0),""))</f>
        <v/>
      </c>
      <c r="F212" s="37" t="str">
        <f aca="false">IF($A212="","",IF(COUNTIFS(Status_Log!$A:$A,$A212,Status_Log!$B:$B,$B212,Status_Log!$C:$C,$C212,Status_Log!$D:$D,"Changed to the status of Calculated")=0,"",_xlfn.MINIFS(Status_Log!$E:$E,Status_Log!$A:$A,$A212,Status_Log!$B:$B,$B212,Status_Log!$C:$C,$C212,Status_Log!$D:$D,"Changed to the status of Calculated")))</f>
        <v/>
      </c>
      <c r="G212" s="37" t="str">
        <f aca="false">IF($A212="","",IF(COUNTIFS(Status_Log!$A:$A,$A212,Status_Log!$B:$B,$B212,Status_Log!$C:$C,$C212,Status_Log!$D:$D,"Changed to the status of Controlled")=0,"",_xlfn.MAXIFS(Status_Log!$E:$E,Status_Log!$A:$A,$A212,Status_Log!$B:$B,$B212,Status_Log!$C:$C,$C212,Status_Log!$D:$D,"Changed to the status of Controlled")))</f>
        <v/>
      </c>
      <c r="H212" s="37" t="str">
        <f aca="false">IF($A212="","",IF(COUNTIFS(Status_Log!$A:$A,$A212,Status_Log!$B:$B,$B212,Status_Log!$C:$C,$C212,Status_Log!$D:$D,"Changed to the status of Fund accounting signed off")=0,"",_xlfn.MAXIFS(Status_Log!$E:$E,Status_Log!$A:$A,$A212,Status_Log!$B:$B,$B212,Status_Log!$C:$C,$C212,Status_Log!$D:$D,"Changed to the status of Fund accounting signed off")))</f>
        <v/>
      </c>
      <c r="I212" s="37" t="str">
        <f aca="false">IF($A212="","",IF(COUNTIFS(Status_Log!$A:$A,$A212,Status_Log!$B:$B,$B212,Status_Log!$C:$C,$C212,Status_Log!$D:$D,"Changed to the status of signed off")=0,"",_xlfn.MAXIFS(Status_Log!$E:$E,Status_Log!$A:$A,$A212,Status_Log!$B:$B,$B212,Status_Log!$C:$C,$C212,Status_Log!$D:$D,"Changed to the status of signed off")))</f>
        <v/>
      </c>
      <c r="J212" s="4" t="str">
        <f aca="false">IF($A212="","",COUNTIFS(Status_Log!$A:$A,$A212,Status_Log!$B:$B,$B212,Status_Log!$C:$C,$C212,Status_Log!$D:$D,"Changed to the status of Calculated"))</f>
        <v/>
      </c>
      <c r="K212" s="38" t="str">
        <f aca="false">IF($A212="","",IF(J212&lt;=1,0,ROUND((_xlfn.MAXIFS(Status_Log!$E:$E,Status_Log!$A:$A,$A212,Status_Log!$B:$B,$B212,Status_Log!$C:$C,$C212,Status_Log!$D:$D,"Changed to the status of Calculated")-F212)*1440,0)))</f>
        <v/>
      </c>
      <c r="L212" s="4" t="str">
        <f aca="false">IF($A212="","",IFERROR(INDEX(Status_Log!$F:$F,MATCH($A212&amp;"|"&amp;$B212&amp;"|"&amp;$C212&amp;"|Changed to the status of Calculated|"&amp;TEXT(_xlfn.MAXIFS(Status_Log!$E:$E,Status_Log!$A:$A,$A212,Status_Log!$B:$B,$B212,Status_Log!$C:$C,$C212,Status_Log!$D:$D,"Changed to the status of Calculated"),"0.000000"),Status_Log!$H:$H,0)),""))</f>
        <v/>
      </c>
      <c r="M212" s="4" t="str">
        <f aca="false">IF($A212="","",IF(E212="Client","n/a — no control step",IFERROR(INDEX(Status_Log!$F:$F,MATCH($A212&amp;"|"&amp;$B212&amp;"|"&amp;$C212&amp;"|Changed to the status of Controlled|"&amp;TEXT(_xlfn.MAXIFS(Status_Log!$E:$E,Status_Log!$A:$A,$A212,Status_Log!$B:$B,$B212,Status_Log!$C:$C,$C212,Status_Log!$D:$D,"Changed to the status of Controlled"),"0.000000"),Status_Log!$H:$H,0)),"")))</f>
        <v/>
      </c>
      <c r="N212" s="4" t="str">
        <f aca="false">IF($A212="","",IFERROR(VLOOKUP($C212,Dim_Fund!$A:$G,7,0),""))</f>
        <v/>
      </c>
      <c r="O212" s="4" t="str">
        <f aca="false">IF($A212="","",IF(L212=N212,"No","Yes"))</f>
        <v/>
      </c>
      <c r="P212" s="4" t="str">
        <f aca="false">IF($A212="","",IF(E212="Client","n/a",IF(L212=M212,"YES — four-eyes breach","No")))</f>
        <v/>
      </c>
      <c r="Q212" s="38" t="str">
        <f aca="false">IF($A212="","",IFERROR(VLOOKUP($C212,Dim_Fund!$A:$AB,28,0),""))</f>
        <v/>
      </c>
      <c r="R212" s="38" t="str">
        <f aca="false">IF($A212="","",IFERROR(VLOOKUP($C212,Dim_Fund!$A:$AC,29,0),""))</f>
        <v/>
      </c>
      <c r="S212" s="38" t="str">
        <f aca="false">IF($A212="","",IFERROR(VLOOKUP($C212,Dim_Fund!$A:$AD,30,0),""))</f>
        <v/>
      </c>
      <c r="T212" s="38" t="str">
        <f aca="false">IF($A212="","",IFERROR(VLOOKUP($C212,Dim_Fund!$A:$AL,38,0),""))</f>
        <v/>
      </c>
      <c r="U212" s="37" t="str">
        <f aca="false">IF($A212="","",IF(AL212="","",IFERROR(IF(COUNTIFS(Fact_Milestone!$A:$A,$B212,Fact_Milestone!$B:$B,AL212)=0,"",_xlfn.MAXIFS(Fact_Milestone!$C:$C,Fact_Milestone!$A:$A,$B212,Fact_Milestone!$B:$B,AL212)),"")))</f>
        <v/>
      </c>
      <c r="V212" s="37" t="str">
        <f aca="false">IF($A212="","",IFERROR(IF(VLOOKUP($C212,Dim_Fund!$A:$AI,35,0)&gt;0,$B212+VLOOKUP($C212,Dim_Fund!$A:$AI,35,0)/24,""),""))</f>
        <v/>
      </c>
      <c r="W212" s="37" t="str">
        <f aca="false">IF($A212="","",F212)</f>
        <v/>
      </c>
      <c r="X212" s="37" t="str">
        <f aca="false">IF($A212="","",IF(E212="Client",H212,G212))</f>
        <v/>
      </c>
      <c r="Y212" s="37" t="str">
        <f aca="false">IF($A212="","",I212)</f>
        <v/>
      </c>
      <c r="Z212" s="37" t="str">
        <f aca="false">IF($A212="","",IFERROR(W212-R212/1440,""))</f>
        <v/>
      </c>
      <c r="AA212" s="38" t="str">
        <f aca="false">IF($A212="","",IF(OR(U212="",V212=""),"",ROUND((V212-U212)*1440,0)))</f>
        <v/>
      </c>
      <c r="AB212" s="38" t="str">
        <f aca="false">IF($A212="","",IF(U212="","",ROUND((W212-U212)*1440,0)))</f>
        <v/>
      </c>
      <c r="AC212" s="38" t="str">
        <f aca="false">IF($A212="","",IF(AB212="","",MAX(0,AB212)))</f>
        <v/>
      </c>
      <c r="AD212" s="38" t="str">
        <f aca="false">IF($A212="","",IFERROR(ROUND((X212-W212)*1440,0),""))</f>
        <v/>
      </c>
      <c r="AE212" s="38" t="str">
        <f aca="false">IF($A212="","",IF(E212="Client","n/a",IFERROR(ROUND((H212-G212)*1440,0),"")))</f>
        <v/>
      </c>
      <c r="AF212" s="38" t="str">
        <f aca="false">IF($A212="","",IFERROR(ROUND((Y212-H212)*1440,0),""))</f>
        <v/>
      </c>
      <c r="AG212" s="38" t="str">
        <f aca="false">IF($A212="","",IFERROR(ROUND((H212-F212)*1440,0),""))</f>
        <v/>
      </c>
      <c r="AH212" s="38" t="str">
        <f aca="false">IF($A212="","",IFERROR(ROUND((Y212-V212)*1440,0),""))</f>
        <v/>
      </c>
      <c r="AI212" s="4" t="str">
        <f aca="false">IF($A212="","",IF(AH212="","",IF(AH212&gt;0,"Yes","No")))</f>
        <v/>
      </c>
      <c r="AJ212" s="4" t="str">
        <f aca="false">IF($A212="","",IF(AI212&lt;&gt;"Yes","On time",IF(N(AC212)&gt;=MAX(N(AF212),N(K212)),"Wait for analyst",IF(N(AF212)&gt;=N(K212),"External sign-off","Rework"))))</f>
        <v/>
      </c>
      <c r="AK212" s="4" t="str">
        <f aca="false">IF($A212="","",IF(OR(F212="",Y212="",ISNA(MATCH(L212,Dim_Analyst!$A:$A,0))),"CHECK","OK"))</f>
        <v/>
      </c>
      <c r="AL212" s="4" t="str">
        <f aca="false">IF($A212="","",IFERROR(VLOOKUP($C212,Dim_Fund!$A:$U,21,0),""))</f>
        <v/>
      </c>
      <c r="AM212" s="4" t="str">
        <f aca="false">IF($A212="","",IF($U212="","",IF($U212&gt;$B212+IFERROR(VLOOKUP($C212,Dim_Fund!$A:$AH,34,0),0)/24,"Yes","No")))</f>
        <v/>
      </c>
      <c r="AN212" s="22" t="str">
        <f aca="false">IF($A212="","",IFERROR(VLOOKUP($C212,Dim_Fund!$A:$AH,34,0),""))</f>
        <v/>
      </c>
      <c r="AO212" s="22" t="str">
        <f aca="false">IF($A212="","",IF($AL212="","",IFERROR(FLOOR(IF(COUNTIFS(Fact_Milestone!$A:$A,$B212,Fact_Milestone!$B:$B,$AL212,Fact_Milestone!$F:$F,"&gt;0")&gt;0,_xlfn.MINIFS(Fact_Milestone!$F:$F,Fact_Milestone!$A:$A,$B212,Fact_Milestone!$B:$B,$AL212,Fact_Milestone!$F:$F,"&gt;0"),VLOOKUP($AL212,Dim_TOP!$A:$E,5,0)),0.5),"")))</f>
        <v/>
      </c>
      <c r="AP212" s="22" t="str">
        <f aca="false">IF($A212="","",IF($U212="","",ROUND(($U212-INT($U212))*24,4)))</f>
        <v/>
      </c>
      <c r="AQ212" s="22" t="str">
        <f aca="false">IF($A212="","",IF($W212="","",ROUND(($W212-INT($W212))*24,4)))</f>
        <v/>
      </c>
      <c r="AR212" s="22" t="str">
        <f aca="false">IF($A212="","",IF($X212="","",ROUND(($X212-INT($X212))*24,4)))</f>
        <v/>
      </c>
      <c r="AS212" s="38" t="str">
        <f aca="false">IF($A212="","",IF(OR($AN212="",$V212="",$S212="",$T212=""),"",ROUND(($V212-($B212+$AN212/24))*1440-$S212-$T212,0)))</f>
        <v/>
      </c>
      <c r="AT212" s="38" t="str">
        <f aca="false">IF($A212="","",IF(OR($AN212="",$U212=""),"",ROUND(($U212-($B212+$AN212/24))*1440,0)))</f>
        <v/>
      </c>
      <c r="AU212" s="38" t="str">
        <f aca="false">IF($A212="","",IF(OR($AD212="",$S212=""),"",ROUND($AD212-$S212,0)))</f>
        <v/>
      </c>
      <c r="AV212" s="38" t="str">
        <f aca="false">IF($A212="","",N($AE212))</f>
        <v/>
      </c>
      <c r="AW212" s="38" t="str">
        <f aca="false">IF($A212="","",IF(OR($AF212="",$T212=""),"",$AF212-$T212))</f>
        <v/>
      </c>
      <c r="AX212" s="38" t="str">
        <f aca="false">IF($A212="","",IF(COUNT($AT212,$AB212,$AU212,$AW212,$AS212,$AH212)&lt;6,"",ROUND($AT212+$AB212+$AU212+$AV212+$AW212-$AS212-$AH212,0)))</f>
        <v/>
      </c>
      <c r="AY212" s="4" t="str">
        <f aca="false">IF($A212="","",IF($AX212="","No",IF(ABS($AX212)&lt;=2,"Yes","No")))</f>
        <v/>
      </c>
      <c r="AZ212" s="4" t="str">
        <f aca="false">IF($A212="","",IF($AI212&lt;&gt;"Yes","n/a",IF(OR($AA212="",$S212="",$T212=""),"Unknown",IF($AA212&lt;$S212+$T212,"Lost on arrival","Lost after arrival"))))</f>
        <v/>
      </c>
      <c r="BA212" s="10" t="str">
        <f aca="false">IF($A212="","",IFERROR(VLOOKUP($C212,Dim_Fund!$A:$D,4,0),""))</f>
        <v/>
      </c>
      <c r="BB212" s="10" t="str">
        <f aca="false">IF($A212="","",IF($AL212="","",IF(COUNTIFS(Fact_Milestone!$A:$A,$B212,Fact_Milestone!$B:$B,$AL212,Fact_Milestone!$I:$I,"No")&gt;0,"No",IF(COUNTIFS(Fact_Milestone!$A:$A,$B212,Fact_Milestone!$B:$B,$AL212,Fact_Milestone!$I:$I,"Yes")&gt;0,"Yes",""))))</f>
        <v/>
      </c>
      <c r="BC212" s="45" t="str">
        <f aca="false">IF($A212="","",IF(OR($L212="",$W212=""),"",IF(COUNTIFS($L:$L,$L212,$B:$B,$B212,$W:$W,"&lt;"&amp;$W212)=0,"",_xlfn.MAXIFS($W:$W,$L:$L,$L212,$B:$B,$B212,$W:$W,"&lt;"&amp;$W212))))</f>
        <v/>
      </c>
      <c r="BD212" s="39" t="str">
        <f aca="false">IF($A212="","",IF($AC212="","",IF(OR($L212="",$AC212=0),0,MIN($AC212,ROUND(ROUND(1440*SUMPRODUCT(($L$2:INDEX($L:$L,COUNTA($C:$C))=$L212)*($B$2:INDEX($B:$B,COUNTA($C:$C))=$B212)*(ROW($L$2:INDEX($L:$L,COUNTA($C:$C)))&lt;&gt;ROW())*((((($W212+$BT$2:INDEX($BT:$BT,COUNTA($C:$C))-ABS($W212-$BT$2:INDEX($BT:$BT,COUNTA($C:$C))))/2)-(($U212+$BS$2:INDEX($BS:$BS,COUNTA($C:$C))+ABS($U212-$BS$2:INDEX($BS:$BS,COUNTA($C:$C))))/2))+ABS(((($W212+$BT$2:INDEX($BT:$BT,COUNTA($C:$C))-ABS($W212-$BT$2:INDEX($BT:$BT,COUNTA($C:$C))))/2)-(($U212+$BS$2:INDEX($BS:$BS,COUNTA($C:$C))+ABS($U212-$BS$2:INDEX($BS:$BS,COUNTA($C:$C))))/2))))/2)),4),0)))))</f>
        <v/>
      </c>
      <c r="BE212" s="39" t="str">
        <f aca="false">IF($A212="","",IF($AC212="","",ROUND(MIN($AC212-$BD212,N($R212)),0)))</f>
        <v/>
      </c>
      <c r="BF212" s="10" t="str">
        <f aca="false">IF($A212="","",IFERROR(VLOOKUP($C212,Dim_Fund!$A:$BD,56,0),""))</f>
        <v/>
      </c>
      <c r="BG212" s="10" t="str">
        <f aca="false">IF($A212="","",IFERROR(VLOOKUP($C212,Dim_Fund!$A:$BH,60,0),""))</f>
        <v/>
      </c>
      <c r="BH212" s="10" t="str">
        <f aca="false">IF($A212="","",IF($AI212&lt;&gt;"Yes","Not breached",IF($AM212="Yes","Pricing late",IF($BG212="Thin custody slack","Thin custody slack",IF($BF212="Yes","Broker-dependent","None of these")))))</f>
        <v/>
      </c>
      <c r="BI212" s="23" t="str">
        <f aca="false">IF($A212="","",IFERROR(IF(VLOOKUP($C212,Dim_Fund!$A:$AI,35,0)&gt;0,VLOOKUP($C212,Dim_Fund!$A:$AI,35,0),""),""))</f>
        <v/>
      </c>
      <c r="BJ212" s="10" t="str">
        <f aca="false">IF($A212="","",$C212&amp;IF($E212="Client","*",""))</f>
        <v/>
      </c>
      <c r="BK212" s="39" t="str">
        <f aca="false">IF($A212="","",IFERROR(ROUND(($Y212-$X212)*1440,0),""))</f>
        <v/>
      </c>
      <c r="BL212" s="39" t="str">
        <f aca="false">IF($A212="","",IF($AH212="","",-$AH212))</f>
        <v/>
      </c>
      <c r="BM212" s="46" t="str">
        <f aca="false">IF($A212="","",IF($AQ212="","",IF($AP212="",$AQ212,MIN($AP212,$AQ212))))</f>
        <v/>
      </c>
      <c r="BN212" s="46" t="str">
        <f aca="false">IF($A212="","",IF($BM212="","",ROUND(N($AC212)/60,4)))</f>
        <v/>
      </c>
      <c r="BO212" s="46" t="str">
        <f aca="false">IF($A212="","",IF(OR($BM212="",$AD212=""),"",ROUND($AD212/60,4)))</f>
        <v/>
      </c>
      <c r="BP212" s="46" t="str">
        <f aca="false">IF($A212="","",IF($BM212="","",ROUND(N($AE212)/60,4)))</f>
        <v/>
      </c>
      <c r="BQ212" s="46" t="str">
        <f aca="false">IF($A212="","",IF(OR($BM212="",$AF212=""),"",ROUND($AF212/60,4)))</f>
        <v/>
      </c>
      <c r="BR212" s="39" t="str">
        <f aca="false">IF($A212="","",IF($AC212="","",$AC212-$BD212-$BE212))</f>
        <v/>
      </c>
      <c r="BS212" s="45" t="str">
        <f aca="false">IF($A212="","",IF(AND(ISNUMBER($Z212),ISNUMBER($W212)),$Z212,0))</f>
        <v/>
      </c>
      <c r="BT212" s="45" t="str">
        <f aca="false">IF($A212="","",IF(ISNUMBER($W212),$W212,0))</f>
        <v/>
      </c>
      <c r="BU212" s="23" t="str">
        <f aca="false">IF($A212="","",IF(ISNUMBER($W212),ROUND(($W212-$B212)*24,4),""))</f>
        <v/>
      </c>
      <c r="BV212" s="23" t="str">
        <f aca="false">IF($A212="","",IF(ISNUMBER($X212),ROUND(($X212-$B212)*24,4),""))</f>
        <v/>
      </c>
      <c r="BW212" s="10" t="str">
        <f aca="false">IF($A212="","",IF(NOT(ISNUMBER($W212)),"Missing Calculated",IF(NOT(ISNUMBER($X212)),IF($E212="Client","Missing FA signed off","Missing Controlled"),IF($X212&lt;$W212,"End before start","OK"))))</f>
        <v/>
      </c>
      <c r="BX212" s="23" t="str">
        <f aca="false">IF($A212="","",IF(NOT(ISNUMBER($Z212)),"",ROUND((IF(ISNUMBER($U212),MIN($U212,$Z212),$Z212)-$B212)*24,4)))</f>
        <v/>
      </c>
      <c r="BY212" s="23" t="str">
        <f aca="false">IF($A212="","",IF(ISNUMBER($Z212),ROUND(($Z212-$B212)*24,4),""))</f>
        <v/>
      </c>
      <c r="BZ212" s="23" t="str">
        <f aca="false">IF($A212="","",IF(AND(ISNUMBER($W212),ISNUMBER($S212)),ROUND(($W212+$S212/1440-$B212)*24,4),""))</f>
        <v/>
      </c>
    </row>
    <row r="213" customFormat="false" ht="15" hidden="false" customHeight="true" outlineLevel="0" collapsed="false">
      <c r="A213" s="47"/>
      <c r="B213" s="47"/>
      <c r="D213" s="4" t="str">
        <f aca="false">IF($A213="","",$B213-$A213)</f>
        <v/>
      </c>
      <c r="E213" s="4" t="str">
        <f aca="false">IF($A213="","",IFERROR(VLOOKUP($C213,Dim_Fund!$A:$X,24,0),""))</f>
        <v/>
      </c>
      <c r="F213" s="37" t="str">
        <f aca="false">IF($A213="","",IF(COUNTIFS(Status_Log!$A:$A,$A213,Status_Log!$B:$B,$B213,Status_Log!$C:$C,$C213,Status_Log!$D:$D,"Changed to the status of Calculated")=0,"",_xlfn.MINIFS(Status_Log!$E:$E,Status_Log!$A:$A,$A213,Status_Log!$B:$B,$B213,Status_Log!$C:$C,$C213,Status_Log!$D:$D,"Changed to the status of Calculated")))</f>
        <v/>
      </c>
      <c r="G213" s="37" t="str">
        <f aca="false">IF($A213="","",IF(COUNTIFS(Status_Log!$A:$A,$A213,Status_Log!$B:$B,$B213,Status_Log!$C:$C,$C213,Status_Log!$D:$D,"Changed to the status of Controlled")=0,"",_xlfn.MAXIFS(Status_Log!$E:$E,Status_Log!$A:$A,$A213,Status_Log!$B:$B,$B213,Status_Log!$C:$C,$C213,Status_Log!$D:$D,"Changed to the status of Controlled")))</f>
        <v/>
      </c>
      <c r="H213" s="37" t="str">
        <f aca="false">IF($A213="","",IF(COUNTIFS(Status_Log!$A:$A,$A213,Status_Log!$B:$B,$B213,Status_Log!$C:$C,$C213,Status_Log!$D:$D,"Changed to the status of Fund accounting signed off")=0,"",_xlfn.MAXIFS(Status_Log!$E:$E,Status_Log!$A:$A,$A213,Status_Log!$B:$B,$B213,Status_Log!$C:$C,$C213,Status_Log!$D:$D,"Changed to the status of Fund accounting signed off")))</f>
        <v/>
      </c>
      <c r="I213" s="37" t="str">
        <f aca="false">IF($A213="","",IF(COUNTIFS(Status_Log!$A:$A,$A213,Status_Log!$B:$B,$B213,Status_Log!$C:$C,$C213,Status_Log!$D:$D,"Changed to the status of signed off")=0,"",_xlfn.MAXIFS(Status_Log!$E:$E,Status_Log!$A:$A,$A213,Status_Log!$B:$B,$B213,Status_Log!$C:$C,$C213,Status_Log!$D:$D,"Changed to the status of signed off")))</f>
        <v/>
      </c>
      <c r="J213" s="4" t="str">
        <f aca="false">IF($A213="","",COUNTIFS(Status_Log!$A:$A,$A213,Status_Log!$B:$B,$B213,Status_Log!$C:$C,$C213,Status_Log!$D:$D,"Changed to the status of Calculated"))</f>
        <v/>
      </c>
      <c r="K213" s="38" t="str">
        <f aca="false">IF($A213="","",IF(J213&lt;=1,0,ROUND((_xlfn.MAXIFS(Status_Log!$E:$E,Status_Log!$A:$A,$A213,Status_Log!$B:$B,$B213,Status_Log!$C:$C,$C213,Status_Log!$D:$D,"Changed to the status of Calculated")-F213)*1440,0)))</f>
        <v/>
      </c>
      <c r="L213" s="4" t="str">
        <f aca="false">IF($A213="","",IFERROR(INDEX(Status_Log!$F:$F,MATCH($A213&amp;"|"&amp;$B213&amp;"|"&amp;$C213&amp;"|Changed to the status of Calculated|"&amp;TEXT(_xlfn.MAXIFS(Status_Log!$E:$E,Status_Log!$A:$A,$A213,Status_Log!$B:$B,$B213,Status_Log!$C:$C,$C213,Status_Log!$D:$D,"Changed to the status of Calculated"),"0.000000"),Status_Log!$H:$H,0)),""))</f>
        <v/>
      </c>
      <c r="M213" s="4" t="str">
        <f aca="false">IF($A213="","",IF(E213="Client","n/a — no control step",IFERROR(INDEX(Status_Log!$F:$F,MATCH($A213&amp;"|"&amp;$B213&amp;"|"&amp;$C213&amp;"|Changed to the status of Controlled|"&amp;TEXT(_xlfn.MAXIFS(Status_Log!$E:$E,Status_Log!$A:$A,$A213,Status_Log!$B:$B,$B213,Status_Log!$C:$C,$C213,Status_Log!$D:$D,"Changed to the status of Controlled"),"0.000000"),Status_Log!$H:$H,0)),"")))</f>
        <v/>
      </c>
      <c r="N213" s="4" t="str">
        <f aca="false">IF($A213="","",IFERROR(VLOOKUP($C213,Dim_Fund!$A:$G,7,0),""))</f>
        <v/>
      </c>
      <c r="O213" s="4" t="str">
        <f aca="false">IF($A213="","",IF(L213=N213,"No","Yes"))</f>
        <v/>
      </c>
      <c r="P213" s="4" t="str">
        <f aca="false">IF($A213="","",IF(E213="Client","n/a",IF(L213=M213,"YES — four-eyes breach","No")))</f>
        <v/>
      </c>
      <c r="Q213" s="38" t="str">
        <f aca="false">IF($A213="","",IFERROR(VLOOKUP($C213,Dim_Fund!$A:$AB,28,0),""))</f>
        <v/>
      </c>
      <c r="R213" s="38" t="str">
        <f aca="false">IF($A213="","",IFERROR(VLOOKUP($C213,Dim_Fund!$A:$AC,29,0),""))</f>
        <v/>
      </c>
      <c r="S213" s="38" t="str">
        <f aca="false">IF($A213="","",IFERROR(VLOOKUP($C213,Dim_Fund!$A:$AD,30,0),""))</f>
        <v/>
      </c>
      <c r="T213" s="38" t="str">
        <f aca="false">IF($A213="","",IFERROR(VLOOKUP($C213,Dim_Fund!$A:$AL,38,0),""))</f>
        <v/>
      </c>
      <c r="U213" s="37" t="str">
        <f aca="false">IF($A213="","",IF(AL213="","",IFERROR(IF(COUNTIFS(Fact_Milestone!$A:$A,$B213,Fact_Milestone!$B:$B,AL213)=0,"",_xlfn.MAXIFS(Fact_Milestone!$C:$C,Fact_Milestone!$A:$A,$B213,Fact_Milestone!$B:$B,AL213)),"")))</f>
        <v/>
      </c>
      <c r="V213" s="37" t="str">
        <f aca="false">IF($A213="","",IFERROR(IF(VLOOKUP($C213,Dim_Fund!$A:$AI,35,0)&gt;0,$B213+VLOOKUP($C213,Dim_Fund!$A:$AI,35,0)/24,""),""))</f>
        <v/>
      </c>
      <c r="W213" s="37" t="str">
        <f aca="false">IF($A213="","",F213)</f>
        <v/>
      </c>
      <c r="X213" s="37" t="str">
        <f aca="false">IF($A213="","",IF(E213="Client",H213,G213))</f>
        <v/>
      </c>
      <c r="Y213" s="37" t="str">
        <f aca="false">IF($A213="","",I213)</f>
        <v/>
      </c>
      <c r="Z213" s="37" t="str">
        <f aca="false">IF($A213="","",IFERROR(W213-R213/1440,""))</f>
        <v/>
      </c>
      <c r="AA213" s="38" t="str">
        <f aca="false">IF($A213="","",IF(OR(U213="",V213=""),"",ROUND((V213-U213)*1440,0)))</f>
        <v/>
      </c>
      <c r="AB213" s="38" t="str">
        <f aca="false">IF($A213="","",IF(U213="","",ROUND((W213-U213)*1440,0)))</f>
        <v/>
      </c>
      <c r="AC213" s="38" t="str">
        <f aca="false">IF($A213="","",IF(AB213="","",MAX(0,AB213)))</f>
        <v/>
      </c>
      <c r="AD213" s="38" t="str">
        <f aca="false">IF($A213="","",IFERROR(ROUND((X213-W213)*1440,0),""))</f>
        <v/>
      </c>
      <c r="AE213" s="38" t="str">
        <f aca="false">IF($A213="","",IF(E213="Client","n/a",IFERROR(ROUND((H213-G213)*1440,0),"")))</f>
        <v/>
      </c>
      <c r="AF213" s="38" t="str">
        <f aca="false">IF($A213="","",IFERROR(ROUND((Y213-H213)*1440,0),""))</f>
        <v/>
      </c>
      <c r="AG213" s="38" t="str">
        <f aca="false">IF($A213="","",IFERROR(ROUND((H213-F213)*1440,0),""))</f>
        <v/>
      </c>
      <c r="AH213" s="38" t="str">
        <f aca="false">IF($A213="","",IFERROR(ROUND((Y213-V213)*1440,0),""))</f>
        <v/>
      </c>
      <c r="AI213" s="4" t="str">
        <f aca="false">IF($A213="","",IF(AH213="","",IF(AH213&gt;0,"Yes","No")))</f>
        <v/>
      </c>
      <c r="AJ213" s="4" t="str">
        <f aca="false">IF($A213="","",IF(AI213&lt;&gt;"Yes","On time",IF(N(AC213)&gt;=MAX(N(AF213),N(K213)),"Wait for analyst",IF(N(AF213)&gt;=N(K213),"External sign-off","Rework"))))</f>
        <v/>
      </c>
      <c r="AK213" s="4" t="str">
        <f aca="false">IF($A213="","",IF(OR(F213="",Y213="",ISNA(MATCH(L213,Dim_Analyst!$A:$A,0))),"CHECK","OK"))</f>
        <v/>
      </c>
      <c r="AL213" s="4" t="str">
        <f aca="false">IF($A213="","",IFERROR(VLOOKUP($C213,Dim_Fund!$A:$U,21,0),""))</f>
        <v/>
      </c>
      <c r="AM213" s="4" t="str">
        <f aca="false">IF($A213="","",IF($U213="","",IF($U213&gt;$B213+IFERROR(VLOOKUP($C213,Dim_Fund!$A:$AH,34,0),0)/24,"Yes","No")))</f>
        <v/>
      </c>
      <c r="AN213" s="22" t="str">
        <f aca="false">IF($A213="","",IFERROR(VLOOKUP($C213,Dim_Fund!$A:$AH,34,0),""))</f>
        <v/>
      </c>
      <c r="AO213" s="22" t="str">
        <f aca="false">IF($A213="","",IF($AL213="","",IFERROR(FLOOR(IF(COUNTIFS(Fact_Milestone!$A:$A,$B213,Fact_Milestone!$B:$B,$AL213,Fact_Milestone!$F:$F,"&gt;0")&gt;0,_xlfn.MINIFS(Fact_Milestone!$F:$F,Fact_Milestone!$A:$A,$B213,Fact_Milestone!$B:$B,$AL213,Fact_Milestone!$F:$F,"&gt;0"),VLOOKUP($AL213,Dim_TOP!$A:$E,5,0)),0.5),"")))</f>
        <v/>
      </c>
      <c r="AP213" s="22" t="str">
        <f aca="false">IF($A213="","",IF($U213="","",ROUND(($U213-INT($U213))*24,4)))</f>
        <v/>
      </c>
      <c r="AQ213" s="22" t="str">
        <f aca="false">IF($A213="","",IF($W213="","",ROUND(($W213-INT($W213))*24,4)))</f>
        <v/>
      </c>
      <c r="AR213" s="22" t="str">
        <f aca="false">IF($A213="","",IF($X213="","",ROUND(($X213-INT($X213))*24,4)))</f>
        <v/>
      </c>
      <c r="AS213" s="38" t="str">
        <f aca="false">IF($A213="","",IF(OR($AN213="",$V213="",$S213="",$T213=""),"",ROUND(($V213-($B213+$AN213/24))*1440-$S213-$T213,0)))</f>
        <v/>
      </c>
      <c r="AT213" s="38" t="str">
        <f aca="false">IF($A213="","",IF(OR($AN213="",$U213=""),"",ROUND(($U213-($B213+$AN213/24))*1440,0)))</f>
        <v/>
      </c>
      <c r="AU213" s="38" t="str">
        <f aca="false">IF($A213="","",IF(OR($AD213="",$S213=""),"",ROUND($AD213-$S213,0)))</f>
        <v/>
      </c>
      <c r="AV213" s="38" t="str">
        <f aca="false">IF($A213="","",N($AE213))</f>
        <v/>
      </c>
      <c r="AW213" s="38" t="str">
        <f aca="false">IF($A213="","",IF(OR($AF213="",$T213=""),"",$AF213-$T213))</f>
        <v/>
      </c>
      <c r="AX213" s="38" t="str">
        <f aca="false">IF($A213="","",IF(COUNT($AT213,$AB213,$AU213,$AW213,$AS213,$AH213)&lt;6,"",ROUND($AT213+$AB213+$AU213+$AV213+$AW213-$AS213-$AH213,0)))</f>
        <v/>
      </c>
      <c r="AY213" s="4" t="str">
        <f aca="false">IF($A213="","",IF($AX213="","No",IF(ABS($AX213)&lt;=2,"Yes","No")))</f>
        <v/>
      </c>
      <c r="AZ213" s="4" t="str">
        <f aca="false">IF($A213="","",IF($AI213&lt;&gt;"Yes","n/a",IF(OR($AA213="",$S213="",$T213=""),"Unknown",IF($AA213&lt;$S213+$T213,"Lost on arrival","Lost after arrival"))))</f>
        <v/>
      </c>
      <c r="BA213" s="10" t="str">
        <f aca="false">IF($A213="","",IFERROR(VLOOKUP($C213,Dim_Fund!$A:$D,4,0),""))</f>
        <v/>
      </c>
      <c r="BB213" s="10" t="str">
        <f aca="false">IF($A213="","",IF($AL213="","",IF(COUNTIFS(Fact_Milestone!$A:$A,$B213,Fact_Milestone!$B:$B,$AL213,Fact_Milestone!$I:$I,"No")&gt;0,"No",IF(COUNTIFS(Fact_Milestone!$A:$A,$B213,Fact_Milestone!$B:$B,$AL213,Fact_Milestone!$I:$I,"Yes")&gt;0,"Yes",""))))</f>
        <v/>
      </c>
      <c r="BC213" s="45" t="str">
        <f aca="false">IF($A213="","",IF(OR($L213="",$W213=""),"",IF(COUNTIFS($L:$L,$L213,$B:$B,$B213,$W:$W,"&lt;"&amp;$W213)=0,"",_xlfn.MAXIFS($W:$W,$L:$L,$L213,$B:$B,$B213,$W:$W,"&lt;"&amp;$W213))))</f>
        <v/>
      </c>
      <c r="BD213" s="39" t="str">
        <f aca="false">IF($A213="","",IF($AC213="","",IF(OR($L213="",$AC213=0),0,MIN($AC213,ROUND(ROUND(1440*SUMPRODUCT(($L$2:INDEX($L:$L,COUNTA($C:$C))=$L213)*($B$2:INDEX($B:$B,COUNTA($C:$C))=$B213)*(ROW($L$2:INDEX($L:$L,COUNTA($C:$C)))&lt;&gt;ROW())*((((($W213+$BT$2:INDEX($BT:$BT,COUNTA($C:$C))-ABS($W213-$BT$2:INDEX($BT:$BT,COUNTA($C:$C))))/2)-(($U213+$BS$2:INDEX($BS:$BS,COUNTA($C:$C))+ABS($U213-$BS$2:INDEX($BS:$BS,COUNTA($C:$C))))/2))+ABS(((($W213+$BT$2:INDEX($BT:$BT,COUNTA($C:$C))-ABS($W213-$BT$2:INDEX($BT:$BT,COUNTA($C:$C))))/2)-(($U213+$BS$2:INDEX($BS:$BS,COUNTA($C:$C))+ABS($U213-$BS$2:INDEX($BS:$BS,COUNTA($C:$C))))/2))))/2)),4),0)))))</f>
        <v/>
      </c>
      <c r="BE213" s="39" t="str">
        <f aca="false">IF($A213="","",IF($AC213="","",ROUND(MIN($AC213-$BD213,N($R213)),0)))</f>
        <v/>
      </c>
      <c r="BF213" s="10" t="str">
        <f aca="false">IF($A213="","",IFERROR(VLOOKUP($C213,Dim_Fund!$A:$BD,56,0),""))</f>
        <v/>
      </c>
      <c r="BG213" s="10" t="str">
        <f aca="false">IF($A213="","",IFERROR(VLOOKUP($C213,Dim_Fund!$A:$BH,60,0),""))</f>
        <v/>
      </c>
      <c r="BH213" s="10" t="str">
        <f aca="false">IF($A213="","",IF($AI213&lt;&gt;"Yes","Not breached",IF($AM213="Yes","Pricing late",IF($BG213="Thin custody slack","Thin custody slack",IF($BF213="Yes","Broker-dependent","None of these")))))</f>
        <v/>
      </c>
      <c r="BI213" s="23" t="str">
        <f aca="false">IF($A213="","",IFERROR(IF(VLOOKUP($C213,Dim_Fund!$A:$AI,35,0)&gt;0,VLOOKUP($C213,Dim_Fund!$A:$AI,35,0),""),""))</f>
        <v/>
      </c>
      <c r="BJ213" s="10" t="str">
        <f aca="false">IF($A213="","",$C213&amp;IF($E213="Client","*",""))</f>
        <v/>
      </c>
      <c r="BK213" s="39" t="str">
        <f aca="false">IF($A213="","",IFERROR(ROUND(($Y213-$X213)*1440,0),""))</f>
        <v/>
      </c>
      <c r="BL213" s="39" t="str">
        <f aca="false">IF($A213="","",IF($AH213="","",-$AH213))</f>
        <v/>
      </c>
      <c r="BM213" s="46" t="str">
        <f aca="false">IF($A213="","",IF($AQ213="","",IF($AP213="",$AQ213,MIN($AP213,$AQ213))))</f>
        <v/>
      </c>
      <c r="BN213" s="46" t="str">
        <f aca="false">IF($A213="","",IF($BM213="","",ROUND(N($AC213)/60,4)))</f>
        <v/>
      </c>
      <c r="BO213" s="46" t="str">
        <f aca="false">IF($A213="","",IF(OR($BM213="",$AD213=""),"",ROUND($AD213/60,4)))</f>
        <v/>
      </c>
      <c r="BP213" s="46" t="str">
        <f aca="false">IF($A213="","",IF($BM213="","",ROUND(N($AE213)/60,4)))</f>
        <v/>
      </c>
      <c r="BQ213" s="46" t="str">
        <f aca="false">IF($A213="","",IF(OR($BM213="",$AF213=""),"",ROUND($AF213/60,4)))</f>
        <v/>
      </c>
      <c r="BR213" s="39" t="str">
        <f aca="false">IF($A213="","",IF($AC213="","",$AC213-$BD213-$BE213))</f>
        <v/>
      </c>
      <c r="BS213" s="45" t="str">
        <f aca="false">IF($A213="","",IF(AND(ISNUMBER($Z213),ISNUMBER($W213)),$Z213,0))</f>
        <v/>
      </c>
      <c r="BT213" s="45" t="str">
        <f aca="false">IF($A213="","",IF(ISNUMBER($W213),$W213,0))</f>
        <v/>
      </c>
      <c r="BU213" s="23" t="str">
        <f aca="false">IF($A213="","",IF(ISNUMBER($W213),ROUND(($W213-$B213)*24,4),""))</f>
        <v/>
      </c>
      <c r="BV213" s="23" t="str">
        <f aca="false">IF($A213="","",IF(ISNUMBER($X213),ROUND(($X213-$B213)*24,4),""))</f>
        <v/>
      </c>
      <c r="BW213" s="10" t="str">
        <f aca="false">IF($A213="","",IF(NOT(ISNUMBER($W213)),"Missing Calculated",IF(NOT(ISNUMBER($X213)),IF($E213="Client","Missing FA signed off","Missing Controlled"),IF($X213&lt;$W213,"End before start","OK"))))</f>
        <v/>
      </c>
      <c r="BX213" s="23" t="str">
        <f aca="false">IF($A213="","",IF(NOT(ISNUMBER($Z213)),"",ROUND((IF(ISNUMBER($U213),MIN($U213,$Z213),$Z213)-$B213)*24,4)))</f>
        <v/>
      </c>
      <c r="BY213" s="23" t="str">
        <f aca="false">IF($A213="","",IF(ISNUMBER($Z213),ROUND(($Z213-$B213)*24,4),""))</f>
        <v/>
      </c>
      <c r="BZ213" s="23" t="str">
        <f aca="false">IF($A213="","",IF(AND(ISNUMBER($W213),ISNUMBER($S213)),ROUND(($W213+$S213/1440-$B213)*24,4),""))</f>
        <v/>
      </c>
    </row>
    <row r="214" customFormat="false" ht="15" hidden="false" customHeight="true" outlineLevel="0" collapsed="false">
      <c r="A214" s="47"/>
      <c r="B214" s="47"/>
      <c r="D214" s="4" t="str">
        <f aca="false">IF($A214="","",$B214-$A214)</f>
        <v/>
      </c>
      <c r="E214" s="4" t="str">
        <f aca="false">IF($A214="","",IFERROR(VLOOKUP($C214,Dim_Fund!$A:$X,24,0),""))</f>
        <v/>
      </c>
      <c r="F214" s="37" t="str">
        <f aca="false">IF($A214="","",IF(COUNTIFS(Status_Log!$A:$A,$A214,Status_Log!$B:$B,$B214,Status_Log!$C:$C,$C214,Status_Log!$D:$D,"Changed to the status of Calculated")=0,"",_xlfn.MINIFS(Status_Log!$E:$E,Status_Log!$A:$A,$A214,Status_Log!$B:$B,$B214,Status_Log!$C:$C,$C214,Status_Log!$D:$D,"Changed to the status of Calculated")))</f>
        <v/>
      </c>
      <c r="G214" s="37" t="str">
        <f aca="false">IF($A214="","",IF(COUNTIFS(Status_Log!$A:$A,$A214,Status_Log!$B:$B,$B214,Status_Log!$C:$C,$C214,Status_Log!$D:$D,"Changed to the status of Controlled")=0,"",_xlfn.MAXIFS(Status_Log!$E:$E,Status_Log!$A:$A,$A214,Status_Log!$B:$B,$B214,Status_Log!$C:$C,$C214,Status_Log!$D:$D,"Changed to the status of Controlled")))</f>
        <v/>
      </c>
      <c r="H214" s="37" t="str">
        <f aca="false">IF($A214="","",IF(COUNTIFS(Status_Log!$A:$A,$A214,Status_Log!$B:$B,$B214,Status_Log!$C:$C,$C214,Status_Log!$D:$D,"Changed to the status of Fund accounting signed off")=0,"",_xlfn.MAXIFS(Status_Log!$E:$E,Status_Log!$A:$A,$A214,Status_Log!$B:$B,$B214,Status_Log!$C:$C,$C214,Status_Log!$D:$D,"Changed to the status of Fund accounting signed off")))</f>
        <v/>
      </c>
      <c r="I214" s="37" t="str">
        <f aca="false">IF($A214="","",IF(COUNTIFS(Status_Log!$A:$A,$A214,Status_Log!$B:$B,$B214,Status_Log!$C:$C,$C214,Status_Log!$D:$D,"Changed to the status of signed off")=0,"",_xlfn.MAXIFS(Status_Log!$E:$E,Status_Log!$A:$A,$A214,Status_Log!$B:$B,$B214,Status_Log!$C:$C,$C214,Status_Log!$D:$D,"Changed to the status of signed off")))</f>
        <v/>
      </c>
      <c r="J214" s="4" t="str">
        <f aca="false">IF($A214="","",COUNTIFS(Status_Log!$A:$A,$A214,Status_Log!$B:$B,$B214,Status_Log!$C:$C,$C214,Status_Log!$D:$D,"Changed to the status of Calculated"))</f>
        <v/>
      </c>
      <c r="K214" s="38" t="str">
        <f aca="false">IF($A214="","",IF(J214&lt;=1,0,ROUND((_xlfn.MAXIFS(Status_Log!$E:$E,Status_Log!$A:$A,$A214,Status_Log!$B:$B,$B214,Status_Log!$C:$C,$C214,Status_Log!$D:$D,"Changed to the status of Calculated")-F214)*1440,0)))</f>
        <v/>
      </c>
      <c r="L214" s="4" t="str">
        <f aca="false">IF($A214="","",IFERROR(INDEX(Status_Log!$F:$F,MATCH($A214&amp;"|"&amp;$B214&amp;"|"&amp;$C214&amp;"|Changed to the status of Calculated|"&amp;TEXT(_xlfn.MAXIFS(Status_Log!$E:$E,Status_Log!$A:$A,$A214,Status_Log!$B:$B,$B214,Status_Log!$C:$C,$C214,Status_Log!$D:$D,"Changed to the status of Calculated"),"0.000000"),Status_Log!$H:$H,0)),""))</f>
        <v/>
      </c>
      <c r="M214" s="4" t="str">
        <f aca="false">IF($A214="","",IF(E214="Client","n/a — no control step",IFERROR(INDEX(Status_Log!$F:$F,MATCH($A214&amp;"|"&amp;$B214&amp;"|"&amp;$C214&amp;"|Changed to the status of Controlled|"&amp;TEXT(_xlfn.MAXIFS(Status_Log!$E:$E,Status_Log!$A:$A,$A214,Status_Log!$B:$B,$B214,Status_Log!$C:$C,$C214,Status_Log!$D:$D,"Changed to the status of Controlled"),"0.000000"),Status_Log!$H:$H,0)),"")))</f>
        <v/>
      </c>
      <c r="N214" s="4" t="str">
        <f aca="false">IF($A214="","",IFERROR(VLOOKUP($C214,Dim_Fund!$A:$G,7,0),""))</f>
        <v/>
      </c>
      <c r="O214" s="4" t="str">
        <f aca="false">IF($A214="","",IF(L214=N214,"No","Yes"))</f>
        <v/>
      </c>
      <c r="P214" s="4" t="str">
        <f aca="false">IF($A214="","",IF(E214="Client","n/a",IF(L214=M214,"YES — four-eyes breach","No")))</f>
        <v/>
      </c>
      <c r="Q214" s="38" t="str">
        <f aca="false">IF($A214="","",IFERROR(VLOOKUP($C214,Dim_Fund!$A:$AB,28,0),""))</f>
        <v/>
      </c>
      <c r="R214" s="38" t="str">
        <f aca="false">IF($A214="","",IFERROR(VLOOKUP($C214,Dim_Fund!$A:$AC,29,0),""))</f>
        <v/>
      </c>
      <c r="S214" s="38" t="str">
        <f aca="false">IF($A214="","",IFERROR(VLOOKUP($C214,Dim_Fund!$A:$AD,30,0),""))</f>
        <v/>
      </c>
      <c r="T214" s="38" t="str">
        <f aca="false">IF($A214="","",IFERROR(VLOOKUP($C214,Dim_Fund!$A:$AL,38,0),""))</f>
        <v/>
      </c>
      <c r="U214" s="37" t="str">
        <f aca="false">IF($A214="","",IF(AL214="","",IFERROR(IF(COUNTIFS(Fact_Milestone!$A:$A,$B214,Fact_Milestone!$B:$B,AL214)=0,"",_xlfn.MAXIFS(Fact_Milestone!$C:$C,Fact_Milestone!$A:$A,$B214,Fact_Milestone!$B:$B,AL214)),"")))</f>
        <v/>
      </c>
      <c r="V214" s="37" t="str">
        <f aca="false">IF($A214="","",IFERROR(IF(VLOOKUP($C214,Dim_Fund!$A:$AI,35,0)&gt;0,$B214+VLOOKUP($C214,Dim_Fund!$A:$AI,35,0)/24,""),""))</f>
        <v/>
      </c>
      <c r="W214" s="37" t="str">
        <f aca="false">IF($A214="","",F214)</f>
        <v/>
      </c>
      <c r="X214" s="37" t="str">
        <f aca="false">IF($A214="","",IF(E214="Client",H214,G214))</f>
        <v/>
      </c>
      <c r="Y214" s="37" t="str">
        <f aca="false">IF($A214="","",I214)</f>
        <v/>
      </c>
      <c r="Z214" s="37" t="str">
        <f aca="false">IF($A214="","",IFERROR(W214-R214/1440,""))</f>
        <v/>
      </c>
      <c r="AA214" s="38" t="str">
        <f aca="false">IF($A214="","",IF(OR(U214="",V214=""),"",ROUND((V214-U214)*1440,0)))</f>
        <v/>
      </c>
      <c r="AB214" s="38" t="str">
        <f aca="false">IF($A214="","",IF(U214="","",ROUND((W214-U214)*1440,0)))</f>
        <v/>
      </c>
      <c r="AC214" s="38" t="str">
        <f aca="false">IF($A214="","",IF(AB214="","",MAX(0,AB214)))</f>
        <v/>
      </c>
      <c r="AD214" s="38" t="str">
        <f aca="false">IF($A214="","",IFERROR(ROUND((X214-W214)*1440,0),""))</f>
        <v/>
      </c>
      <c r="AE214" s="38" t="str">
        <f aca="false">IF($A214="","",IF(E214="Client","n/a",IFERROR(ROUND((H214-G214)*1440,0),"")))</f>
        <v/>
      </c>
      <c r="AF214" s="38" t="str">
        <f aca="false">IF($A214="","",IFERROR(ROUND((Y214-H214)*1440,0),""))</f>
        <v/>
      </c>
      <c r="AG214" s="38" t="str">
        <f aca="false">IF($A214="","",IFERROR(ROUND((H214-F214)*1440,0),""))</f>
        <v/>
      </c>
      <c r="AH214" s="38" t="str">
        <f aca="false">IF($A214="","",IFERROR(ROUND((Y214-V214)*1440,0),""))</f>
        <v/>
      </c>
      <c r="AI214" s="4" t="str">
        <f aca="false">IF($A214="","",IF(AH214="","",IF(AH214&gt;0,"Yes","No")))</f>
        <v/>
      </c>
      <c r="AJ214" s="4" t="str">
        <f aca="false">IF($A214="","",IF(AI214&lt;&gt;"Yes","On time",IF(N(AC214)&gt;=MAX(N(AF214),N(K214)),"Wait for analyst",IF(N(AF214)&gt;=N(K214),"External sign-off","Rework"))))</f>
        <v/>
      </c>
      <c r="AK214" s="4" t="str">
        <f aca="false">IF($A214="","",IF(OR(F214="",Y214="",ISNA(MATCH(L214,Dim_Analyst!$A:$A,0))),"CHECK","OK"))</f>
        <v/>
      </c>
      <c r="AL214" s="4" t="str">
        <f aca="false">IF($A214="","",IFERROR(VLOOKUP($C214,Dim_Fund!$A:$U,21,0),""))</f>
        <v/>
      </c>
      <c r="AM214" s="4" t="str">
        <f aca="false">IF($A214="","",IF($U214="","",IF($U214&gt;$B214+IFERROR(VLOOKUP($C214,Dim_Fund!$A:$AH,34,0),0)/24,"Yes","No")))</f>
        <v/>
      </c>
      <c r="AN214" s="22" t="str">
        <f aca="false">IF($A214="","",IFERROR(VLOOKUP($C214,Dim_Fund!$A:$AH,34,0),""))</f>
        <v/>
      </c>
      <c r="AO214" s="22" t="str">
        <f aca="false">IF($A214="","",IF($AL214="","",IFERROR(FLOOR(IF(COUNTIFS(Fact_Milestone!$A:$A,$B214,Fact_Milestone!$B:$B,$AL214,Fact_Milestone!$F:$F,"&gt;0")&gt;0,_xlfn.MINIFS(Fact_Milestone!$F:$F,Fact_Milestone!$A:$A,$B214,Fact_Milestone!$B:$B,$AL214,Fact_Milestone!$F:$F,"&gt;0"),VLOOKUP($AL214,Dim_TOP!$A:$E,5,0)),0.5),"")))</f>
        <v/>
      </c>
      <c r="AP214" s="22" t="str">
        <f aca="false">IF($A214="","",IF($U214="","",ROUND(($U214-INT($U214))*24,4)))</f>
        <v/>
      </c>
      <c r="AQ214" s="22" t="str">
        <f aca="false">IF($A214="","",IF($W214="","",ROUND(($W214-INT($W214))*24,4)))</f>
        <v/>
      </c>
      <c r="AR214" s="22" t="str">
        <f aca="false">IF($A214="","",IF($X214="","",ROUND(($X214-INT($X214))*24,4)))</f>
        <v/>
      </c>
      <c r="AS214" s="38" t="str">
        <f aca="false">IF($A214="","",IF(OR($AN214="",$V214="",$S214="",$T214=""),"",ROUND(($V214-($B214+$AN214/24))*1440-$S214-$T214,0)))</f>
        <v/>
      </c>
      <c r="AT214" s="38" t="str">
        <f aca="false">IF($A214="","",IF(OR($AN214="",$U214=""),"",ROUND(($U214-($B214+$AN214/24))*1440,0)))</f>
        <v/>
      </c>
      <c r="AU214" s="38" t="str">
        <f aca="false">IF($A214="","",IF(OR($AD214="",$S214=""),"",ROUND($AD214-$S214,0)))</f>
        <v/>
      </c>
      <c r="AV214" s="38" t="str">
        <f aca="false">IF($A214="","",N($AE214))</f>
        <v/>
      </c>
      <c r="AW214" s="38" t="str">
        <f aca="false">IF($A214="","",IF(OR($AF214="",$T214=""),"",$AF214-$T214))</f>
        <v/>
      </c>
      <c r="AX214" s="38" t="str">
        <f aca="false">IF($A214="","",IF(COUNT($AT214,$AB214,$AU214,$AW214,$AS214,$AH214)&lt;6,"",ROUND($AT214+$AB214+$AU214+$AV214+$AW214-$AS214-$AH214,0)))</f>
        <v/>
      </c>
      <c r="AY214" s="4" t="str">
        <f aca="false">IF($A214="","",IF($AX214="","No",IF(ABS($AX214)&lt;=2,"Yes","No")))</f>
        <v/>
      </c>
      <c r="AZ214" s="4" t="str">
        <f aca="false">IF($A214="","",IF($AI214&lt;&gt;"Yes","n/a",IF(OR($AA214="",$S214="",$T214=""),"Unknown",IF($AA214&lt;$S214+$T214,"Lost on arrival","Lost after arrival"))))</f>
        <v/>
      </c>
      <c r="BA214" s="10" t="str">
        <f aca="false">IF($A214="","",IFERROR(VLOOKUP($C214,Dim_Fund!$A:$D,4,0),""))</f>
        <v/>
      </c>
      <c r="BB214" s="10" t="str">
        <f aca="false">IF($A214="","",IF($AL214="","",IF(COUNTIFS(Fact_Milestone!$A:$A,$B214,Fact_Milestone!$B:$B,$AL214,Fact_Milestone!$I:$I,"No")&gt;0,"No",IF(COUNTIFS(Fact_Milestone!$A:$A,$B214,Fact_Milestone!$B:$B,$AL214,Fact_Milestone!$I:$I,"Yes")&gt;0,"Yes",""))))</f>
        <v/>
      </c>
      <c r="BC214" s="45" t="str">
        <f aca="false">IF($A214="","",IF(OR($L214="",$W214=""),"",IF(COUNTIFS($L:$L,$L214,$B:$B,$B214,$W:$W,"&lt;"&amp;$W214)=0,"",_xlfn.MAXIFS($W:$W,$L:$L,$L214,$B:$B,$B214,$W:$W,"&lt;"&amp;$W214))))</f>
        <v/>
      </c>
      <c r="BD214" s="39" t="str">
        <f aca="false">IF($A214="","",IF($AC214="","",IF(OR($L214="",$AC214=0),0,MIN($AC214,ROUND(ROUND(1440*SUMPRODUCT(($L$2:INDEX($L:$L,COUNTA($C:$C))=$L214)*($B$2:INDEX($B:$B,COUNTA($C:$C))=$B214)*(ROW($L$2:INDEX($L:$L,COUNTA($C:$C)))&lt;&gt;ROW())*((((($W214+$BT$2:INDEX($BT:$BT,COUNTA($C:$C))-ABS($W214-$BT$2:INDEX($BT:$BT,COUNTA($C:$C))))/2)-(($U214+$BS$2:INDEX($BS:$BS,COUNTA($C:$C))+ABS($U214-$BS$2:INDEX($BS:$BS,COUNTA($C:$C))))/2))+ABS(((($W214+$BT$2:INDEX($BT:$BT,COUNTA($C:$C))-ABS($W214-$BT$2:INDEX($BT:$BT,COUNTA($C:$C))))/2)-(($U214+$BS$2:INDEX($BS:$BS,COUNTA($C:$C))+ABS($U214-$BS$2:INDEX($BS:$BS,COUNTA($C:$C))))/2))))/2)),4),0)))))</f>
        <v/>
      </c>
      <c r="BE214" s="39" t="str">
        <f aca="false">IF($A214="","",IF($AC214="","",ROUND(MIN($AC214-$BD214,N($R214)),0)))</f>
        <v/>
      </c>
      <c r="BF214" s="10" t="str">
        <f aca="false">IF($A214="","",IFERROR(VLOOKUP($C214,Dim_Fund!$A:$BD,56,0),""))</f>
        <v/>
      </c>
      <c r="BG214" s="10" t="str">
        <f aca="false">IF($A214="","",IFERROR(VLOOKUP($C214,Dim_Fund!$A:$BH,60,0),""))</f>
        <v/>
      </c>
      <c r="BH214" s="10" t="str">
        <f aca="false">IF($A214="","",IF($AI214&lt;&gt;"Yes","Not breached",IF($AM214="Yes","Pricing late",IF($BG214="Thin custody slack","Thin custody slack",IF($BF214="Yes","Broker-dependent","None of these")))))</f>
        <v/>
      </c>
      <c r="BI214" s="23" t="str">
        <f aca="false">IF($A214="","",IFERROR(IF(VLOOKUP($C214,Dim_Fund!$A:$AI,35,0)&gt;0,VLOOKUP($C214,Dim_Fund!$A:$AI,35,0),""),""))</f>
        <v/>
      </c>
      <c r="BJ214" s="10" t="str">
        <f aca="false">IF($A214="","",$C214&amp;IF($E214="Client","*",""))</f>
        <v/>
      </c>
      <c r="BK214" s="39" t="str">
        <f aca="false">IF($A214="","",IFERROR(ROUND(($Y214-$X214)*1440,0),""))</f>
        <v/>
      </c>
      <c r="BL214" s="39" t="str">
        <f aca="false">IF($A214="","",IF($AH214="","",-$AH214))</f>
        <v/>
      </c>
      <c r="BM214" s="46" t="str">
        <f aca="false">IF($A214="","",IF($AQ214="","",IF($AP214="",$AQ214,MIN($AP214,$AQ214))))</f>
        <v/>
      </c>
      <c r="BN214" s="46" t="str">
        <f aca="false">IF($A214="","",IF($BM214="","",ROUND(N($AC214)/60,4)))</f>
        <v/>
      </c>
      <c r="BO214" s="46" t="str">
        <f aca="false">IF($A214="","",IF(OR($BM214="",$AD214=""),"",ROUND($AD214/60,4)))</f>
        <v/>
      </c>
      <c r="BP214" s="46" t="str">
        <f aca="false">IF($A214="","",IF($BM214="","",ROUND(N($AE214)/60,4)))</f>
        <v/>
      </c>
      <c r="BQ214" s="46" t="str">
        <f aca="false">IF($A214="","",IF(OR($BM214="",$AF214=""),"",ROUND($AF214/60,4)))</f>
        <v/>
      </c>
      <c r="BR214" s="39" t="str">
        <f aca="false">IF($A214="","",IF($AC214="","",$AC214-$BD214-$BE214))</f>
        <v/>
      </c>
      <c r="BS214" s="45" t="str">
        <f aca="false">IF($A214="","",IF(AND(ISNUMBER($Z214),ISNUMBER($W214)),$Z214,0))</f>
        <v/>
      </c>
      <c r="BT214" s="45" t="str">
        <f aca="false">IF($A214="","",IF(ISNUMBER($W214),$W214,0))</f>
        <v/>
      </c>
      <c r="BU214" s="23" t="str">
        <f aca="false">IF($A214="","",IF(ISNUMBER($W214),ROUND(($W214-$B214)*24,4),""))</f>
        <v/>
      </c>
      <c r="BV214" s="23" t="str">
        <f aca="false">IF($A214="","",IF(ISNUMBER($X214),ROUND(($X214-$B214)*24,4),""))</f>
        <v/>
      </c>
      <c r="BW214" s="10" t="str">
        <f aca="false">IF($A214="","",IF(NOT(ISNUMBER($W214)),"Missing Calculated",IF(NOT(ISNUMBER($X214)),IF($E214="Client","Missing FA signed off","Missing Controlled"),IF($X214&lt;$W214,"End before start","OK"))))</f>
        <v/>
      </c>
      <c r="BX214" s="23" t="str">
        <f aca="false">IF($A214="","",IF(NOT(ISNUMBER($Z214)),"",ROUND((IF(ISNUMBER($U214),MIN($U214,$Z214),$Z214)-$B214)*24,4)))</f>
        <v/>
      </c>
      <c r="BY214" s="23" t="str">
        <f aca="false">IF($A214="","",IF(ISNUMBER($Z214),ROUND(($Z214-$B214)*24,4),""))</f>
        <v/>
      </c>
      <c r="BZ214" s="23" t="str">
        <f aca="false">IF($A214="","",IF(AND(ISNUMBER($W214),ISNUMBER($S214)),ROUND(($W214+$S214/1440-$B214)*24,4),""))</f>
        <v/>
      </c>
    </row>
    <row r="215" customFormat="false" ht="15" hidden="false" customHeight="true" outlineLevel="0" collapsed="false">
      <c r="A215" s="47"/>
      <c r="B215" s="47"/>
      <c r="D215" s="4" t="str">
        <f aca="false">IF($A215="","",$B215-$A215)</f>
        <v/>
      </c>
      <c r="E215" s="4" t="str">
        <f aca="false">IF($A215="","",IFERROR(VLOOKUP($C215,Dim_Fund!$A:$X,24,0),""))</f>
        <v/>
      </c>
      <c r="F215" s="37" t="str">
        <f aca="false">IF($A215="","",IF(COUNTIFS(Status_Log!$A:$A,$A215,Status_Log!$B:$B,$B215,Status_Log!$C:$C,$C215,Status_Log!$D:$D,"Changed to the status of Calculated")=0,"",_xlfn.MINIFS(Status_Log!$E:$E,Status_Log!$A:$A,$A215,Status_Log!$B:$B,$B215,Status_Log!$C:$C,$C215,Status_Log!$D:$D,"Changed to the status of Calculated")))</f>
        <v/>
      </c>
      <c r="G215" s="37" t="str">
        <f aca="false">IF($A215="","",IF(COUNTIFS(Status_Log!$A:$A,$A215,Status_Log!$B:$B,$B215,Status_Log!$C:$C,$C215,Status_Log!$D:$D,"Changed to the status of Controlled")=0,"",_xlfn.MAXIFS(Status_Log!$E:$E,Status_Log!$A:$A,$A215,Status_Log!$B:$B,$B215,Status_Log!$C:$C,$C215,Status_Log!$D:$D,"Changed to the status of Controlled")))</f>
        <v/>
      </c>
      <c r="H215" s="37" t="str">
        <f aca="false">IF($A215="","",IF(COUNTIFS(Status_Log!$A:$A,$A215,Status_Log!$B:$B,$B215,Status_Log!$C:$C,$C215,Status_Log!$D:$D,"Changed to the status of Fund accounting signed off")=0,"",_xlfn.MAXIFS(Status_Log!$E:$E,Status_Log!$A:$A,$A215,Status_Log!$B:$B,$B215,Status_Log!$C:$C,$C215,Status_Log!$D:$D,"Changed to the status of Fund accounting signed off")))</f>
        <v/>
      </c>
      <c r="I215" s="37" t="str">
        <f aca="false">IF($A215="","",IF(COUNTIFS(Status_Log!$A:$A,$A215,Status_Log!$B:$B,$B215,Status_Log!$C:$C,$C215,Status_Log!$D:$D,"Changed to the status of signed off")=0,"",_xlfn.MAXIFS(Status_Log!$E:$E,Status_Log!$A:$A,$A215,Status_Log!$B:$B,$B215,Status_Log!$C:$C,$C215,Status_Log!$D:$D,"Changed to the status of signed off")))</f>
        <v/>
      </c>
      <c r="J215" s="4" t="str">
        <f aca="false">IF($A215="","",COUNTIFS(Status_Log!$A:$A,$A215,Status_Log!$B:$B,$B215,Status_Log!$C:$C,$C215,Status_Log!$D:$D,"Changed to the status of Calculated"))</f>
        <v/>
      </c>
      <c r="K215" s="38" t="str">
        <f aca="false">IF($A215="","",IF(J215&lt;=1,0,ROUND((_xlfn.MAXIFS(Status_Log!$E:$E,Status_Log!$A:$A,$A215,Status_Log!$B:$B,$B215,Status_Log!$C:$C,$C215,Status_Log!$D:$D,"Changed to the status of Calculated")-F215)*1440,0)))</f>
        <v/>
      </c>
      <c r="L215" s="4" t="str">
        <f aca="false">IF($A215="","",IFERROR(INDEX(Status_Log!$F:$F,MATCH($A215&amp;"|"&amp;$B215&amp;"|"&amp;$C215&amp;"|Changed to the status of Calculated|"&amp;TEXT(_xlfn.MAXIFS(Status_Log!$E:$E,Status_Log!$A:$A,$A215,Status_Log!$B:$B,$B215,Status_Log!$C:$C,$C215,Status_Log!$D:$D,"Changed to the status of Calculated"),"0.000000"),Status_Log!$H:$H,0)),""))</f>
        <v/>
      </c>
      <c r="M215" s="4" t="str">
        <f aca="false">IF($A215="","",IF(E215="Client","n/a — no control step",IFERROR(INDEX(Status_Log!$F:$F,MATCH($A215&amp;"|"&amp;$B215&amp;"|"&amp;$C215&amp;"|Changed to the status of Controlled|"&amp;TEXT(_xlfn.MAXIFS(Status_Log!$E:$E,Status_Log!$A:$A,$A215,Status_Log!$B:$B,$B215,Status_Log!$C:$C,$C215,Status_Log!$D:$D,"Changed to the status of Controlled"),"0.000000"),Status_Log!$H:$H,0)),"")))</f>
        <v/>
      </c>
      <c r="N215" s="4" t="str">
        <f aca="false">IF($A215="","",IFERROR(VLOOKUP($C215,Dim_Fund!$A:$G,7,0),""))</f>
        <v/>
      </c>
      <c r="O215" s="4" t="str">
        <f aca="false">IF($A215="","",IF(L215=N215,"No","Yes"))</f>
        <v/>
      </c>
      <c r="P215" s="4" t="str">
        <f aca="false">IF($A215="","",IF(E215="Client","n/a",IF(L215=M215,"YES — four-eyes breach","No")))</f>
        <v/>
      </c>
      <c r="Q215" s="38" t="str">
        <f aca="false">IF($A215="","",IFERROR(VLOOKUP($C215,Dim_Fund!$A:$AB,28,0),""))</f>
        <v/>
      </c>
      <c r="R215" s="38" t="str">
        <f aca="false">IF($A215="","",IFERROR(VLOOKUP($C215,Dim_Fund!$A:$AC,29,0),""))</f>
        <v/>
      </c>
      <c r="S215" s="38" t="str">
        <f aca="false">IF($A215="","",IFERROR(VLOOKUP($C215,Dim_Fund!$A:$AD,30,0),""))</f>
        <v/>
      </c>
      <c r="T215" s="38" t="str">
        <f aca="false">IF($A215="","",IFERROR(VLOOKUP($C215,Dim_Fund!$A:$AL,38,0),""))</f>
        <v/>
      </c>
      <c r="U215" s="37" t="str">
        <f aca="false">IF($A215="","",IF(AL215="","",IFERROR(IF(COUNTIFS(Fact_Milestone!$A:$A,$B215,Fact_Milestone!$B:$B,AL215)=0,"",_xlfn.MAXIFS(Fact_Milestone!$C:$C,Fact_Milestone!$A:$A,$B215,Fact_Milestone!$B:$B,AL215)),"")))</f>
        <v/>
      </c>
      <c r="V215" s="37" t="str">
        <f aca="false">IF($A215="","",IFERROR(IF(VLOOKUP($C215,Dim_Fund!$A:$AI,35,0)&gt;0,$B215+VLOOKUP($C215,Dim_Fund!$A:$AI,35,0)/24,""),""))</f>
        <v/>
      </c>
      <c r="W215" s="37" t="str">
        <f aca="false">IF($A215="","",F215)</f>
        <v/>
      </c>
      <c r="X215" s="37" t="str">
        <f aca="false">IF($A215="","",IF(E215="Client",H215,G215))</f>
        <v/>
      </c>
      <c r="Y215" s="37" t="str">
        <f aca="false">IF($A215="","",I215)</f>
        <v/>
      </c>
      <c r="Z215" s="37" t="str">
        <f aca="false">IF($A215="","",IFERROR(W215-R215/1440,""))</f>
        <v/>
      </c>
      <c r="AA215" s="38" t="str">
        <f aca="false">IF($A215="","",IF(OR(U215="",V215=""),"",ROUND((V215-U215)*1440,0)))</f>
        <v/>
      </c>
      <c r="AB215" s="38" t="str">
        <f aca="false">IF($A215="","",IF(U215="","",ROUND((W215-U215)*1440,0)))</f>
        <v/>
      </c>
      <c r="AC215" s="38" t="str">
        <f aca="false">IF($A215="","",IF(AB215="","",MAX(0,AB215)))</f>
        <v/>
      </c>
      <c r="AD215" s="38" t="str">
        <f aca="false">IF($A215="","",IFERROR(ROUND((X215-W215)*1440,0),""))</f>
        <v/>
      </c>
      <c r="AE215" s="38" t="str">
        <f aca="false">IF($A215="","",IF(E215="Client","n/a",IFERROR(ROUND((H215-G215)*1440,0),"")))</f>
        <v/>
      </c>
      <c r="AF215" s="38" t="str">
        <f aca="false">IF($A215="","",IFERROR(ROUND((Y215-H215)*1440,0),""))</f>
        <v/>
      </c>
      <c r="AG215" s="38" t="str">
        <f aca="false">IF($A215="","",IFERROR(ROUND((H215-F215)*1440,0),""))</f>
        <v/>
      </c>
      <c r="AH215" s="38" t="str">
        <f aca="false">IF($A215="","",IFERROR(ROUND((Y215-V215)*1440,0),""))</f>
        <v/>
      </c>
      <c r="AI215" s="4" t="str">
        <f aca="false">IF($A215="","",IF(AH215="","",IF(AH215&gt;0,"Yes","No")))</f>
        <v/>
      </c>
      <c r="AJ215" s="4" t="str">
        <f aca="false">IF($A215="","",IF(AI215&lt;&gt;"Yes","On time",IF(N(AC215)&gt;=MAX(N(AF215),N(K215)),"Wait for analyst",IF(N(AF215)&gt;=N(K215),"External sign-off","Rework"))))</f>
        <v/>
      </c>
      <c r="AK215" s="4" t="str">
        <f aca="false">IF($A215="","",IF(OR(F215="",Y215="",ISNA(MATCH(L215,Dim_Analyst!$A:$A,0))),"CHECK","OK"))</f>
        <v/>
      </c>
      <c r="AL215" s="4" t="str">
        <f aca="false">IF($A215="","",IFERROR(VLOOKUP($C215,Dim_Fund!$A:$U,21,0),""))</f>
        <v/>
      </c>
      <c r="AM215" s="4" t="str">
        <f aca="false">IF($A215="","",IF($U215="","",IF($U215&gt;$B215+IFERROR(VLOOKUP($C215,Dim_Fund!$A:$AH,34,0),0)/24,"Yes","No")))</f>
        <v/>
      </c>
      <c r="AN215" s="22" t="str">
        <f aca="false">IF($A215="","",IFERROR(VLOOKUP($C215,Dim_Fund!$A:$AH,34,0),""))</f>
        <v/>
      </c>
      <c r="AO215" s="22" t="str">
        <f aca="false">IF($A215="","",IF($AL215="","",IFERROR(FLOOR(IF(COUNTIFS(Fact_Milestone!$A:$A,$B215,Fact_Milestone!$B:$B,$AL215,Fact_Milestone!$F:$F,"&gt;0")&gt;0,_xlfn.MINIFS(Fact_Milestone!$F:$F,Fact_Milestone!$A:$A,$B215,Fact_Milestone!$B:$B,$AL215,Fact_Milestone!$F:$F,"&gt;0"),VLOOKUP($AL215,Dim_TOP!$A:$E,5,0)),0.5),"")))</f>
        <v/>
      </c>
      <c r="AP215" s="22" t="str">
        <f aca="false">IF($A215="","",IF($U215="","",ROUND(($U215-INT($U215))*24,4)))</f>
        <v/>
      </c>
      <c r="AQ215" s="22" t="str">
        <f aca="false">IF($A215="","",IF($W215="","",ROUND(($W215-INT($W215))*24,4)))</f>
        <v/>
      </c>
      <c r="AR215" s="22" t="str">
        <f aca="false">IF($A215="","",IF($X215="","",ROUND(($X215-INT($X215))*24,4)))</f>
        <v/>
      </c>
      <c r="AS215" s="38" t="str">
        <f aca="false">IF($A215="","",IF(OR($AN215="",$V215="",$S215="",$T215=""),"",ROUND(($V215-($B215+$AN215/24))*1440-$S215-$T215,0)))</f>
        <v/>
      </c>
      <c r="AT215" s="38" t="str">
        <f aca="false">IF($A215="","",IF(OR($AN215="",$U215=""),"",ROUND(($U215-($B215+$AN215/24))*1440,0)))</f>
        <v/>
      </c>
      <c r="AU215" s="38" t="str">
        <f aca="false">IF($A215="","",IF(OR($AD215="",$S215=""),"",ROUND($AD215-$S215,0)))</f>
        <v/>
      </c>
      <c r="AV215" s="38" t="str">
        <f aca="false">IF($A215="","",N($AE215))</f>
        <v/>
      </c>
      <c r="AW215" s="38" t="str">
        <f aca="false">IF($A215="","",IF(OR($AF215="",$T215=""),"",$AF215-$T215))</f>
        <v/>
      </c>
      <c r="AX215" s="38" t="str">
        <f aca="false">IF($A215="","",IF(COUNT($AT215,$AB215,$AU215,$AW215,$AS215,$AH215)&lt;6,"",ROUND($AT215+$AB215+$AU215+$AV215+$AW215-$AS215-$AH215,0)))</f>
        <v/>
      </c>
      <c r="AY215" s="4" t="str">
        <f aca="false">IF($A215="","",IF($AX215="","No",IF(ABS($AX215)&lt;=2,"Yes","No")))</f>
        <v/>
      </c>
      <c r="AZ215" s="4" t="str">
        <f aca="false">IF($A215="","",IF($AI215&lt;&gt;"Yes","n/a",IF(OR($AA215="",$S215="",$T215=""),"Unknown",IF($AA215&lt;$S215+$T215,"Lost on arrival","Lost after arrival"))))</f>
        <v/>
      </c>
      <c r="BA215" s="10" t="str">
        <f aca="false">IF($A215="","",IFERROR(VLOOKUP($C215,Dim_Fund!$A:$D,4,0),""))</f>
        <v/>
      </c>
      <c r="BB215" s="10" t="str">
        <f aca="false">IF($A215="","",IF($AL215="","",IF(COUNTIFS(Fact_Milestone!$A:$A,$B215,Fact_Milestone!$B:$B,$AL215,Fact_Milestone!$I:$I,"No")&gt;0,"No",IF(COUNTIFS(Fact_Milestone!$A:$A,$B215,Fact_Milestone!$B:$B,$AL215,Fact_Milestone!$I:$I,"Yes")&gt;0,"Yes",""))))</f>
        <v/>
      </c>
      <c r="BC215" s="45" t="str">
        <f aca="false">IF($A215="","",IF(OR($L215="",$W215=""),"",IF(COUNTIFS($L:$L,$L215,$B:$B,$B215,$W:$W,"&lt;"&amp;$W215)=0,"",_xlfn.MAXIFS($W:$W,$L:$L,$L215,$B:$B,$B215,$W:$W,"&lt;"&amp;$W215))))</f>
        <v/>
      </c>
      <c r="BD215" s="39" t="str">
        <f aca="false">IF($A215="","",IF($AC215="","",IF(OR($L215="",$AC215=0),0,MIN($AC215,ROUND(ROUND(1440*SUMPRODUCT(($L$2:INDEX($L:$L,COUNTA($C:$C))=$L215)*($B$2:INDEX($B:$B,COUNTA($C:$C))=$B215)*(ROW($L$2:INDEX($L:$L,COUNTA($C:$C)))&lt;&gt;ROW())*((((($W215+$BT$2:INDEX($BT:$BT,COUNTA($C:$C))-ABS($W215-$BT$2:INDEX($BT:$BT,COUNTA($C:$C))))/2)-(($U215+$BS$2:INDEX($BS:$BS,COUNTA($C:$C))+ABS($U215-$BS$2:INDEX($BS:$BS,COUNTA($C:$C))))/2))+ABS(((($W215+$BT$2:INDEX($BT:$BT,COUNTA($C:$C))-ABS($W215-$BT$2:INDEX($BT:$BT,COUNTA($C:$C))))/2)-(($U215+$BS$2:INDEX($BS:$BS,COUNTA($C:$C))+ABS($U215-$BS$2:INDEX($BS:$BS,COUNTA($C:$C))))/2))))/2)),4),0)))))</f>
        <v/>
      </c>
      <c r="BE215" s="39" t="str">
        <f aca="false">IF($A215="","",IF($AC215="","",ROUND(MIN($AC215-$BD215,N($R215)),0)))</f>
        <v/>
      </c>
      <c r="BF215" s="10" t="str">
        <f aca="false">IF($A215="","",IFERROR(VLOOKUP($C215,Dim_Fund!$A:$BD,56,0),""))</f>
        <v/>
      </c>
      <c r="BG215" s="10" t="str">
        <f aca="false">IF($A215="","",IFERROR(VLOOKUP($C215,Dim_Fund!$A:$BH,60,0),""))</f>
        <v/>
      </c>
      <c r="BH215" s="10" t="str">
        <f aca="false">IF($A215="","",IF($AI215&lt;&gt;"Yes","Not breached",IF($AM215="Yes","Pricing late",IF($BG215="Thin custody slack","Thin custody slack",IF($BF215="Yes","Broker-dependent","None of these")))))</f>
        <v/>
      </c>
      <c r="BI215" s="23" t="str">
        <f aca="false">IF($A215="","",IFERROR(IF(VLOOKUP($C215,Dim_Fund!$A:$AI,35,0)&gt;0,VLOOKUP($C215,Dim_Fund!$A:$AI,35,0),""),""))</f>
        <v/>
      </c>
      <c r="BJ215" s="10" t="str">
        <f aca="false">IF($A215="","",$C215&amp;IF($E215="Client","*",""))</f>
        <v/>
      </c>
      <c r="BK215" s="39" t="str">
        <f aca="false">IF($A215="","",IFERROR(ROUND(($Y215-$X215)*1440,0),""))</f>
        <v/>
      </c>
      <c r="BL215" s="39" t="str">
        <f aca="false">IF($A215="","",IF($AH215="","",-$AH215))</f>
        <v/>
      </c>
      <c r="BM215" s="46" t="str">
        <f aca="false">IF($A215="","",IF($AQ215="","",IF($AP215="",$AQ215,MIN($AP215,$AQ215))))</f>
        <v/>
      </c>
      <c r="BN215" s="46" t="str">
        <f aca="false">IF($A215="","",IF($BM215="","",ROUND(N($AC215)/60,4)))</f>
        <v/>
      </c>
      <c r="BO215" s="46" t="str">
        <f aca="false">IF($A215="","",IF(OR($BM215="",$AD215=""),"",ROUND($AD215/60,4)))</f>
        <v/>
      </c>
      <c r="BP215" s="46" t="str">
        <f aca="false">IF($A215="","",IF($BM215="","",ROUND(N($AE215)/60,4)))</f>
        <v/>
      </c>
      <c r="BQ215" s="46" t="str">
        <f aca="false">IF($A215="","",IF(OR($BM215="",$AF215=""),"",ROUND($AF215/60,4)))</f>
        <v/>
      </c>
      <c r="BR215" s="39" t="str">
        <f aca="false">IF($A215="","",IF($AC215="","",$AC215-$BD215-$BE215))</f>
        <v/>
      </c>
      <c r="BS215" s="45" t="str">
        <f aca="false">IF($A215="","",IF(AND(ISNUMBER($Z215),ISNUMBER($W215)),$Z215,0))</f>
        <v/>
      </c>
      <c r="BT215" s="45" t="str">
        <f aca="false">IF($A215="","",IF(ISNUMBER($W215),$W215,0))</f>
        <v/>
      </c>
      <c r="BU215" s="23" t="str">
        <f aca="false">IF($A215="","",IF(ISNUMBER($W215),ROUND(($W215-$B215)*24,4),""))</f>
        <v/>
      </c>
      <c r="BV215" s="23" t="str">
        <f aca="false">IF($A215="","",IF(ISNUMBER($X215),ROUND(($X215-$B215)*24,4),""))</f>
        <v/>
      </c>
      <c r="BW215" s="10" t="str">
        <f aca="false">IF($A215="","",IF(NOT(ISNUMBER($W215)),"Missing Calculated",IF(NOT(ISNUMBER($X215)),IF($E215="Client","Missing FA signed off","Missing Controlled"),IF($X215&lt;$W215,"End before start","OK"))))</f>
        <v/>
      </c>
      <c r="BX215" s="23" t="str">
        <f aca="false">IF($A215="","",IF(NOT(ISNUMBER($Z215)),"",ROUND((IF(ISNUMBER($U215),MIN($U215,$Z215),$Z215)-$B215)*24,4)))</f>
        <v/>
      </c>
      <c r="BY215" s="23" t="str">
        <f aca="false">IF($A215="","",IF(ISNUMBER($Z215),ROUND(($Z215-$B215)*24,4),""))</f>
        <v/>
      </c>
      <c r="BZ215" s="23" t="str">
        <f aca="false">IF($A215="","",IF(AND(ISNUMBER($W215),ISNUMBER($S215)),ROUND(($W215+$S215/1440-$B215)*24,4),""))</f>
        <v/>
      </c>
    </row>
    <row r="216" customFormat="false" ht="15" hidden="false" customHeight="true" outlineLevel="0" collapsed="false">
      <c r="A216" s="47"/>
      <c r="B216" s="47"/>
      <c r="D216" s="4" t="str">
        <f aca="false">IF($A216="","",$B216-$A216)</f>
        <v/>
      </c>
      <c r="E216" s="4" t="str">
        <f aca="false">IF($A216="","",IFERROR(VLOOKUP($C216,Dim_Fund!$A:$X,24,0),""))</f>
        <v/>
      </c>
      <c r="F216" s="37" t="str">
        <f aca="false">IF($A216="","",IF(COUNTIFS(Status_Log!$A:$A,$A216,Status_Log!$B:$B,$B216,Status_Log!$C:$C,$C216,Status_Log!$D:$D,"Changed to the status of Calculated")=0,"",_xlfn.MINIFS(Status_Log!$E:$E,Status_Log!$A:$A,$A216,Status_Log!$B:$B,$B216,Status_Log!$C:$C,$C216,Status_Log!$D:$D,"Changed to the status of Calculated")))</f>
        <v/>
      </c>
      <c r="G216" s="37" t="str">
        <f aca="false">IF($A216="","",IF(COUNTIFS(Status_Log!$A:$A,$A216,Status_Log!$B:$B,$B216,Status_Log!$C:$C,$C216,Status_Log!$D:$D,"Changed to the status of Controlled")=0,"",_xlfn.MAXIFS(Status_Log!$E:$E,Status_Log!$A:$A,$A216,Status_Log!$B:$B,$B216,Status_Log!$C:$C,$C216,Status_Log!$D:$D,"Changed to the status of Controlled")))</f>
        <v/>
      </c>
      <c r="H216" s="37" t="str">
        <f aca="false">IF($A216="","",IF(COUNTIFS(Status_Log!$A:$A,$A216,Status_Log!$B:$B,$B216,Status_Log!$C:$C,$C216,Status_Log!$D:$D,"Changed to the status of Fund accounting signed off")=0,"",_xlfn.MAXIFS(Status_Log!$E:$E,Status_Log!$A:$A,$A216,Status_Log!$B:$B,$B216,Status_Log!$C:$C,$C216,Status_Log!$D:$D,"Changed to the status of Fund accounting signed off")))</f>
        <v/>
      </c>
      <c r="I216" s="37" t="str">
        <f aca="false">IF($A216="","",IF(COUNTIFS(Status_Log!$A:$A,$A216,Status_Log!$B:$B,$B216,Status_Log!$C:$C,$C216,Status_Log!$D:$D,"Changed to the status of signed off")=0,"",_xlfn.MAXIFS(Status_Log!$E:$E,Status_Log!$A:$A,$A216,Status_Log!$B:$B,$B216,Status_Log!$C:$C,$C216,Status_Log!$D:$D,"Changed to the status of signed off")))</f>
        <v/>
      </c>
      <c r="J216" s="4" t="str">
        <f aca="false">IF($A216="","",COUNTIFS(Status_Log!$A:$A,$A216,Status_Log!$B:$B,$B216,Status_Log!$C:$C,$C216,Status_Log!$D:$D,"Changed to the status of Calculated"))</f>
        <v/>
      </c>
      <c r="K216" s="38" t="str">
        <f aca="false">IF($A216="","",IF(J216&lt;=1,0,ROUND((_xlfn.MAXIFS(Status_Log!$E:$E,Status_Log!$A:$A,$A216,Status_Log!$B:$B,$B216,Status_Log!$C:$C,$C216,Status_Log!$D:$D,"Changed to the status of Calculated")-F216)*1440,0)))</f>
        <v/>
      </c>
      <c r="L216" s="4" t="str">
        <f aca="false">IF($A216="","",IFERROR(INDEX(Status_Log!$F:$F,MATCH($A216&amp;"|"&amp;$B216&amp;"|"&amp;$C216&amp;"|Changed to the status of Calculated|"&amp;TEXT(_xlfn.MAXIFS(Status_Log!$E:$E,Status_Log!$A:$A,$A216,Status_Log!$B:$B,$B216,Status_Log!$C:$C,$C216,Status_Log!$D:$D,"Changed to the status of Calculated"),"0.000000"),Status_Log!$H:$H,0)),""))</f>
        <v/>
      </c>
      <c r="M216" s="4" t="str">
        <f aca="false">IF($A216="","",IF(E216="Client","n/a — no control step",IFERROR(INDEX(Status_Log!$F:$F,MATCH($A216&amp;"|"&amp;$B216&amp;"|"&amp;$C216&amp;"|Changed to the status of Controlled|"&amp;TEXT(_xlfn.MAXIFS(Status_Log!$E:$E,Status_Log!$A:$A,$A216,Status_Log!$B:$B,$B216,Status_Log!$C:$C,$C216,Status_Log!$D:$D,"Changed to the status of Controlled"),"0.000000"),Status_Log!$H:$H,0)),"")))</f>
        <v/>
      </c>
      <c r="N216" s="4" t="str">
        <f aca="false">IF($A216="","",IFERROR(VLOOKUP($C216,Dim_Fund!$A:$G,7,0),""))</f>
        <v/>
      </c>
      <c r="O216" s="4" t="str">
        <f aca="false">IF($A216="","",IF(L216=N216,"No","Yes"))</f>
        <v/>
      </c>
      <c r="P216" s="4" t="str">
        <f aca="false">IF($A216="","",IF(E216="Client","n/a",IF(L216=M216,"YES — four-eyes breach","No")))</f>
        <v/>
      </c>
      <c r="Q216" s="38" t="str">
        <f aca="false">IF($A216="","",IFERROR(VLOOKUP($C216,Dim_Fund!$A:$AB,28,0),""))</f>
        <v/>
      </c>
      <c r="R216" s="38" t="str">
        <f aca="false">IF($A216="","",IFERROR(VLOOKUP($C216,Dim_Fund!$A:$AC,29,0),""))</f>
        <v/>
      </c>
      <c r="S216" s="38" t="str">
        <f aca="false">IF($A216="","",IFERROR(VLOOKUP($C216,Dim_Fund!$A:$AD,30,0),""))</f>
        <v/>
      </c>
      <c r="T216" s="38" t="str">
        <f aca="false">IF($A216="","",IFERROR(VLOOKUP($C216,Dim_Fund!$A:$AL,38,0),""))</f>
        <v/>
      </c>
      <c r="U216" s="37" t="str">
        <f aca="false">IF($A216="","",IF(AL216="","",IFERROR(IF(COUNTIFS(Fact_Milestone!$A:$A,$B216,Fact_Milestone!$B:$B,AL216)=0,"",_xlfn.MAXIFS(Fact_Milestone!$C:$C,Fact_Milestone!$A:$A,$B216,Fact_Milestone!$B:$B,AL216)),"")))</f>
        <v/>
      </c>
      <c r="V216" s="37" t="str">
        <f aca="false">IF($A216="","",IFERROR(IF(VLOOKUP($C216,Dim_Fund!$A:$AI,35,0)&gt;0,$B216+VLOOKUP($C216,Dim_Fund!$A:$AI,35,0)/24,""),""))</f>
        <v/>
      </c>
      <c r="W216" s="37" t="str">
        <f aca="false">IF($A216="","",F216)</f>
        <v/>
      </c>
      <c r="X216" s="37" t="str">
        <f aca="false">IF($A216="","",IF(E216="Client",H216,G216))</f>
        <v/>
      </c>
      <c r="Y216" s="37" t="str">
        <f aca="false">IF($A216="","",I216)</f>
        <v/>
      </c>
      <c r="Z216" s="37" t="str">
        <f aca="false">IF($A216="","",IFERROR(W216-R216/1440,""))</f>
        <v/>
      </c>
      <c r="AA216" s="38" t="str">
        <f aca="false">IF($A216="","",IF(OR(U216="",V216=""),"",ROUND((V216-U216)*1440,0)))</f>
        <v/>
      </c>
      <c r="AB216" s="38" t="str">
        <f aca="false">IF($A216="","",IF(U216="","",ROUND((W216-U216)*1440,0)))</f>
        <v/>
      </c>
      <c r="AC216" s="38" t="str">
        <f aca="false">IF($A216="","",IF(AB216="","",MAX(0,AB216)))</f>
        <v/>
      </c>
      <c r="AD216" s="38" t="str">
        <f aca="false">IF($A216="","",IFERROR(ROUND((X216-W216)*1440,0),""))</f>
        <v/>
      </c>
      <c r="AE216" s="38" t="str">
        <f aca="false">IF($A216="","",IF(E216="Client","n/a",IFERROR(ROUND((H216-G216)*1440,0),"")))</f>
        <v/>
      </c>
      <c r="AF216" s="38" t="str">
        <f aca="false">IF($A216="","",IFERROR(ROUND((Y216-H216)*1440,0),""))</f>
        <v/>
      </c>
      <c r="AG216" s="38" t="str">
        <f aca="false">IF($A216="","",IFERROR(ROUND((H216-F216)*1440,0),""))</f>
        <v/>
      </c>
      <c r="AH216" s="38" t="str">
        <f aca="false">IF($A216="","",IFERROR(ROUND((Y216-V216)*1440,0),""))</f>
        <v/>
      </c>
      <c r="AI216" s="4" t="str">
        <f aca="false">IF($A216="","",IF(AH216="","",IF(AH216&gt;0,"Yes","No")))</f>
        <v/>
      </c>
      <c r="AJ216" s="4" t="str">
        <f aca="false">IF($A216="","",IF(AI216&lt;&gt;"Yes","On time",IF(N(AC216)&gt;=MAX(N(AF216),N(K216)),"Wait for analyst",IF(N(AF216)&gt;=N(K216),"External sign-off","Rework"))))</f>
        <v/>
      </c>
      <c r="AK216" s="4" t="str">
        <f aca="false">IF($A216="","",IF(OR(F216="",Y216="",ISNA(MATCH(L216,Dim_Analyst!$A:$A,0))),"CHECK","OK"))</f>
        <v/>
      </c>
      <c r="AL216" s="4" t="str">
        <f aca="false">IF($A216="","",IFERROR(VLOOKUP($C216,Dim_Fund!$A:$U,21,0),""))</f>
        <v/>
      </c>
      <c r="AM216" s="4" t="str">
        <f aca="false">IF($A216="","",IF($U216="","",IF($U216&gt;$B216+IFERROR(VLOOKUP($C216,Dim_Fund!$A:$AH,34,0),0)/24,"Yes","No")))</f>
        <v/>
      </c>
      <c r="AN216" s="22" t="str">
        <f aca="false">IF($A216="","",IFERROR(VLOOKUP($C216,Dim_Fund!$A:$AH,34,0),""))</f>
        <v/>
      </c>
      <c r="AO216" s="22" t="str">
        <f aca="false">IF($A216="","",IF($AL216="","",IFERROR(FLOOR(IF(COUNTIFS(Fact_Milestone!$A:$A,$B216,Fact_Milestone!$B:$B,$AL216,Fact_Milestone!$F:$F,"&gt;0")&gt;0,_xlfn.MINIFS(Fact_Milestone!$F:$F,Fact_Milestone!$A:$A,$B216,Fact_Milestone!$B:$B,$AL216,Fact_Milestone!$F:$F,"&gt;0"),VLOOKUP($AL216,Dim_TOP!$A:$E,5,0)),0.5),"")))</f>
        <v/>
      </c>
      <c r="AP216" s="22" t="str">
        <f aca="false">IF($A216="","",IF($U216="","",ROUND(($U216-INT($U216))*24,4)))</f>
        <v/>
      </c>
      <c r="AQ216" s="22" t="str">
        <f aca="false">IF($A216="","",IF($W216="","",ROUND(($W216-INT($W216))*24,4)))</f>
        <v/>
      </c>
      <c r="AR216" s="22" t="str">
        <f aca="false">IF($A216="","",IF($X216="","",ROUND(($X216-INT($X216))*24,4)))</f>
        <v/>
      </c>
      <c r="AS216" s="38" t="str">
        <f aca="false">IF($A216="","",IF(OR($AN216="",$V216="",$S216="",$T216=""),"",ROUND(($V216-($B216+$AN216/24))*1440-$S216-$T216,0)))</f>
        <v/>
      </c>
      <c r="AT216" s="38" t="str">
        <f aca="false">IF($A216="","",IF(OR($AN216="",$U216=""),"",ROUND(($U216-($B216+$AN216/24))*1440,0)))</f>
        <v/>
      </c>
      <c r="AU216" s="38" t="str">
        <f aca="false">IF($A216="","",IF(OR($AD216="",$S216=""),"",ROUND($AD216-$S216,0)))</f>
        <v/>
      </c>
      <c r="AV216" s="38" t="str">
        <f aca="false">IF($A216="","",N($AE216))</f>
        <v/>
      </c>
      <c r="AW216" s="38" t="str">
        <f aca="false">IF($A216="","",IF(OR($AF216="",$T216=""),"",$AF216-$T216))</f>
        <v/>
      </c>
      <c r="AX216" s="38" t="str">
        <f aca="false">IF($A216="","",IF(COUNT($AT216,$AB216,$AU216,$AW216,$AS216,$AH216)&lt;6,"",ROUND($AT216+$AB216+$AU216+$AV216+$AW216-$AS216-$AH216,0)))</f>
        <v/>
      </c>
      <c r="AY216" s="4" t="str">
        <f aca="false">IF($A216="","",IF($AX216="","No",IF(ABS($AX216)&lt;=2,"Yes","No")))</f>
        <v/>
      </c>
      <c r="AZ216" s="4" t="str">
        <f aca="false">IF($A216="","",IF($AI216&lt;&gt;"Yes","n/a",IF(OR($AA216="",$S216="",$T216=""),"Unknown",IF($AA216&lt;$S216+$T216,"Lost on arrival","Lost after arrival"))))</f>
        <v/>
      </c>
      <c r="BA216" s="10" t="str">
        <f aca="false">IF($A216="","",IFERROR(VLOOKUP($C216,Dim_Fund!$A:$D,4,0),""))</f>
        <v/>
      </c>
      <c r="BB216" s="10" t="str">
        <f aca="false">IF($A216="","",IF($AL216="","",IF(COUNTIFS(Fact_Milestone!$A:$A,$B216,Fact_Milestone!$B:$B,$AL216,Fact_Milestone!$I:$I,"No")&gt;0,"No",IF(COUNTIFS(Fact_Milestone!$A:$A,$B216,Fact_Milestone!$B:$B,$AL216,Fact_Milestone!$I:$I,"Yes")&gt;0,"Yes",""))))</f>
        <v/>
      </c>
      <c r="BC216" s="45" t="str">
        <f aca="false">IF($A216="","",IF(OR($L216="",$W216=""),"",IF(COUNTIFS($L:$L,$L216,$B:$B,$B216,$W:$W,"&lt;"&amp;$W216)=0,"",_xlfn.MAXIFS($W:$W,$L:$L,$L216,$B:$B,$B216,$W:$W,"&lt;"&amp;$W216))))</f>
        <v/>
      </c>
      <c r="BD216" s="39" t="str">
        <f aca="false">IF($A216="","",IF($AC216="","",IF(OR($L216="",$AC216=0),0,MIN($AC216,ROUND(ROUND(1440*SUMPRODUCT(($L$2:INDEX($L:$L,COUNTA($C:$C))=$L216)*($B$2:INDEX($B:$B,COUNTA($C:$C))=$B216)*(ROW($L$2:INDEX($L:$L,COUNTA($C:$C)))&lt;&gt;ROW())*((((($W216+$BT$2:INDEX($BT:$BT,COUNTA($C:$C))-ABS($W216-$BT$2:INDEX($BT:$BT,COUNTA($C:$C))))/2)-(($U216+$BS$2:INDEX($BS:$BS,COUNTA($C:$C))+ABS($U216-$BS$2:INDEX($BS:$BS,COUNTA($C:$C))))/2))+ABS(((($W216+$BT$2:INDEX($BT:$BT,COUNTA($C:$C))-ABS($W216-$BT$2:INDEX($BT:$BT,COUNTA($C:$C))))/2)-(($U216+$BS$2:INDEX($BS:$BS,COUNTA($C:$C))+ABS($U216-$BS$2:INDEX($BS:$BS,COUNTA($C:$C))))/2))))/2)),4),0)))))</f>
        <v/>
      </c>
      <c r="BE216" s="39" t="str">
        <f aca="false">IF($A216="","",IF($AC216="","",ROUND(MIN($AC216-$BD216,N($R216)),0)))</f>
        <v/>
      </c>
      <c r="BF216" s="10" t="str">
        <f aca="false">IF($A216="","",IFERROR(VLOOKUP($C216,Dim_Fund!$A:$BD,56,0),""))</f>
        <v/>
      </c>
      <c r="BG216" s="10" t="str">
        <f aca="false">IF($A216="","",IFERROR(VLOOKUP($C216,Dim_Fund!$A:$BH,60,0),""))</f>
        <v/>
      </c>
      <c r="BH216" s="10" t="str">
        <f aca="false">IF($A216="","",IF($AI216&lt;&gt;"Yes","Not breached",IF($AM216="Yes","Pricing late",IF($BG216="Thin custody slack","Thin custody slack",IF($BF216="Yes","Broker-dependent","None of these")))))</f>
        <v/>
      </c>
      <c r="BI216" s="23" t="str">
        <f aca="false">IF($A216="","",IFERROR(IF(VLOOKUP($C216,Dim_Fund!$A:$AI,35,0)&gt;0,VLOOKUP($C216,Dim_Fund!$A:$AI,35,0),""),""))</f>
        <v/>
      </c>
      <c r="BJ216" s="10" t="str">
        <f aca="false">IF($A216="","",$C216&amp;IF($E216="Client","*",""))</f>
        <v/>
      </c>
      <c r="BK216" s="39" t="str">
        <f aca="false">IF($A216="","",IFERROR(ROUND(($Y216-$X216)*1440,0),""))</f>
        <v/>
      </c>
      <c r="BL216" s="39" t="str">
        <f aca="false">IF($A216="","",IF($AH216="","",-$AH216))</f>
        <v/>
      </c>
      <c r="BM216" s="46" t="str">
        <f aca="false">IF($A216="","",IF($AQ216="","",IF($AP216="",$AQ216,MIN($AP216,$AQ216))))</f>
        <v/>
      </c>
      <c r="BN216" s="46" t="str">
        <f aca="false">IF($A216="","",IF($BM216="","",ROUND(N($AC216)/60,4)))</f>
        <v/>
      </c>
      <c r="BO216" s="46" t="str">
        <f aca="false">IF($A216="","",IF(OR($BM216="",$AD216=""),"",ROUND($AD216/60,4)))</f>
        <v/>
      </c>
      <c r="BP216" s="46" t="str">
        <f aca="false">IF($A216="","",IF($BM216="","",ROUND(N($AE216)/60,4)))</f>
        <v/>
      </c>
      <c r="BQ216" s="46" t="str">
        <f aca="false">IF($A216="","",IF(OR($BM216="",$AF216=""),"",ROUND($AF216/60,4)))</f>
        <v/>
      </c>
      <c r="BR216" s="39" t="str">
        <f aca="false">IF($A216="","",IF($AC216="","",$AC216-$BD216-$BE216))</f>
        <v/>
      </c>
      <c r="BS216" s="45" t="str">
        <f aca="false">IF($A216="","",IF(AND(ISNUMBER($Z216),ISNUMBER($W216)),$Z216,0))</f>
        <v/>
      </c>
      <c r="BT216" s="45" t="str">
        <f aca="false">IF($A216="","",IF(ISNUMBER($W216),$W216,0))</f>
        <v/>
      </c>
      <c r="BU216" s="23" t="str">
        <f aca="false">IF($A216="","",IF(ISNUMBER($W216),ROUND(($W216-$B216)*24,4),""))</f>
        <v/>
      </c>
      <c r="BV216" s="23" t="str">
        <f aca="false">IF($A216="","",IF(ISNUMBER($X216),ROUND(($X216-$B216)*24,4),""))</f>
        <v/>
      </c>
      <c r="BW216" s="10" t="str">
        <f aca="false">IF($A216="","",IF(NOT(ISNUMBER($W216)),"Missing Calculated",IF(NOT(ISNUMBER($X216)),IF($E216="Client","Missing FA signed off","Missing Controlled"),IF($X216&lt;$W216,"End before start","OK"))))</f>
        <v/>
      </c>
      <c r="BX216" s="23" t="str">
        <f aca="false">IF($A216="","",IF(NOT(ISNUMBER($Z216)),"",ROUND((IF(ISNUMBER($U216),MIN($U216,$Z216),$Z216)-$B216)*24,4)))</f>
        <v/>
      </c>
      <c r="BY216" s="23" t="str">
        <f aca="false">IF($A216="","",IF(ISNUMBER($Z216),ROUND(($Z216-$B216)*24,4),""))</f>
        <v/>
      </c>
      <c r="BZ216" s="23" t="str">
        <f aca="false">IF($A216="","",IF(AND(ISNUMBER($W216),ISNUMBER($S216)),ROUND(($W216+$S216/1440-$B216)*24,4),""))</f>
        <v/>
      </c>
    </row>
    <row r="217" customFormat="false" ht="15" hidden="false" customHeight="true" outlineLevel="0" collapsed="false">
      <c r="A217" s="47"/>
      <c r="B217" s="47"/>
      <c r="D217" s="4" t="str">
        <f aca="false">IF($A217="","",$B217-$A217)</f>
        <v/>
      </c>
      <c r="E217" s="4" t="str">
        <f aca="false">IF($A217="","",IFERROR(VLOOKUP($C217,Dim_Fund!$A:$X,24,0),""))</f>
        <v/>
      </c>
      <c r="F217" s="37" t="str">
        <f aca="false">IF($A217="","",IF(COUNTIFS(Status_Log!$A:$A,$A217,Status_Log!$B:$B,$B217,Status_Log!$C:$C,$C217,Status_Log!$D:$D,"Changed to the status of Calculated")=0,"",_xlfn.MINIFS(Status_Log!$E:$E,Status_Log!$A:$A,$A217,Status_Log!$B:$B,$B217,Status_Log!$C:$C,$C217,Status_Log!$D:$D,"Changed to the status of Calculated")))</f>
        <v/>
      </c>
      <c r="G217" s="37" t="str">
        <f aca="false">IF($A217="","",IF(COUNTIFS(Status_Log!$A:$A,$A217,Status_Log!$B:$B,$B217,Status_Log!$C:$C,$C217,Status_Log!$D:$D,"Changed to the status of Controlled")=0,"",_xlfn.MAXIFS(Status_Log!$E:$E,Status_Log!$A:$A,$A217,Status_Log!$B:$B,$B217,Status_Log!$C:$C,$C217,Status_Log!$D:$D,"Changed to the status of Controlled")))</f>
        <v/>
      </c>
      <c r="H217" s="37" t="str">
        <f aca="false">IF($A217="","",IF(COUNTIFS(Status_Log!$A:$A,$A217,Status_Log!$B:$B,$B217,Status_Log!$C:$C,$C217,Status_Log!$D:$D,"Changed to the status of Fund accounting signed off")=0,"",_xlfn.MAXIFS(Status_Log!$E:$E,Status_Log!$A:$A,$A217,Status_Log!$B:$B,$B217,Status_Log!$C:$C,$C217,Status_Log!$D:$D,"Changed to the status of Fund accounting signed off")))</f>
        <v/>
      </c>
      <c r="I217" s="37" t="str">
        <f aca="false">IF($A217="","",IF(COUNTIFS(Status_Log!$A:$A,$A217,Status_Log!$B:$B,$B217,Status_Log!$C:$C,$C217,Status_Log!$D:$D,"Changed to the status of signed off")=0,"",_xlfn.MAXIFS(Status_Log!$E:$E,Status_Log!$A:$A,$A217,Status_Log!$B:$B,$B217,Status_Log!$C:$C,$C217,Status_Log!$D:$D,"Changed to the status of signed off")))</f>
        <v/>
      </c>
      <c r="J217" s="4" t="str">
        <f aca="false">IF($A217="","",COUNTIFS(Status_Log!$A:$A,$A217,Status_Log!$B:$B,$B217,Status_Log!$C:$C,$C217,Status_Log!$D:$D,"Changed to the status of Calculated"))</f>
        <v/>
      </c>
      <c r="K217" s="38" t="str">
        <f aca="false">IF($A217="","",IF(J217&lt;=1,0,ROUND((_xlfn.MAXIFS(Status_Log!$E:$E,Status_Log!$A:$A,$A217,Status_Log!$B:$B,$B217,Status_Log!$C:$C,$C217,Status_Log!$D:$D,"Changed to the status of Calculated")-F217)*1440,0)))</f>
        <v/>
      </c>
      <c r="L217" s="4" t="str">
        <f aca="false">IF($A217="","",IFERROR(INDEX(Status_Log!$F:$F,MATCH($A217&amp;"|"&amp;$B217&amp;"|"&amp;$C217&amp;"|Changed to the status of Calculated|"&amp;TEXT(_xlfn.MAXIFS(Status_Log!$E:$E,Status_Log!$A:$A,$A217,Status_Log!$B:$B,$B217,Status_Log!$C:$C,$C217,Status_Log!$D:$D,"Changed to the status of Calculated"),"0.000000"),Status_Log!$H:$H,0)),""))</f>
        <v/>
      </c>
      <c r="M217" s="4" t="str">
        <f aca="false">IF($A217="","",IF(E217="Client","n/a — no control step",IFERROR(INDEX(Status_Log!$F:$F,MATCH($A217&amp;"|"&amp;$B217&amp;"|"&amp;$C217&amp;"|Changed to the status of Controlled|"&amp;TEXT(_xlfn.MAXIFS(Status_Log!$E:$E,Status_Log!$A:$A,$A217,Status_Log!$B:$B,$B217,Status_Log!$C:$C,$C217,Status_Log!$D:$D,"Changed to the status of Controlled"),"0.000000"),Status_Log!$H:$H,0)),"")))</f>
        <v/>
      </c>
      <c r="N217" s="4" t="str">
        <f aca="false">IF($A217="","",IFERROR(VLOOKUP($C217,Dim_Fund!$A:$G,7,0),""))</f>
        <v/>
      </c>
      <c r="O217" s="4" t="str">
        <f aca="false">IF($A217="","",IF(L217=N217,"No","Yes"))</f>
        <v/>
      </c>
      <c r="P217" s="4" t="str">
        <f aca="false">IF($A217="","",IF(E217="Client","n/a",IF(L217=M217,"YES — four-eyes breach","No")))</f>
        <v/>
      </c>
      <c r="Q217" s="38" t="str">
        <f aca="false">IF($A217="","",IFERROR(VLOOKUP($C217,Dim_Fund!$A:$AB,28,0),""))</f>
        <v/>
      </c>
      <c r="R217" s="38" t="str">
        <f aca="false">IF($A217="","",IFERROR(VLOOKUP($C217,Dim_Fund!$A:$AC,29,0),""))</f>
        <v/>
      </c>
      <c r="S217" s="38" t="str">
        <f aca="false">IF($A217="","",IFERROR(VLOOKUP($C217,Dim_Fund!$A:$AD,30,0),""))</f>
        <v/>
      </c>
      <c r="T217" s="38" t="str">
        <f aca="false">IF($A217="","",IFERROR(VLOOKUP($C217,Dim_Fund!$A:$AL,38,0),""))</f>
        <v/>
      </c>
      <c r="U217" s="37" t="str">
        <f aca="false">IF($A217="","",IF(AL217="","",IFERROR(IF(COUNTIFS(Fact_Milestone!$A:$A,$B217,Fact_Milestone!$B:$B,AL217)=0,"",_xlfn.MAXIFS(Fact_Milestone!$C:$C,Fact_Milestone!$A:$A,$B217,Fact_Milestone!$B:$B,AL217)),"")))</f>
        <v/>
      </c>
      <c r="V217" s="37" t="str">
        <f aca="false">IF($A217="","",IFERROR(IF(VLOOKUP($C217,Dim_Fund!$A:$AI,35,0)&gt;0,$B217+VLOOKUP($C217,Dim_Fund!$A:$AI,35,0)/24,""),""))</f>
        <v/>
      </c>
      <c r="W217" s="37" t="str">
        <f aca="false">IF($A217="","",F217)</f>
        <v/>
      </c>
      <c r="X217" s="37" t="str">
        <f aca="false">IF($A217="","",IF(E217="Client",H217,G217))</f>
        <v/>
      </c>
      <c r="Y217" s="37" t="str">
        <f aca="false">IF($A217="","",I217)</f>
        <v/>
      </c>
      <c r="Z217" s="37" t="str">
        <f aca="false">IF($A217="","",IFERROR(W217-R217/1440,""))</f>
        <v/>
      </c>
      <c r="AA217" s="38" t="str">
        <f aca="false">IF($A217="","",IF(OR(U217="",V217=""),"",ROUND((V217-U217)*1440,0)))</f>
        <v/>
      </c>
      <c r="AB217" s="38" t="str">
        <f aca="false">IF($A217="","",IF(U217="","",ROUND((W217-U217)*1440,0)))</f>
        <v/>
      </c>
      <c r="AC217" s="38" t="str">
        <f aca="false">IF($A217="","",IF(AB217="","",MAX(0,AB217)))</f>
        <v/>
      </c>
      <c r="AD217" s="38" t="str">
        <f aca="false">IF($A217="","",IFERROR(ROUND((X217-W217)*1440,0),""))</f>
        <v/>
      </c>
      <c r="AE217" s="38" t="str">
        <f aca="false">IF($A217="","",IF(E217="Client","n/a",IFERROR(ROUND((H217-G217)*1440,0),"")))</f>
        <v/>
      </c>
      <c r="AF217" s="38" t="str">
        <f aca="false">IF($A217="","",IFERROR(ROUND((Y217-H217)*1440,0),""))</f>
        <v/>
      </c>
      <c r="AG217" s="38" t="str">
        <f aca="false">IF($A217="","",IFERROR(ROUND((H217-F217)*1440,0),""))</f>
        <v/>
      </c>
      <c r="AH217" s="38" t="str">
        <f aca="false">IF($A217="","",IFERROR(ROUND((Y217-V217)*1440,0),""))</f>
        <v/>
      </c>
      <c r="AI217" s="4" t="str">
        <f aca="false">IF($A217="","",IF(AH217="","",IF(AH217&gt;0,"Yes","No")))</f>
        <v/>
      </c>
      <c r="AJ217" s="4" t="str">
        <f aca="false">IF($A217="","",IF(AI217&lt;&gt;"Yes","On time",IF(N(AC217)&gt;=MAX(N(AF217),N(K217)),"Wait for analyst",IF(N(AF217)&gt;=N(K217),"External sign-off","Rework"))))</f>
        <v/>
      </c>
      <c r="AK217" s="4" t="str">
        <f aca="false">IF($A217="","",IF(OR(F217="",Y217="",ISNA(MATCH(L217,Dim_Analyst!$A:$A,0))),"CHECK","OK"))</f>
        <v/>
      </c>
      <c r="AL217" s="4" t="str">
        <f aca="false">IF($A217="","",IFERROR(VLOOKUP($C217,Dim_Fund!$A:$U,21,0),""))</f>
        <v/>
      </c>
      <c r="AM217" s="4" t="str">
        <f aca="false">IF($A217="","",IF($U217="","",IF($U217&gt;$B217+IFERROR(VLOOKUP($C217,Dim_Fund!$A:$AH,34,0),0)/24,"Yes","No")))</f>
        <v/>
      </c>
      <c r="AN217" s="22" t="str">
        <f aca="false">IF($A217="","",IFERROR(VLOOKUP($C217,Dim_Fund!$A:$AH,34,0),""))</f>
        <v/>
      </c>
      <c r="AO217" s="22" t="str">
        <f aca="false">IF($A217="","",IF($AL217="","",IFERROR(FLOOR(IF(COUNTIFS(Fact_Milestone!$A:$A,$B217,Fact_Milestone!$B:$B,$AL217,Fact_Milestone!$F:$F,"&gt;0")&gt;0,_xlfn.MINIFS(Fact_Milestone!$F:$F,Fact_Milestone!$A:$A,$B217,Fact_Milestone!$B:$B,$AL217,Fact_Milestone!$F:$F,"&gt;0"),VLOOKUP($AL217,Dim_TOP!$A:$E,5,0)),0.5),"")))</f>
        <v/>
      </c>
      <c r="AP217" s="22" t="str">
        <f aca="false">IF($A217="","",IF($U217="","",ROUND(($U217-INT($U217))*24,4)))</f>
        <v/>
      </c>
      <c r="AQ217" s="22" t="str">
        <f aca="false">IF($A217="","",IF($W217="","",ROUND(($W217-INT($W217))*24,4)))</f>
        <v/>
      </c>
      <c r="AR217" s="22" t="str">
        <f aca="false">IF($A217="","",IF($X217="","",ROUND(($X217-INT($X217))*24,4)))</f>
        <v/>
      </c>
      <c r="AS217" s="38" t="str">
        <f aca="false">IF($A217="","",IF(OR($AN217="",$V217="",$S217="",$T217=""),"",ROUND(($V217-($B217+$AN217/24))*1440-$S217-$T217,0)))</f>
        <v/>
      </c>
      <c r="AT217" s="38" t="str">
        <f aca="false">IF($A217="","",IF(OR($AN217="",$U217=""),"",ROUND(($U217-($B217+$AN217/24))*1440,0)))</f>
        <v/>
      </c>
      <c r="AU217" s="38" t="str">
        <f aca="false">IF($A217="","",IF(OR($AD217="",$S217=""),"",ROUND($AD217-$S217,0)))</f>
        <v/>
      </c>
      <c r="AV217" s="38" t="str">
        <f aca="false">IF($A217="","",N($AE217))</f>
        <v/>
      </c>
      <c r="AW217" s="38" t="str">
        <f aca="false">IF($A217="","",IF(OR($AF217="",$T217=""),"",$AF217-$T217))</f>
        <v/>
      </c>
      <c r="AX217" s="38" t="str">
        <f aca="false">IF($A217="","",IF(COUNT($AT217,$AB217,$AU217,$AW217,$AS217,$AH217)&lt;6,"",ROUND($AT217+$AB217+$AU217+$AV217+$AW217-$AS217-$AH217,0)))</f>
        <v/>
      </c>
      <c r="AY217" s="4" t="str">
        <f aca="false">IF($A217="","",IF($AX217="","No",IF(ABS($AX217)&lt;=2,"Yes","No")))</f>
        <v/>
      </c>
      <c r="AZ217" s="4" t="str">
        <f aca="false">IF($A217="","",IF($AI217&lt;&gt;"Yes","n/a",IF(OR($AA217="",$S217="",$T217=""),"Unknown",IF($AA217&lt;$S217+$T217,"Lost on arrival","Lost after arrival"))))</f>
        <v/>
      </c>
      <c r="BA217" s="10" t="str">
        <f aca="false">IF($A217="","",IFERROR(VLOOKUP($C217,Dim_Fund!$A:$D,4,0),""))</f>
        <v/>
      </c>
      <c r="BB217" s="10" t="str">
        <f aca="false">IF($A217="","",IF($AL217="","",IF(COUNTIFS(Fact_Milestone!$A:$A,$B217,Fact_Milestone!$B:$B,$AL217,Fact_Milestone!$I:$I,"No")&gt;0,"No",IF(COUNTIFS(Fact_Milestone!$A:$A,$B217,Fact_Milestone!$B:$B,$AL217,Fact_Milestone!$I:$I,"Yes")&gt;0,"Yes",""))))</f>
        <v/>
      </c>
      <c r="BC217" s="45" t="str">
        <f aca="false">IF($A217="","",IF(OR($L217="",$W217=""),"",IF(COUNTIFS($L:$L,$L217,$B:$B,$B217,$W:$W,"&lt;"&amp;$W217)=0,"",_xlfn.MAXIFS($W:$W,$L:$L,$L217,$B:$B,$B217,$W:$W,"&lt;"&amp;$W217))))</f>
        <v/>
      </c>
      <c r="BD217" s="39" t="str">
        <f aca="false">IF($A217="","",IF($AC217="","",IF(OR($L217="",$AC217=0),0,MIN($AC217,ROUND(ROUND(1440*SUMPRODUCT(($L$2:INDEX($L:$L,COUNTA($C:$C))=$L217)*($B$2:INDEX($B:$B,COUNTA($C:$C))=$B217)*(ROW($L$2:INDEX($L:$L,COUNTA($C:$C)))&lt;&gt;ROW())*((((($W217+$BT$2:INDEX($BT:$BT,COUNTA($C:$C))-ABS($W217-$BT$2:INDEX($BT:$BT,COUNTA($C:$C))))/2)-(($U217+$BS$2:INDEX($BS:$BS,COUNTA($C:$C))+ABS($U217-$BS$2:INDEX($BS:$BS,COUNTA($C:$C))))/2))+ABS(((($W217+$BT$2:INDEX($BT:$BT,COUNTA($C:$C))-ABS($W217-$BT$2:INDEX($BT:$BT,COUNTA($C:$C))))/2)-(($U217+$BS$2:INDEX($BS:$BS,COUNTA($C:$C))+ABS($U217-$BS$2:INDEX($BS:$BS,COUNTA($C:$C))))/2))))/2)),4),0)))))</f>
        <v/>
      </c>
      <c r="BE217" s="39" t="str">
        <f aca="false">IF($A217="","",IF($AC217="","",ROUND(MIN($AC217-$BD217,N($R217)),0)))</f>
        <v/>
      </c>
      <c r="BF217" s="10" t="str">
        <f aca="false">IF($A217="","",IFERROR(VLOOKUP($C217,Dim_Fund!$A:$BD,56,0),""))</f>
        <v/>
      </c>
      <c r="BG217" s="10" t="str">
        <f aca="false">IF($A217="","",IFERROR(VLOOKUP($C217,Dim_Fund!$A:$BH,60,0),""))</f>
        <v/>
      </c>
      <c r="BH217" s="10" t="str">
        <f aca="false">IF($A217="","",IF($AI217&lt;&gt;"Yes","Not breached",IF($AM217="Yes","Pricing late",IF($BG217="Thin custody slack","Thin custody slack",IF($BF217="Yes","Broker-dependent","None of these")))))</f>
        <v/>
      </c>
      <c r="BI217" s="23" t="str">
        <f aca="false">IF($A217="","",IFERROR(IF(VLOOKUP($C217,Dim_Fund!$A:$AI,35,0)&gt;0,VLOOKUP($C217,Dim_Fund!$A:$AI,35,0),""),""))</f>
        <v/>
      </c>
      <c r="BJ217" s="10" t="str">
        <f aca="false">IF($A217="","",$C217&amp;IF($E217="Client","*",""))</f>
        <v/>
      </c>
      <c r="BK217" s="39" t="str">
        <f aca="false">IF($A217="","",IFERROR(ROUND(($Y217-$X217)*1440,0),""))</f>
        <v/>
      </c>
      <c r="BL217" s="39" t="str">
        <f aca="false">IF($A217="","",IF($AH217="","",-$AH217))</f>
        <v/>
      </c>
      <c r="BM217" s="46" t="str">
        <f aca="false">IF($A217="","",IF($AQ217="","",IF($AP217="",$AQ217,MIN($AP217,$AQ217))))</f>
        <v/>
      </c>
      <c r="BN217" s="46" t="str">
        <f aca="false">IF($A217="","",IF($BM217="","",ROUND(N($AC217)/60,4)))</f>
        <v/>
      </c>
      <c r="BO217" s="46" t="str">
        <f aca="false">IF($A217="","",IF(OR($BM217="",$AD217=""),"",ROUND($AD217/60,4)))</f>
        <v/>
      </c>
      <c r="BP217" s="46" t="str">
        <f aca="false">IF($A217="","",IF($BM217="","",ROUND(N($AE217)/60,4)))</f>
        <v/>
      </c>
      <c r="BQ217" s="46" t="str">
        <f aca="false">IF($A217="","",IF(OR($BM217="",$AF217=""),"",ROUND($AF217/60,4)))</f>
        <v/>
      </c>
      <c r="BR217" s="39" t="str">
        <f aca="false">IF($A217="","",IF($AC217="","",$AC217-$BD217-$BE217))</f>
        <v/>
      </c>
      <c r="BS217" s="45" t="str">
        <f aca="false">IF($A217="","",IF(AND(ISNUMBER($Z217),ISNUMBER($W217)),$Z217,0))</f>
        <v/>
      </c>
      <c r="BT217" s="45" t="str">
        <f aca="false">IF($A217="","",IF(ISNUMBER($W217),$W217,0))</f>
        <v/>
      </c>
      <c r="BU217" s="23" t="str">
        <f aca="false">IF($A217="","",IF(ISNUMBER($W217),ROUND(($W217-$B217)*24,4),""))</f>
        <v/>
      </c>
      <c r="BV217" s="23" t="str">
        <f aca="false">IF($A217="","",IF(ISNUMBER($X217),ROUND(($X217-$B217)*24,4),""))</f>
        <v/>
      </c>
      <c r="BW217" s="10" t="str">
        <f aca="false">IF($A217="","",IF(NOT(ISNUMBER($W217)),"Missing Calculated",IF(NOT(ISNUMBER($X217)),IF($E217="Client","Missing FA signed off","Missing Controlled"),IF($X217&lt;$W217,"End before start","OK"))))</f>
        <v/>
      </c>
      <c r="BX217" s="23" t="str">
        <f aca="false">IF($A217="","",IF(NOT(ISNUMBER($Z217)),"",ROUND((IF(ISNUMBER($U217),MIN($U217,$Z217),$Z217)-$B217)*24,4)))</f>
        <v/>
      </c>
      <c r="BY217" s="23" t="str">
        <f aca="false">IF($A217="","",IF(ISNUMBER($Z217),ROUND(($Z217-$B217)*24,4),""))</f>
        <v/>
      </c>
      <c r="BZ217" s="23" t="str">
        <f aca="false">IF($A217="","",IF(AND(ISNUMBER($W217),ISNUMBER($S217)),ROUND(($W217+$S217/1440-$B217)*24,4),""))</f>
        <v/>
      </c>
    </row>
    <row r="218" customFormat="false" ht="15" hidden="false" customHeight="true" outlineLevel="0" collapsed="false">
      <c r="A218" s="47"/>
      <c r="B218" s="47"/>
      <c r="D218" s="4" t="str">
        <f aca="false">IF($A218="","",$B218-$A218)</f>
        <v/>
      </c>
      <c r="E218" s="4" t="str">
        <f aca="false">IF($A218="","",IFERROR(VLOOKUP($C218,Dim_Fund!$A:$X,24,0),""))</f>
        <v/>
      </c>
      <c r="F218" s="37" t="str">
        <f aca="false">IF($A218="","",IF(COUNTIFS(Status_Log!$A:$A,$A218,Status_Log!$B:$B,$B218,Status_Log!$C:$C,$C218,Status_Log!$D:$D,"Changed to the status of Calculated")=0,"",_xlfn.MINIFS(Status_Log!$E:$E,Status_Log!$A:$A,$A218,Status_Log!$B:$B,$B218,Status_Log!$C:$C,$C218,Status_Log!$D:$D,"Changed to the status of Calculated")))</f>
        <v/>
      </c>
      <c r="G218" s="37" t="str">
        <f aca="false">IF($A218="","",IF(COUNTIFS(Status_Log!$A:$A,$A218,Status_Log!$B:$B,$B218,Status_Log!$C:$C,$C218,Status_Log!$D:$D,"Changed to the status of Controlled")=0,"",_xlfn.MAXIFS(Status_Log!$E:$E,Status_Log!$A:$A,$A218,Status_Log!$B:$B,$B218,Status_Log!$C:$C,$C218,Status_Log!$D:$D,"Changed to the status of Controlled")))</f>
        <v/>
      </c>
      <c r="H218" s="37" t="str">
        <f aca="false">IF($A218="","",IF(COUNTIFS(Status_Log!$A:$A,$A218,Status_Log!$B:$B,$B218,Status_Log!$C:$C,$C218,Status_Log!$D:$D,"Changed to the status of Fund accounting signed off")=0,"",_xlfn.MAXIFS(Status_Log!$E:$E,Status_Log!$A:$A,$A218,Status_Log!$B:$B,$B218,Status_Log!$C:$C,$C218,Status_Log!$D:$D,"Changed to the status of Fund accounting signed off")))</f>
        <v/>
      </c>
      <c r="I218" s="37" t="str">
        <f aca="false">IF($A218="","",IF(COUNTIFS(Status_Log!$A:$A,$A218,Status_Log!$B:$B,$B218,Status_Log!$C:$C,$C218,Status_Log!$D:$D,"Changed to the status of signed off")=0,"",_xlfn.MAXIFS(Status_Log!$E:$E,Status_Log!$A:$A,$A218,Status_Log!$B:$B,$B218,Status_Log!$C:$C,$C218,Status_Log!$D:$D,"Changed to the status of signed off")))</f>
        <v/>
      </c>
      <c r="J218" s="4" t="str">
        <f aca="false">IF($A218="","",COUNTIFS(Status_Log!$A:$A,$A218,Status_Log!$B:$B,$B218,Status_Log!$C:$C,$C218,Status_Log!$D:$D,"Changed to the status of Calculated"))</f>
        <v/>
      </c>
      <c r="K218" s="38" t="str">
        <f aca="false">IF($A218="","",IF(J218&lt;=1,0,ROUND((_xlfn.MAXIFS(Status_Log!$E:$E,Status_Log!$A:$A,$A218,Status_Log!$B:$B,$B218,Status_Log!$C:$C,$C218,Status_Log!$D:$D,"Changed to the status of Calculated")-F218)*1440,0)))</f>
        <v/>
      </c>
      <c r="L218" s="4" t="str">
        <f aca="false">IF($A218="","",IFERROR(INDEX(Status_Log!$F:$F,MATCH($A218&amp;"|"&amp;$B218&amp;"|"&amp;$C218&amp;"|Changed to the status of Calculated|"&amp;TEXT(_xlfn.MAXIFS(Status_Log!$E:$E,Status_Log!$A:$A,$A218,Status_Log!$B:$B,$B218,Status_Log!$C:$C,$C218,Status_Log!$D:$D,"Changed to the status of Calculated"),"0.000000"),Status_Log!$H:$H,0)),""))</f>
        <v/>
      </c>
      <c r="M218" s="4" t="str">
        <f aca="false">IF($A218="","",IF(E218="Client","n/a — no control step",IFERROR(INDEX(Status_Log!$F:$F,MATCH($A218&amp;"|"&amp;$B218&amp;"|"&amp;$C218&amp;"|Changed to the status of Controlled|"&amp;TEXT(_xlfn.MAXIFS(Status_Log!$E:$E,Status_Log!$A:$A,$A218,Status_Log!$B:$B,$B218,Status_Log!$C:$C,$C218,Status_Log!$D:$D,"Changed to the status of Controlled"),"0.000000"),Status_Log!$H:$H,0)),"")))</f>
        <v/>
      </c>
      <c r="N218" s="4" t="str">
        <f aca="false">IF($A218="","",IFERROR(VLOOKUP($C218,Dim_Fund!$A:$G,7,0),""))</f>
        <v/>
      </c>
      <c r="O218" s="4" t="str">
        <f aca="false">IF($A218="","",IF(L218=N218,"No","Yes"))</f>
        <v/>
      </c>
      <c r="P218" s="4" t="str">
        <f aca="false">IF($A218="","",IF(E218="Client","n/a",IF(L218=M218,"YES — four-eyes breach","No")))</f>
        <v/>
      </c>
      <c r="Q218" s="38" t="str">
        <f aca="false">IF($A218="","",IFERROR(VLOOKUP($C218,Dim_Fund!$A:$AB,28,0),""))</f>
        <v/>
      </c>
      <c r="R218" s="38" t="str">
        <f aca="false">IF($A218="","",IFERROR(VLOOKUP($C218,Dim_Fund!$A:$AC,29,0),""))</f>
        <v/>
      </c>
      <c r="S218" s="38" t="str">
        <f aca="false">IF($A218="","",IFERROR(VLOOKUP($C218,Dim_Fund!$A:$AD,30,0),""))</f>
        <v/>
      </c>
      <c r="T218" s="38" t="str">
        <f aca="false">IF($A218="","",IFERROR(VLOOKUP($C218,Dim_Fund!$A:$AL,38,0),""))</f>
        <v/>
      </c>
      <c r="U218" s="37" t="str">
        <f aca="false">IF($A218="","",IF(AL218="","",IFERROR(IF(COUNTIFS(Fact_Milestone!$A:$A,$B218,Fact_Milestone!$B:$B,AL218)=0,"",_xlfn.MAXIFS(Fact_Milestone!$C:$C,Fact_Milestone!$A:$A,$B218,Fact_Milestone!$B:$B,AL218)),"")))</f>
        <v/>
      </c>
      <c r="V218" s="37" t="str">
        <f aca="false">IF($A218="","",IFERROR(IF(VLOOKUP($C218,Dim_Fund!$A:$AI,35,0)&gt;0,$B218+VLOOKUP($C218,Dim_Fund!$A:$AI,35,0)/24,""),""))</f>
        <v/>
      </c>
      <c r="W218" s="37" t="str">
        <f aca="false">IF($A218="","",F218)</f>
        <v/>
      </c>
      <c r="X218" s="37" t="str">
        <f aca="false">IF($A218="","",IF(E218="Client",H218,G218))</f>
        <v/>
      </c>
      <c r="Y218" s="37" t="str">
        <f aca="false">IF($A218="","",I218)</f>
        <v/>
      </c>
      <c r="Z218" s="37" t="str">
        <f aca="false">IF($A218="","",IFERROR(W218-R218/1440,""))</f>
        <v/>
      </c>
      <c r="AA218" s="38" t="str">
        <f aca="false">IF($A218="","",IF(OR(U218="",V218=""),"",ROUND((V218-U218)*1440,0)))</f>
        <v/>
      </c>
      <c r="AB218" s="38" t="str">
        <f aca="false">IF($A218="","",IF(U218="","",ROUND((W218-U218)*1440,0)))</f>
        <v/>
      </c>
      <c r="AC218" s="38" t="str">
        <f aca="false">IF($A218="","",IF(AB218="","",MAX(0,AB218)))</f>
        <v/>
      </c>
      <c r="AD218" s="38" t="str">
        <f aca="false">IF($A218="","",IFERROR(ROUND((X218-W218)*1440,0),""))</f>
        <v/>
      </c>
      <c r="AE218" s="38" t="str">
        <f aca="false">IF($A218="","",IF(E218="Client","n/a",IFERROR(ROUND((H218-G218)*1440,0),"")))</f>
        <v/>
      </c>
      <c r="AF218" s="38" t="str">
        <f aca="false">IF($A218="","",IFERROR(ROUND((Y218-H218)*1440,0),""))</f>
        <v/>
      </c>
      <c r="AG218" s="38" t="str">
        <f aca="false">IF($A218="","",IFERROR(ROUND((H218-F218)*1440,0),""))</f>
        <v/>
      </c>
      <c r="AH218" s="38" t="str">
        <f aca="false">IF($A218="","",IFERROR(ROUND((Y218-V218)*1440,0),""))</f>
        <v/>
      </c>
      <c r="AI218" s="4" t="str">
        <f aca="false">IF($A218="","",IF(AH218="","",IF(AH218&gt;0,"Yes","No")))</f>
        <v/>
      </c>
      <c r="AJ218" s="4" t="str">
        <f aca="false">IF($A218="","",IF(AI218&lt;&gt;"Yes","On time",IF(N(AC218)&gt;=MAX(N(AF218),N(K218)),"Wait for analyst",IF(N(AF218)&gt;=N(K218),"External sign-off","Rework"))))</f>
        <v/>
      </c>
      <c r="AK218" s="4" t="str">
        <f aca="false">IF($A218="","",IF(OR(F218="",Y218="",ISNA(MATCH(L218,Dim_Analyst!$A:$A,0))),"CHECK","OK"))</f>
        <v/>
      </c>
      <c r="AL218" s="4" t="str">
        <f aca="false">IF($A218="","",IFERROR(VLOOKUP($C218,Dim_Fund!$A:$U,21,0),""))</f>
        <v/>
      </c>
      <c r="AM218" s="4" t="str">
        <f aca="false">IF($A218="","",IF($U218="","",IF($U218&gt;$B218+IFERROR(VLOOKUP($C218,Dim_Fund!$A:$AH,34,0),0)/24,"Yes","No")))</f>
        <v/>
      </c>
      <c r="AN218" s="22" t="str">
        <f aca="false">IF($A218="","",IFERROR(VLOOKUP($C218,Dim_Fund!$A:$AH,34,0),""))</f>
        <v/>
      </c>
      <c r="AO218" s="22" t="str">
        <f aca="false">IF($A218="","",IF($AL218="","",IFERROR(FLOOR(IF(COUNTIFS(Fact_Milestone!$A:$A,$B218,Fact_Milestone!$B:$B,$AL218,Fact_Milestone!$F:$F,"&gt;0")&gt;0,_xlfn.MINIFS(Fact_Milestone!$F:$F,Fact_Milestone!$A:$A,$B218,Fact_Milestone!$B:$B,$AL218,Fact_Milestone!$F:$F,"&gt;0"),VLOOKUP($AL218,Dim_TOP!$A:$E,5,0)),0.5),"")))</f>
        <v/>
      </c>
      <c r="AP218" s="22" t="str">
        <f aca="false">IF($A218="","",IF($U218="","",ROUND(($U218-INT($U218))*24,4)))</f>
        <v/>
      </c>
      <c r="AQ218" s="22" t="str">
        <f aca="false">IF($A218="","",IF($W218="","",ROUND(($W218-INT($W218))*24,4)))</f>
        <v/>
      </c>
      <c r="AR218" s="22" t="str">
        <f aca="false">IF($A218="","",IF($X218="","",ROUND(($X218-INT($X218))*24,4)))</f>
        <v/>
      </c>
      <c r="AS218" s="38" t="str">
        <f aca="false">IF($A218="","",IF(OR($AN218="",$V218="",$S218="",$T218=""),"",ROUND(($V218-($B218+$AN218/24))*1440-$S218-$T218,0)))</f>
        <v/>
      </c>
      <c r="AT218" s="38" t="str">
        <f aca="false">IF($A218="","",IF(OR($AN218="",$U218=""),"",ROUND(($U218-($B218+$AN218/24))*1440,0)))</f>
        <v/>
      </c>
      <c r="AU218" s="38" t="str">
        <f aca="false">IF($A218="","",IF(OR($AD218="",$S218=""),"",ROUND($AD218-$S218,0)))</f>
        <v/>
      </c>
      <c r="AV218" s="38" t="str">
        <f aca="false">IF($A218="","",N($AE218))</f>
        <v/>
      </c>
      <c r="AW218" s="38" t="str">
        <f aca="false">IF($A218="","",IF(OR($AF218="",$T218=""),"",$AF218-$T218))</f>
        <v/>
      </c>
      <c r="AX218" s="38" t="str">
        <f aca="false">IF($A218="","",IF(COUNT($AT218,$AB218,$AU218,$AW218,$AS218,$AH218)&lt;6,"",ROUND($AT218+$AB218+$AU218+$AV218+$AW218-$AS218-$AH218,0)))</f>
        <v/>
      </c>
      <c r="AY218" s="4" t="str">
        <f aca="false">IF($A218="","",IF($AX218="","No",IF(ABS($AX218)&lt;=2,"Yes","No")))</f>
        <v/>
      </c>
      <c r="AZ218" s="4" t="str">
        <f aca="false">IF($A218="","",IF($AI218&lt;&gt;"Yes","n/a",IF(OR($AA218="",$S218="",$T218=""),"Unknown",IF($AA218&lt;$S218+$T218,"Lost on arrival","Lost after arrival"))))</f>
        <v/>
      </c>
      <c r="BA218" s="10" t="str">
        <f aca="false">IF($A218="","",IFERROR(VLOOKUP($C218,Dim_Fund!$A:$D,4,0),""))</f>
        <v/>
      </c>
      <c r="BB218" s="10" t="str">
        <f aca="false">IF($A218="","",IF($AL218="","",IF(COUNTIFS(Fact_Milestone!$A:$A,$B218,Fact_Milestone!$B:$B,$AL218,Fact_Milestone!$I:$I,"No")&gt;0,"No",IF(COUNTIFS(Fact_Milestone!$A:$A,$B218,Fact_Milestone!$B:$B,$AL218,Fact_Milestone!$I:$I,"Yes")&gt;0,"Yes",""))))</f>
        <v/>
      </c>
      <c r="BC218" s="45" t="str">
        <f aca="false">IF($A218="","",IF(OR($L218="",$W218=""),"",IF(COUNTIFS($L:$L,$L218,$B:$B,$B218,$W:$W,"&lt;"&amp;$W218)=0,"",_xlfn.MAXIFS($W:$W,$L:$L,$L218,$B:$B,$B218,$W:$W,"&lt;"&amp;$W218))))</f>
        <v/>
      </c>
      <c r="BD218" s="39" t="str">
        <f aca="false">IF($A218="","",IF($AC218="","",IF(OR($L218="",$AC218=0),0,MIN($AC218,ROUND(ROUND(1440*SUMPRODUCT(($L$2:INDEX($L:$L,COUNTA($C:$C))=$L218)*($B$2:INDEX($B:$B,COUNTA($C:$C))=$B218)*(ROW($L$2:INDEX($L:$L,COUNTA($C:$C)))&lt;&gt;ROW())*((((($W218+$BT$2:INDEX($BT:$BT,COUNTA($C:$C))-ABS($W218-$BT$2:INDEX($BT:$BT,COUNTA($C:$C))))/2)-(($U218+$BS$2:INDEX($BS:$BS,COUNTA($C:$C))+ABS($U218-$BS$2:INDEX($BS:$BS,COUNTA($C:$C))))/2))+ABS(((($W218+$BT$2:INDEX($BT:$BT,COUNTA($C:$C))-ABS($W218-$BT$2:INDEX($BT:$BT,COUNTA($C:$C))))/2)-(($U218+$BS$2:INDEX($BS:$BS,COUNTA($C:$C))+ABS($U218-$BS$2:INDEX($BS:$BS,COUNTA($C:$C))))/2))))/2)),4),0)))))</f>
        <v/>
      </c>
      <c r="BE218" s="39" t="str">
        <f aca="false">IF($A218="","",IF($AC218="","",ROUND(MIN($AC218-$BD218,N($R218)),0)))</f>
        <v/>
      </c>
      <c r="BF218" s="10" t="str">
        <f aca="false">IF($A218="","",IFERROR(VLOOKUP($C218,Dim_Fund!$A:$BD,56,0),""))</f>
        <v/>
      </c>
      <c r="BG218" s="10" t="str">
        <f aca="false">IF($A218="","",IFERROR(VLOOKUP($C218,Dim_Fund!$A:$BH,60,0),""))</f>
        <v/>
      </c>
      <c r="BH218" s="10" t="str">
        <f aca="false">IF($A218="","",IF($AI218&lt;&gt;"Yes","Not breached",IF($AM218="Yes","Pricing late",IF($BG218="Thin custody slack","Thin custody slack",IF($BF218="Yes","Broker-dependent","None of these")))))</f>
        <v/>
      </c>
      <c r="BI218" s="23" t="str">
        <f aca="false">IF($A218="","",IFERROR(IF(VLOOKUP($C218,Dim_Fund!$A:$AI,35,0)&gt;0,VLOOKUP($C218,Dim_Fund!$A:$AI,35,0),""),""))</f>
        <v/>
      </c>
      <c r="BJ218" s="10" t="str">
        <f aca="false">IF($A218="","",$C218&amp;IF($E218="Client","*",""))</f>
        <v/>
      </c>
      <c r="BK218" s="39" t="str">
        <f aca="false">IF($A218="","",IFERROR(ROUND(($Y218-$X218)*1440,0),""))</f>
        <v/>
      </c>
      <c r="BL218" s="39" t="str">
        <f aca="false">IF($A218="","",IF($AH218="","",-$AH218))</f>
        <v/>
      </c>
      <c r="BM218" s="46" t="str">
        <f aca="false">IF($A218="","",IF($AQ218="","",IF($AP218="",$AQ218,MIN($AP218,$AQ218))))</f>
        <v/>
      </c>
      <c r="BN218" s="46" t="str">
        <f aca="false">IF($A218="","",IF($BM218="","",ROUND(N($AC218)/60,4)))</f>
        <v/>
      </c>
      <c r="BO218" s="46" t="str">
        <f aca="false">IF($A218="","",IF(OR($BM218="",$AD218=""),"",ROUND($AD218/60,4)))</f>
        <v/>
      </c>
      <c r="BP218" s="46" t="str">
        <f aca="false">IF($A218="","",IF($BM218="","",ROUND(N($AE218)/60,4)))</f>
        <v/>
      </c>
      <c r="BQ218" s="46" t="str">
        <f aca="false">IF($A218="","",IF(OR($BM218="",$AF218=""),"",ROUND($AF218/60,4)))</f>
        <v/>
      </c>
      <c r="BR218" s="39" t="str">
        <f aca="false">IF($A218="","",IF($AC218="","",$AC218-$BD218-$BE218))</f>
        <v/>
      </c>
      <c r="BS218" s="45" t="str">
        <f aca="false">IF($A218="","",IF(AND(ISNUMBER($Z218),ISNUMBER($W218)),$Z218,0))</f>
        <v/>
      </c>
      <c r="BT218" s="45" t="str">
        <f aca="false">IF($A218="","",IF(ISNUMBER($W218),$W218,0))</f>
        <v/>
      </c>
      <c r="BU218" s="23" t="str">
        <f aca="false">IF($A218="","",IF(ISNUMBER($W218),ROUND(($W218-$B218)*24,4),""))</f>
        <v/>
      </c>
      <c r="BV218" s="23" t="str">
        <f aca="false">IF($A218="","",IF(ISNUMBER($X218),ROUND(($X218-$B218)*24,4),""))</f>
        <v/>
      </c>
      <c r="BW218" s="10" t="str">
        <f aca="false">IF($A218="","",IF(NOT(ISNUMBER($W218)),"Missing Calculated",IF(NOT(ISNUMBER($X218)),IF($E218="Client","Missing FA signed off","Missing Controlled"),IF($X218&lt;$W218,"End before start","OK"))))</f>
        <v/>
      </c>
      <c r="BX218" s="23" t="str">
        <f aca="false">IF($A218="","",IF(NOT(ISNUMBER($Z218)),"",ROUND((IF(ISNUMBER($U218),MIN($U218,$Z218),$Z218)-$B218)*24,4)))</f>
        <v/>
      </c>
      <c r="BY218" s="23" t="str">
        <f aca="false">IF($A218="","",IF(ISNUMBER($Z218),ROUND(($Z218-$B218)*24,4),""))</f>
        <v/>
      </c>
      <c r="BZ218" s="23" t="str">
        <f aca="false">IF($A218="","",IF(AND(ISNUMBER($W218),ISNUMBER($S218)),ROUND(($W218+$S218/1440-$B218)*24,4),""))</f>
        <v/>
      </c>
    </row>
    <row r="219" customFormat="false" ht="15" hidden="false" customHeight="true" outlineLevel="0" collapsed="false">
      <c r="A219" s="47"/>
      <c r="B219" s="47"/>
      <c r="D219" s="4" t="str">
        <f aca="false">IF($A219="","",$B219-$A219)</f>
        <v/>
      </c>
      <c r="E219" s="4" t="str">
        <f aca="false">IF($A219="","",IFERROR(VLOOKUP($C219,Dim_Fund!$A:$X,24,0),""))</f>
        <v/>
      </c>
      <c r="F219" s="37" t="str">
        <f aca="false">IF($A219="","",IF(COUNTIFS(Status_Log!$A:$A,$A219,Status_Log!$B:$B,$B219,Status_Log!$C:$C,$C219,Status_Log!$D:$D,"Changed to the status of Calculated")=0,"",_xlfn.MINIFS(Status_Log!$E:$E,Status_Log!$A:$A,$A219,Status_Log!$B:$B,$B219,Status_Log!$C:$C,$C219,Status_Log!$D:$D,"Changed to the status of Calculated")))</f>
        <v/>
      </c>
      <c r="G219" s="37" t="str">
        <f aca="false">IF($A219="","",IF(COUNTIFS(Status_Log!$A:$A,$A219,Status_Log!$B:$B,$B219,Status_Log!$C:$C,$C219,Status_Log!$D:$D,"Changed to the status of Controlled")=0,"",_xlfn.MAXIFS(Status_Log!$E:$E,Status_Log!$A:$A,$A219,Status_Log!$B:$B,$B219,Status_Log!$C:$C,$C219,Status_Log!$D:$D,"Changed to the status of Controlled")))</f>
        <v/>
      </c>
      <c r="H219" s="37" t="str">
        <f aca="false">IF($A219="","",IF(COUNTIFS(Status_Log!$A:$A,$A219,Status_Log!$B:$B,$B219,Status_Log!$C:$C,$C219,Status_Log!$D:$D,"Changed to the status of Fund accounting signed off")=0,"",_xlfn.MAXIFS(Status_Log!$E:$E,Status_Log!$A:$A,$A219,Status_Log!$B:$B,$B219,Status_Log!$C:$C,$C219,Status_Log!$D:$D,"Changed to the status of Fund accounting signed off")))</f>
        <v/>
      </c>
      <c r="I219" s="37" t="str">
        <f aca="false">IF($A219="","",IF(COUNTIFS(Status_Log!$A:$A,$A219,Status_Log!$B:$B,$B219,Status_Log!$C:$C,$C219,Status_Log!$D:$D,"Changed to the status of signed off")=0,"",_xlfn.MAXIFS(Status_Log!$E:$E,Status_Log!$A:$A,$A219,Status_Log!$B:$B,$B219,Status_Log!$C:$C,$C219,Status_Log!$D:$D,"Changed to the status of signed off")))</f>
        <v/>
      </c>
      <c r="J219" s="4" t="str">
        <f aca="false">IF($A219="","",COUNTIFS(Status_Log!$A:$A,$A219,Status_Log!$B:$B,$B219,Status_Log!$C:$C,$C219,Status_Log!$D:$D,"Changed to the status of Calculated"))</f>
        <v/>
      </c>
      <c r="K219" s="38" t="str">
        <f aca="false">IF($A219="","",IF(J219&lt;=1,0,ROUND((_xlfn.MAXIFS(Status_Log!$E:$E,Status_Log!$A:$A,$A219,Status_Log!$B:$B,$B219,Status_Log!$C:$C,$C219,Status_Log!$D:$D,"Changed to the status of Calculated")-F219)*1440,0)))</f>
        <v/>
      </c>
      <c r="L219" s="4" t="str">
        <f aca="false">IF($A219="","",IFERROR(INDEX(Status_Log!$F:$F,MATCH($A219&amp;"|"&amp;$B219&amp;"|"&amp;$C219&amp;"|Changed to the status of Calculated|"&amp;TEXT(_xlfn.MAXIFS(Status_Log!$E:$E,Status_Log!$A:$A,$A219,Status_Log!$B:$B,$B219,Status_Log!$C:$C,$C219,Status_Log!$D:$D,"Changed to the status of Calculated"),"0.000000"),Status_Log!$H:$H,0)),""))</f>
        <v/>
      </c>
      <c r="M219" s="4" t="str">
        <f aca="false">IF($A219="","",IF(E219="Client","n/a — no control step",IFERROR(INDEX(Status_Log!$F:$F,MATCH($A219&amp;"|"&amp;$B219&amp;"|"&amp;$C219&amp;"|Changed to the status of Controlled|"&amp;TEXT(_xlfn.MAXIFS(Status_Log!$E:$E,Status_Log!$A:$A,$A219,Status_Log!$B:$B,$B219,Status_Log!$C:$C,$C219,Status_Log!$D:$D,"Changed to the status of Controlled"),"0.000000"),Status_Log!$H:$H,0)),"")))</f>
        <v/>
      </c>
      <c r="N219" s="4" t="str">
        <f aca="false">IF($A219="","",IFERROR(VLOOKUP($C219,Dim_Fund!$A:$G,7,0),""))</f>
        <v/>
      </c>
      <c r="O219" s="4" t="str">
        <f aca="false">IF($A219="","",IF(L219=N219,"No","Yes"))</f>
        <v/>
      </c>
      <c r="P219" s="4" t="str">
        <f aca="false">IF($A219="","",IF(E219="Client","n/a",IF(L219=M219,"YES — four-eyes breach","No")))</f>
        <v/>
      </c>
      <c r="Q219" s="38" t="str">
        <f aca="false">IF($A219="","",IFERROR(VLOOKUP($C219,Dim_Fund!$A:$AB,28,0),""))</f>
        <v/>
      </c>
      <c r="R219" s="38" t="str">
        <f aca="false">IF($A219="","",IFERROR(VLOOKUP($C219,Dim_Fund!$A:$AC,29,0),""))</f>
        <v/>
      </c>
      <c r="S219" s="38" t="str">
        <f aca="false">IF($A219="","",IFERROR(VLOOKUP($C219,Dim_Fund!$A:$AD,30,0),""))</f>
        <v/>
      </c>
      <c r="T219" s="38" t="str">
        <f aca="false">IF($A219="","",IFERROR(VLOOKUP($C219,Dim_Fund!$A:$AL,38,0),""))</f>
        <v/>
      </c>
      <c r="U219" s="37" t="str">
        <f aca="false">IF($A219="","",IF(AL219="","",IFERROR(IF(COUNTIFS(Fact_Milestone!$A:$A,$B219,Fact_Milestone!$B:$B,AL219)=0,"",_xlfn.MAXIFS(Fact_Milestone!$C:$C,Fact_Milestone!$A:$A,$B219,Fact_Milestone!$B:$B,AL219)),"")))</f>
        <v/>
      </c>
      <c r="V219" s="37" t="str">
        <f aca="false">IF($A219="","",IFERROR(IF(VLOOKUP($C219,Dim_Fund!$A:$AI,35,0)&gt;0,$B219+VLOOKUP($C219,Dim_Fund!$A:$AI,35,0)/24,""),""))</f>
        <v/>
      </c>
      <c r="W219" s="37" t="str">
        <f aca="false">IF($A219="","",F219)</f>
        <v/>
      </c>
      <c r="X219" s="37" t="str">
        <f aca="false">IF($A219="","",IF(E219="Client",H219,G219))</f>
        <v/>
      </c>
      <c r="Y219" s="37" t="str">
        <f aca="false">IF($A219="","",I219)</f>
        <v/>
      </c>
      <c r="Z219" s="37" t="str">
        <f aca="false">IF($A219="","",IFERROR(W219-R219/1440,""))</f>
        <v/>
      </c>
      <c r="AA219" s="38" t="str">
        <f aca="false">IF($A219="","",IF(OR(U219="",V219=""),"",ROUND((V219-U219)*1440,0)))</f>
        <v/>
      </c>
      <c r="AB219" s="38" t="str">
        <f aca="false">IF($A219="","",IF(U219="","",ROUND((W219-U219)*1440,0)))</f>
        <v/>
      </c>
      <c r="AC219" s="38" t="str">
        <f aca="false">IF($A219="","",IF(AB219="","",MAX(0,AB219)))</f>
        <v/>
      </c>
      <c r="AD219" s="38" t="str">
        <f aca="false">IF($A219="","",IFERROR(ROUND((X219-W219)*1440,0),""))</f>
        <v/>
      </c>
      <c r="AE219" s="38" t="str">
        <f aca="false">IF($A219="","",IF(E219="Client","n/a",IFERROR(ROUND((H219-G219)*1440,0),"")))</f>
        <v/>
      </c>
      <c r="AF219" s="38" t="str">
        <f aca="false">IF($A219="","",IFERROR(ROUND((Y219-H219)*1440,0),""))</f>
        <v/>
      </c>
      <c r="AG219" s="38" t="str">
        <f aca="false">IF($A219="","",IFERROR(ROUND((H219-F219)*1440,0),""))</f>
        <v/>
      </c>
      <c r="AH219" s="38" t="str">
        <f aca="false">IF($A219="","",IFERROR(ROUND((Y219-V219)*1440,0),""))</f>
        <v/>
      </c>
      <c r="AI219" s="4" t="str">
        <f aca="false">IF($A219="","",IF(AH219="","",IF(AH219&gt;0,"Yes","No")))</f>
        <v/>
      </c>
      <c r="AJ219" s="4" t="str">
        <f aca="false">IF($A219="","",IF(AI219&lt;&gt;"Yes","On time",IF(N(AC219)&gt;=MAX(N(AF219),N(K219)),"Wait for analyst",IF(N(AF219)&gt;=N(K219),"External sign-off","Rework"))))</f>
        <v/>
      </c>
      <c r="AK219" s="4" t="str">
        <f aca="false">IF($A219="","",IF(OR(F219="",Y219="",ISNA(MATCH(L219,Dim_Analyst!$A:$A,0))),"CHECK","OK"))</f>
        <v/>
      </c>
      <c r="AL219" s="4" t="str">
        <f aca="false">IF($A219="","",IFERROR(VLOOKUP($C219,Dim_Fund!$A:$U,21,0),""))</f>
        <v/>
      </c>
      <c r="AM219" s="4" t="str">
        <f aca="false">IF($A219="","",IF($U219="","",IF($U219&gt;$B219+IFERROR(VLOOKUP($C219,Dim_Fund!$A:$AH,34,0),0)/24,"Yes","No")))</f>
        <v/>
      </c>
      <c r="AN219" s="22" t="str">
        <f aca="false">IF($A219="","",IFERROR(VLOOKUP($C219,Dim_Fund!$A:$AH,34,0),""))</f>
        <v/>
      </c>
      <c r="AO219" s="22" t="str">
        <f aca="false">IF($A219="","",IF($AL219="","",IFERROR(FLOOR(IF(COUNTIFS(Fact_Milestone!$A:$A,$B219,Fact_Milestone!$B:$B,$AL219,Fact_Milestone!$F:$F,"&gt;0")&gt;0,_xlfn.MINIFS(Fact_Milestone!$F:$F,Fact_Milestone!$A:$A,$B219,Fact_Milestone!$B:$B,$AL219,Fact_Milestone!$F:$F,"&gt;0"),VLOOKUP($AL219,Dim_TOP!$A:$E,5,0)),0.5),"")))</f>
        <v/>
      </c>
      <c r="AP219" s="22" t="str">
        <f aca="false">IF($A219="","",IF($U219="","",ROUND(($U219-INT($U219))*24,4)))</f>
        <v/>
      </c>
      <c r="AQ219" s="22" t="str">
        <f aca="false">IF($A219="","",IF($W219="","",ROUND(($W219-INT($W219))*24,4)))</f>
        <v/>
      </c>
      <c r="AR219" s="22" t="str">
        <f aca="false">IF($A219="","",IF($X219="","",ROUND(($X219-INT($X219))*24,4)))</f>
        <v/>
      </c>
      <c r="AS219" s="38" t="str">
        <f aca="false">IF($A219="","",IF(OR($AN219="",$V219="",$S219="",$T219=""),"",ROUND(($V219-($B219+$AN219/24))*1440-$S219-$T219,0)))</f>
        <v/>
      </c>
      <c r="AT219" s="38" t="str">
        <f aca="false">IF($A219="","",IF(OR($AN219="",$U219=""),"",ROUND(($U219-($B219+$AN219/24))*1440,0)))</f>
        <v/>
      </c>
      <c r="AU219" s="38" t="str">
        <f aca="false">IF($A219="","",IF(OR($AD219="",$S219=""),"",ROUND($AD219-$S219,0)))</f>
        <v/>
      </c>
      <c r="AV219" s="38" t="str">
        <f aca="false">IF($A219="","",N($AE219))</f>
        <v/>
      </c>
      <c r="AW219" s="38" t="str">
        <f aca="false">IF($A219="","",IF(OR($AF219="",$T219=""),"",$AF219-$T219))</f>
        <v/>
      </c>
      <c r="AX219" s="38" t="str">
        <f aca="false">IF($A219="","",IF(COUNT($AT219,$AB219,$AU219,$AW219,$AS219,$AH219)&lt;6,"",ROUND($AT219+$AB219+$AU219+$AV219+$AW219-$AS219-$AH219,0)))</f>
        <v/>
      </c>
      <c r="AY219" s="4" t="str">
        <f aca="false">IF($A219="","",IF($AX219="","No",IF(ABS($AX219)&lt;=2,"Yes","No")))</f>
        <v/>
      </c>
      <c r="AZ219" s="4" t="str">
        <f aca="false">IF($A219="","",IF($AI219&lt;&gt;"Yes","n/a",IF(OR($AA219="",$S219="",$T219=""),"Unknown",IF($AA219&lt;$S219+$T219,"Lost on arrival","Lost after arrival"))))</f>
        <v/>
      </c>
      <c r="BA219" s="10" t="str">
        <f aca="false">IF($A219="","",IFERROR(VLOOKUP($C219,Dim_Fund!$A:$D,4,0),""))</f>
        <v/>
      </c>
      <c r="BB219" s="10" t="str">
        <f aca="false">IF($A219="","",IF($AL219="","",IF(COUNTIFS(Fact_Milestone!$A:$A,$B219,Fact_Milestone!$B:$B,$AL219,Fact_Milestone!$I:$I,"No")&gt;0,"No",IF(COUNTIFS(Fact_Milestone!$A:$A,$B219,Fact_Milestone!$B:$B,$AL219,Fact_Milestone!$I:$I,"Yes")&gt;0,"Yes",""))))</f>
        <v/>
      </c>
      <c r="BC219" s="45" t="str">
        <f aca="false">IF($A219="","",IF(OR($L219="",$W219=""),"",IF(COUNTIFS($L:$L,$L219,$B:$B,$B219,$W:$W,"&lt;"&amp;$W219)=0,"",_xlfn.MAXIFS($W:$W,$L:$L,$L219,$B:$B,$B219,$W:$W,"&lt;"&amp;$W219))))</f>
        <v/>
      </c>
      <c r="BD219" s="39" t="str">
        <f aca="false">IF($A219="","",IF($AC219="","",IF(OR($L219="",$AC219=0),0,MIN($AC219,ROUND(ROUND(1440*SUMPRODUCT(($L$2:INDEX($L:$L,COUNTA($C:$C))=$L219)*($B$2:INDEX($B:$B,COUNTA($C:$C))=$B219)*(ROW($L$2:INDEX($L:$L,COUNTA($C:$C)))&lt;&gt;ROW())*((((($W219+$BT$2:INDEX($BT:$BT,COUNTA($C:$C))-ABS($W219-$BT$2:INDEX($BT:$BT,COUNTA($C:$C))))/2)-(($U219+$BS$2:INDEX($BS:$BS,COUNTA($C:$C))+ABS($U219-$BS$2:INDEX($BS:$BS,COUNTA($C:$C))))/2))+ABS(((($W219+$BT$2:INDEX($BT:$BT,COUNTA($C:$C))-ABS($W219-$BT$2:INDEX($BT:$BT,COUNTA($C:$C))))/2)-(($U219+$BS$2:INDEX($BS:$BS,COUNTA($C:$C))+ABS($U219-$BS$2:INDEX($BS:$BS,COUNTA($C:$C))))/2))))/2)),4),0)))))</f>
        <v/>
      </c>
      <c r="BE219" s="39" t="str">
        <f aca="false">IF($A219="","",IF($AC219="","",ROUND(MIN($AC219-$BD219,N($R219)),0)))</f>
        <v/>
      </c>
      <c r="BF219" s="10" t="str">
        <f aca="false">IF($A219="","",IFERROR(VLOOKUP($C219,Dim_Fund!$A:$BD,56,0),""))</f>
        <v/>
      </c>
      <c r="BG219" s="10" t="str">
        <f aca="false">IF($A219="","",IFERROR(VLOOKUP($C219,Dim_Fund!$A:$BH,60,0),""))</f>
        <v/>
      </c>
      <c r="BH219" s="10" t="str">
        <f aca="false">IF($A219="","",IF($AI219&lt;&gt;"Yes","Not breached",IF($AM219="Yes","Pricing late",IF($BG219="Thin custody slack","Thin custody slack",IF($BF219="Yes","Broker-dependent","None of these")))))</f>
        <v/>
      </c>
      <c r="BI219" s="23" t="str">
        <f aca="false">IF($A219="","",IFERROR(IF(VLOOKUP($C219,Dim_Fund!$A:$AI,35,0)&gt;0,VLOOKUP($C219,Dim_Fund!$A:$AI,35,0),""),""))</f>
        <v/>
      </c>
      <c r="BJ219" s="10" t="str">
        <f aca="false">IF($A219="","",$C219&amp;IF($E219="Client","*",""))</f>
        <v/>
      </c>
      <c r="BK219" s="39" t="str">
        <f aca="false">IF($A219="","",IFERROR(ROUND(($Y219-$X219)*1440,0),""))</f>
        <v/>
      </c>
      <c r="BL219" s="39" t="str">
        <f aca="false">IF($A219="","",IF($AH219="","",-$AH219))</f>
        <v/>
      </c>
      <c r="BM219" s="46" t="str">
        <f aca="false">IF($A219="","",IF($AQ219="","",IF($AP219="",$AQ219,MIN($AP219,$AQ219))))</f>
        <v/>
      </c>
      <c r="BN219" s="46" t="str">
        <f aca="false">IF($A219="","",IF($BM219="","",ROUND(N($AC219)/60,4)))</f>
        <v/>
      </c>
      <c r="BO219" s="46" t="str">
        <f aca="false">IF($A219="","",IF(OR($BM219="",$AD219=""),"",ROUND($AD219/60,4)))</f>
        <v/>
      </c>
      <c r="BP219" s="46" t="str">
        <f aca="false">IF($A219="","",IF($BM219="","",ROUND(N($AE219)/60,4)))</f>
        <v/>
      </c>
      <c r="BQ219" s="46" t="str">
        <f aca="false">IF($A219="","",IF(OR($BM219="",$AF219=""),"",ROUND($AF219/60,4)))</f>
        <v/>
      </c>
      <c r="BR219" s="39" t="str">
        <f aca="false">IF($A219="","",IF($AC219="","",$AC219-$BD219-$BE219))</f>
        <v/>
      </c>
      <c r="BS219" s="45" t="str">
        <f aca="false">IF($A219="","",IF(AND(ISNUMBER($Z219),ISNUMBER($W219)),$Z219,0))</f>
        <v/>
      </c>
      <c r="BT219" s="45" t="str">
        <f aca="false">IF($A219="","",IF(ISNUMBER($W219),$W219,0))</f>
        <v/>
      </c>
      <c r="BU219" s="23" t="str">
        <f aca="false">IF($A219="","",IF(ISNUMBER($W219),ROUND(($W219-$B219)*24,4),""))</f>
        <v/>
      </c>
      <c r="BV219" s="23" t="str">
        <f aca="false">IF($A219="","",IF(ISNUMBER($X219),ROUND(($X219-$B219)*24,4),""))</f>
        <v/>
      </c>
      <c r="BW219" s="10" t="str">
        <f aca="false">IF($A219="","",IF(NOT(ISNUMBER($W219)),"Missing Calculated",IF(NOT(ISNUMBER($X219)),IF($E219="Client","Missing FA signed off","Missing Controlled"),IF($X219&lt;$W219,"End before start","OK"))))</f>
        <v/>
      </c>
      <c r="BX219" s="23" t="str">
        <f aca="false">IF($A219="","",IF(NOT(ISNUMBER($Z219)),"",ROUND((IF(ISNUMBER($U219),MIN($U219,$Z219),$Z219)-$B219)*24,4)))</f>
        <v/>
      </c>
      <c r="BY219" s="23" t="str">
        <f aca="false">IF($A219="","",IF(ISNUMBER($Z219),ROUND(($Z219-$B219)*24,4),""))</f>
        <v/>
      </c>
      <c r="BZ219" s="23" t="str">
        <f aca="false">IF($A219="","",IF(AND(ISNUMBER($W219),ISNUMBER($S219)),ROUND(($W219+$S219/1440-$B219)*24,4),""))</f>
        <v/>
      </c>
    </row>
    <row r="220" customFormat="false" ht="15" hidden="false" customHeight="true" outlineLevel="0" collapsed="false">
      <c r="A220" s="47"/>
      <c r="B220" s="47"/>
      <c r="D220" s="4" t="str">
        <f aca="false">IF($A220="","",$B220-$A220)</f>
        <v/>
      </c>
      <c r="E220" s="4" t="str">
        <f aca="false">IF($A220="","",IFERROR(VLOOKUP($C220,Dim_Fund!$A:$X,24,0),""))</f>
        <v/>
      </c>
      <c r="F220" s="37" t="str">
        <f aca="false">IF($A220="","",IF(COUNTIFS(Status_Log!$A:$A,$A220,Status_Log!$B:$B,$B220,Status_Log!$C:$C,$C220,Status_Log!$D:$D,"Changed to the status of Calculated")=0,"",_xlfn.MINIFS(Status_Log!$E:$E,Status_Log!$A:$A,$A220,Status_Log!$B:$B,$B220,Status_Log!$C:$C,$C220,Status_Log!$D:$D,"Changed to the status of Calculated")))</f>
        <v/>
      </c>
      <c r="G220" s="37" t="str">
        <f aca="false">IF($A220="","",IF(COUNTIFS(Status_Log!$A:$A,$A220,Status_Log!$B:$B,$B220,Status_Log!$C:$C,$C220,Status_Log!$D:$D,"Changed to the status of Controlled")=0,"",_xlfn.MAXIFS(Status_Log!$E:$E,Status_Log!$A:$A,$A220,Status_Log!$B:$B,$B220,Status_Log!$C:$C,$C220,Status_Log!$D:$D,"Changed to the status of Controlled")))</f>
        <v/>
      </c>
      <c r="H220" s="37" t="str">
        <f aca="false">IF($A220="","",IF(COUNTIFS(Status_Log!$A:$A,$A220,Status_Log!$B:$B,$B220,Status_Log!$C:$C,$C220,Status_Log!$D:$D,"Changed to the status of Fund accounting signed off")=0,"",_xlfn.MAXIFS(Status_Log!$E:$E,Status_Log!$A:$A,$A220,Status_Log!$B:$B,$B220,Status_Log!$C:$C,$C220,Status_Log!$D:$D,"Changed to the status of Fund accounting signed off")))</f>
        <v/>
      </c>
      <c r="I220" s="37" t="str">
        <f aca="false">IF($A220="","",IF(COUNTIFS(Status_Log!$A:$A,$A220,Status_Log!$B:$B,$B220,Status_Log!$C:$C,$C220,Status_Log!$D:$D,"Changed to the status of signed off")=0,"",_xlfn.MAXIFS(Status_Log!$E:$E,Status_Log!$A:$A,$A220,Status_Log!$B:$B,$B220,Status_Log!$C:$C,$C220,Status_Log!$D:$D,"Changed to the status of signed off")))</f>
        <v/>
      </c>
      <c r="J220" s="4" t="str">
        <f aca="false">IF($A220="","",COUNTIFS(Status_Log!$A:$A,$A220,Status_Log!$B:$B,$B220,Status_Log!$C:$C,$C220,Status_Log!$D:$D,"Changed to the status of Calculated"))</f>
        <v/>
      </c>
      <c r="K220" s="38" t="str">
        <f aca="false">IF($A220="","",IF(J220&lt;=1,0,ROUND((_xlfn.MAXIFS(Status_Log!$E:$E,Status_Log!$A:$A,$A220,Status_Log!$B:$B,$B220,Status_Log!$C:$C,$C220,Status_Log!$D:$D,"Changed to the status of Calculated")-F220)*1440,0)))</f>
        <v/>
      </c>
      <c r="L220" s="4" t="str">
        <f aca="false">IF($A220="","",IFERROR(INDEX(Status_Log!$F:$F,MATCH($A220&amp;"|"&amp;$B220&amp;"|"&amp;$C220&amp;"|Changed to the status of Calculated|"&amp;TEXT(_xlfn.MAXIFS(Status_Log!$E:$E,Status_Log!$A:$A,$A220,Status_Log!$B:$B,$B220,Status_Log!$C:$C,$C220,Status_Log!$D:$D,"Changed to the status of Calculated"),"0.000000"),Status_Log!$H:$H,0)),""))</f>
        <v/>
      </c>
      <c r="M220" s="4" t="str">
        <f aca="false">IF($A220="","",IF(E220="Client","n/a — no control step",IFERROR(INDEX(Status_Log!$F:$F,MATCH($A220&amp;"|"&amp;$B220&amp;"|"&amp;$C220&amp;"|Changed to the status of Controlled|"&amp;TEXT(_xlfn.MAXIFS(Status_Log!$E:$E,Status_Log!$A:$A,$A220,Status_Log!$B:$B,$B220,Status_Log!$C:$C,$C220,Status_Log!$D:$D,"Changed to the status of Controlled"),"0.000000"),Status_Log!$H:$H,0)),"")))</f>
        <v/>
      </c>
      <c r="N220" s="4" t="str">
        <f aca="false">IF($A220="","",IFERROR(VLOOKUP($C220,Dim_Fund!$A:$G,7,0),""))</f>
        <v/>
      </c>
      <c r="O220" s="4" t="str">
        <f aca="false">IF($A220="","",IF(L220=N220,"No","Yes"))</f>
        <v/>
      </c>
      <c r="P220" s="4" t="str">
        <f aca="false">IF($A220="","",IF(E220="Client","n/a",IF(L220=M220,"YES — four-eyes breach","No")))</f>
        <v/>
      </c>
      <c r="Q220" s="38" t="str">
        <f aca="false">IF($A220="","",IFERROR(VLOOKUP($C220,Dim_Fund!$A:$AB,28,0),""))</f>
        <v/>
      </c>
      <c r="R220" s="38" t="str">
        <f aca="false">IF($A220="","",IFERROR(VLOOKUP($C220,Dim_Fund!$A:$AC,29,0),""))</f>
        <v/>
      </c>
      <c r="S220" s="38" t="str">
        <f aca="false">IF($A220="","",IFERROR(VLOOKUP($C220,Dim_Fund!$A:$AD,30,0),""))</f>
        <v/>
      </c>
      <c r="T220" s="38" t="str">
        <f aca="false">IF($A220="","",IFERROR(VLOOKUP($C220,Dim_Fund!$A:$AL,38,0),""))</f>
        <v/>
      </c>
      <c r="U220" s="37" t="str">
        <f aca="false">IF($A220="","",IF(AL220="","",IFERROR(IF(COUNTIFS(Fact_Milestone!$A:$A,$B220,Fact_Milestone!$B:$B,AL220)=0,"",_xlfn.MAXIFS(Fact_Milestone!$C:$C,Fact_Milestone!$A:$A,$B220,Fact_Milestone!$B:$B,AL220)),"")))</f>
        <v/>
      </c>
      <c r="V220" s="37" t="str">
        <f aca="false">IF($A220="","",IFERROR(IF(VLOOKUP($C220,Dim_Fund!$A:$AI,35,0)&gt;0,$B220+VLOOKUP($C220,Dim_Fund!$A:$AI,35,0)/24,""),""))</f>
        <v/>
      </c>
      <c r="W220" s="37" t="str">
        <f aca="false">IF($A220="","",F220)</f>
        <v/>
      </c>
      <c r="X220" s="37" t="str">
        <f aca="false">IF($A220="","",IF(E220="Client",H220,G220))</f>
        <v/>
      </c>
      <c r="Y220" s="37" t="str">
        <f aca="false">IF($A220="","",I220)</f>
        <v/>
      </c>
      <c r="Z220" s="37" t="str">
        <f aca="false">IF($A220="","",IFERROR(W220-R220/1440,""))</f>
        <v/>
      </c>
      <c r="AA220" s="38" t="str">
        <f aca="false">IF($A220="","",IF(OR(U220="",V220=""),"",ROUND((V220-U220)*1440,0)))</f>
        <v/>
      </c>
      <c r="AB220" s="38" t="str">
        <f aca="false">IF($A220="","",IF(U220="","",ROUND((W220-U220)*1440,0)))</f>
        <v/>
      </c>
      <c r="AC220" s="38" t="str">
        <f aca="false">IF($A220="","",IF(AB220="","",MAX(0,AB220)))</f>
        <v/>
      </c>
      <c r="AD220" s="38" t="str">
        <f aca="false">IF($A220="","",IFERROR(ROUND((X220-W220)*1440,0),""))</f>
        <v/>
      </c>
      <c r="AE220" s="38" t="str">
        <f aca="false">IF($A220="","",IF(E220="Client","n/a",IFERROR(ROUND((H220-G220)*1440,0),"")))</f>
        <v/>
      </c>
      <c r="AF220" s="38" t="str">
        <f aca="false">IF($A220="","",IFERROR(ROUND((Y220-H220)*1440,0),""))</f>
        <v/>
      </c>
      <c r="AG220" s="38" t="str">
        <f aca="false">IF($A220="","",IFERROR(ROUND((H220-F220)*1440,0),""))</f>
        <v/>
      </c>
      <c r="AH220" s="38" t="str">
        <f aca="false">IF($A220="","",IFERROR(ROUND((Y220-V220)*1440,0),""))</f>
        <v/>
      </c>
      <c r="AI220" s="4" t="str">
        <f aca="false">IF($A220="","",IF(AH220="","",IF(AH220&gt;0,"Yes","No")))</f>
        <v/>
      </c>
      <c r="AJ220" s="4" t="str">
        <f aca="false">IF($A220="","",IF(AI220&lt;&gt;"Yes","On time",IF(N(AC220)&gt;=MAX(N(AF220),N(K220)),"Wait for analyst",IF(N(AF220)&gt;=N(K220),"External sign-off","Rework"))))</f>
        <v/>
      </c>
      <c r="AK220" s="4" t="str">
        <f aca="false">IF($A220="","",IF(OR(F220="",Y220="",ISNA(MATCH(L220,Dim_Analyst!$A:$A,0))),"CHECK","OK"))</f>
        <v/>
      </c>
      <c r="AL220" s="4" t="str">
        <f aca="false">IF($A220="","",IFERROR(VLOOKUP($C220,Dim_Fund!$A:$U,21,0),""))</f>
        <v/>
      </c>
      <c r="AM220" s="4" t="str">
        <f aca="false">IF($A220="","",IF($U220="","",IF($U220&gt;$B220+IFERROR(VLOOKUP($C220,Dim_Fund!$A:$AH,34,0),0)/24,"Yes","No")))</f>
        <v/>
      </c>
      <c r="AN220" s="22" t="str">
        <f aca="false">IF($A220="","",IFERROR(VLOOKUP($C220,Dim_Fund!$A:$AH,34,0),""))</f>
        <v/>
      </c>
      <c r="AO220" s="22" t="str">
        <f aca="false">IF($A220="","",IF($AL220="","",IFERROR(FLOOR(IF(COUNTIFS(Fact_Milestone!$A:$A,$B220,Fact_Milestone!$B:$B,$AL220,Fact_Milestone!$F:$F,"&gt;0")&gt;0,_xlfn.MINIFS(Fact_Milestone!$F:$F,Fact_Milestone!$A:$A,$B220,Fact_Milestone!$B:$B,$AL220,Fact_Milestone!$F:$F,"&gt;0"),VLOOKUP($AL220,Dim_TOP!$A:$E,5,0)),0.5),"")))</f>
        <v/>
      </c>
      <c r="AP220" s="22" t="str">
        <f aca="false">IF($A220="","",IF($U220="","",ROUND(($U220-INT($U220))*24,4)))</f>
        <v/>
      </c>
      <c r="AQ220" s="22" t="str">
        <f aca="false">IF($A220="","",IF($W220="","",ROUND(($W220-INT($W220))*24,4)))</f>
        <v/>
      </c>
      <c r="AR220" s="22" t="str">
        <f aca="false">IF($A220="","",IF($X220="","",ROUND(($X220-INT($X220))*24,4)))</f>
        <v/>
      </c>
      <c r="AS220" s="38" t="str">
        <f aca="false">IF($A220="","",IF(OR($AN220="",$V220="",$S220="",$T220=""),"",ROUND(($V220-($B220+$AN220/24))*1440-$S220-$T220,0)))</f>
        <v/>
      </c>
      <c r="AT220" s="38" t="str">
        <f aca="false">IF($A220="","",IF(OR($AN220="",$U220=""),"",ROUND(($U220-($B220+$AN220/24))*1440,0)))</f>
        <v/>
      </c>
      <c r="AU220" s="38" t="str">
        <f aca="false">IF($A220="","",IF(OR($AD220="",$S220=""),"",ROUND($AD220-$S220,0)))</f>
        <v/>
      </c>
      <c r="AV220" s="38" t="str">
        <f aca="false">IF($A220="","",N($AE220))</f>
        <v/>
      </c>
      <c r="AW220" s="38" t="str">
        <f aca="false">IF($A220="","",IF(OR($AF220="",$T220=""),"",$AF220-$T220))</f>
        <v/>
      </c>
      <c r="AX220" s="38" t="str">
        <f aca="false">IF($A220="","",IF(COUNT($AT220,$AB220,$AU220,$AW220,$AS220,$AH220)&lt;6,"",ROUND($AT220+$AB220+$AU220+$AV220+$AW220-$AS220-$AH220,0)))</f>
        <v/>
      </c>
      <c r="AY220" s="4" t="str">
        <f aca="false">IF($A220="","",IF($AX220="","No",IF(ABS($AX220)&lt;=2,"Yes","No")))</f>
        <v/>
      </c>
      <c r="AZ220" s="4" t="str">
        <f aca="false">IF($A220="","",IF($AI220&lt;&gt;"Yes","n/a",IF(OR($AA220="",$S220="",$T220=""),"Unknown",IF($AA220&lt;$S220+$T220,"Lost on arrival","Lost after arrival"))))</f>
        <v/>
      </c>
      <c r="BA220" s="10" t="str">
        <f aca="false">IF($A220="","",IFERROR(VLOOKUP($C220,Dim_Fund!$A:$D,4,0),""))</f>
        <v/>
      </c>
      <c r="BB220" s="10" t="str">
        <f aca="false">IF($A220="","",IF($AL220="","",IF(COUNTIFS(Fact_Milestone!$A:$A,$B220,Fact_Milestone!$B:$B,$AL220,Fact_Milestone!$I:$I,"No")&gt;0,"No",IF(COUNTIFS(Fact_Milestone!$A:$A,$B220,Fact_Milestone!$B:$B,$AL220,Fact_Milestone!$I:$I,"Yes")&gt;0,"Yes",""))))</f>
        <v/>
      </c>
      <c r="BC220" s="45" t="str">
        <f aca="false">IF($A220="","",IF(OR($L220="",$W220=""),"",IF(COUNTIFS($L:$L,$L220,$B:$B,$B220,$W:$W,"&lt;"&amp;$W220)=0,"",_xlfn.MAXIFS($W:$W,$L:$L,$L220,$B:$B,$B220,$W:$W,"&lt;"&amp;$W220))))</f>
        <v/>
      </c>
      <c r="BD220" s="39" t="str">
        <f aca="false">IF($A220="","",IF($AC220="","",IF(OR($L220="",$AC220=0),0,MIN($AC220,ROUND(ROUND(1440*SUMPRODUCT(($L$2:INDEX($L:$L,COUNTA($C:$C))=$L220)*($B$2:INDEX($B:$B,COUNTA($C:$C))=$B220)*(ROW($L$2:INDEX($L:$L,COUNTA($C:$C)))&lt;&gt;ROW())*((((($W220+$BT$2:INDEX($BT:$BT,COUNTA($C:$C))-ABS($W220-$BT$2:INDEX($BT:$BT,COUNTA($C:$C))))/2)-(($U220+$BS$2:INDEX($BS:$BS,COUNTA($C:$C))+ABS($U220-$BS$2:INDEX($BS:$BS,COUNTA($C:$C))))/2))+ABS(((($W220+$BT$2:INDEX($BT:$BT,COUNTA($C:$C))-ABS($W220-$BT$2:INDEX($BT:$BT,COUNTA($C:$C))))/2)-(($U220+$BS$2:INDEX($BS:$BS,COUNTA($C:$C))+ABS($U220-$BS$2:INDEX($BS:$BS,COUNTA($C:$C))))/2))))/2)),4),0)))))</f>
        <v/>
      </c>
      <c r="BE220" s="39" t="str">
        <f aca="false">IF($A220="","",IF($AC220="","",ROUND(MIN($AC220-$BD220,N($R220)),0)))</f>
        <v/>
      </c>
      <c r="BF220" s="10" t="str">
        <f aca="false">IF($A220="","",IFERROR(VLOOKUP($C220,Dim_Fund!$A:$BD,56,0),""))</f>
        <v/>
      </c>
      <c r="BG220" s="10" t="str">
        <f aca="false">IF($A220="","",IFERROR(VLOOKUP($C220,Dim_Fund!$A:$BH,60,0),""))</f>
        <v/>
      </c>
      <c r="BH220" s="10" t="str">
        <f aca="false">IF($A220="","",IF($AI220&lt;&gt;"Yes","Not breached",IF($AM220="Yes","Pricing late",IF($BG220="Thin custody slack","Thin custody slack",IF($BF220="Yes","Broker-dependent","None of these")))))</f>
        <v/>
      </c>
      <c r="BI220" s="23" t="str">
        <f aca="false">IF($A220="","",IFERROR(IF(VLOOKUP($C220,Dim_Fund!$A:$AI,35,0)&gt;0,VLOOKUP($C220,Dim_Fund!$A:$AI,35,0),""),""))</f>
        <v/>
      </c>
      <c r="BJ220" s="10" t="str">
        <f aca="false">IF($A220="","",$C220&amp;IF($E220="Client","*",""))</f>
        <v/>
      </c>
      <c r="BK220" s="39" t="str">
        <f aca="false">IF($A220="","",IFERROR(ROUND(($Y220-$X220)*1440,0),""))</f>
        <v/>
      </c>
      <c r="BL220" s="39" t="str">
        <f aca="false">IF($A220="","",IF($AH220="","",-$AH220))</f>
        <v/>
      </c>
      <c r="BM220" s="46" t="str">
        <f aca="false">IF($A220="","",IF($AQ220="","",IF($AP220="",$AQ220,MIN($AP220,$AQ220))))</f>
        <v/>
      </c>
      <c r="BN220" s="46" t="str">
        <f aca="false">IF($A220="","",IF($BM220="","",ROUND(N($AC220)/60,4)))</f>
        <v/>
      </c>
      <c r="BO220" s="46" t="str">
        <f aca="false">IF($A220="","",IF(OR($BM220="",$AD220=""),"",ROUND($AD220/60,4)))</f>
        <v/>
      </c>
      <c r="BP220" s="46" t="str">
        <f aca="false">IF($A220="","",IF($BM220="","",ROUND(N($AE220)/60,4)))</f>
        <v/>
      </c>
      <c r="BQ220" s="46" t="str">
        <f aca="false">IF($A220="","",IF(OR($BM220="",$AF220=""),"",ROUND($AF220/60,4)))</f>
        <v/>
      </c>
      <c r="BR220" s="39" t="str">
        <f aca="false">IF($A220="","",IF($AC220="","",$AC220-$BD220-$BE220))</f>
        <v/>
      </c>
      <c r="BS220" s="45" t="str">
        <f aca="false">IF($A220="","",IF(AND(ISNUMBER($Z220),ISNUMBER($W220)),$Z220,0))</f>
        <v/>
      </c>
      <c r="BT220" s="45" t="str">
        <f aca="false">IF($A220="","",IF(ISNUMBER($W220),$W220,0))</f>
        <v/>
      </c>
      <c r="BU220" s="23" t="str">
        <f aca="false">IF($A220="","",IF(ISNUMBER($W220),ROUND(($W220-$B220)*24,4),""))</f>
        <v/>
      </c>
      <c r="BV220" s="23" t="str">
        <f aca="false">IF($A220="","",IF(ISNUMBER($X220),ROUND(($X220-$B220)*24,4),""))</f>
        <v/>
      </c>
      <c r="BW220" s="10" t="str">
        <f aca="false">IF($A220="","",IF(NOT(ISNUMBER($W220)),"Missing Calculated",IF(NOT(ISNUMBER($X220)),IF($E220="Client","Missing FA signed off","Missing Controlled"),IF($X220&lt;$W220,"End before start","OK"))))</f>
        <v/>
      </c>
      <c r="BX220" s="23" t="str">
        <f aca="false">IF($A220="","",IF(NOT(ISNUMBER($Z220)),"",ROUND((IF(ISNUMBER($U220),MIN($U220,$Z220),$Z220)-$B220)*24,4)))</f>
        <v/>
      </c>
      <c r="BY220" s="23" t="str">
        <f aca="false">IF($A220="","",IF(ISNUMBER($Z220),ROUND(($Z220-$B220)*24,4),""))</f>
        <v/>
      </c>
      <c r="BZ220" s="23" t="str">
        <f aca="false">IF($A220="","",IF(AND(ISNUMBER($W220),ISNUMBER($S220)),ROUND(($W220+$S220/1440-$B220)*24,4),""))</f>
        <v/>
      </c>
    </row>
    <row r="221" customFormat="false" ht="15" hidden="false" customHeight="true" outlineLevel="0" collapsed="false">
      <c r="A221" s="47"/>
      <c r="B221" s="47"/>
      <c r="D221" s="4" t="str">
        <f aca="false">IF($A221="","",$B221-$A221)</f>
        <v/>
      </c>
      <c r="E221" s="4" t="str">
        <f aca="false">IF($A221="","",IFERROR(VLOOKUP($C221,Dim_Fund!$A:$X,24,0),""))</f>
        <v/>
      </c>
      <c r="F221" s="37" t="str">
        <f aca="false">IF($A221="","",IF(COUNTIFS(Status_Log!$A:$A,$A221,Status_Log!$B:$B,$B221,Status_Log!$C:$C,$C221,Status_Log!$D:$D,"Changed to the status of Calculated")=0,"",_xlfn.MINIFS(Status_Log!$E:$E,Status_Log!$A:$A,$A221,Status_Log!$B:$B,$B221,Status_Log!$C:$C,$C221,Status_Log!$D:$D,"Changed to the status of Calculated")))</f>
        <v/>
      </c>
      <c r="G221" s="37" t="str">
        <f aca="false">IF($A221="","",IF(COUNTIFS(Status_Log!$A:$A,$A221,Status_Log!$B:$B,$B221,Status_Log!$C:$C,$C221,Status_Log!$D:$D,"Changed to the status of Controlled")=0,"",_xlfn.MAXIFS(Status_Log!$E:$E,Status_Log!$A:$A,$A221,Status_Log!$B:$B,$B221,Status_Log!$C:$C,$C221,Status_Log!$D:$D,"Changed to the status of Controlled")))</f>
        <v/>
      </c>
      <c r="H221" s="37" t="str">
        <f aca="false">IF($A221="","",IF(COUNTIFS(Status_Log!$A:$A,$A221,Status_Log!$B:$B,$B221,Status_Log!$C:$C,$C221,Status_Log!$D:$D,"Changed to the status of Fund accounting signed off")=0,"",_xlfn.MAXIFS(Status_Log!$E:$E,Status_Log!$A:$A,$A221,Status_Log!$B:$B,$B221,Status_Log!$C:$C,$C221,Status_Log!$D:$D,"Changed to the status of Fund accounting signed off")))</f>
        <v/>
      </c>
      <c r="I221" s="37" t="str">
        <f aca="false">IF($A221="","",IF(COUNTIFS(Status_Log!$A:$A,$A221,Status_Log!$B:$B,$B221,Status_Log!$C:$C,$C221,Status_Log!$D:$D,"Changed to the status of signed off")=0,"",_xlfn.MAXIFS(Status_Log!$E:$E,Status_Log!$A:$A,$A221,Status_Log!$B:$B,$B221,Status_Log!$C:$C,$C221,Status_Log!$D:$D,"Changed to the status of signed off")))</f>
        <v/>
      </c>
      <c r="J221" s="4" t="str">
        <f aca="false">IF($A221="","",COUNTIFS(Status_Log!$A:$A,$A221,Status_Log!$B:$B,$B221,Status_Log!$C:$C,$C221,Status_Log!$D:$D,"Changed to the status of Calculated"))</f>
        <v/>
      </c>
      <c r="K221" s="38" t="str">
        <f aca="false">IF($A221="","",IF(J221&lt;=1,0,ROUND((_xlfn.MAXIFS(Status_Log!$E:$E,Status_Log!$A:$A,$A221,Status_Log!$B:$B,$B221,Status_Log!$C:$C,$C221,Status_Log!$D:$D,"Changed to the status of Calculated")-F221)*1440,0)))</f>
        <v/>
      </c>
      <c r="L221" s="4" t="str">
        <f aca="false">IF($A221="","",IFERROR(INDEX(Status_Log!$F:$F,MATCH($A221&amp;"|"&amp;$B221&amp;"|"&amp;$C221&amp;"|Changed to the status of Calculated|"&amp;TEXT(_xlfn.MAXIFS(Status_Log!$E:$E,Status_Log!$A:$A,$A221,Status_Log!$B:$B,$B221,Status_Log!$C:$C,$C221,Status_Log!$D:$D,"Changed to the status of Calculated"),"0.000000"),Status_Log!$H:$H,0)),""))</f>
        <v/>
      </c>
      <c r="M221" s="4" t="str">
        <f aca="false">IF($A221="","",IF(E221="Client","n/a — no control step",IFERROR(INDEX(Status_Log!$F:$F,MATCH($A221&amp;"|"&amp;$B221&amp;"|"&amp;$C221&amp;"|Changed to the status of Controlled|"&amp;TEXT(_xlfn.MAXIFS(Status_Log!$E:$E,Status_Log!$A:$A,$A221,Status_Log!$B:$B,$B221,Status_Log!$C:$C,$C221,Status_Log!$D:$D,"Changed to the status of Controlled"),"0.000000"),Status_Log!$H:$H,0)),"")))</f>
        <v/>
      </c>
      <c r="N221" s="4" t="str">
        <f aca="false">IF($A221="","",IFERROR(VLOOKUP($C221,Dim_Fund!$A:$G,7,0),""))</f>
        <v/>
      </c>
      <c r="O221" s="4" t="str">
        <f aca="false">IF($A221="","",IF(L221=N221,"No","Yes"))</f>
        <v/>
      </c>
      <c r="P221" s="4" t="str">
        <f aca="false">IF($A221="","",IF(E221="Client","n/a",IF(L221=M221,"YES — four-eyes breach","No")))</f>
        <v/>
      </c>
      <c r="Q221" s="38" t="str">
        <f aca="false">IF($A221="","",IFERROR(VLOOKUP($C221,Dim_Fund!$A:$AB,28,0),""))</f>
        <v/>
      </c>
      <c r="R221" s="38" t="str">
        <f aca="false">IF($A221="","",IFERROR(VLOOKUP($C221,Dim_Fund!$A:$AC,29,0),""))</f>
        <v/>
      </c>
      <c r="S221" s="38" t="str">
        <f aca="false">IF($A221="","",IFERROR(VLOOKUP($C221,Dim_Fund!$A:$AD,30,0),""))</f>
        <v/>
      </c>
      <c r="T221" s="38" t="str">
        <f aca="false">IF($A221="","",IFERROR(VLOOKUP($C221,Dim_Fund!$A:$AL,38,0),""))</f>
        <v/>
      </c>
      <c r="U221" s="37" t="str">
        <f aca="false">IF($A221="","",IF(AL221="","",IFERROR(IF(COUNTIFS(Fact_Milestone!$A:$A,$B221,Fact_Milestone!$B:$B,AL221)=0,"",_xlfn.MAXIFS(Fact_Milestone!$C:$C,Fact_Milestone!$A:$A,$B221,Fact_Milestone!$B:$B,AL221)),"")))</f>
        <v/>
      </c>
      <c r="V221" s="37" t="str">
        <f aca="false">IF($A221="","",IFERROR(IF(VLOOKUP($C221,Dim_Fund!$A:$AI,35,0)&gt;0,$B221+VLOOKUP($C221,Dim_Fund!$A:$AI,35,0)/24,""),""))</f>
        <v/>
      </c>
      <c r="W221" s="37" t="str">
        <f aca="false">IF($A221="","",F221)</f>
        <v/>
      </c>
      <c r="X221" s="37" t="str">
        <f aca="false">IF($A221="","",IF(E221="Client",H221,G221))</f>
        <v/>
      </c>
      <c r="Y221" s="37" t="str">
        <f aca="false">IF($A221="","",I221)</f>
        <v/>
      </c>
      <c r="Z221" s="37" t="str">
        <f aca="false">IF($A221="","",IFERROR(W221-R221/1440,""))</f>
        <v/>
      </c>
      <c r="AA221" s="38" t="str">
        <f aca="false">IF($A221="","",IF(OR(U221="",V221=""),"",ROUND((V221-U221)*1440,0)))</f>
        <v/>
      </c>
      <c r="AB221" s="38" t="str">
        <f aca="false">IF($A221="","",IF(U221="","",ROUND((W221-U221)*1440,0)))</f>
        <v/>
      </c>
      <c r="AC221" s="38" t="str">
        <f aca="false">IF($A221="","",IF(AB221="","",MAX(0,AB221)))</f>
        <v/>
      </c>
      <c r="AD221" s="38" t="str">
        <f aca="false">IF($A221="","",IFERROR(ROUND((X221-W221)*1440,0),""))</f>
        <v/>
      </c>
      <c r="AE221" s="38" t="str">
        <f aca="false">IF($A221="","",IF(E221="Client","n/a",IFERROR(ROUND((H221-G221)*1440,0),"")))</f>
        <v/>
      </c>
      <c r="AF221" s="38" t="str">
        <f aca="false">IF($A221="","",IFERROR(ROUND((Y221-H221)*1440,0),""))</f>
        <v/>
      </c>
      <c r="AG221" s="38" t="str">
        <f aca="false">IF($A221="","",IFERROR(ROUND((H221-F221)*1440,0),""))</f>
        <v/>
      </c>
      <c r="AH221" s="38" t="str">
        <f aca="false">IF($A221="","",IFERROR(ROUND((Y221-V221)*1440,0),""))</f>
        <v/>
      </c>
      <c r="AI221" s="4" t="str">
        <f aca="false">IF($A221="","",IF(AH221="","",IF(AH221&gt;0,"Yes","No")))</f>
        <v/>
      </c>
      <c r="AJ221" s="4" t="str">
        <f aca="false">IF($A221="","",IF(AI221&lt;&gt;"Yes","On time",IF(N(AC221)&gt;=MAX(N(AF221),N(K221)),"Wait for analyst",IF(N(AF221)&gt;=N(K221),"External sign-off","Rework"))))</f>
        <v/>
      </c>
      <c r="AK221" s="4" t="str">
        <f aca="false">IF($A221="","",IF(OR(F221="",Y221="",ISNA(MATCH(L221,Dim_Analyst!$A:$A,0))),"CHECK","OK"))</f>
        <v/>
      </c>
      <c r="AL221" s="4" t="str">
        <f aca="false">IF($A221="","",IFERROR(VLOOKUP($C221,Dim_Fund!$A:$U,21,0),""))</f>
        <v/>
      </c>
      <c r="AM221" s="4" t="str">
        <f aca="false">IF($A221="","",IF($U221="","",IF($U221&gt;$B221+IFERROR(VLOOKUP($C221,Dim_Fund!$A:$AH,34,0),0)/24,"Yes","No")))</f>
        <v/>
      </c>
      <c r="AN221" s="22" t="str">
        <f aca="false">IF($A221="","",IFERROR(VLOOKUP($C221,Dim_Fund!$A:$AH,34,0),""))</f>
        <v/>
      </c>
      <c r="AO221" s="22" t="str">
        <f aca="false">IF($A221="","",IF($AL221="","",IFERROR(FLOOR(IF(COUNTIFS(Fact_Milestone!$A:$A,$B221,Fact_Milestone!$B:$B,$AL221,Fact_Milestone!$F:$F,"&gt;0")&gt;0,_xlfn.MINIFS(Fact_Milestone!$F:$F,Fact_Milestone!$A:$A,$B221,Fact_Milestone!$B:$B,$AL221,Fact_Milestone!$F:$F,"&gt;0"),VLOOKUP($AL221,Dim_TOP!$A:$E,5,0)),0.5),"")))</f>
        <v/>
      </c>
      <c r="AP221" s="22" t="str">
        <f aca="false">IF($A221="","",IF($U221="","",ROUND(($U221-INT($U221))*24,4)))</f>
        <v/>
      </c>
      <c r="AQ221" s="22" t="str">
        <f aca="false">IF($A221="","",IF($W221="","",ROUND(($W221-INT($W221))*24,4)))</f>
        <v/>
      </c>
      <c r="AR221" s="22" t="str">
        <f aca="false">IF($A221="","",IF($X221="","",ROUND(($X221-INT($X221))*24,4)))</f>
        <v/>
      </c>
      <c r="AS221" s="38" t="str">
        <f aca="false">IF($A221="","",IF(OR($AN221="",$V221="",$S221="",$T221=""),"",ROUND(($V221-($B221+$AN221/24))*1440-$S221-$T221,0)))</f>
        <v/>
      </c>
      <c r="AT221" s="38" t="str">
        <f aca="false">IF($A221="","",IF(OR($AN221="",$U221=""),"",ROUND(($U221-($B221+$AN221/24))*1440,0)))</f>
        <v/>
      </c>
      <c r="AU221" s="38" t="str">
        <f aca="false">IF($A221="","",IF(OR($AD221="",$S221=""),"",ROUND($AD221-$S221,0)))</f>
        <v/>
      </c>
      <c r="AV221" s="38" t="str">
        <f aca="false">IF($A221="","",N($AE221))</f>
        <v/>
      </c>
      <c r="AW221" s="38" t="str">
        <f aca="false">IF($A221="","",IF(OR($AF221="",$T221=""),"",$AF221-$T221))</f>
        <v/>
      </c>
      <c r="AX221" s="38" t="str">
        <f aca="false">IF($A221="","",IF(COUNT($AT221,$AB221,$AU221,$AW221,$AS221,$AH221)&lt;6,"",ROUND($AT221+$AB221+$AU221+$AV221+$AW221-$AS221-$AH221,0)))</f>
        <v/>
      </c>
      <c r="AY221" s="4" t="str">
        <f aca="false">IF($A221="","",IF($AX221="","No",IF(ABS($AX221)&lt;=2,"Yes","No")))</f>
        <v/>
      </c>
      <c r="AZ221" s="4" t="str">
        <f aca="false">IF($A221="","",IF($AI221&lt;&gt;"Yes","n/a",IF(OR($AA221="",$S221="",$T221=""),"Unknown",IF($AA221&lt;$S221+$T221,"Lost on arrival","Lost after arrival"))))</f>
        <v/>
      </c>
      <c r="BA221" s="10" t="str">
        <f aca="false">IF($A221="","",IFERROR(VLOOKUP($C221,Dim_Fund!$A:$D,4,0),""))</f>
        <v/>
      </c>
      <c r="BB221" s="10" t="str">
        <f aca="false">IF($A221="","",IF($AL221="","",IF(COUNTIFS(Fact_Milestone!$A:$A,$B221,Fact_Milestone!$B:$B,$AL221,Fact_Milestone!$I:$I,"No")&gt;0,"No",IF(COUNTIFS(Fact_Milestone!$A:$A,$B221,Fact_Milestone!$B:$B,$AL221,Fact_Milestone!$I:$I,"Yes")&gt;0,"Yes",""))))</f>
        <v/>
      </c>
      <c r="BC221" s="45" t="str">
        <f aca="false">IF($A221="","",IF(OR($L221="",$W221=""),"",IF(COUNTIFS($L:$L,$L221,$B:$B,$B221,$W:$W,"&lt;"&amp;$W221)=0,"",_xlfn.MAXIFS($W:$W,$L:$L,$L221,$B:$B,$B221,$W:$W,"&lt;"&amp;$W221))))</f>
        <v/>
      </c>
      <c r="BD221" s="39" t="str">
        <f aca="false">IF($A221="","",IF($AC221="","",IF(OR($L221="",$AC221=0),0,MIN($AC221,ROUND(ROUND(1440*SUMPRODUCT(($L$2:INDEX($L:$L,COUNTA($C:$C))=$L221)*($B$2:INDEX($B:$B,COUNTA($C:$C))=$B221)*(ROW($L$2:INDEX($L:$L,COUNTA($C:$C)))&lt;&gt;ROW())*((((($W221+$BT$2:INDEX($BT:$BT,COUNTA($C:$C))-ABS($W221-$BT$2:INDEX($BT:$BT,COUNTA($C:$C))))/2)-(($U221+$BS$2:INDEX($BS:$BS,COUNTA($C:$C))+ABS($U221-$BS$2:INDEX($BS:$BS,COUNTA($C:$C))))/2))+ABS(((($W221+$BT$2:INDEX($BT:$BT,COUNTA($C:$C))-ABS($W221-$BT$2:INDEX($BT:$BT,COUNTA($C:$C))))/2)-(($U221+$BS$2:INDEX($BS:$BS,COUNTA($C:$C))+ABS($U221-$BS$2:INDEX($BS:$BS,COUNTA($C:$C))))/2))))/2)),4),0)))))</f>
        <v/>
      </c>
      <c r="BE221" s="39" t="str">
        <f aca="false">IF($A221="","",IF($AC221="","",ROUND(MIN($AC221-$BD221,N($R221)),0)))</f>
        <v/>
      </c>
      <c r="BF221" s="10" t="str">
        <f aca="false">IF($A221="","",IFERROR(VLOOKUP($C221,Dim_Fund!$A:$BD,56,0),""))</f>
        <v/>
      </c>
      <c r="BG221" s="10" t="str">
        <f aca="false">IF($A221="","",IFERROR(VLOOKUP($C221,Dim_Fund!$A:$BH,60,0),""))</f>
        <v/>
      </c>
      <c r="BH221" s="10" t="str">
        <f aca="false">IF($A221="","",IF($AI221&lt;&gt;"Yes","Not breached",IF($AM221="Yes","Pricing late",IF($BG221="Thin custody slack","Thin custody slack",IF($BF221="Yes","Broker-dependent","None of these")))))</f>
        <v/>
      </c>
      <c r="BI221" s="23" t="str">
        <f aca="false">IF($A221="","",IFERROR(IF(VLOOKUP($C221,Dim_Fund!$A:$AI,35,0)&gt;0,VLOOKUP($C221,Dim_Fund!$A:$AI,35,0),""),""))</f>
        <v/>
      </c>
      <c r="BJ221" s="10" t="str">
        <f aca="false">IF($A221="","",$C221&amp;IF($E221="Client","*",""))</f>
        <v/>
      </c>
      <c r="BK221" s="39" t="str">
        <f aca="false">IF($A221="","",IFERROR(ROUND(($Y221-$X221)*1440,0),""))</f>
        <v/>
      </c>
      <c r="BL221" s="39" t="str">
        <f aca="false">IF($A221="","",IF($AH221="","",-$AH221))</f>
        <v/>
      </c>
      <c r="BM221" s="46" t="str">
        <f aca="false">IF($A221="","",IF($AQ221="","",IF($AP221="",$AQ221,MIN($AP221,$AQ221))))</f>
        <v/>
      </c>
      <c r="BN221" s="46" t="str">
        <f aca="false">IF($A221="","",IF($BM221="","",ROUND(N($AC221)/60,4)))</f>
        <v/>
      </c>
      <c r="BO221" s="46" t="str">
        <f aca="false">IF($A221="","",IF(OR($BM221="",$AD221=""),"",ROUND($AD221/60,4)))</f>
        <v/>
      </c>
      <c r="BP221" s="46" t="str">
        <f aca="false">IF($A221="","",IF($BM221="","",ROUND(N($AE221)/60,4)))</f>
        <v/>
      </c>
      <c r="BQ221" s="46" t="str">
        <f aca="false">IF($A221="","",IF(OR($BM221="",$AF221=""),"",ROUND($AF221/60,4)))</f>
        <v/>
      </c>
      <c r="BR221" s="39" t="str">
        <f aca="false">IF($A221="","",IF($AC221="","",$AC221-$BD221-$BE221))</f>
        <v/>
      </c>
      <c r="BS221" s="45" t="str">
        <f aca="false">IF($A221="","",IF(AND(ISNUMBER($Z221),ISNUMBER($W221)),$Z221,0))</f>
        <v/>
      </c>
      <c r="BT221" s="45" t="str">
        <f aca="false">IF($A221="","",IF(ISNUMBER($W221),$W221,0))</f>
        <v/>
      </c>
      <c r="BU221" s="23" t="str">
        <f aca="false">IF($A221="","",IF(ISNUMBER($W221),ROUND(($W221-$B221)*24,4),""))</f>
        <v/>
      </c>
      <c r="BV221" s="23" t="str">
        <f aca="false">IF($A221="","",IF(ISNUMBER($X221),ROUND(($X221-$B221)*24,4),""))</f>
        <v/>
      </c>
      <c r="BW221" s="10" t="str">
        <f aca="false">IF($A221="","",IF(NOT(ISNUMBER($W221)),"Missing Calculated",IF(NOT(ISNUMBER($X221)),IF($E221="Client","Missing FA signed off","Missing Controlled"),IF($X221&lt;$W221,"End before start","OK"))))</f>
        <v/>
      </c>
      <c r="BX221" s="23" t="str">
        <f aca="false">IF($A221="","",IF(NOT(ISNUMBER($Z221)),"",ROUND((IF(ISNUMBER($U221),MIN($U221,$Z221),$Z221)-$B221)*24,4)))</f>
        <v/>
      </c>
      <c r="BY221" s="23" t="str">
        <f aca="false">IF($A221="","",IF(ISNUMBER($Z221),ROUND(($Z221-$B221)*24,4),""))</f>
        <v/>
      </c>
      <c r="BZ221" s="23" t="str">
        <f aca="false">IF($A221="","",IF(AND(ISNUMBER($W221),ISNUMBER($S221)),ROUND(($W221+$S221/1440-$B221)*24,4),""))</f>
        <v/>
      </c>
    </row>
    <row r="222" customFormat="false" ht="15" hidden="false" customHeight="true" outlineLevel="0" collapsed="false">
      <c r="A222" s="47"/>
      <c r="B222" s="47"/>
      <c r="D222" s="4" t="str">
        <f aca="false">IF($A222="","",$B222-$A222)</f>
        <v/>
      </c>
      <c r="E222" s="4" t="str">
        <f aca="false">IF($A222="","",IFERROR(VLOOKUP($C222,Dim_Fund!$A:$X,24,0),""))</f>
        <v/>
      </c>
      <c r="F222" s="37" t="str">
        <f aca="false">IF($A222="","",IF(COUNTIFS(Status_Log!$A:$A,$A222,Status_Log!$B:$B,$B222,Status_Log!$C:$C,$C222,Status_Log!$D:$D,"Changed to the status of Calculated")=0,"",_xlfn.MINIFS(Status_Log!$E:$E,Status_Log!$A:$A,$A222,Status_Log!$B:$B,$B222,Status_Log!$C:$C,$C222,Status_Log!$D:$D,"Changed to the status of Calculated")))</f>
        <v/>
      </c>
      <c r="G222" s="37" t="str">
        <f aca="false">IF($A222="","",IF(COUNTIFS(Status_Log!$A:$A,$A222,Status_Log!$B:$B,$B222,Status_Log!$C:$C,$C222,Status_Log!$D:$D,"Changed to the status of Controlled")=0,"",_xlfn.MAXIFS(Status_Log!$E:$E,Status_Log!$A:$A,$A222,Status_Log!$B:$B,$B222,Status_Log!$C:$C,$C222,Status_Log!$D:$D,"Changed to the status of Controlled")))</f>
        <v/>
      </c>
      <c r="H222" s="37" t="str">
        <f aca="false">IF($A222="","",IF(COUNTIFS(Status_Log!$A:$A,$A222,Status_Log!$B:$B,$B222,Status_Log!$C:$C,$C222,Status_Log!$D:$D,"Changed to the status of Fund accounting signed off")=0,"",_xlfn.MAXIFS(Status_Log!$E:$E,Status_Log!$A:$A,$A222,Status_Log!$B:$B,$B222,Status_Log!$C:$C,$C222,Status_Log!$D:$D,"Changed to the status of Fund accounting signed off")))</f>
        <v/>
      </c>
      <c r="I222" s="37" t="str">
        <f aca="false">IF($A222="","",IF(COUNTIFS(Status_Log!$A:$A,$A222,Status_Log!$B:$B,$B222,Status_Log!$C:$C,$C222,Status_Log!$D:$D,"Changed to the status of signed off")=0,"",_xlfn.MAXIFS(Status_Log!$E:$E,Status_Log!$A:$A,$A222,Status_Log!$B:$B,$B222,Status_Log!$C:$C,$C222,Status_Log!$D:$D,"Changed to the status of signed off")))</f>
        <v/>
      </c>
      <c r="J222" s="4" t="str">
        <f aca="false">IF($A222="","",COUNTIFS(Status_Log!$A:$A,$A222,Status_Log!$B:$B,$B222,Status_Log!$C:$C,$C222,Status_Log!$D:$D,"Changed to the status of Calculated"))</f>
        <v/>
      </c>
      <c r="K222" s="38" t="str">
        <f aca="false">IF($A222="","",IF(J222&lt;=1,0,ROUND((_xlfn.MAXIFS(Status_Log!$E:$E,Status_Log!$A:$A,$A222,Status_Log!$B:$B,$B222,Status_Log!$C:$C,$C222,Status_Log!$D:$D,"Changed to the status of Calculated")-F222)*1440,0)))</f>
        <v/>
      </c>
      <c r="L222" s="4" t="str">
        <f aca="false">IF($A222="","",IFERROR(INDEX(Status_Log!$F:$F,MATCH($A222&amp;"|"&amp;$B222&amp;"|"&amp;$C222&amp;"|Changed to the status of Calculated|"&amp;TEXT(_xlfn.MAXIFS(Status_Log!$E:$E,Status_Log!$A:$A,$A222,Status_Log!$B:$B,$B222,Status_Log!$C:$C,$C222,Status_Log!$D:$D,"Changed to the status of Calculated"),"0.000000"),Status_Log!$H:$H,0)),""))</f>
        <v/>
      </c>
      <c r="M222" s="4" t="str">
        <f aca="false">IF($A222="","",IF(E222="Client","n/a — no control step",IFERROR(INDEX(Status_Log!$F:$F,MATCH($A222&amp;"|"&amp;$B222&amp;"|"&amp;$C222&amp;"|Changed to the status of Controlled|"&amp;TEXT(_xlfn.MAXIFS(Status_Log!$E:$E,Status_Log!$A:$A,$A222,Status_Log!$B:$B,$B222,Status_Log!$C:$C,$C222,Status_Log!$D:$D,"Changed to the status of Controlled"),"0.000000"),Status_Log!$H:$H,0)),"")))</f>
        <v/>
      </c>
      <c r="N222" s="4" t="str">
        <f aca="false">IF($A222="","",IFERROR(VLOOKUP($C222,Dim_Fund!$A:$G,7,0),""))</f>
        <v/>
      </c>
      <c r="O222" s="4" t="str">
        <f aca="false">IF($A222="","",IF(L222=N222,"No","Yes"))</f>
        <v/>
      </c>
      <c r="P222" s="4" t="str">
        <f aca="false">IF($A222="","",IF(E222="Client","n/a",IF(L222=M222,"YES — four-eyes breach","No")))</f>
        <v/>
      </c>
      <c r="Q222" s="38" t="str">
        <f aca="false">IF($A222="","",IFERROR(VLOOKUP($C222,Dim_Fund!$A:$AB,28,0),""))</f>
        <v/>
      </c>
      <c r="R222" s="38" t="str">
        <f aca="false">IF($A222="","",IFERROR(VLOOKUP($C222,Dim_Fund!$A:$AC,29,0),""))</f>
        <v/>
      </c>
      <c r="S222" s="38" t="str">
        <f aca="false">IF($A222="","",IFERROR(VLOOKUP($C222,Dim_Fund!$A:$AD,30,0),""))</f>
        <v/>
      </c>
      <c r="T222" s="38" t="str">
        <f aca="false">IF($A222="","",IFERROR(VLOOKUP($C222,Dim_Fund!$A:$AL,38,0),""))</f>
        <v/>
      </c>
      <c r="U222" s="37" t="str">
        <f aca="false">IF($A222="","",IF(AL222="","",IFERROR(IF(COUNTIFS(Fact_Milestone!$A:$A,$B222,Fact_Milestone!$B:$B,AL222)=0,"",_xlfn.MAXIFS(Fact_Milestone!$C:$C,Fact_Milestone!$A:$A,$B222,Fact_Milestone!$B:$B,AL222)),"")))</f>
        <v/>
      </c>
      <c r="V222" s="37" t="str">
        <f aca="false">IF($A222="","",IFERROR(IF(VLOOKUP($C222,Dim_Fund!$A:$AI,35,0)&gt;0,$B222+VLOOKUP($C222,Dim_Fund!$A:$AI,35,0)/24,""),""))</f>
        <v/>
      </c>
      <c r="W222" s="37" t="str">
        <f aca="false">IF($A222="","",F222)</f>
        <v/>
      </c>
      <c r="X222" s="37" t="str">
        <f aca="false">IF($A222="","",IF(E222="Client",H222,G222))</f>
        <v/>
      </c>
      <c r="Y222" s="37" t="str">
        <f aca="false">IF($A222="","",I222)</f>
        <v/>
      </c>
      <c r="Z222" s="37" t="str">
        <f aca="false">IF($A222="","",IFERROR(W222-R222/1440,""))</f>
        <v/>
      </c>
      <c r="AA222" s="38" t="str">
        <f aca="false">IF($A222="","",IF(OR(U222="",V222=""),"",ROUND((V222-U222)*1440,0)))</f>
        <v/>
      </c>
      <c r="AB222" s="38" t="str">
        <f aca="false">IF($A222="","",IF(U222="","",ROUND((W222-U222)*1440,0)))</f>
        <v/>
      </c>
      <c r="AC222" s="38" t="str">
        <f aca="false">IF($A222="","",IF(AB222="","",MAX(0,AB222)))</f>
        <v/>
      </c>
      <c r="AD222" s="38" t="str">
        <f aca="false">IF($A222="","",IFERROR(ROUND((X222-W222)*1440,0),""))</f>
        <v/>
      </c>
      <c r="AE222" s="38" t="str">
        <f aca="false">IF($A222="","",IF(E222="Client","n/a",IFERROR(ROUND((H222-G222)*1440,0),"")))</f>
        <v/>
      </c>
      <c r="AF222" s="38" t="str">
        <f aca="false">IF($A222="","",IFERROR(ROUND((Y222-H222)*1440,0),""))</f>
        <v/>
      </c>
      <c r="AG222" s="38" t="str">
        <f aca="false">IF($A222="","",IFERROR(ROUND((H222-F222)*1440,0),""))</f>
        <v/>
      </c>
      <c r="AH222" s="38" t="str">
        <f aca="false">IF($A222="","",IFERROR(ROUND((Y222-V222)*1440,0),""))</f>
        <v/>
      </c>
      <c r="AI222" s="4" t="str">
        <f aca="false">IF($A222="","",IF(AH222="","",IF(AH222&gt;0,"Yes","No")))</f>
        <v/>
      </c>
      <c r="AJ222" s="4" t="str">
        <f aca="false">IF($A222="","",IF(AI222&lt;&gt;"Yes","On time",IF(N(AC222)&gt;=MAX(N(AF222),N(K222)),"Wait for analyst",IF(N(AF222)&gt;=N(K222),"External sign-off","Rework"))))</f>
        <v/>
      </c>
      <c r="AK222" s="4" t="str">
        <f aca="false">IF($A222="","",IF(OR(F222="",Y222="",ISNA(MATCH(L222,Dim_Analyst!$A:$A,0))),"CHECK","OK"))</f>
        <v/>
      </c>
      <c r="AL222" s="4" t="str">
        <f aca="false">IF($A222="","",IFERROR(VLOOKUP($C222,Dim_Fund!$A:$U,21,0),""))</f>
        <v/>
      </c>
      <c r="AM222" s="4" t="str">
        <f aca="false">IF($A222="","",IF($U222="","",IF($U222&gt;$B222+IFERROR(VLOOKUP($C222,Dim_Fund!$A:$AH,34,0),0)/24,"Yes","No")))</f>
        <v/>
      </c>
      <c r="AN222" s="22" t="str">
        <f aca="false">IF($A222="","",IFERROR(VLOOKUP($C222,Dim_Fund!$A:$AH,34,0),""))</f>
        <v/>
      </c>
      <c r="AO222" s="22" t="str">
        <f aca="false">IF($A222="","",IF($AL222="","",IFERROR(FLOOR(IF(COUNTIFS(Fact_Milestone!$A:$A,$B222,Fact_Milestone!$B:$B,$AL222,Fact_Milestone!$F:$F,"&gt;0")&gt;0,_xlfn.MINIFS(Fact_Milestone!$F:$F,Fact_Milestone!$A:$A,$B222,Fact_Milestone!$B:$B,$AL222,Fact_Milestone!$F:$F,"&gt;0"),VLOOKUP($AL222,Dim_TOP!$A:$E,5,0)),0.5),"")))</f>
        <v/>
      </c>
      <c r="AP222" s="22" t="str">
        <f aca="false">IF($A222="","",IF($U222="","",ROUND(($U222-INT($U222))*24,4)))</f>
        <v/>
      </c>
      <c r="AQ222" s="22" t="str">
        <f aca="false">IF($A222="","",IF($W222="","",ROUND(($W222-INT($W222))*24,4)))</f>
        <v/>
      </c>
      <c r="AR222" s="22" t="str">
        <f aca="false">IF($A222="","",IF($X222="","",ROUND(($X222-INT($X222))*24,4)))</f>
        <v/>
      </c>
      <c r="AS222" s="38" t="str">
        <f aca="false">IF($A222="","",IF(OR($AN222="",$V222="",$S222="",$T222=""),"",ROUND(($V222-($B222+$AN222/24))*1440-$S222-$T222,0)))</f>
        <v/>
      </c>
      <c r="AT222" s="38" t="str">
        <f aca="false">IF($A222="","",IF(OR($AN222="",$U222=""),"",ROUND(($U222-($B222+$AN222/24))*1440,0)))</f>
        <v/>
      </c>
      <c r="AU222" s="38" t="str">
        <f aca="false">IF($A222="","",IF(OR($AD222="",$S222=""),"",ROUND($AD222-$S222,0)))</f>
        <v/>
      </c>
      <c r="AV222" s="38" t="str">
        <f aca="false">IF($A222="","",N($AE222))</f>
        <v/>
      </c>
      <c r="AW222" s="38" t="str">
        <f aca="false">IF($A222="","",IF(OR($AF222="",$T222=""),"",$AF222-$T222))</f>
        <v/>
      </c>
      <c r="AX222" s="38" t="str">
        <f aca="false">IF($A222="","",IF(COUNT($AT222,$AB222,$AU222,$AW222,$AS222,$AH222)&lt;6,"",ROUND($AT222+$AB222+$AU222+$AV222+$AW222-$AS222-$AH222,0)))</f>
        <v/>
      </c>
      <c r="AY222" s="4" t="str">
        <f aca="false">IF($A222="","",IF($AX222="","No",IF(ABS($AX222)&lt;=2,"Yes","No")))</f>
        <v/>
      </c>
      <c r="AZ222" s="4" t="str">
        <f aca="false">IF($A222="","",IF($AI222&lt;&gt;"Yes","n/a",IF(OR($AA222="",$S222="",$T222=""),"Unknown",IF($AA222&lt;$S222+$T222,"Lost on arrival","Lost after arrival"))))</f>
        <v/>
      </c>
      <c r="BA222" s="10" t="str">
        <f aca="false">IF($A222="","",IFERROR(VLOOKUP($C222,Dim_Fund!$A:$D,4,0),""))</f>
        <v/>
      </c>
      <c r="BB222" s="10" t="str">
        <f aca="false">IF($A222="","",IF($AL222="","",IF(COUNTIFS(Fact_Milestone!$A:$A,$B222,Fact_Milestone!$B:$B,$AL222,Fact_Milestone!$I:$I,"No")&gt;0,"No",IF(COUNTIFS(Fact_Milestone!$A:$A,$B222,Fact_Milestone!$B:$B,$AL222,Fact_Milestone!$I:$I,"Yes")&gt;0,"Yes",""))))</f>
        <v/>
      </c>
      <c r="BC222" s="45" t="str">
        <f aca="false">IF($A222="","",IF(OR($L222="",$W222=""),"",IF(COUNTIFS($L:$L,$L222,$B:$B,$B222,$W:$W,"&lt;"&amp;$W222)=0,"",_xlfn.MAXIFS($W:$W,$L:$L,$L222,$B:$B,$B222,$W:$W,"&lt;"&amp;$W222))))</f>
        <v/>
      </c>
      <c r="BD222" s="39" t="str">
        <f aca="false">IF($A222="","",IF($AC222="","",IF(OR($L222="",$AC222=0),0,MIN($AC222,ROUND(ROUND(1440*SUMPRODUCT(($L$2:INDEX($L:$L,COUNTA($C:$C))=$L222)*($B$2:INDEX($B:$B,COUNTA($C:$C))=$B222)*(ROW($L$2:INDEX($L:$L,COUNTA($C:$C)))&lt;&gt;ROW())*((((($W222+$BT$2:INDEX($BT:$BT,COUNTA($C:$C))-ABS($W222-$BT$2:INDEX($BT:$BT,COUNTA($C:$C))))/2)-(($U222+$BS$2:INDEX($BS:$BS,COUNTA($C:$C))+ABS($U222-$BS$2:INDEX($BS:$BS,COUNTA($C:$C))))/2))+ABS(((($W222+$BT$2:INDEX($BT:$BT,COUNTA($C:$C))-ABS($W222-$BT$2:INDEX($BT:$BT,COUNTA($C:$C))))/2)-(($U222+$BS$2:INDEX($BS:$BS,COUNTA($C:$C))+ABS($U222-$BS$2:INDEX($BS:$BS,COUNTA($C:$C))))/2))))/2)),4),0)))))</f>
        <v/>
      </c>
      <c r="BE222" s="39" t="str">
        <f aca="false">IF($A222="","",IF($AC222="","",ROUND(MIN($AC222-$BD222,N($R222)),0)))</f>
        <v/>
      </c>
      <c r="BF222" s="10" t="str">
        <f aca="false">IF($A222="","",IFERROR(VLOOKUP($C222,Dim_Fund!$A:$BD,56,0),""))</f>
        <v/>
      </c>
      <c r="BG222" s="10" t="str">
        <f aca="false">IF($A222="","",IFERROR(VLOOKUP($C222,Dim_Fund!$A:$BH,60,0),""))</f>
        <v/>
      </c>
      <c r="BH222" s="10" t="str">
        <f aca="false">IF($A222="","",IF($AI222&lt;&gt;"Yes","Not breached",IF($AM222="Yes","Pricing late",IF($BG222="Thin custody slack","Thin custody slack",IF($BF222="Yes","Broker-dependent","None of these")))))</f>
        <v/>
      </c>
      <c r="BI222" s="23" t="str">
        <f aca="false">IF($A222="","",IFERROR(IF(VLOOKUP($C222,Dim_Fund!$A:$AI,35,0)&gt;0,VLOOKUP($C222,Dim_Fund!$A:$AI,35,0),""),""))</f>
        <v/>
      </c>
      <c r="BJ222" s="10" t="str">
        <f aca="false">IF($A222="","",$C222&amp;IF($E222="Client","*",""))</f>
        <v/>
      </c>
      <c r="BK222" s="39" t="str">
        <f aca="false">IF($A222="","",IFERROR(ROUND(($Y222-$X222)*1440,0),""))</f>
        <v/>
      </c>
      <c r="BL222" s="39" t="str">
        <f aca="false">IF($A222="","",IF($AH222="","",-$AH222))</f>
        <v/>
      </c>
      <c r="BM222" s="46" t="str">
        <f aca="false">IF($A222="","",IF($AQ222="","",IF($AP222="",$AQ222,MIN($AP222,$AQ222))))</f>
        <v/>
      </c>
      <c r="BN222" s="46" t="str">
        <f aca="false">IF($A222="","",IF($BM222="","",ROUND(N($AC222)/60,4)))</f>
        <v/>
      </c>
      <c r="BO222" s="46" t="str">
        <f aca="false">IF($A222="","",IF(OR($BM222="",$AD222=""),"",ROUND($AD222/60,4)))</f>
        <v/>
      </c>
      <c r="BP222" s="46" t="str">
        <f aca="false">IF($A222="","",IF($BM222="","",ROUND(N($AE222)/60,4)))</f>
        <v/>
      </c>
      <c r="BQ222" s="46" t="str">
        <f aca="false">IF($A222="","",IF(OR($BM222="",$AF222=""),"",ROUND($AF222/60,4)))</f>
        <v/>
      </c>
      <c r="BR222" s="39" t="str">
        <f aca="false">IF($A222="","",IF($AC222="","",$AC222-$BD222-$BE222))</f>
        <v/>
      </c>
      <c r="BS222" s="45" t="str">
        <f aca="false">IF($A222="","",IF(AND(ISNUMBER($Z222),ISNUMBER($W222)),$Z222,0))</f>
        <v/>
      </c>
      <c r="BT222" s="45" t="str">
        <f aca="false">IF($A222="","",IF(ISNUMBER($W222),$W222,0))</f>
        <v/>
      </c>
      <c r="BU222" s="23" t="str">
        <f aca="false">IF($A222="","",IF(ISNUMBER($W222),ROUND(($W222-$B222)*24,4),""))</f>
        <v/>
      </c>
      <c r="BV222" s="23" t="str">
        <f aca="false">IF($A222="","",IF(ISNUMBER($X222),ROUND(($X222-$B222)*24,4),""))</f>
        <v/>
      </c>
      <c r="BW222" s="10" t="str">
        <f aca="false">IF($A222="","",IF(NOT(ISNUMBER($W222)),"Missing Calculated",IF(NOT(ISNUMBER($X222)),IF($E222="Client","Missing FA signed off","Missing Controlled"),IF($X222&lt;$W222,"End before start","OK"))))</f>
        <v/>
      </c>
      <c r="BX222" s="23" t="str">
        <f aca="false">IF($A222="","",IF(NOT(ISNUMBER($Z222)),"",ROUND((IF(ISNUMBER($U222),MIN($U222,$Z222),$Z222)-$B222)*24,4)))</f>
        <v/>
      </c>
      <c r="BY222" s="23" t="str">
        <f aca="false">IF($A222="","",IF(ISNUMBER($Z222),ROUND(($Z222-$B222)*24,4),""))</f>
        <v/>
      </c>
      <c r="BZ222" s="23" t="str">
        <f aca="false">IF($A222="","",IF(AND(ISNUMBER($W222),ISNUMBER($S222)),ROUND(($W222+$S222/1440-$B222)*24,4),""))</f>
        <v/>
      </c>
    </row>
    <row r="223" customFormat="false" ht="15" hidden="false" customHeight="true" outlineLevel="0" collapsed="false">
      <c r="A223" s="47"/>
      <c r="B223" s="47"/>
      <c r="D223" s="4" t="str">
        <f aca="false">IF($A223="","",$B223-$A223)</f>
        <v/>
      </c>
      <c r="E223" s="4" t="str">
        <f aca="false">IF($A223="","",IFERROR(VLOOKUP($C223,Dim_Fund!$A:$X,24,0),""))</f>
        <v/>
      </c>
      <c r="F223" s="37" t="str">
        <f aca="false">IF($A223="","",IF(COUNTIFS(Status_Log!$A:$A,$A223,Status_Log!$B:$B,$B223,Status_Log!$C:$C,$C223,Status_Log!$D:$D,"Changed to the status of Calculated")=0,"",_xlfn.MINIFS(Status_Log!$E:$E,Status_Log!$A:$A,$A223,Status_Log!$B:$B,$B223,Status_Log!$C:$C,$C223,Status_Log!$D:$D,"Changed to the status of Calculated")))</f>
        <v/>
      </c>
      <c r="G223" s="37" t="str">
        <f aca="false">IF($A223="","",IF(COUNTIFS(Status_Log!$A:$A,$A223,Status_Log!$B:$B,$B223,Status_Log!$C:$C,$C223,Status_Log!$D:$D,"Changed to the status of Controlled")=0,"",_xlfn.MAXIFS(Status_Log!$E:$E,Status_Log!$A:$A,$A223,Status_Log!$B:$B,$B223,Status_Log!$C:$C,$C223,Status_Log!$D:$D,"Changed to the status of Controlled")))</f>
        <v/>
      </c>
      <c r="H223" s="37" t="str">
        <f aca="false">IF($A223="","",IF(COUNTIFS(Status_Log!$A:$A,$A223,Status_Log!$B:$B,$B223,Status_Log!$C:$C,$C223,Status_Log!$D:$D,"Changed to the status of Fund accounting signed off")=0,"",_xlfn.MAXIFS(Status_Log!$E:$E,Status_Log!$A:$A,$A223,Status_Log!$B:$B,$B223,Status_Log!$C:$C,$C223,Status_Log!$D:$D,"Changed to the status of Fund accounting signed off")))</f>
        <v/>
      </c>
      <c r="I223" s="37" t="str">
        <f aca="false">IF($A223="","",IF(COUNTIFS(Status_Log!$A:$A,$A223,Status_Log!$B:$B,$B223,Status_Log!$C:$C,$C223,Status_Log!$D:$D,"Changed to the status of signed off")=0,"",_xlfn.MAXIFS(Status_Log!$E:$E,Status_Log!$A:$A,$A223,Status_Log!$B:$B,$B223,Status_Log!$C:$C,$C223,Status_Log!$D:$D,"Changed to the status of signed off")))</f>
        <v/>
      </c>
      <c r="J223" s="4" t="str">
        <f aca="false">IF($A223="","",COUNTIFS(Status_Log!$A:$A,$A223,Status_Log!$B:$B,$B223,Status_Log!$C:$C,$C223,Status_Log!$D:$D,"Changed to the status of Calculated"))</f>
        <v/>
      </c>
      <c r="K223" s="38" t="str">
        <f aca="false">IF($A223="","",IF(J223&lt;=1,0,ROUND((_xlfn.MAXIFS(Status_Log!$E:$E,Status_Log!$A:$A,$A223,Status_Log!$B:$B,$B223,Status_Log!$C:$C,$C223,Status_Log!$D:$D,"Changed to the status of Calculated")-F223)*1440,0)))</f>
        <v/>
      </c>
      <c r="L223" s="4" t="str">
        <f aca="false">IF($A223="","",IFERROR(INDEX(Status_Log!$F:$F,MATCH($A223&amp;"|"&amp;$B223&amp;"|"&amp;$C223&amp;"|Changed to the status of Calculated|"&amp;TEXT(_xlfn.MAXIFS(Status_Log!$E:$E,Status_Log!$A:$A,$A223,Status_Log!$B:$B,$B223,Status_Log!$C:$C,$C223,Status_Log!$D:$D,"Changed to the status of Calculated"),"0.000000"),Status_Log!$H:$H,0)),""))</f>
        <v/>
      </c>
      <c r="M223" s="4" t="str">
        <f aca="false">IF($A223="","",IF(E223="Client","n/a — no control step",IFERROR(INDEX(Status_Log!$F:$F,MATCH($A223&amp;"|"&amp;$B223&amp;"|"&amp;$C223&amp;"|Changed to the status of Controlled|"&amp;TEXT(_xlfn.MAXIFS(Status_Log!$E:$E,Status_Log!$A:$A,$A223,Status_Log!$B:$B,$B223,Status_Log!$C:$C,$C223,Status_Log!$D:$D,"Changed to the status of Controlled"),"0.000000"),Status_Log!$H:$H,0)),"")))</f>
        <v/>
      </c>
      <c r="N223" s="4" t="str">
        <f aca="false">IF($A223="","",IFERROR(VLOOKUP($C223,Dim_Fund!$A:$G,7,0),""))</f>
        <v/>
      </c>
      <c r="O223" s="4" t="str">
        <f aca="false">IF($A223="","",IF(L223=N223,"No","Yes"))</f>
        <v/>
      </c>
      <c r="P223" s="4" t="str">
        <f aca="false">IF($A223="","",IF(E223="Client","n/a",IF(L223=M223,"YES — four-eyes breach","No")))</f>
        <v/>
      </c>
      <c r="Q223" s="38" t="str">
        <f aca="false">IF($A223="","",IFERROR(VLOOKUP($C223,Dim_Fund!$A:$AB,28,0),""))</f>
        <v/>
      </c>
      <c r="R223" s="38" t="str">
        <f aca="false">IF($A223="","",IFERROR(VLOOKUP($C223,Dim_Fund!$A:$AC,29,0),""))</f>
        <v/>
      </c>
      <c r="S223" s="38" t="str">
        <f aca="false">IF($A223="","",IFERROR(VLOOKUP($C223,Dim_Fund!$A:$AD,30,0),""))</f>
        <v/>
      </c>
      <c r="T223" s="38" t="str">
        <f aca="false">IF($A223="","",IFERROR(VLOOKUP($C223,Dim_Fund!$A:$AL,38,0),""))</f>
        <v/>
      </c>
      <c r="U223" s="37" t="str">
        <f aca="false">IF($A223="","",IF(AL223="","",IFERROR(IF(COUNTIFS(Fact_Milestone!$A:$A,$B223,Fact_Milestone!$B:$B,AL223)=0,"",_xlfn.MAXIFS(Fact_Milestone!$C:$C,Fact_Milestone!$A:$A,$B223,Fact_Milestone!$B:$B,AL223)),"")))</f>
        <v/>
      </c>
      <c r="V223" s="37" t="str">
        <f aca="false">IF($A223="","",IFERROR(IF(VLOOKUP($C223,Dim_Fund!$A:$AI,35,0)&gt;0,$B223+VLOOKUP($C223,Dim_Fund!$A:$AI,35,0)/24,""),""))</f>
        <v/>
      </c>
      <c r="W223" s="37" t="str">
        <f aca="false">IF($A223="","",F223)</f>
        <v/>
      </c>
      <c r="X223" s="37" t="str">
        <f aca="false">IF($A223="","",IF(E223="Client",H223,G223))</f>
        <v/>
      </c>
      <c r="Y223" s="37" t="str">
        <f aca="false">IF($A223="","",I223)</f>
        <v/>
      </c>
      <c r="Z223" s="37" t="str">
        <f aca="false">IF($A223="","",IFERROR(W223-R223/1440,""))</f>
        <v/>
      </c>
      <c r="AA223" s="38" t="str">
        <f aca="false">IF($A223="","",IF(OR(U223="",V223=""),"",ROUND((V223-U223)*1440,0)))</f>
        <v/>
      </c>
      <c r="AB223" s="38" t="str">
        <f aca="false">IF($A223="","",IF(U223="","",ROUND((W223-U223)*1440,0)))</f>
        <v/>
      </c>
      <c r="AC223" s="38" t="str">
        <f aca="false">IF($A223="","",IF(AB223="","",MAX(0,AB223)))</f>
        <v/>
      </c>
      <c r="AD223" s="38" t="str">
        <f aca="false">IF($A223="","",IFERROR(ROUND((X223-W223)*1440,0),""))</f>
        <v/>
      </c>
      <c r="AE223" s="38" t="str">
        <f aca="false">IF($A223="","",IF(E223="Client","n/a",IFERROR(ROUND((H223-G223)*1440,0),"")))</f>
        <v/>
      </c>
      <c r="AF223" s="38" t="str">
        <f aca="false">IF($A223="","",IFERROR(ROUND((Y223-H223)*1440,0),""))</f>
        <v/>
      </c>
      <c r="AG223" s="38" t="str">
        <f aca="false">IF($A223="","",IFERROR(ROUND((H223-F223)*1440,0),""))</f>
        <v/>
      </c>
      <c r="AH223" s="38" t="str">
        <f aca="false">IF($A223="","",IFERROR(ROUND((Y223-V223)*1440,0),""))</f>
        <v/>
      </c>
      <c r="AI223" s="4" t="str">
        <f aca="false">IF($A223="","",IF(AH223="","",IF(AH223&gt;0,"Yes","No")))</f>
        <v/>
      </c>
      <c r="AJ223" s="4" t="str">
        <f aca="false">IF($A223="","",IF(AI223&lt;&gt;"Yes","On time",IF(N(AC223)&gt;=MAX(N(AF223),N(K223)),"Wait for analyst",IF(N(AF223)&gt;=N(K223),"External sign-off","Rework"))))</f>
        <v/>
      </c>
      <c r="AK223" s="4" t="str">
        <f aca="false">IF($A223="","",IF(OR(F223="",Y223="",ISNA(MATCH(L223,Dim_Analyst!$A:$A,0))),"CHECK","OK"))</f>
        <v/>
      </c>
      <c r="AL223" s="4" t="str">
        <f aca="false">IF($A223="","",IFERROR(VLOOKUP($C223,Dim_Fund!$A:$U,21,0),""))</f>
        <v/>
      </c>
      <c r="AM223" s="4" t="str">
        <f aca="false">IF($A223="","",IF($U223="","",IF($U223&gt;$B223+IFERROR(VLOOKUP($C223,Dim_Fund!$A:$AH,34,0),0)/24,"Yes","No")))</f>
        <v/>
      </c>
      <c r="AN223" s="22" t="str">
        <f aca="false">IF($A223="","",IFERROR(VLOOKUP($C223,Dim_Fund!$A:$AH,34,0),""))</f>
        <v/>
      </c>
      <c r="AO223" s="22" t="str">
        <f aca="false">IF($A223="","",IF($AL223="","",IFERROR(FLOOR(IF(COUNTIFS(Fact_Milestone!$A:$A,$B223,Fact_Milestone!$B:$B,$AL223,Fact_Milestone!$F:$F,"&gt;0")&gt;0,_xlfn.MINIFS(Fact_Milestone!$F:$F,Fact_Milestone!$A:$A,$B223,Fact_Milestone!$B:$B,$AL223,Fact_Milestone!$F:$F,"&gt;0"),VLOOKUP($AL223,Dim_TOP!$A:$E,5,0)),0.5),"")))</f>
        <v/>
      </c>
      <c r="AP223" s="22" t="str">
        <f aca="false">IF($A223="","",IF($U223="","",ROUND(($U223-INT($U223))*24,4)))</f>
        <v/>
      </c>
      <c r="AQ223" s="22" t="str">
        <f aca="false">IF($A223="","",IF($W223="","",ROUND(($W223-INT($W223))*24,4)))</f>
        <v/>
      </c>
      <c r="AR223" s="22" t="str">
        <f aca="false">IF($A223="","",IF($X223="","",ROUND(($X223-INT($X223))*24,4)))</f>
        <v/>
      </c>
      <c r="AS223" s="38" t="str">
        <f aca="false">IF($A223="","",IF(OR($AN223="",$V223="",$S223="",$T223=""),"",ROUND(($V223-($B223+$AN223/24))*1440-$S223-$T223,0)))</f>
        <v/>
      </c>
      <c r="AT223" s="38" t="str">
        <f aca="false">IF($A223="","",IF(OR($AN223="",$U223=""),"",ROUND(($U223-($B223+$AN223/24))*1440,0)))</f>
        <v/>
      </c>
      <c r="AU223" s="38" t="str">
        <f aca="false">IF($A223="","",IF(OR($AD223="",$S223=""),"",ROUND($AD223-$S223,0)))</f>
        <v/>
      </c>
      <c r="AV223" s="38" t="str">
        <f aca="false">IF($A223="","",N($AE223))</f>
        <v/>
      </c>
      <c r="AW223" s="38" t="str">
        <f aca="false">IF($A223="","",IF(OR($AF223="",$T223=""),"",$AF223-$T223))</f>
        <v/>
      </c>
      <c r="AX223" s="38" t="str">
        <f aca="false">IF($A223="","",IF(COUNT($AT223,$AB223,$AU223,$AW223,$AS223,$AH223)&lt;6,"",ROUND($AT223+$AB223+$AU223+$AV223+$AW223-$AS223-$AH223,0)))</f>
        <v/>
      </c>
      <c r="AY223" s="4" t="str">
        <f aca="false">IF($A223="","",IF($AX223="","No",IF(ABS($AX223)&lt;=2,"Yes","No")))</f>
        <v/>
      </c>
      <c r="AZ223" s="4" t="str">
        <f aca="false">IF($A223="","",IF($AI223&lt;&gt;"Yes","n/a",IF(OR($AA223="",$S223="",$T223=""),"Unknown",IF($AA223&lt;$S223+$T223,"Lost on arrival","Lost after arrival"))))</f>
        <v/>
      </c>
      <c r="BA223" s="10" t="str">
        <f aca="false">IF($A223="","",IFERROR(VLOOKUP($C223,Dim_Fund!$A:$D,4,0),""))</f>
        <v/>
      </c>
      <c r="BB223" s="10" t="str">
        <f aca="false">IF($A223="","",IF($AL223="","",IF(COUNTIFS(Fact_Milestone!$A:$A,$B223,Fact_Milestone!$B:$B,$AL223,Fact_Milestone!$I:$I,"No")&gt;0,"No",IF(COUNTIFS(Fact_Milestone!$A:$A,$B223,Fact_Milestone!$B:$B,$AL223,Fact_Milestone!$I:$I,"Yes")&gt;0,"Yes",""))))</f>
        <v/>
      </c>
      <c r="BC223" s="45" t="str">
        <f aca="false">IF($A223="","",IF(OR($L223="",$W223=""),"",IF(COUNTIFS($L:$L,$L223,$B:$B,$B223,$W:$W,"&lt;"&amp;$W223)=0,"",_xlfn.MAXIFS($W:$W,$L:$L,$L223,$B:$B,$B223,$W:$W,"&lt;"&amp;$W223))))</f>
        <v/>
      </c>
      <c r="BD223" s="39" t="str">
        <f aca="false">IF($A223="","",IF($AC223="","",IF(OR($L223="",$AC223=0),0,MIN($AC223,ROUND(ROUND(1440*SUMPRODUCT(($L$2:INDEX($L:$L,COUNTA($C:$C))=$L223)*($B$2:INDEX($B:$B,COUNTA($C:$C))=$B223)*(ROW($L$2:INDEX($L:$L,COUNTA($C:$C)))&lt;&gt;ROW())*((((($W223+$BT$2:INDEX($BT:$BT,COUNTA($C:$C))-ABS($W223-$BT$2:INDEX($BT:$BT,COUNTA($C:$C))))/2)-(($U223+$BS$2:INDEX($BS:$BS,COUNTA($C:$C))+ABS($U223-$BS$2:INDEX($BS:$BS,COUNTA($C:$C))))/2))+ABS(((($W223+$BT$2:INDEX($BT:$BT,COUNTA($C:$C))-ABS($W223-$BT$2:INDEX($BT:$BT,COUNTA($C:$C))))/2)-(($U223+$BS$2:INDEX($BS:$BS,COUNTA($C:$C))+ABS($U223-$BS$2:INDEX($BS:$BS,COUNTA($C:$C))))/2))))/2)),4),0)))))</f>
        <v/>
      </c>
      <c r="BE223" s="39" t="str">
        <f aca="false">IF($A223="","",IF($AC223="","",ROUND(MIN($AC223-$BD223,N($R223)),0)))</f>
        <v/>
      </c>
      <c r="BF223" s="10" t="str">
        <f aca="false">IF($A223="","",IFERROR(VLOOKUP($C223,Dim_Fund!$A:$BD,56,0),""))</f>
        <v/>
      </c>
      <c r="BG223" s="10" t="str">
        <f aca="false">IF($A223="","",IFERROR(VLOOKUP($C223,Dim_Fund!$A:$BH,60,0),""))</f>
        <v/>
      </c>
      <c r="BH223" s="10" t="str">
        <f aca="false">IF($A223="","",IF($AI223&lt;&gt;"Yes","Not breached",IF($AM223="Yes","Pricing late",IF($BG223="Thin custody slack","Thin custody slack",IF($BF223="Yes","Broker-dependent","None of these")))))</f>
        <v/>
      </c>
      <c r="BI223" s="23" t="str">
        <f aca="false">IF($A223="","",IFERROR(IF(VLOOKUP($C223,Dim_Fund!$A:$AI,35,0)&gt;0,VLOOKUP($C223,Dim_Fund!$A:$AI,35,0),""),""))</f>
        <v/>
      </c>
      <c r="BJ223" s="10" t="str">
        <f aca="false">IF($A223="","",$C223&amp;IF($E223="Client","*",""))</f>
        <v/>
      </c>
      <c r="BK223" s="39" t="str">
        <f aca="false">IF($A223="","",IFERROR(ROUND(($Y223-$X223)*1440,0),""))</f>
        <v/>
      </c>
      <c r="BL223" s="39" t="str">
        <f aca="false">IF($A223="","",IF($AH223="","",-$AH223))</f>
        <v/>
      </c>
      <c r="BM223" s="46" t="str">
        <f aca="false">IF($A223="","",IF($AQ223="","",IF($AP223="",$AQ223,MIN($AP223,$AQ223))))</f>
        <v/>
      </c>
      <c r="BN223" s="46" t="str">
        <f aca="false">IF($A223="","",IF($BM223="","",ROUND(N($AC223)/60,4)))</f>
        <v/>
      </c>
      <c r="BO223" s="46" t="str">
        <f aca="false">IF($A223="","",IF(OR($BM223="",$AD223=""),"",ROUND($AD223/60,4)))</f>
        <v/>
      </c>
      <c r="BP223" s="46" t="str">
        <f aca="false">IF($A223="","",IF($BM223="","",ROUND(N($AE223)/60,4)))</f>
        <v/>
      </c>
      <c r="BQ223" s="46" t="str">
        <f aca="false">IF($A223="","",IF(OR($BM223="",$AF223=""),"",ROUND($AF223/60,4)))</f>
        <v/>
      </c>
      <c r="BR223" s="39" t="str">
        <f aca="false">IF($A223="","",IF($AC223="","",$AC223-$BD223-$BE223))</f>
        <v/>
      </c>
      <c r="BS223" s="45" t="str">
        <f aca="false">IF($A223="","",IF(AND(ISNUMBER($Z223),ISNUMBER($W223)),$Z223,0))</f>
        <v/>
      </c>
      <c r="BT223" s="45" t="str">
        <f aca="false">IF($A223="","",IF(ISNUMBER($W223),$W223,0))</f>
        <v/>
      </c>
      <c r="BU223" s="23" t="str">
        <f aca="false">IF($A223="","",IF(ISNUMBER($W223),ROUND(($W223-$B223)*24,4),""))</f>
        <v/>
      </c>
      <c r="BV223" s="23" t="str">
        <f aca="false">IF($A223="","",IF(ISNUMBER($X223),ROUND(($X223-$B223)*24,4),""))</f>
        <v/>
      </c>
      <c r="BW223" s="10" t="str">
        <f aca="false">IF($A223="","",IF(NOT(ISNUMBER($W223)),"Missing Calculated",IF(NOT(ISNUMBER($X223)),IF($E223="Client","Missing FA signed off","Missing Controlled"),IF($X223&lt;$W223,"End before start","OK"))))</f>
        <v/>
      </c>
      <c r="BX223" s="23" t="str">
        <f aca="false">IF($A223="","",IF(NOT(ISNUMBER($Z223)),"",ROUND((IF(ISNUMBER($U223),MIN($U223,$Z223),$Z223)-$B223)*24,4)))</f>
        <v/>
      </c>
      <c r="BY223" s="23" t="str">
        <f aca="false">IF($A223="","",IF(ISNUMBER($Z223),ROUND(($Z223-$B223)*24,4),""))</f>
        <v/>
      </c>
      <c r="BZ223" s="23" t="str">
        <f aca="false">IF($A223="","",IF(AND(ISNUMBER($W223),ISNUMBER($S223)),ROUND(($W223+$S223/1440-$B223)*24,4),""))</f>
        <v/>
      </c>
    </row>
    <row r="224" customFormat="false" ht="15" hidden="false" customHeight="true" outlineLevel="0" collapsed="false">
      <c r="A224" s="47"/>
      <c r="B224" s="47"/>
      <c r="D224" s="4" t="str">
        <f aca="false">IF($A224="","",$B224-$A224)</f>
        <v/>
      </c>
      <c r="E224" s="4" t="str">
        <f aca="false">IF($A224="","",IFERROR(VLOOKUP($C224,Dim_Fund!$A:$X,24,0),""))</f>
        <v/>
      </c>
      <c r="F224" s="37" t="str">
        <f aca="false">IF($A224="","",IF(COUNTIFS(Status_Log!$A:$A,$A224,Status_Log!$B:$B,$B224,Status_Log!$C:$C,$C224,Status_Log!$D:$D,"Changed to the status of Calculated")=0,"",_xlfn.MINIFS(Status_Log!$E:$E,Status_Log!$A:$A,$A224,Status_Log!$B:$B,$B224,Status_Log!$C:$C,$C224,Status_Log!$D:$D,"Changed to the status of Calculated")))</f>
        <v/>
      </c>
      <c r="G224" s="37" t="str">
        <f aca="false">IF($A224="","",IF(COUNTIFS(Status_Log!$A:$A,$A224,Status_Log!$B:$B,$B224,Status_Log!$C:$C,$C224,Status_Log!$D:$D,"Changed to the status of Controlled")=0,"",_xlfn.MAXIFS(Status_Log!$E:$E,Status_Log!$A:$A,$A224,Status_Log!$B:$B,$B224,Status_Log!$C:$C,$C224,Status_Log!$D:$D,"Changed to the status of Controlled")))</f>
        <v/>
      </c>
      <c r="H224" s="37" t="str">
        <f aca="false">IF($A224="","",IF(COUNTIFS(Status_Log!$A:$A,$A224,Status_Log!$B:$B,$B224,Status_Log!$C:$C,$C224,Status_Log!$D:$D,"Changed to the status of Fund accounting signed off")=0,"",_xlfn.MAXIFS(Status_Log!$E:$E,Status_Log!$A:$A,$A224,Status_Log!$B:$B,$B224,Status_Log!$C:$C,$C224,Status_Log!$D:$D,"Changed to the status of Fund accounting signed off")))</f>
        <v/>
      </c>
      <c r="I224" s="37" t="str">
        <f aca="false">IF($A224="","",IF(COUNTIFS(Status_Log!$A:$A,$A224,Status_Log!$B:$B,$B224,Status_Log!$C:$C,$C224,Status_Log!$D:$D,"Changed to the status of signed off")=0,"",_xlfn.MAXIFS(Status_Log!$E:$E,Status_Log!$A:$A,$A224,Status_Log!$B:$B,$B224,Status_Log!$C:$C,$C224,Status_Log!$D:$D,"Changed to the status of signed off")))</f>
        <v/>
      </c>
      <c r="J224" s="4" t="str">
        <f aca="false">IF($A224="","",COUNTIFS(Status_Log!$A:$A,$A224,Status_Log!$B:$B,$B224,Status_Log!$C:$C,$C224,Status_Log!$D:$D,"Changed to the status of Calculated"))</f>
        <v/>
      </c>
      <c r="K224" s="38" t="str">
        <f aca="false">IF($A224="","",IF(J224&lt;=1,0,ROUND((_xlfn.MAXIFS(Status_Log!$E:$E,Status_Log!$A:$A,$A224,Status_Log!$B:$B,$B224,Status_Log!$C:$C,$C224,Status_Log!$D:$D,"Changed to the status of Calculated")-F224)*1440,0)))</f>
        <v/>
      </c>
      <c r="L224" s="4" t="str">
        <f aca="false">IF($A224="","",IFERROR(INDEX(Status_Log!$F:$F,MATCH($A224&amp;"|"&amp;$B224&amp;"|"&amp;$C224&amp;"|Changed to the status of Calculated|"&amp;TEXT(_xlfn.MAXIFS(Status_Log!$E:$E,Status_Log!$A:$A,$A224,Status_Log!$B:$B,$B224,Status_Log!$C:$C,$C224,Status_Log!$D:$D,"Changed to the status of Calculated"),"0.000000"),Status_Log!$H:$H,0)),""))</f>
        <v/>
      </c>
      <c r="M224" s="4" t="str">
        <f aca="false">IF($A224="","",IF(E224="Client","n/a — no control step",IFERROR(INDEX(Status_Log!$F:$F,MATCH($A224&amp;"|"&amp;$B224&amp;"|"&amp;$C224&amp;"|Changed to the status of Controlled|"&amp;TEXT(_xlfn.MAXIFS(Status_Log!$E:$E,Status_Log!$A:$A,$A224,Status_Log!$B:$B,$B224,Status_Log!$C:$C,$C224,Status_Log!$D:$D,"Changed to the status of Controlled"),"0.000000"),Status_Log!$H:$H,0)),"")))</f>
        <v/>
      </c>
      <c r="N224" s="4" t="str">
        <f aca="false">IF($A224="","",IFERROR(VLOOKUP($C224,Dim_Fund!$A:$G,7,0),""))</f>
        <v/>
      </c>
      <c r="O224" s="4" t="str">
        <f aca="false">IF($A224="","",IF(L224=N224,"No","Yes"))</f>
        <v/>
      </c>
      <c r="P224" s="4" t="str">
        <f aca="false">IF($A224="","",IF(E224="Client","n/a",IF(L224=M224,"YES — four-eyes breach","No")))</f>
        <v/>
      </c>
      <c r="Q224" s="38" t="str">
        <f aca="false">IF($A224="","",IFERROR(VLOOKUP($C224,Dim_Fund!$A:$AB,28,0),""))</f>
        <v/>
      </c>
      <c r="R224" s="38" t="str">
        <f aca="false">IF($A224="","",IFERROR(VLOOKUP($C224,Dim_Fund!$A:$AC,29,0),""))</f>
        <v/>
      </c>
      <c r="S224" s="38" t="str">
        <f aca="false">IF($A224="","",IFERROR(VLOOKUP($C224,Dim_Fund!$A:$AD,30,0),""))</f>
        <v/>
      </c>
      <c r="T224" s="38" t="str">
        <f aca="false">IF($A224="","",IFERROR(VLOOKUP($C224,Dim_Fund!$A:$AL,38,0),""))</f>
        <v/>
      </c>
      <c r="U224" s="37" t="str">
        <f aca="false">IF($A224="","",IF(AL224="","",IFERROR(IF(COUNTIFS(Fact_Milestone!$A:$A,$B224,Fact_Milestone!$B:$B,AL224)=0,"",_xlfn.MAXIFS(Fact_Milestone!$C:$C,Fact_Milestone!$A:$A,$B224,Fact_Milestone!$B:$B,AL224)),"")))</f>
        <v/>
      </c>
      <c r="V224" s="37" t="str">
        <f aca="false">IF($A224="","",IFERROR(IF(VLOOKUP($C224,Dim_Fund!$A:$AI,35,0)&gt;0,$B224+VLOOKUP($C224,Dim_Fund!$A:$AI,35,0)/24,""),""))</f>
        <v/>
      </c>
      <c r="W224" s="37" t="str">
        <f aca="false">IF($A224="","",F224)</f>
        <v/>
      </c>
      <c r="X224" s="37" t="str">
        <f aca="false">IF($A224="","",IF(E224="Client",H224,G224))</f>
        <v/>
      </c>
      <c r="Y224" s="37" t="str">
        <f aca="false">IF($A224="","",I224)</f>
        <v/>
      </c>
      <c r="Z224" s="37" t="str">
        <f aca="false">IF($A224="","",IFERROR(W224-R224/1440,""))</f>
        <v/>
      </c>
      <c r="AA224" s="38" t="str">
        <f aca="false">IF($A224="","",IF(OR(U224="",V224=""),"",ROUND((V224-U224)*1440,0)))</f>
        <v/>
      </c>
      <c r="AB224" s="38" t="str">
        <f aca="false">IF($A224="","",IF(U224="","",ROUND((W224-U224)*1440,0)))</f>
        <v/>
      </c>
      <c r="AC224" s="38" t="str">
        <f aca="false">IF($A224="","",IF(AB224="","",MAX(0,AB224)))</f>
        <v/>
      </c>
      <c r="AD224" s="38" t="str">
        <f aca="false">IF($A224="","",IFERROR(ROUND((X224-W224)*1440,0),""))</f>
        <v/>
      </c>
      <c r="AE224" s="38" t="str">
        <f aca="false">IF($A224="","",IF(E224="Client","n/a",IFERROR(ROUND((H224-G224)*1440,0),"")))</f>
        <v/>
      </c>
      <c r="AF224" s="38" t="str">
        <f aca="false">IF($A224="","",IFERROR(ROUND((Y224-H224)*1440,0),""))</f>
        <v/>
      </c>
      <c r="AG224" s="38" t="str">
        <f aca="false">IF($A224="","",IFERROR(ROUND((H224-F224)*1440,0),""))</f>
        <v/>
      </c>
      <c r="AH224" s="38" t="str">
        <f aca="false">IF($A224="","",IFERROR(ROUND((Y224-V224)*1440,0),""))</f>
        <v/>
      </c>
      <c r="AI224" s="4" t="str">
        <f aca="false">IF($A224="","",IF(AH224="","",IF(AH224&gt;0,"Yes","No")))</f>
        <v/>
      </c>
      <c r="AJ224" s="4" t="str">
        <f aca="false">IF($A224="","",IF(AI224&lt;&gt;"Yes","On time",IF(N(AC224)&gt;=MAX(N(AF224),N(K224)),"Wait for analyst",IF(N(AF224)&gt;=N(K224),"External sign-off","Rework"))))</f>
        <v/>
      </c>
      <c r="AK224" s="4" t="str">
        <f aca="false">IF($A224="","",IF(OR(F224="",Y224="",ISNA(MATCH(L224,Dim_Analyst!$A:$A,0))),"CHECK","OK"))</f>
        <v/>
      </c>
      <c r="AL224" s="4" t="str">
        <f aca="false">IF($A224="","",IFERROR(VLOOKUP($C224,Dim_Fund!$A:$U,21,0),""))</f>
        <v/>
      </c>
      <c r="AM224" s="4" t="str">
        <f aca="false">IF($A224="","",IF($U224="","",IF($U224&gt;$B224+IFERROR(VLOOKUP($C224,Dim_Fund!$A:$AH,34,0),0)/24,"Yes","No")))</f>
        <v/>
      </c>
      <c r="AN224" s="22" t="str">
        <f aca="false">IF($A224="","",IFERROR(VLOOKUP($C224,Dim_Fund!$A:$AH,34,0),""))</f>
        <v/>
      </c>
      <c r="AO224" s="22" t="str">
        <f aca="false">IF($A224="","",IF($AL224="","",IFERROR(FLOOR(IF(COUNTIFS(Fact_Milestone!$A:$A,$B224,Fact_Milestone!$B:$B,$AL224,Fact_Milestone!$F:$F,"&gt;0")&gt;0,_xlfn.MINIFS(Fact_Milestone!$F:$F,Fact_Milestone!$A:$A,$B224,Fact_Milestone!$B:$B,$AL224,Fact_Milestone!$F:$F,"&gt;0"),VLOOKUP($AL224,Dim_TOP!$A:$E,5,0)),0.5),"")))</f>
        <v/>
      </c>
      <c r="AP224" s="22" t="str">
        <f aca="false">IF($A224="","",IF($U224="","",ROUND(($U224-INT($U224))*24,4)))</f>
        <v/>
      </c>
      <c r="AQ224" s="22" t="str">
        <f aca="false">IF($A224="","",IF($W224="","",ROUND(($W224-INT($W224))*24,4)))</f>
        <v/>
      </c>
      <c r="AR224" s="22" t="str">
        <f aca="false">IF($A224="","",IF($X224="","",ROUND(($X224-INT($X224))*24,4)))</f>
        <v/>
      </c>
      <c r="AS224" s="38" t="str">
        <f aca="false">IF($A224="","",IF(OR($AN224="",$V224="",$S224="",$T224=""),"",ROUND(($V224-($B224+$AN224/24))*1440-$S224-$T224,0)))</f>
        <v/>
      </c>
      <c r="AT224" s="38" t="str">
        <f aca="false">IF($A224="","",IF(OR($AN224="",$U224=""),"",ROUND(($U224-($B224+$AN224/24))*1440,0)))</f>
        <v/>
      </c>
      <c r="AU224" s="38" t="str">
        <f aca="false">IF($A224="","",IF(OR($AD224="",$S224=""),"",ROUND($AD224-$S224,0)))</f>
        <v/>
      </c>
      <c r="AV224" s="38" t="str">
        <f aca="false">IF($A224="","",N($AE224))</f>
        <v/>
      </c>
      <c r="AW224" s="38" t="str">
        <f aca="false">IF($A224="","",IF(OR($AF224="",$T224=""),"",$AF224-$T224))</f>
        <v/>
      </c>
      <c r="AX224" s="38" t="str">
        <f aca="false">IF($A224="","",IF(COUNT($AT224,$AB224,$AU224,$AW224,$AS224,$AH224)&lt;6,"",ROUND($AT224+$AB224+$AU224+$AV224+$AW224-$AS224-$AH224,0)))</f>
        <v/>
      </c>
      <c r="AY224" s="4" t="str">
        <f aca="false">IF($A224="","",IF($AX224="","No",IF(ABS($AX224)&lt;=2,"Yes","No")))</f>
        <v/>
      </c>
      <c r="AZ224" s="4" t="str">
        <f aca="false">IF($A224="","",IF($AI224&lt;&gt;"Yes","n/a",IF(OR($AA224="",$S224="",$T224=""),"Unknown",IF($AA224&lt;$S224+$T224,"Lost on arrival","Lost after arrival"))))</f>
        <v/>
      </c>
      <c r="BA224" s="10" t="str">
        <f aca="false">IF($A224="","",IFERROR(VLOOKUP($C224,Dim_Fund!$A:$D,4,0),""))</f>
        <v/>
      </c>
      <c r="BB224" s="10" t="str">
        <f aca="false">IF($A224="","",IF($AL224="","",IF(COUNTIFS(Fact_Milestone!$A:$A,$B224,Fact_Milestone!$B:$B,$AL224,Fact_Milestone!$I:$I,"No")&gt;0,"No",IF(COUNTIFS(Fact_Milestone!$A:$A,$B224,Fact_Milestone!$B:$B,$AL224,Fact_Milestone!$I:$I,"Yes")&gt;0,"Yes",""))))</f>
        <v/>
      </c>
      <c r="BC224" s="45" t="str">
        <f aca="false">IF($A224="","",IF(OR($L224="",$W224=""),"",IF(COUNTIFS($L:$L,$L224,$B:$B,$B224,$W:$W,"&lt;"&amp;$W224)=0,"",_xlfn.MAXIFS($W:$W,$L:$L,$L224,$B:$B,$B224,$W:$W,"&lt;"&amp;$W224))))</f>
        <v/>
      </c>
      <c r="BD224" s="39" t="str">
        <f aca="false">IF($A224="","",IF($AC224="","",IF(OR($L224="",$AC224=0),0,MIN($AC224,ROUND(ROUND(1440*SUMPRODUCT(($L$2:INDEX($L:$L,COUNTA($C:$C))=$L224)*($B$2:INDEX($B:$B,COUNTA($C:$C))=$B224)*(ROW($L$2:INDEX($L:$L,COUNTA($C:$C)))&lt;&gt;ROW())*((((($W224+$BT$2:INDEX($BT:$BT,COUNTA($C:$C))-ABS($W224-$BT$2:INDEX($BT:$BT,COUNTA($C:$C))))/2)-(($U224+$BS$2:INDEX($BS:$BS,COUNTA($C:$C))+ABS($U224-$BS$2:INDEX($BS:$BS,COUNTA($C:$C))))/2))+ABS(((($W224+$BT$2:INDEX($BT:$BT,COUNTA($C:$C))-ABS($W224-$BT$2:INDEX($BT:$BT,COUNTA($C:$C))))/2)-(($U224+$BS$2:INDEX($BS:$BS,COUNTA($C:$C))+ABS($U224-$BS$2:INDEX($BS:$BS,COUNTA($C:$C))))/2))))/2)),4),0)))))</f>
        <v/>
      </c>
      <c r="BE224" s="39" t="str">
        <f aca="false">IF($A224="","",IF($AC224="","",ROUND(MIN($AC224-$BD224,N($R224)),0)))</f>
        <v/>
      </c>
      <c r="BF224" s="10" t="str">
        <f aca="false">IF($A224="","",IFERROR(VLOOKUP($C224,Dim_Fund!$A:$BD,56,0),""))</f>
        <v/>
      </c>
      <c r="BG224" s="10" t="str">
        <f aca="false">IF($A224="","",IFERROR(VLOOKUP($C224,Dim_Fund!$A:$BH,60,0),""))</f>
        <v/>
      </c>
      <c r="BH224" s="10" t="str">
        <f aca="false">IF($A224="","",IF($AI224&lt;&gt;"Yes","Not breached",IF($AM224="Yes","Pricing late",IF($BG224="Thin custody slack","Thin custody slack",IF($BF224="Yes","Broker-dependent","None of these")))))</f>
        <v/>
      </c>
      <c r="BI224" s="23" t="str">
        <f aca="false">IF($A224="","",IFERROR(IF(VLOOKUP($C224,Dim_Fund!$A:$AI,35,0)&gt;0,VLOOKUP($C224,Dim_Fund!$A:$AI,35,0),""),""))</f>
        <v/>
      </c>
      <c r="BJ224" s="10" t="str">
        <f aca="false">IF($A224="","",$C224&amp;IF($E224="Client","*",""))</f>
        <v/>
      </c>
      <c r="BK224" s="39" t="str">
        <f aca="false">IF($A224="","",IFERROR(ROUND(($Y224-$X224)*1440,0),""))</f>
        <v/>
      </c>
      <c r="BL224" s="39" t="str">
        <f aca="false">IF($A224="","",IF($AH224="","",-$AH224))</f>
        <v/>
      </c>
      <c r="BM224" s="46" t="str">
        <f aca="false">IF($A224="","",IF($AQ224="","",IF($AP224="",$AQ224,MIN($AP224,$AQ224))))</f>
        <v/>
      </c>
      <c r="BN224" s="46" t="str">
        <f aca="false">IF($A224="","",IF($BM224="","",ROUND(N($AC224)/60,4)))</f>
        <v/>
      </c>
      <c r="BO224" s="46" t="str">
        <f aca="false">IF($A224="","",IF(OR($BM224="",$AD224=""),"",ROUND($AD224/60,4)))</f>
        <v/>
      </c>
      <c r="BP224" s="46" t="str">
        <f aca="false">IF($A224="","",IF($BM224="","",ROUND(N($AE224)/60,4)))</f>
        <v/>
      </c>
      <c r="BQ224" s="46" t="str">
        <f aca="false">IF($A224="","",IF(OR($BM224="",$AF224=""),"",ROUND($AF224/60,4)))</f>
        <v/>
      </c>
      <c r="BR224" s="39" t="str">
        <f aca="false">IF($A224="","",IF($AC224="","",$AC224-$BD224-$BE224))</f>
        <v/>
      </c>
      <c r="BS224" s="45" t="str">
        <f aca="false">IF($A224="","",IF(AND(ISNUMBER($Z224),ISNUMBER($W224)),$Z224,0))</f>
        <v/>
      </c>
      <c r="BT224" s="45" t="str">
        <f aca="false">IF($A224="","",IF(ISNUMBER($W224),$W224,0))</f>
        <v/>
      </c>
      <c r="BU224" s="23" t="str">
        <f aca="false">IF($A224="","",IF(ISNUMBER($W224),ROUND(($W224-$B224)*24,4),""))</f>
        <v/>
      </c>
      <c r="BV224" s="23" t="str">
        <f aca="false">IF($A224="","",IF(ISNUMBER($X224),ROUND(($X224-$B224)*24,4),""))</f>
        <v/>
      </c>
      <c r="BW224" s="10" t="str">
        <f aca="false">IF($A224="","",IF(NOT(ISNUMBER($W224)),"Missing Calculated",IF(NOT(ISNUMBER($X224)),IF($E224="Client","Missing FA signed off","Missing Controlled"),IF($X224&lt;$W224,"End before start","OK"))))</f>
        <v/>
      </c>
      <c r="BX224" s="23" t="str">
        <f aca="false">IF($A224="","",IF(NOT(ISNUMBER($Z224)),"",ROUND((IF(ISNUMBER($U224),MIN($U224,$Z224),$Z224)-$B224)*24,4)))</f>
        <v/>
      </c>
      <c r="BY224" s="23" t="str">
        <f aca="false">IF($A224="","",IF(ISNUMBER($Z224),ROUND(($Z224-$B224)*24,4),""))</f>
        <v/>
      </c>
      <c r="BZ224" s="23" t="str">
        <f aca="false">IF($A224="","",IF(AND(ISNUMBER($W224),ISNUMBER($S224)),ROUND(($W224+$S224/1440-$B224)*24,4),""))</f>
        <v/>
      </c>
    </row>
    <row r="225" customFormat="false" ht="15" hidden="false" customHeight="true" outlineLevel="0" collapsed="false">
      <c r="A225" s="47"/>
      <c r="B225" s="47"/>
      <c r="D225" s="4" t="str">
        <f aca="false">IF($A225="","",$B225-$A225)</f>
        <v/>
      </c>
      <c r="E225" s="4" t="str">
        <f aca="false">IF($A225="","",IFERROR(VLOOKUP($C225,Dim_Fund!$A:$X,24,0),""))</f>
        <v/>
      </c>
      <c r="F225" s="37" t="str">
        <f aca="false">IF($A225="","",IF(COUNTIFS(Status_Log!$A:$A,$A225,Status_Log!$B:$B,$B225,Status_Log!$C:$C,$C225,Status_Log!$D:$D,"Changed to the status of Calculated")=0,"",_xlfn.MINIFS(Status_Log!$E:$E,Status_Log!$A:$A,$A225,Status_Log!$B:$B,$B225,Status_Log!$C:$C,$C225,Status_Log!$D:$D,"Changed to the status of Calculated")))</f>
        <v/>
      </c>
      <c r="G225" s="37" t="str">
        <f aca="false">IF($A225="","",IF(COUNTIFS(Status_Log!$A:$A,$A225,Status_Log!$B:$B,$B225,Status_Log!$C:$C,$C225,Status_Log!$D:$D,"Changed to the status of Controlled")=0,"",_xlfn.MAXIFS(Status_Log!$E:$E,Status_Log!$A:$A,$A225,Status_Log!$B:$B,$B225,Status_Log!$C:$C,$C225,Status_Log!$D:$D,"Changed to the status of Controlled")))</f>
        <v/>
      </c>
      <c r="H225" s="37" t="str">
        <f aca="false">IF($A225="","",IF(COUNTIFS(Status_Log!$A:$A,$A225,Status_Log!$B:$B,$B225,Status_Log!$C:$C,$C225,Status_Log!$D:$D,"Changed to the status of Fund accounting signed off")=0,"",_xlfn.MAXIFS(Status_Log!$E:$E,Status_Log!$A:$A,$A225,Status_Log!$B:$B,$B225,Status_Log!$C:$C,$C225,Status_Log!$D:$D,"Changed to the status of Fund accounting signed off")))</f>
        <v/>
      </c>
      <c r="I225" s="37" t="str">
        <f aca="false">IF($A225="","",IF(COUNTIFS(Status_Log!$A:$A,$A225,Status_Log!$B:$B,$B225,Status_Log!$C:$C,$C225,Status_Log!$D:$D,"Changed to the status of signed off")=0,"",_xlfn.MAXIFS(Status_Log!$E:$E,Status_Log!$A:$A,$A225,Status_Log!$B:$B,$B225,Status_Log!$C:$C,$C225,Status_Log!$D:$D,"Changed to the status of signed off")))</f>
        <v/>
      </c>
      <c r="J225" s="4" t="str">
        <f aca="false">IF($A225="","",COUNTIFS(Status_Log!$A:$A,$A225,Status_Log!$B:$B,$B225,Status_Log!$C:$C,$C225,Status_Log!$D:$D,"Changed to the status of Calculated"))</f>
        <v/>
      </c>
      <c r="K225" s="38" t="str">
        <f aca="false">IF($A225="","",IF(J225&lt;=1,0,ROUND((_xlfn.MAXIFS(Status_Log!$E:$E,Status_Log!$A:$A,$A225,Status_Log!$B:$B,$B225,Status_Log!$C:$C,$C225,Status_Log!$D:$D,"Changed to the status of Calculated")-F225)*1440,0)))</f>
        <v/>
      </c>
      <c r="L225" s="4" t="str">
        <f aca="false">IF($A225="","",IFERROR(INDEX(Status_Log!$F:$F,MATCH($A225&amp;"|"&amp;$B225&amp;"|"&amp;$C225&amp;"|Changed to the status of Calculated|"&amp;TEXT(_xlfn.MAXIFS(Status_Log!$E:$E,Status_Log!$A:$A,$A225,Status_Log!$B:$B,$B225,Status_Log!$C:$C,$C225,Status_Log!$D:$D,"Changed to the status of Calculated"),"0.000000"),Status_Log!$H:$H,0)),""))</f>
        <v/>
      </c>
      <c r="M225" s="4" t="str">
        <f aca="false">IF($A225="","",IF(E225="Client","n/a — no control step",IFERROR(INDEX(Status_Log!$F:$F,MATCH($A225&amp;"|"&amp;$B225&amp;"|"&amp;$C225&amp;"|Changed to the status of Controlled|"&amp;TEXT(_xlfn.MAXIFS(Status_Log!$E:$E,Status_Log!$A:$A,$A225,Status_Log!$B:$B,$B225,Status_Log!$C:$C,$C225,Status_Log!$D:$D,"Changed to the status of Controlled"),"0.000000"),Status_Log!$H:$H,0)),"")))</f>
        <v/>
      </c>
      <c r="N225" s="4" t="str">
        <f aca="false">IF($A225="","",IFERROR(VLOOKUP($C225,Dim_Fund!$A:$G,7,0),""))</f>
        <v/>
      </c>
      <c r="O225" s="4" t="str">
        <f aca="false">IF($A225="","",IF(L225=N225,"No","Yes"))</f>
        <v/>
      </c>
      <c r="P225" s="4" t="str">
        <f aca="false">IF($A225="","",IF(E225="Client","n/a",IF(L225=M225,"YES — four-eyes breach","No")))</f>
        <v/>
      </c>
      <c r="Q225" s="38" t="str">
        <f aca="false">IF($A225="","",IFERROR(VLOOKUP($C225,Dim_Fund!$A:$AB,28,0),""))</f>
        <v/>
      </c>
      <c r="R225" s="38" t="str">
        <f aca="false">IF($A225="","",IFERROR(VLOOKUP($C225,Dim_Fund!$A:$AC,29,0),""))</f>
        <v/>
      </c>
      <c r="S225" s="38" t="str">
        <f aca="false">IF($A225="","",IFERROR(VLOOKUP($C225,Dim_Fund!$A:$AD,30,0),""))</f>
        <v/>
      </c>
      <c r="T225" s="38" t="str">
        <f aca="false">IF($A225="","",IFERROR(VLOOKUP($C225,Dim_Fund!$A:$AL,38,0),""))</f>
        <v/>
      </c>
      <c r="U225" s="37" t="str">
        <f aca="false">IF($A225="","",IF(AL225="","",IFERROR(IF(COUNTIFS(Fact_Milestone!$A:$A,$B225,Fact_Milestone!$B:$B,AL225)=0,"",_xlfn.MAXIFS(Fact_Milestone!$C:$C,Fact_Milestone!$A:$A,$B225,Fact_Milestone!$B:$B,AL225)),"")))</f>
        <v/>
      </c>
      <c r="V225" s="37" t="str">
        <f aca="false">IF($A225="","",IFERROR(IF(VLOOKUP($C225,Dim_Fund!$A:$AI,35,0)&gt;0,$B225+VLOOKUP($C225,Dim_Fund!$A:$AI,35,0)/24,""),""))</f>
        <v/>
      </c>
      <c r="W225" s="37" t="str">
        <f aca="false">IF($A225="","",F225)</f>
        <v/>
      </c>
      <c r="X225" s="37" t="str">
        <f aca="false">IF($A225="","",IF(E225="Client",H225,G225))</f>
        <v/>
      </c>
      <c r="Y225" s="37" t="str">
        <f aca="false">IF($A225="","",I225)</f>
        <v/>
      </c>
      <c r="Z225" s="37" t="str">
        <f aca="false">IF($A225="","",IFERROR(W225-R225/1440,""))</f>
        <v/>
      </c>
      <c r="AA225" s="38" t="str">
        <f aca="false">IF($A225="","",IF(OR(U225="",V225=""),"",ROUND((V225-U225)*1440,0)))</f>
        <v/>
      </c>
      <c r="AB225" s="38" t="str">
        <f aca="false">IF($A225="","",IF(U225="","",ROUND((W225-U225)*1440,0)))</f>
        <v/>
      </c>
      <c r="AC225" s="38" t="str">
        <f aca="false">IF($A225="","",IF(AB225="","",MAX(0,AB225)))</f>
        <v/>
      </c>
      <c r="AD225" s="38" t="str">
        <f aca="false">IF($A225="","",IFERROR(ROUND((X225-W225)*1440,0),""))</f>
        <v/>
      </c>
      <c r="AE225" s="38" t="str">
        <f aca="false">IF($A225="","",IF(E225="Client","n/a",IFERROR(ROUND((H225-G225)*1440,0),"")))</f>
        <v/>
      </c>
      <c r="AF225" s="38" t="str">
        <f aca="false">IF($A225="","",IFERROR(ROUND((Y225-H225)*1440,0),""))</f>
        <v/>
      </c>
      <c r="AG225" s="38" t="str">
        <f aca="false">IF($A225="","",IFERROR(ROUND((H225-F225)*1440,0),""))</f>
        <v/>
      </c>
      <c r="AH225" s="38" t="str">
        <f aca="false">IF($A225="","",IFERROR(ROUND((Y225-V225)*1440,0),""))</f>
        <v/>
      </c>
      <c r="AI225" s="4" t="str">
        <f aca="false">IF($A225="","",IF(AH225="","",IF(AH225&gt;0,"Yes","No")))</f>
        <v/>
      </c>
      <c r="AJ225" s="4" t="str">
        <f aca="false">IF($A225="","",IF(AI225&lt;&gt;"Yes","On time",IF(N(AC225)&gt;=MAX(N(AF225),N(K225)),"Wait for analyst",IF(N(AF225)&gt;=N(K225),"External sign-off","Rework"))))</f>
        <v/>
      </c>
      <c r="AK225" s="4" t="str">
        <f aca="false">IF($A225="","",IF(OR(F225="",Y225="",ISNA(MATCH(L225,Dim_Analyst!$A:$A,0))),"CHECK","OK"))</f>
        <v/>
      </c>
      <c r="AL225" s="4" t="str">
        <f aca="false">IF($A225="","",IFERROR(VLOOKUP($C225,Dim_Fund!$A:$U,21,0),""))</f>
        <v/>
      </c>
      <c r="AM225" s="4" t="str">
        <f aca="false">IF($A225="","",IF($U225="","",IF($U225&gt;$B225+IFERROR(VLOOKUP($C225,Dim_Fund!$A:$AH,34,0),0)/24,"Yes","No")))</f>
        <v/>
      </c>
      <c r="AN225" s="22" t="str">
        <f aca="false">IF($A225="","",IFERROR(VLOOKUP($C225,Dim_Fund!$A:$AH,34,0),""))</f>
        <v/>
      </c>
      <c r="AO225" s="22" t="str">
        <f aca="false">IF($A225="","",IF($AL225="","",IFERROR(FLOOR(IF(COUNTIFS(Fact_Milestone!$A:$A,$B225,Fact_Milestone!$B:$B,$AL225,Fact_Milestone!$F:$F,"&gt;0")&gt;0,_xlfn.MINIFS(Fact_Milestone!$F:$F,Fact_Milestone!$A:$A,$B225,Fact_Milestone!$B:$B,$AL225,Fact_Milestone!$F:$F,"&gt;0"),VLOOKUP($AL225,Dim_TOP!$A:$E,5,0)),0.5),"")))</f>
        <v/>
      </c>
      <c r="AP225" s="22" t="str">
        <f aca="false">IF($A225="","",IF($U225="","",ROUND(($U225-INT($U225))*24,4)))</f>
        <v/>
      </c>
      <c r="AQ225" s="22" t="str">
        <f aca="false">IF($A225="","",IF($W225="","",ROUND(($W225-INT($W225))*24,4)))</f>
        <v/>
      </c>
      <c r="AR225" s="22" t="str">
        <f aca="false">IF($A225="","",IF($X225="","",ROUND(($X225-INT($X225))*24,4)))</f>
        <v/>
      </c>
      <c r="AS225" s="38" t="str">
        <f aca="false">IF($A225="","",IF(OR($AN225="",$V225="",$S225="",$T225=""),"",ROUND(($V225-($B225+$AN225/24))*1440-$S225-$T225,0)))</f>
        <v/>
      </c>
      <c r="AT225" s="38" t="str">
        <f aca="false">IF($A225="","",IF(OR($AN225="",$U225=""),"",ROUND(($U225-($B225+$AN225/24))*1440,0)))</f>
        <v/>
      </c>
      <c r="AU225" s="38" t="str">
        <f aca="false">IF($A225="","",IF(OR($AD225="",$S225=""),"",ROUND($AD225-$S225,0)))</f>
        <v/>
      </c>
      <c r="AV225" s="38" t="str">
        <f aca="false">IF($A225="","",N($AE225))</f>
        <v/>
      </c>
      <c r="AW225" s="38" t="str">
        <f aca="false">IF($A225="","",IF(OR($AF225="",$T225=""),"",$AF225-$T225))</f>
        <v/>
      </c>
      <c r="AX225" s="38" t="str">
        <f aca="false">IF($A225="","",IF(COUNT($AT225,$AB225,$AU225,$AW225,$AS225,$AH225)&lt;6,"",ROUND($AT225+$AB225+$AU225+$AV225+$AW225-$AS225-$AH225,0)))</f>
        <v/>
      </c>
      <c r="AY225" s="4" t="str">
        <f aca="false">IF($A225="","",IF($AX225="","No",IF(ABS($AX225)&lt;=2,"Yes","No")))</f>
        <v/>
      </c>
      <c r="AZ225" s="4" t="str">
        <f aca="false">IF($A225="","",IF($AI225&lt;&gt;"Yes","n/a",IF(OR($AA225="",$S225="",$T225=""),"Unknown",IF($AA225&lt;$S225+$T225,"Lost on arrival","Lost after arrival"))))</f>
        <v/>
      </c>
      <c r="BA225" s="10" t="str">
        <f aca="false">IF($A225="","",IFERROR(VLOOKUP($C225,Dim_Fund!$A:$D,4,0),""))</f>
        <v/>
      </c>
      <c r="BB225" s="10" t="str">
        <f aca="false">IF($A225="","",IF($AL225="","",IF(COUNTIFS(Fact_Milestone!$A:$A,$B225,Fact_Milestone!$B:$B,$AL225,Fact_Milestone!$I:$I,"No")&gt;0,"No",IF(COUNTIFS(Fact_Milestone!$A:$A,$B225,Fact_Milestone!$B:$B,$AL225,Fact_Milestone!$I:$I,"Yes")&gt;0,"Yes",""))))</f>
        <v/>
      </c>
      <c r="BC225" s="45" t="str">
        <f aca="false">IF($A225="","",IF(OR($L225="",$W225=""),"",IF(COUNTIFS($L:$L,$L225,$B:$B,$B225,$W:$W,"&lt;"&amp;$W225)=0,"",_xlfn.MAXIFS($W:$W,$L:$L,$L225,$B:$B,$B225,$W:$W,"&lt;"&amp;$W225))))</f>
        <v/>
      </c>
      <c r="BD225" s="39" t="str">
        <f aca="false">IF($A225="","",IF($AC225="","",IF(OR($L225="",$AC225=0),0,MIN($AC225,ROUND(ROUND(1440*SUMPRODUCT(($L$2:INDEX($L:$L,COUNTA($C:$C))=$L225)*($B$2:INDEX($B:$B,COUNTA($C:$C))=$B225)*(ROW($L$2:INDEX($L:$L,COUNTA($C:$C)))&lt;&gt;ROW())*((((($W225+$BT$2:INDEX($BT:$BT,COUNTA($C:$C))-ABS($W225-$BT$2:INDEX($BT:$BT,COUNTA($C:$C))))/2)-(($U225+$BS$2:INDEX($BS:$BS,COUNTA($C:$C))+ABS($U225-$BS$2:INDEX($BS:$BS,COUNTA($C:$C))))/2))+ABS(((($W225+$BT$2:INDEX($BT:$BT,COUNTA($C:$C))-ABS($W225-$BT$2:INDEX($BT:$BT,COUNTA($C:$C))))/2)-(($U225+$BS$2:INDEX($BS:$BS,COUNTA($C:$C))+ABS($U225-$BS$2:INDEX($BS:$BS,COUNTA($C:$C))))/2))))/2)),4),0)))))</f>
        <v/>
      </c>
      <c r="BE225" s="39" t="str">
        <f aca="false">IF($A225="","",IF($AC225="","",ROUND(MIN($AC225-$BD225,N($R225)),0)))</f>
        <v/>
      </c>
      <c r="BF225" s="10" t="str">
        <f aca="false">IF($A225="","",IFERROR(VLOOKUP($C225,Dim_Fund!$A:$BD,56,0),""))</f>
        <v/>
      </c>
      <c r="BG225" s="10" t="str">
        <f aca="false">IF($A225="","",IFERROR(VLOOKUP($C225,Dim_Fund!$A:$BH,60,0),""))</f>
        <v/>
      </c>
      <c r="BH225" s="10" t="str">
        <f aca="false">IF($A225="","",IF($AI225&lt;&gt;"Yes","Not breached",IF($AM225="Yes","Pricing late",IF($BG225="Thin custody slack","Thin custody slack",IF($BF225="Yes","Broker-dependent","None of these")))))</f>
        <v/>
      </c>
      <c r="BI225" s="23" t="str">
        <f aca="false">IF($A225="","",IFERROR(IF(VLOOKUP($C225,Dim_Fund!$A:$AI,35,0)&gt;0,VLOOKUP($C225,Dim_Fund!$A:$AI,35,0),""),""))</f>
        <v/>
      </c>
      <c r="BJ225" s="10" t="str">
        <f aca="false">IF($A225="","",$C225&amp;IF($E225="Client","*",""))</f>
        <v/>
      </c>
      <c r="BK225" s="39" t="str">
        <f aca="false">IF($A225="","",IFERROR(ROUND(($Y225-$X225)*1440,0),""))</f>
        <v/>
      </c>
      <c r="BL225" s="39" t="str">
        <f aca="false">IF($A225="","",IF($AH225="","",-$AH225))</f>
        <v/>
      </c>
      <c r="BM225" s="46" t="str">
        <f aca="false">IF($A225="","",IF($AQ225="","",IF($AP225="",$AQ225,MIN($AP225,$AQ225))))</f>
        <v/>
      </c>
      <c r="BN225" s="46" t="str">
        <f aca="false">IF($A225="","",IF($BM225="","",ROUND(N($AC225)/60,4)))</f>
        <v/>
      </c>
      <c r="BO225" s="46" t="str">
        <f aca="false">IF($A225="","",IF(OR($BM225="",$AD225=""),"",ROUND($AD225/60,4)))</f>
        <v/>
      </c>
      <c r="BP225" s="46" t="str">
        <f aca="false">IF($A225="","",IF($BM225="","",ROUND(N($AE225)/60,4)))</f>
        <v/>
      </c>
      <c r="BQ225" s="46" t="str">
        <f aca="false">IF($A225="","",IF(OR($BM225="",$AF225=""),"",ROUND($AF225/60,4)))</f>
        <v/>
      </c>
      <c r="BR225" s="39" t="str">
        <f aca="false">IF($A225="","",IF($AC225="","",$AC225-$BD225-$BE225))</f>
        <v/>
      </c>
      <c r="BS225" s="45" t="str">
        <f aca="false">IF($A225="","",IF(AND(ISNUMBER($Z225),ISNUMBER($W225)),$Z225,0))</f>
        <v/>
      </c>
      <c r="BT225" s="45" t="str">
        <f aca="false">IF($A225="","",IF(ISNUMBER($W225),$W225,0))</f>
        <v/>
      </c>
      <c r="BU225" s="23" t="str">
        <f aca="false">IF($A225="","",IF(ISNUMBER($W225),ROUND(($W225-$B225)*24,4),""))</f>
        <v/>
      </c>
      <c r="BV225" s="23" t="str">
        <f aca="false">IF($A225="","",IF(ISNUMBER($X225),ROUND(($X225-$B225)*24,4),""))</f>
        <v/>
      </c>
      <c r="BW225" s="10" t="str">
        <f aca="false">IF($A225="","",IF(NOT(ISNUMBER($W225)),"Missing Calculated",IF(NOT(ISNUMBER($X225)),IF($E225="Client","Missing FA signed off","Missing Controlled"),IF($X225&lt;$W225,"End before start","OK"))))</f>
        <v/>
      </c>
      <c r="BX225" s="23" t="str">
        <f aca="false">IF($A225="","",IF(NOT(ISNUMBER($Z225)),"",ROUND((IF(ISNUMBER($U225),MIN($U225,$Z225),$Z225)-$B225)*24,4)))</f>
        <v/>
      </c>
      <c r="BY225" s="23" t="str">
        <f aca="false">IF($A225="","",IF(ISNUMBER($Z225),ROUND(($Z225-$B225)*24,4),""))</f>
        <v/>
      </c>
      <c r="BZ225" s="23" t="str">
        <f aca="false">IF($A225="","",IF(AND(ISNUMBER($W225),ISNUMBER($S225)),ROUND(($W225+$S225/1440-$B225)*24,4),""))</f>
        <v/>
      </c>
    </row>
    <row r="226" customFormat="false" ht="15" hidden="false" customHeight="true" outlineLevel="0" collapsed="false">
      <c r="A226" s="47"/>
      <c r="B226" s="47"/>
      <c r="D226" s="4" t="str">
        <f aca="false">IF($A226="","",$B226-$A226)</f>
        <v/>
      </c>
      <c r="E226" s="4" t="str">
        <f aca="false">IF($A226="","",IFERROR(VLOOKUP($C226,Dim_Fund!$A:$X,24,0),""))</f>
        <v/>
      </c>
      <c r="F226" s="37" t="str">
        <f aca="false">IF($A226="","",IF(COUNTIFS(Status_Log!$A:$A,$A226,Status_Log!$B:$B,$B226,Status_Log!$C:$C,$C226,Status_Log!$D:$D,"Changed to the status of Calculated")=0,"",_xlfn.MINIFS(Status_Log!$E:$E,Status_Log!$A:$A,$A226,Status_Log!$B:$B,$B226,Status_Log!$C:$C,$C226,Status_Log!$D:$D,"Changed to the status of Calculated")))</f>
        <v/>
      </c>
      <c r="G226" s="37" t="str">
        <f aca="false">IF($A226="","",IF(COUNTIFS(Status_Log!$A:$A,$A226,Status_Log!$B:$B,$B226,Status_Log!$C:$C,$C226,Status_Log!$D:$D,"Changed to the status of Controlled")=0,"",_xlfn.MAXIFS(Status_Log!$E:$E,Status_Log!$A:$A,$A226,Status_Log!$B:$B,$B226,Status_Log!$C:$C,$C226,Status_Log!$D:$D,"Changed to the status of Controlled")))</f>
        <v/>
      </c>
      <c r="H226" s="37" t="str">
        <f aca="false">IF($A226="","",IF(COUNTIFS(Status_Log!$A:$A,$A226,Status_Log!$B:$B,$B226,Status_Log!$C:$C,$C226,Status_Log!$D:$D,"Changed to the status of Fund accounting signed off")=0,"",_xlfn.MAXIFS(Status_Log!$E:$E,Status_Log!$A:$A,$A226,Status_Log!$B:$B,$B226,Status_Log!$C:$C,$C226,Status_Log!$D:$D,"Changed to the status of Fund accounting signed off")))</f>
        <v/>
      </c>
      <c r="I226" s="37" t="str">
        <f aca="false">IF($A226="","",IF(COUNTIFS(Status_Log!$A:$A,$A226,Status_Log!$B:$B,$B226,Status_Log!$C:$C,$C226,Status_Log!$D:$D,"Changed to the status of signed off")=0,"",_xlfn.MAXIFS(Status_Log!$E:$E,Status_Log!$A:$A,$A226,Status_Log!$B:$B,$B226,Status_Log!$C:$C,$C226,Status_Log!$D:$D,"Changed to the status of signed off")))</f>
        <v/>
      </c>
      <c r="J226" s="4" t="str">
        <f aca="false">IF($A226="","",COUNTIFS(Status_Log!$A:$A,$A226,Status_Log!$B:$B,$B226,Status_Log!$C:$C,$C226,Status_Log!$D:$D,"Changed to the status of Calculated"))</f>
        <v/>
      </c>
      <c r="K226" s="38" t="str">
        <f aca="false">IF($A226="","",IF(J226&lt;=1,0,ROUND((_xlfn.MAXIFS(Status_Log!$E:$E,Status_Log!$A:$A,$A226,Status_Log!$B:$B,$B226,Status_Log!$C:$C,$C226,Status_Log!$D:$D,"Changed to the status of Calculated")-F226)*1440,0)))</f>
        <v/>
      </c>
      <c r="L226" s="4" t="str">
        <f aca="false">IF($A226="","",IFERROR(INDEX(Status_Log!$F:$F,MATCH($A226&amp;"|"&amp;$B226&amp;"|"&amp;$C226&amp;"|Changed to the status of Calculated|"&amp;TEXT(_xlfn.MAXIFS(Status_Log!$E:$E,Status_Log!$A:$A,$A226,Status_Log!$B:$B,$B226,Status_Log!$C:$C,$C226,Status_Log!$D:$D,"Changed to the status of Calculated"),"0.000000"),Status_Log!$H:$H,0)),""))</f>
        <v/>
      </c>
      <c r="M226" s="4" t="str">
        <f aca="false">IF($A226="","",IF(E226="Client","n/a — no control step",IFERROR(INDEX(Status_Log!$F:$F,MATCH($A226&amp;"|"&amp;$B226&amp;"|"&amp;$C226&amp;"|Changed to the status of Controlled|"&amp;TEXT(_xlfn.MAXIFS(Status_Log!$E:$E,Status_Log!$A:$A,$A226,Status_Log!$B:$B,$B226,Status_Log!$C:$C,$C226,Status_Log!$D:$D,"Changed to the status of Controlled"),"0.000000"),Status_Log!$H:$H,0)),"")))</f>
        <v/>
      </c>
      <c r="N226" s="4" t="str">
        <f aca="false">IF($A226="","",IFERROR(VLOOKUP($C226,Dim_Fund!$A:$G,7,0),""))</f>
        <v/>
      </c>
      <c r="O226" s="4" t="str">
        <f aca="false">IF($A226="","",IF(L226=N226,"No","Yes"))</f>
        <v/>
      </c>
      <c r="P226" s="4" t="str">
        <f aca="false">IF($A226="","",IF(E226="Client","n/a",IF(L226=M226,"YES — four-eyes breach","No")))</f>
        <v/>
      </c>
      <c r="Q226" s="38" t="str">
        <f aca="false">IF($A226="","",IFERROR(VLOOKUP($C226,Dim_Fund!$A:$AB,28,0),""))</f>
        <v/>
      </c>
      <c r="R226" s="38" t="str">
        <f aca="false">IF($A226="","",IFERROR(VLOOKUP($C226,Dim_Fund!$A:$AC,29,0),""))</f>
        <v/>
      </c>
      <c r="S226" s="38" t="str">
        <f aca="false">IF($A226="","",IFERROR(VLOOKUP($C226,Dim_Fund!$A:$AD,30,0),""))</f>
        <v/>
      </c>
      <c r="T226" s="38" t="str">
        <f aca="false">IF($A226="","",IFERROR(VLOOKUP($C226,Dim_Fund!$A:$AL,38,0),""))</f>
        <v/>
      </c>
      <c r="U226" s="37" t="str">
        <f aca="false">IF($A226="","",IF(AL226="","",IFERROR(IF(COUNTIFS(Fact_Milestone!$A:$A,$B226,Fact_Milestone!$B:$B,AL226)=0,"",_xlfn.MAXIFS(Fact_Milestone!$C:$C,Fact_Milestone!$A:$A,$B226,Fact_Milestone!$B:$B,AL226)),"")))</f>
        <v/>
      </c>
      <c r="V226" s="37" t="str">
        <f aca="false">IF($A226="","",IFERROR(IF(VLOOKUP($C226,Dim_Fund!$A:$AI,35,0)&gt;0,$B226+VLOOKUP($C226,Dim_Fund!$A:$AI,35,0)/24,""),""))</f>
        <v/>
      </c>
      <c r="W226" s="37" t="str">
        <f aca="false">IF($A226="","",F226)</f>
        <v/>
      </c>
      <c r="X226" s="37" t="str">
        <f aca="false">IF($A226="","",IF(E226="Client",H226,G226))</f>
        <v/>
      </c>
      <c r="Y226" s="37" t="str">
        <f aca="false">IF($A226="","",I226)</f>
        <v/>
      </c>
      <c r="Z226" s="37" t="str">
        <f aca="false">IF($A226="","",IFERROR(W226-R226/1440,""))</f>
        <v/>
      </c>
      <c r="AA226" s="38" t="str">
        <f aca="false">IF($A226="","",IF(OR(U226="",V226=""),"",ROUND((V226-U226)*1440,0)))</f>
        <v/>
      </c>
      <c r="AB226" s="38" t="str">
        <f aca="false">IF($A226="","",IF(U226="","",ROUND((W226-U226)*1440,0)))</f>
        <v/>
      </c>
      <c r="AC226" s="38" t="str">
        <f aca="false">IF($A226="","",IF(AB226="","",MAX(0,AB226)))</f>
        <v/>
      </c>
      <c r="AD226" s="38" t="str">
        <f aca="false">IF($A226="","",IFERROR(ROUND((X226-W226)*1440,0),""))</f>
        <v/>
      </c>
      <c r="AE226" s="38" t="str">
        <f aca="false">IF($A226="","",IF(E226="Client","n/a",IFERROR(ROUND((H226-G226)*1440,0),"")))</f>
        <v/>
      </c>
      <c r="AF226" s="38" t="str">
        <f aca="false">IF($A226="","",IFERROR(ROUND((Y226-H226)*1440,0),""))</f>
        <v/>
      </c>
      <c r="AG226" s="38" t="str">
        <f aca="false">IF($A226="","",IFERROR(ROUND((H226-F226)*1440,0),""))</f>
        <v/>
      </c>
      <c r="AH226" s="38" t="str">
        <f aca="false">IF($A226="","",IFERROR(ROUND((Y226-V226)*1440,0),""))</f>
        <v/>
      </c>
      <c r="AI226" s="4" t="str">
        <f aca="false">IF($A226="","",IF(AH226="","",IF(AH226&gt;0,"Yes","No")))</f>
        <v/>
      </c>
      <c r="AJ226" s="4" t="str">
        <f aca="false">IF($A226="","",IF(AI226&lt;&gt;"Yes","On time",IF(N(AC226)&gt;=MAX(N(AF226),N(K226)),"Wait for analyst",IF(N(AF226)&gt;=N(K226),"External sign-off","Rework"))))</f>
        <v/>
      </c>
      <c r="AK226" s="4" t="str">
        <f aca="false">IF($A226="","",IF(OR(F226="",Y226="",ISNA(MATCH(L226,Dim_Analyst!$A:$A,0))),"CHECK","OK"))</f>
        <v/>
      </c>
      <c r="AL226" s="4" t="str">
        <f aca="false">IF($A226="","",IFERROR(VLOOKUP($C226,Dim_Fund!$A:$U,21,0),""))</f>
        <v/>
      </c>
      <c r="AM226" s="4" t="str">
        <f aca="false">IF($A226="","",IF($U226="","",IF($U226&gt;$B226+IFERROR(VLOOKUP($C226,Dim_Fund!$A:$AH,34,0),0)/24,"Yes","No")))</f>
        <v/>
      </c>
      <c r="AN226" s="22" t="str">
        <f aca="false">IF($A226="","",IFERROR(VLOOKUP($C226,Dim_Fund!$A:$AH,34,0),""))</f>
        <v/>
      </c>
      <c r="AO226" s="22" t="str">
        <f aca="false">IF($A226="","",IF($AL226="","",IFERROR(FLOOR(IF(COUNTIFS(Fact_Milestone!$A:$A,$B226,Fact_Milestone!$B:$B,$AL226,Fact_Milestone!$F:$F,"&gt;0")&gt;0,_xlfn.MINIFS(Fact_Milestone!$F:$F,Fact_Milestone!$A:$A,$B226,Fact_Milestone!$B:$B,$AL226,Fact_Milestone!$F:$F,"&gt;0"),VLOOKUP($AL226,Dim_TOP!$A:$E,5,0)),0.5),"")))</f>
        <v/>
      </c>
      <c r="AP226" s="22" t="str">
        <f aca="false">IF($A226="","",IF($U226="","",ROUND(($U226-INT($U226))*24,4)))</f>
        <v/>
      </c>
      <c r="AQ226" s="22" t="str">
        <f aca="false">IF($A226="","",IF($W226="","",ROUND(($W226-INT($W226))*24,4)))</f>
        <v/>
      </c>
      <c r="AR226" s="22" t="str">
        <f aca="false">IF($A226="","",IF($X226="","",ROUND(($X226-INT($X226))*24,4)))</f>
        <v/>
      </c>
      <c r="AS226" s="38" t="str">
        <f aca="false">IF($A226="","",IF(OR($AN226="",$V226="",$S226="",$T226=""),"",ROUND(($V226-($B226+$AN226/24))*1440-$S226-$T226,0)))</f>
        <v/>
      </c>
      <c r="AT226" s="38" t="str">
        <f aca="false">IF($A226="","",IF(OR($AN226="",$U226=""),"",ROUND(($U226-($B226+$AN226/24))*1440,0)))</f>
        <v/>
      </c>
      <c r="AU226" s="38" t="str">
        <f aca="false">IF($A226="","",IF(OR($AD226="",$S226=""),"",ROUND($AD226-$S226,0)))</f>
        <v/>
      </c>
      <c r="AV226" s="38" t="str">
        <f aca="false">IF($A226="","",N($AE226))</f>
        <v/>
      </c>
      <c r="AW226" s="38" t="str">
        <f aca="false">IF($A226="","",IF(OR($AF226="",$T226=""),"",$AF226-$T226))</f>
        <v/>
      </c>
      <c r="AX226" s="38" t="str">
        <f aca="false">IF($A226="","",IF(COUNT($AT226,$AB226,$AU226,$AW226,$AS226,$AH226)&lt;6,"",ROUND($AT226+$AB226+$AU226+$AV226+$AW226-$AS226-$AH226,0)))</f>
        <v/>
      </c>
      <c r="AY226" s="4" t="str">
        <f aca="false">IF($A226="","",IF($AX226="","No",IF(ABS($AX226)&lt;=2,"Yes","No")))</f>
        <v/>
      </c>
      <c r="AZ226" s="4" t="str">
        <f aca="false">IF($A226="","",IF($AI226&lt;&gt;"Yes","n/a",IF(OR($AA226="",$S226="",$T226=""),"Unknown",IF($AA226&lt;$S226+$T226,"Lost on arrival","Lost after arrival"))))</f>
        <v/>
      </c>
      <c r="BA226" s="10" t="str">
        <f aca="false">IF($A226="","",IFERROR(VLOOKUP($C226,Dim_Fund!$A:$D,4,0),""))</f>
        <v/>
      </c>
      <c r="BB226" s="10" t="str">
        <f aca="false">IF($A226="","",IF($AL226="","",IF(COUNTIFS(Fact_Milestone!$A:$A,$B226,Fact_Milestone!$B:$B,$AL226,Fact_Milestone!$I:$I,"No")&gt;0,"No",IF(COUNTIFS(Fact_Milestone!$A:$A,$B226,Fact_Milestone!$B:$B,$AL226,Fact_Milestone!$I:$I,"Yes")&gt;0,"Yes",""))))</f>
        <v/>
      </c>
      <c r="BC226" s="45" t="str">
        <f aca="false">IF($A226="","",IF(OR($L226="",$W226=""),"",IF(COUNTIFS($L:$L,$L226,$B:$B,$B226,$W:$W,"&lt;"&amp;$W226)=0,"",_xlfn.MAXIFS($W:$W,$L:$L,$L226,$B:$B,$B226,$W:$W,"&lt;"&amp;$W226))))</f>
        <v/>
      </c>
      <c r="BD226" s="39" t="str">
        <f aca="false">IF($A226="","",IF($AC226="","",IF(OR($L226="",$AC226=0),0,MIN($AC226,ROUND(ROUND(1440*SUMPRODUCT(($L$2:INDEX($L:$L,COUNTA($C:$C))=$L226)*($B$2:INDEX($B:$B,COUNTA($C:$C))=$B226)*(ROW($L$2:INDEX($L:$L,COUNTA($C:$C)))&lt;&gt;ROW())*((((($W226+$BT$2:INDEX($BT:$BT,COUNTA($C:$C))-ABS($W226-$BT$2:INDEX($BT:$BT,COUNTA($C:$C))))/2)-(($U226+$BS$2:INDEX($BS:$BS,COUNTA($C:$C))+ABS($U226-$BS$2:INDEX($BS:$BS,COUNTA($C:$C))))/2))+ABS(((($W226+$BT$2:INDEX($BT:$BT,COUNTA($C:$C))-ABS($W226-$BT$2:INDEX($BT:$BT,COUNTA($C:$C))))/2)-(($U226+$BS$2:INDEX($BS:$BS,COUNTA($C:$C))+ABS($U226-$BS$2:INDEX($BS:$BS,COUNTA($C:$C))))/2))))/2)),4),0)))))</f>
        <v/>
      </c>
      <c r="BE226" s="39" t="str">
        <f aca="false">IF($A226="","",IF($AC226="","",ROUND(MIN($AC226-$BD226,N($R226)),0)))</f>
        <v/>
      </c>
      <c r="BF226" s="10" t="str">
        <f aca="false">IF($A226="","",IFERROR(VLOOKUP($C226,Dim_Fund!$A:$BD,56,0),""))</f>
        <v/>
      </c>
      <c r="BG226" s="10" t="str">
        <f aca="false">IF($A226="","",IFERROR(VLOOKUP($C226,Dim_Fund!$A:$BH,60,0),""))</f>
        <v/>
      </c>
      <c r="BH226" s="10" t="str">
        <f aca="false">IF($A226="","",IF($AI226&lt;&gt;"Yes","Not breached",IF($AM226="Yes","Pricing late",IF($BG226="Thin custody slack","Thin custody slack",IF($BF226="Yes","Broker-dependent","None of these")))))</f>
        <v/>
      </c>
      <c r="BI226" s="23" t="str">
        <f aca="false">IF($A226="","",IFERROR(IF(VLOOKUP($C226,Dim_Fund!$A:$AI,35,0)&gt;0,VLOOKUP($C226,Dim_Fund!$A:$AI,35,0),""),""))</f>
        <v/>
      </c>
      <c r="BJ226" s="10" t="str">
        <f aca="false">IF($A226="","",$C226&amp;IF($E226="Client","*",""))</f>
        <v/>
      </c>
      <c r="BK226" s="39" t="str">
        <f aca="false">IF($A226="","",IFERROR(ROUND(($Y226-$X226)*1440,0),""))</f>
        <v/>
      </c>
      <c r="BL226" s="39" t="str">
        <f aca="false">IF($A226="","",IF($AH226="","",-$AH226))</f>
        <v/>
      </c>
      <c r="BM226" s="46" t="str">
        <f aca="false">IF($A226="","",IF($AQ226="","",IF($AP226="",$AQ226,MIN($AP226,$AQ226))))</f>
        <v/>
      </c>
      <c r="BN226" s="46" t="str">
        <f aca="false">IF($A226="","",IF($BM226="","",ROUND(N($AC226)/60,4)))</f>
        <v/>
      </c>
      <c r="BO226" s="46" t="str">
        <f aca="false">IF($A226="","",IF(OR($BM226="",$AD226=""),"",ROUND($AD226/60,4)))</f>
        <v/>
      </c>
      <c r="BP226" s="46" t="str">
        <f aca="false">IF($A226="","",IF($BM226="","",ROUND(N($AE226)/60,4)))</f>
        <v/>
      </c>
      <c r="BQ226" s="46" t="str">
        <f aca="false">IF($A226="","",IF(OR($BM226="",$AF226=""),"",ROUND($AF226/60,4)))</f>
        <v/>
      </c>
      <c r="BR226" s="39" t="str">
        <f aca="false">IF($A226="","",IF($AC226="","",$AC226-$BD226-$BE226))</f>
        <v/>
      </c>
      <c r="BS226" s="45" t="str">
        <f aca="false">IF($A226="","",IF(AND(ISNUMBER($Z226),ISNUMBER($W226)),$Z226,0))</f>
        <v/>
      </c>
      <c r="BT226" s="45" t="str">
        <f aca="false">IF($A226="","",IF(ISNUMBER($W226),$W226,0))</f>
        <v/>
      </c>
      <c r="BU226" s="23" t="str">
        <f aca="false">IF($A226="","",IF(ISNUMBER($W226),ROUND(($W226-$B226)*24,4),""))</f>
        <v/>
      </c>
      <c r="BV226" s="23" t="str">
        <f aca="false">IF($A226="","",IF(ISNUMBER($X226),ROUND(($X226-$B226)*24,4),""))</f>
        <v/>
      </c>
      <c r="BW226" s="10" t="str">
        <f aca="false">IF($A226="","",IF(NOT(ISNUMBER($W226)),"Missing Calculated",IF(NOT(ISNUMBER($X226)),IF($E226="Client","Missing FA signed off","Missing Controlled"),IF($X226&lt;$W226,"End before start","OK"))))</f>
        <v/>
      </c>
      <c r="BX226" s="23" t="str">
        <f aca="false">IF($A226="","",IF(NOT(ISNUMBER($Z226)),"",ROUND((IF(ISNUMBER($U226),MIN($U226,$Z226),$Z226)-$B226)*24,4)))</f>
        <v/>
      </c>
      <c r="BY226" s="23" t="str">
        <f aca="false">IF($A226="","",IF(ISNUMBER($Z226),ROUND(($Z226-$B226)*24,4),""))</f>
        <v/>
      </c>
      <c r="BZ226" s="23" t="str">
        <f aca="false">IF($A226="","",IF(AND(ISNUMBER($W226),ISNUMBER($S226)),ROUND(($W226+$S226/1440-$B226)*24,4),""))</f>
        <v/>
      </c>
    </row>
    <row r="227" customFormat="false" ht="15" hidden="false" customHeight="true" outlineLevel="0" collapsed="false">
      <c r="A227" s="47"/>
      <c r="B227" s="47"/>
      <c r="D227" s="4" t="str">
        <f aca="false">IF($A227="","",$B227-$A227)</f>
        <v/>
      </c>
      <c r="E227" s="4" t="str">
        <f aca="false">IF($A227="","",IFERROR(VLOOKUP($C227,Dim_Fund!$A:$X,24,0),""))</f>
        <v/>
      </c>
      <c r="F227" s="37" t="str">
        <f aca="false">IF($A227="","",IF(COUNTIFS(Status_Log!$A:$A,$A227,Status_Log!$B:$B,$B227,Status_Log!$C:$C,$C227,Status_Log!$D:$D,"Changed to the status of Calculated")=0,"",_xlfn.MINIFS(Status_Log!$E:$E,Status_Log!$A:$A,$A227,Status_Log!$B:$B,$B227,Status_Log!$C:$C,$C227,Status_Log!$D:$D,"Changed to the status of Calculated")))</f>
        <v/>
      </c>
      <c r="G227" s="37" t="str">
        <f aca="false">IF($A227="","",IF(COUNTIFS(Status_Log!$A:$A,$A227,Status_Log!$B:$B,$B227,Status_Log!$C:$C,$C227,Status_Log!$D:$D,"Changed to the status of Controlled")=0,"",_xlfn.MAXIFS(Status_Log!$E:$E,Status_Log!$A:$A,$A227,Status_Log!$B:$B,$B227,Status_Log!$C:$C,$C227,Status_Log!$D:$D,"Changed to the status of Controlled")))</f>
        <v/>
      </c>
      <c r="H227" s="37" t="str">
        <f aca="false">IF($A227="","",IF(COUNTIFS(Status_Log!$A:$A,$A227,Status_Log!$B:$B,$B227,Status_Log!$C:$C,$C227,Status_Log!$D:$D,"Changed to the status of Fund accounting signed off")=0,"",_xlfn.MAXIFS(Status_Log!$E:$E,Status_Log!$A:$A,$A227,Status_Log!$B:$B,$B227,Status_Log!$C:$C,$C227,Status_Log!$D:$D,"Changed to the status of Fund accounting signed off")))</f>
        <v/>
      </c>
      <c r="I227" s="37" t="str">
        <f aca="false">IF($A227="","",IF(COUNTIFS(Status_Log!$A:$A,$A227,Status_Log!$B:$B,$B227,Status_Log!$C:$C,$C227,Status_Log!$D:$D,"Changed to the status of signed off")=0,"",_xlfn.MAXIFS(Status_Log!$E:$E,Status_Log!$A:$A,$A227,Status_Log!$B:$B,$B227,Status_Log!$C:$C,$C227,Status_Log!$D:$D,"Changed to the status of signed off")))</f>
        <v/>
      </c>
      <c r="J227" s="4" t="str">
        <f aca="false">IF($A227="","",COUNTIFS(Status_Log!$A:$A,$A227,Status_Log!$B:$B,$B227,Status_Log!$C:$C,$C227,Status_Log!$D:$D,"Changed to the status of Calculated"))</f>
        <v/>
      </c>
      <c r="K227" s="38" t="str">
        <f aca="false">IF($A227="","",IF(J227&lt;=1,0,ROUND((_xlfn.MAXIFS(Status_Log!$E:$E,Status_Log!$A:$A,$A227,Status_Log!$B:$B,$B227,Status_Log!$C:$C,$C227,Status_Log!$D:$D,"Changed to the status of Calculated")-F227)*1440,0)))</f>
        <v/>
      </c>
      <c r="L227" s="4" t="str">
        <f aca="false">IF($A227="","",IFERROR(INDEX(Status_Log!$F:$F,MATCH($A227&amp;"|"&amp;$B227&amp;"|"&amp;$C227&amp;"|Changed to the status of Calculated|"&amp;TEXT(_xlfn.MAXIFS(Status_Log!$E:$E,Status_Log!$A:$A,$A227,Status_Log!$B:$B,$B227,Status_Log!$C:$C,$C227,Status_Log!$D:$D,"Changed to the status of Calculated"),"0.000000"),Status_Log!$H:$H,0)),""))</f>
        <v/>
      </c>
      <c r="M227" s="4" t="str">
        <f aca="false">IF($A227="","",IF(E227="Client","n/a — no control step",IFERROR(INDEX(Status_Log!$F:$F,MATCH($A227&amp;"|"&amp;$B227&amp;"|"&amp;$C227&amp;"|Changed to the status of Controlled|"&amp;TEXT(_xlfn.MAXIFS(Status_Log!$E:$E,Status_Log!$A:$A,$A227,Status_Log!$B:$B,$B227,Status_Log!$C:$C,$C227,Status_Log!$D:$D,"Changed to the status of Controlled"),"0.000000"),Status_Log!$H:$H,0)),"")))</f>
        <v/>
      </c>
      <c r="N227" s="4" t="str">
        <f aca="false">IF($A227="","",IFERROR(VLOOKUP($C227,Dim_Fund!$A:$G,7,0),""))</f>
        <v/>
      </c>
      <c r="O227" s="4" t="str">
        <f aca="false">IF($A227="","",IF(L227=N227,"No","Yes"))</f>
        <v/>
      </c>
      <c r="P227" s="4" t="str">
        <f aca="false">IF($A227="","",IF(E227="Client","n/a",IF(L227=M227,"YES — four-eyes breach","No")))</f>
        <v/>
      </c>
      <c r="Q227" s="38" t="str">
        <f aca="false">IF($A227="","",IFERROR(VLOOKUP($C227,Dim_Fund!$A:$AB,28,0),""))</f>
        <v/>
      </c>
      <c r="R227" s="38" t="str">
        <f aca="false">IF($A227="","",IFERROR(VLOOKUP($C227,Dim_Fund!$A:$AC,29,0),""))</f>
        <v/>
      </c>
      <c r="S227" s="38" t="str">
        <f aca="false">IF($A227="","",IFERROR(VLOOKUP($C227,Dim_Fund!$A:$AD,30,0),""))</f>
        <v/>
      </c>
      <c r="T227" s="38" t="str">
        <f aca="false">IF($A227="","",IFERROR(VLOOKUP($C227,Dim_Fund!$A:$AL,38,0),""))</f>
        <v/>
      </c>
      <c r="U227" s="37" t="str">
        <f aca="false">IF($A227="","",IF(AL227="","",IFERROR(IF(COUNTIFS(Fact_Milestone!$A:$A,$B227,Fact_Milestone!$B:$B,AL227)=0,"",_xlfn.MAXIFS(Fact_Milestone!$C:$C,Fact_Milestone!$A:$A,$B227,Fact_Milestone!$B:$B,AL227)),"")))</f>
        <v/>
      </c>
      <c r="V227" s="37" t="str">
        <f aca="false">IF($A227="","",IFERROR(IF(VLOOKUP($C227,Dim_Fund!$A:$AI,35,0)&gt;0,$B227+VLOOKUP($C227,Dim_Fund!$A:$AI,35,0)/24,""),""))</f>
        <v/>
      </c>
      <c r="W227" s="37" t="str">
        <f aca="false">IF($A227="","",F227)</f>
        <v/>
      </c>
      <c r="X227" s="37" t="str">
        <f aca="false">IF($A227="","",IF(E227="Client",H227,G227))</f>
        <v/>
      </c>
      <c r="Y227" s="37" t="str">
        <f aca="false">IF($A227="","",I227)</f>
        <v/>
      </c>
      <c r="Z227" s="37" t="str">
        <f aca="false">IF($A227="","",IFERROR(W227-R227/1440,""))</f>
        <v/>
      </c>
      <c r="AA227" s="38" t="str">
        <f aca="false">IF($A227="","",IF(OR(U227="",V227=""),"",ROUND((V227-U227)*1440,0)))</f>
        <v/>
      </c>
      <c r="AB227" s="38" t="str">
        <f aca="false">IF($A227="","",IF(U227="","",ROUND((W227-U227)*1440,0)))</f>
        <v/>
      </c>
      <c r="AC227" s="38" t="str">
        <f aca="false">IF($A227="","",IF(AB227="","",MAX(0,AB227)))</f>
        <v/>
      </c>
      <c r="AD227" s="38" t="str">
        <f aca="false">IF($A227="","",IFERROR(ROUND((X227-W227)*1440,0),""))</f>
        <v/>
      </c>
      <c r="AE227" s="38" t="str">
        <f aca="false">IF($A227="","",IF(E227="Client","n/a",IFERROR(ROUND((H227-G227)*1440,0),"")))</f>
        <v/>
      </c>
      <c r="AF227" s="38" t="str">
        <f aca="false">IF($A227="","",IFERROR(ROUND((Y227-H227)*1440,0),""))</f>
        <v/>
      </c>
      <c r="AG227" s="38" t="str">
        <f aca="false">IF($A227="","",IFERROR(ROUND((H227-F227)*1440,0),""))</f>
        <v/>
      </c>
      <c r="AH227" s="38" t="str">
        <f aca="false">IF($A227="","",IFERROR(ROUND((Y227-V227)*1440,0),""))</f>
        <v/>
      </c>
      <c r="AI227" s="4" t="str">
        <f aca="false">IF($A227="","",IF(AH227="","",IF(AH227&gt;0,"Yes","No")))</f>
        <v/>
      </c>
      <c r="AJ227" s="4" t="str">
        <f aca="false">IF($A227="","",IF(AI227&lt;&gt;"Yes","On time",IF(N(AC227)&gt;=MAX(N(AF227),N(K227)),"Wait for analyst",IF(N(AF227)&gt;=N(K227),"External sign-off","Rework"))))</f>
        <v/>
      </c>
      <c r="AK227" s="4" t="str">
        <f aca="false">IF($A227="","",IF(OR(F227="",Y227="",ISNA(MATCH(L227,Dim_Analyst!$A:$A,0))),"CHECK","OK"))</f>
        <v/>
      </c>
      <c r="AL227" s="4" t="str">
        <f aca="false">IF($A227="","",IFERROR(VLOOKUP($C227,Dim_Fund!$A:$U,21,0),""))</f>
        <v/>
      </c>
      <c r="AM227" s="4" t="str">
        <f aca="false">IF($A227="","",IF($U227="","",IF($U227&gt;$B227+IFERROR(VLOOKUP($C227,Dim_Fund!$A:$AH,34,0),0)/24,"Yes","No")))</f>
        <v/>
      </c>
      <c r="AN227" s="22" t="str">
        <f aca="false">IF($A227="","",IFERROR(VLOOKUP($C227,Dim_Fund!$A:$AH,34,0),""))</f>
        <v/>
      </c>
      <c r="AO227" s="22" t="str">
        <f aca="false">IF($A227="","",IF($AL227="","",IFERROR(FLOOR(IF(COUNTIFS(Fact_Milestone!$A:$A,$B227,Fact_Milestone!$B:$B,$AL227,Fact_Milestone!$F:$F,"&gt;0")&gt;0,_xlfn.MINIFS(Fact_Milestone!$F:$F,Fact_Milestone!$A:$A,$B227,Fact_Milestone!$B:$B,$AL227,Fact_Milestone!$F:$F,"&gt;0"),VLOOKUP($AL227,Dim_TOP!$A:$E,5,0)),0.5),"")))</f>
        <v/>
      </c>
      <c r="AP227" s="22" t="str">
        <f aca="false">IF($A227="","",IF($U227="","",ROUND(($U227-INT($U227))*24,4)))</f>
        <v/>
      </c>
      <c r="AQ227" s="22" t="str">
        <f aca="false">IF($A227="","",IF($W227="","",ROUND(($W227-INT($W227))*24,4)))</f>
        <v/>
      </c>
      <c r="AR227" s="22" t="str">
        <f aca="false">IF($A227="","",IF($X227="","",ROUND(($X227-INT($X227))*24,4)))</f>
        <v/>
      </c>
      <c r="AS227" s="38" t="str">
        <f aca="false">IF($A227="","",IF(OR($AN227="",$V227="",$S227="",$T227=""),"",ROUND(($V227-($B227+$AN227/24))*1440-$S227-$T227,0)))</f>
        <v/>
      </c>
      <c r="AT227" s="38" t="str">
        <f aca="false">IF($A227="","",IF(OR($AN227="",$U227=""),"",ROUND(($U227-($B227+$AN227/24))*1440,0)))</f>
        <v/>
      </c>
      <c r="AU227" s="38" t="str">
        <f aca="false">IF($A227="","",IF(OR($AD227="",$S227=""),"",ROUND($AD227-$S227,0)))</f>
        <v/>
      </c>
      <c r="AV227" s="38" t="str">
        <f aca="false">IF($A227="","",N($AE227))</f>
        <v/>
      </c>
      <c r="AW227" s="38" t="str">
        <f aca="false">IF($A227="","",IF(OR($AF227="",$T227=""),"",$AF227-$T227))</f>
        <v/>
      </c>
      <c r="AX227" s="38" t="str">
        <f aca="false">IF($A227="","",IF(COUNT($AT227,$AB227,$AU227,$AW227,$AS227,$AH227)&lt;6,"",ROUND($AT227+$AB227+$AU227+$AV227+$AW227-$AS227-$AH227,0)))</f>
        <v/>
      </c>
      <c r="AY227" s="4" t="str">
        <f aca="false">IF($A227="","",IF($AX227="","No",IF(ABS($AX227)&lt;=2,"Yes","No")))</f>
        <v/>
      </c>
      <c r="AZ227" s="4" t="str">
        <f aca="false">IF($A227="","",IF($AI227&lt;&gt;"Yes","n/a",IF(OR($AA227="",$S227="",$T227=""),"Unknown",IF($AA227&lt;$S227+$T227,"Lost on arrival","Lost after arrival"))))</f>
        <v/>
      </c>
      <c r="BA227" s="10" t="str">
        <f aca="false">IF($A227="","",IFERROR(VLOOKUP($C227,Dim_Fund!$A:$D,4,0),""))</f>
        <v/>
      </c>
      <c r="BB227" s="10" t="str">
        <f aca="false">IF($A227="","",IF($AL227="","",IF(COUNTIFS(Fact_Milestone!$A:$A,$B227,Fact_Milestone!$B:$B,$AL227,Fact_Milestone!$I:$I,"No")&gt;0,"No",IF(COUNTIFS(Fact_Milestone!$A:$A,$B227,Fact_Milestone!$B:$B,$AL227,Fact_Milestone!$I:$I,"Yes")&gt;0,"Yes",""))))</f>
        <v/>
      </c>
      <c r="BC227" s="45" t="str">
        <f aca="false">IF($A227="","",IF(OR($L227="",$W227=""),"",IF(COUNTIFS($L:$L,$L227,$B:$B,$B227,$W:$W,"&lt;"&amp;$W227)=0,"",_xlfn.MAXIFS($W:$W,$L:$L,$L227,$B:$B,$B227,$W:$W,"&lt;"&amp;$W227))))</f>
        <v/>
      </c>
      <c r="BD227" s="39" t="str">
        <f aca="false">IF($A227="","",IF($AC227="","",IF(OR($L227="",$AC227=0),0,MIN($AC227,ROUND(ROUND(1440*SUMPRODUCT(($L$2:INDEX($L:$L,COUNTA($C:$C))=$L227)*($B$2:INDEX($B:$B,COUNTA($C:$C))=$B227)*(ROW($L$2:INDEX($L:$L,COUNTA($C:$C)))&lt;&gt;ROW())*((((($W227+$BT$2:INDEX($BT:$BT,COUNTA($C:$C))-ABS($W227-$BT$2:INDEX($BT:$BT,COUNTA($C:$C))))/2)-(($U227+$BS$2:INDEX($BS:$BS,COUNTA($C:$C))+ABS($U227-$BS$2:INDEX($BS:$BS,COUNTA($C:$C))))/2))+ABS(((($W227+$BT$2:INDEX($BT:$BT,COUNTA($C:$C))-ABS($W227-$BT$2:INDEX($BT:$BT,COUNTA($C:$C))))/2)-(($U227+$BS$2:INDEX($BS:$BS,COUNTA($C:$C))+ABS($U227-$BS$2:INDEX($BS:$BS,COUNTA($C:$C))))/2))))/2)),4),0)))))</f>
        <v/>
      </c>
      <c r="BE227" s="39" t="str">
        <f aca="false">IF($A227="","",IF($AC227="","",ROUND(MIN($AC227-$BD227,N($R227)),0)))</f>
        <v/>
      </c>
      <c r="BF227" s="10" t="str">
        <f aca="false">IF($A227="","",IFERROR(VLOOKUP($C227,Dim_Fund!$A:$BD,56,0),""))</f>
        <v/>
      </c>
      <c r="BG227" s="10" t="str">
        <f aca="false">IF($A227="","",IFERROR(VLOOKUP($C227,Dim_Fund!$A:$BH,60,0),""))</f>
        <v/>
      </c>
      <c r="BH227" s="10" t="str">
        <f aca="false">IF($A227="","",IF($AI227&lt;&gt;"Yes","Not breached",IF($AM227="Yes","Pricing late",IF($BG227="Thin custody slack","Thin custody slack",IF($BF227="Yes","Broker-dependent","None of these")))))</f>
        <v/>
      </c>
      <c r="BI227" s="23" t="str">
        <f aca="false">IF($A227="","",IFERROR(IF(VLOOKUP($C227,Dim_Fund!$A:$AI,35,0)&gt;0,VLOOKUP($C227,Dim_Fund!$A:$AI,35,0),""),""))</f>
        <v/>
      </c>
      <c r="BJ227" s="10" t="str">
        <f aca="false">IF($A227="","",$C227&amp;IF($E227="Client","*",""))</f>
        <v/>
      </c>
      <c r="BK227" s="39" t="str">
        <f aca="false">IF($A227="","",IFERROR(ROUND(($Y227-$X227)*1440,0),""))</f>
        <v/>
      </c>
      <c r="BL227" s="39" t="str">
        <f aca="false">IF($A227="","",IF($AH227="","",-$AH227))</f>
        <v/>
      </c>
      <c r="BM227" s="46" t="str">
        <f aca="false">IF($A227="","",IF($AQ227="","",IF($AP227="",$AQ227,MIN($AP227,$AQ227))))</f>
        <v/>
      </c>
      <c r="BN227" s="46" t="str">
        <f aca="false">IF($A227="","",IF($BM227="","",ROUND(N($AC227)/60,4)))</f>
        <v/>
      </c>
      <c r="BO227" s="46" t="str">
        <f aca="false">IF($A227="","",IF(OR($BM227="",$AD227=""),"",ROUND($AD227/60,4)))</f>
        <v/>
      </c>
      <c r="BP227" s="46" t="str">
        <f aca="false">IF($A227="","",IF($BM227="","",ROUND(N($AE227)/60,4)))</f>
        <v/>
      </c>
      <c r="BQ227" s="46" t="str">
        <f aca="false">IF($A227="","",IF(OR($BM227="",$AF227=""),"",ROUND($AF227/60,4)))</f>
        <v/>
      </c>
      <c r="BR227" s="39" t="str">
        <f aca="false">IF($A227="","",IF($AC227="","",$AC227-$BD227-$BE227))</f>
        <v/>
      </c>
      <c r="BS227" s="45" t="str">
        <f aca="false">IF($A227="","",IF(AND(ISNUMBER($Z227),ISNUMBER($W227)),$Z227,0))</f>
        <v/>
      </c>
      <c r="BT227" s="45" t="str">
        <f aca="false">IF($A227="","",IF(ISNUMBER($W227),$W227,0))</f>
        <v/>
      </c>
      <c r="BU227" s="23" t="str">
        <f aca="false">IF($A227="","",IF(ISNUMBER($W227),ROUND(($W227-$B227)*24,4),""))</f>
        <v/>
      </c>
      <c r="BV227" s="23" t="str">
        <f aca="false">IF($A227="","",IF(ISNUMBER($X227),ROUND(($X227-$B227)*24,4),""))</f>
        <v/>
      </c>
      <c r="BW227" s="10" t="str">
        <f aca="false">IF($A227="","",IF(NOT(ISNUMBER($W227)),"Missing Calculated",IF(NOT(ISNUMBER($X227)),IF($E227="Client","Missing FA signed off","Missing Controlled"),IF($X227&lt;$W227,"End before start","OK"))))</f>
        <v/>
      </c>
      <c r="BX227" s="23" t="str">
        <f aca="false">IF($A227="","",IF(NOT(ISNUMBER($Z227)),"",ROUND((IF(ISNUMBER($U227),MIN($U227,$Z227),$Z227)-$B227)*24,4)))</f>
        <v/>
      </c>
      <c r="BY227" s="23" t="str">
        <f aca="false">IF($A227="","",IF(ISNUMBER($Z227),ROUND(($Z227-$B227)*24,4),""))</f>
        <v/>
      </c>
      <c r="BZ227" s="23" t="str">
        <f aca="false">IF($A227="","",IF(AND(ISNUMBER($W227),ISNUMBER($S227)),ROUND(($W227+$S227/1440-$B227)*24,4),""))</f>
        <v/>
      </c>
    </row>
    <row r="228" customFormat="false" ht="15" hidden="false" customHeight="true" outlineLevel="0" collapsed="false">
      <c r="A228" s="47"/>
      <c r="B228" s="47"/>
      <c r="D228" s="4" t="str">
        <f aca="false">IF($A228="","",$B228-$A228)</f>
        <v/>
      </c>
      <c r="E228" s="4" t="str">
        <f aca="false">IF($A228="","",IFERROR(VLOOKUP($C228,Dim_Fund!$A:$X,24,0),""))</f>
        <v/>
      </c>
      <c r="F228" s="37" t="str">
        <f aca="false">IF($A228="","",IF(COUNTIFS(Status_Log!$A:$A,$A228,Status_Log!$B:$B,$B228,Status_Log!$C:$C,$C228,Status_Log!$D:$D,"Changed to the status of Calculated")=0,"",_xlfn.MINIFS(Status_Log!$E:$E,Status_Log!$A:$A,$A228,Status_Log!$B:$B,$B228,Status_Log!$C:$C,$C228,Status_Log!$D:$D,"Changed to the status of Calculated")))</f>
        <v/>
      </c>
      <c r="G228" s="37" t="str">
        <f aca="false">IF($A228="","",IF(COUNTIFS(Status_Log!$A:$A,$A228,Status_Log!$B:$B,$B228,Status_Log!$C:$C,$C228,Status_Log!$D:$D,"Changed to the status of Controlled")=0,"",_xlfn.MAXIFS(Status_Log!$E:$E,Status_Log!$A:$A,$A228,Status_Log!$B:$B,$B228,Status_Log!$C:$C,$C228,Status_Log!$D:$D,"Changed to the status of Controlled")))</f>
        <v/>
      </c>
      <c r="H228" s="37" t="str">
        <f aca="false">IF($A228="","",IF(COUNTIFS(Status_Log!$A:$A,$A228,Status_Log!$B:$B,$B228,Status_Log!$C:$C,$C228,Status_Log!$D:$D,"Changed to the status of Fund accounting signed off")=0,"",_xlfn.MAXIFS(Status_Log!$E:$E,Status_Log!$A:$A,$A228,Status_Log!$B:$B,$B228,Status_Log!$C:$C,$C228,Status_Log!$D:$D,"Changed to the status of Fund accounting signed off")))</f>
        <v/>
      </c>
      <c r="I228" s="37" t="str">
        <f aca="false">IF($A228="","",IF(COUNTIFS(Status_Log!$A:$A,$A228,Status_Log!$B:$B,$B228,Status_Log!$C:$C,$C228,Status_Log!$D:$D,"Changed to the status of signed off")=0,"",_xlfn.MAXIFS(Status_Log!$E:$E,Status_Log!$A:$A,$A228,Status_Log!$B:$B,$B228,Status_Log!$C:$C,$C228,Status_Log!$D:$D,"Changed to the status of signed off")))</f>
        <v/>
      </c>
      <c r="J228" s="4" t="str">
        <f aca="false">IF($A228="","",COUNTIFS(Status_Log!$A:$A,$A228,Status_Log!$B:$B,$B228,Status_Log!$C:$C,$C228,Status_Log!$D:$D,"Changed to the status of Calculated"))</f>
        <v/>
      </c>
      <c r="K228" s="38" t="str">
        <f aca="false">IF($A228="","",IF(J228&lt;=1,0,ROUND((_xlfn.MAXIFS(Status_Log!$E:$E,Status_Log!$A:$A,$A228,Status_Log!$B:$B,$B228,Status_Log!$C:$C,$C228,Status_Log!$D:$D,"Changed to the status of Calculated")-F228)*1440,0)))</f>
        <v/>
      </c>
      <c r="L228" s="4" t="str">
        <f aca="false">IF($A228="","",IFERROR(INDEX(Status_Log!$F:$F,MATCH($A228&amp;"|"&amp;$B228&amp;"|"&amp;$C228&amp;"|Changed to the status of Calculated|"&amp;TEXT(_xlfn.MAXIFS(Status_Log!$E:$E,Status_Log!$A:$A,$A228,Status_Log!$B:$B,$B228,Status_Log!$C:$C,$C228,Status_Log!$D:$D,"Changed to the status of Calculated"),"0.000000"),Status_Log!$H:$H,0)),""))</f>
        <v/>
      </c>
      <c r="M228" s="4" t="str">
        <f aca="false">IF($A228="","",IF(E228="Client","n/a — no control step",IFERROR(INDEX(Status_Log!$F:$F,MATCH($A228&amp;"|"&amp;$B228&amp;"|"&amp;$C228&amp;"|Changed to the status of Controlled|"&amp;TEXT(_xlfn.MAXIFS(Status_Log!$E:$E,Status_Log!$A:$A,$A228,Status_Log!$B:$B,$B228,Status_Log!$C:$C,$C228,Status_Log!$D:$D,"Changed to the status of Controlled"),"0.000000"),Status_Log!$H:$H,0)),"")))</f>
        <v/>
      </c>
      <c r="N228" s="4" t="str">
        <f aca="false">IF($A228="","",IFERROR(VLOOKUP($C228,Dim_Fund!$A:$G,7,0),""))</f>
        <v/>
      </c>
      <c r="O228" s="4" t="str">
        <f aca="false">IF($A228="","",IF(L228=N228,"No","Yes"))</f>
        <v/>
      </c>
      <c r="P228" s="4" t="str">
        <f aca="false">IF($A228="","",IF(E228="Client","n/a",IF(L228=M228,"YES — four-eyes breach","No")))</f>
        <v/>
      </c>
      <c r="Q228" s="38" t="str">
        <f aca="false">IF($A228="","",IFERROR(VLOOKUP($C228,Dim_Fund!$A:$AB,28,0),""))</f>
        <v/>
      </c>
      <c r="R228" s="38" t="str">
        <f aca="false">IF($A228="","",IFERROR(VLOOKUP($C228,Dim_Fund!$A:$AC,29,0),""))</f>
        <v/>
      </c>
      <c r="S228" s="38" t="str">
        <f aca="false">IF($A228="","",IFERROR(VLOOKUP($C228,Dim_Fund!$A:$AD,30,0),""))</f>
        <v/>
      </c>
      <c r="T228" s="38" t="str">
        <f aca="false">IF($A228="","",IFERROR(VLOOKUP($C228,Dim_Fund!$A:$AL,38,0),""))</f>
        <v/>
      </c>
      <c r="U228" s="37" t="str">
        <f aca="false">IF($A228="","",IF(AL228="","",IFERROR(IF(COUNTIFS(Fact_Milestone!$A:$A,$B228,Fact_Milestone!$B:$B,AL228)=0,"",_xlfn.MAXIFS(Fact_Milestone!$C:$C,Fact_Milestone!$A:$A,$B228,Fact_Milestone!$B:$B,AL228)),"")))</f>
        <v/>
      </c>
      <c r="V228" s="37" t="str">
        <f aca="false">IF($A228="","",IFERROR(IF(VLOOKUP($C228,Dim_Fund!$A:$AI,35,0)&gt;0,$B228+VLOOKUP($C228,Dim_Fund!$A:$AI,35,0)/24,""),""))</f>
        <v/>
      </c>
      <c r="W228" s="37" t="str">
        <f aca="false">IF($A228="","",F228)</f>
        <v/>
      </c>
      <c r="X228" s="37" t="str">
        <f aca="false">IF($A228="","",IF(E228="Client",H228,G228))</f>
        <v/>
      </c>
      <c r="Y228" s="37" t="str">
        <f aca="false">IF($A228="","",I228)</f>
        <v/>
      </c>
      <c r="Z228" s="37" t="str">
        <f aca="false">IF($A228="","",IFERROR(W228-R228/1440,""))</f>
        <v/>
      </c>
      <c r="AA228" s="38" t="str">
        <f aca="false">IF($A228="","",IF(OR(U228="",V228=""),"",ROUND((V228-U228)*1440,0)))</f>
        <v/>
      </c>
      <c r="AB228" s="38" t="str">
        <f aca="false">IF($A228="","",IF(U228="","",ROUND((W228-U228)*1440,0)))</f>
        <v/>
      </c>
      <c r="AC228" s="38" t="str">
        <f aca="false">IF($A228="","",IF(AB228="","",MAX(0,AB228)))</f>
        <v/>
      </c>
      <c r="AD228" s="38" t="str">
        <f aca="false">IF($A228="","",IFERROR(ROUND((X228-W228)*1440,0),""))</f>
        <v/>
      </c>
      <c r="AE228" s="38" t="str">
        <f aca="false">IF($A228="","",IF(E228="Client","n/a",IFERROR(ROUND((H228-G228)*1440,0),"")))</f>
        <v/>
      </c>
      <c r="AF228" s="38" t="str">
        <f aca="false">IF($A228="","",IFERROR(ROUND((Y228-H228)*1440,0),""))</f>
        <v/>
      </c>
      <c r="AG228" s="38" t="str">
        <f aca="false">IF($A228="","",IFERROR(ROUND((H228-F228)*1440,0),""))</f>
        <v/>
      </c>
      <c r="AH228" s="38" t="str">
        <f aca="false">IF($A228="","",IFERROR(ROUND((Y228-V228)*1440,0),""))</f>
        <v/>
      </c>
      <c r="AI228" s="4" t="str">
        <f aca="false">IF($A228="","",IF(AH228="","",IF(AH228&gt;0,"Yes","No")))</f>
        <v/>
      </c>
      <c r="AJ228" s="4" t="str">
        <f aca="false">IF($A228="","",IF(AI228&lt;&gt;"Yes","On time",IF(N(AC228)&gt;=MAX(N(AF228),N(K228)),"Wait for analyst",IF(N(AF228)&gt;=N(K228),"External sign-off","Rework"))))</f>
        <v/>
      </c>
      <c r="AK228" s="4" t="str">
        <f aca="false">IF($A228="","",IF(OR(F228="",Y228="",ISNA(MATCH(L228,Dim_Analyst!$A:$A,0))),"CHECK","OK"))</f>
        <v/>
      </c>
      <c r="AL228" s="4" t="str">
        <f aca="false">IF($A228="","",IFERROR(VLOOKUP($C228,Dim_Fund!$A:$U,21,0),""))</f>
        <v/>
      </c>
      <c r="AM228" s="4" t="str">
        <f aca="false">IF($A228="","",IF($U228="","",IF($U228&gt;$B228+IFERROR(VLOOKUP($C228,Dim_Fund!$A:$AH,34,0),0)/24,"Yes","No")))</f>
        <v/>
      </c>
      <c r="AN228" s="22" t="str">
        <f aca="false">IF($A228="","",IFERROR(VLOOKUP($C228,Dim_Fund!$A:$AH,34,0),""))</f>
        <v/>
      </c>
      <c r="AO228" s="22" t="str">
        <f aca="false">IF($A228="","",IF($AL228="","",IFERROR(FLOOR(IF(COUNTIFS(Fact_Milestone!$A:$A,$B228,Fact_Milestone!$B:$B,$AL228,Fact_Milestone!$F:$F,"&gt;0")&gt;0,_xlfn.MINIFS(Fact_Milestone!$F:$F,Fact_Milestone!$A:$A,$B228,Fact_Milestone!$B:$B,$AL228,Fact_Milestone!$F:$F,"&gt;0"),VLOOKUP($AL228,Dim_TOP!$A:$E,5,0)),0.5),"")))</f>
        <v/>
      </c>
      <c r="AP228" s="22" t="str">
        <f aca="false">IF($A228="","",IF($U228="","",ROUND(($U228-INT($U228))*24,4)))</f>
        <v/>
      </c>
      <c r="AQ228" s="22" t="str">
        <f aca="false">IF($A228="","",IF($W228="","",ROUND(($W228-INT($W228))*24,4)))</f>
        <v/>
      </c>
      <c r="AR228" s="22" t="str">
        <f aca="false">IF($A228="","",IF($X228="","",ROUND(($X228-INT($X228))*24,4)))</f>
        <v/>
      </c>
      <c r="AS228" s="38" t="str">
        <f aca="false">IF($A228="","",IF(OR($AN228="",$V228="",$S228="",$T228=""),"",ROUND(($V228-($B228+$AN228/24))*1440-$S228-$T228,0)))</f>
        <v/>
      </c>
      <c r="AT228" s="38" t="str">
        <f aca="false">IF($A228="","",IF(OR($AN228="",$U228=""),"",ROUND(($U228-($B228+$AN228/24))*1440,0)))</f>
        <v/>
      </c>
      <c r="AU228" s="38" t="str">
        <f aca="false">IF($A228="","",IF(OR($AD228="",$S228=""),"",ROUND($AD228-$S228,0)))</f>
        <v/>
      </c>
      <c r="AV228" s="38" t="str">
        <f aca="false">IF($A228="","",N($AE228))</f>
        <v/>
      </c>
      <c r="AW228" s="38" t="str">
        <f aca="false">IF($A228="","",IF(OR($AF228="",$T228=""),"",$AF228-$T228))</f>
        <v/>
      </c>
      <c r="AX228" s="38" t="str">
        <f aca="false">IF($A228="","",IF(COUNT($AT228,$AB228,$AU228,$AW228,$AS228,$AH228)&lt;6,"",ROUND($AT228+$AB228+$AU228+$AV228+$AW228-$AS228-$AH228,0)))</f>
        <v/>
      </c>
      <c r="AY228" s="4" t="str">
        <f aca="false">IF($A228="","",IF($AX228="","No",IF(ABS($AX228)&lt;=2,"Yes","No")))</f>
        <v/>
      </c>
      <c r="AZ228" s="4" t="str">
        <f aca="false">IF($A228="","",IF($AI228&lt;&gt;"Yes","n/a",IF(OR($AA228="",$S228="",$T228=""),"Unknown",IF($AA228&lt;$S228+$T228,"Lost on arrival","Lost after arrival"))))</f>
        <v/>
      </c>
      <c r="BA228" s="10" t="str">
        <f aca="false">IF($A228="","",IFERROR(VLOOKUP($C228,Dim_Fund!$A:$D,4,0),""))</f>
        <v/>
      </c>
      <c r="BB228" s="10" t="str">
        <f aca="false">IF($A228="","",IF($AL228="","",IF(COUNTIFS(Fact_Milestone!$A:$A,$B228,Fact_Milestone!$B:$B,$AL228,Fact_Milestone!$I:$I,"No")&gt;0,"No",IF(COUNTIFS(Fact_Milestone!$A:$A,$B228,Fact_Milestone!$B:$B,$AL228,Fact_Milestone!$I:$I,"Yes")&gt;0,"Yes",""))))</f>
        <v/>
      </c>
      <c r="BC228" s="45" t="str">
        <f aca="false">IF($A228="","",IF(OR($L228="",$W228=""),"",IF(COUNTIFS($L:$L,$L228,$B:$B,$B228,$W:$W,"&lt;"&amp;$W228)=0,"",_xlfn.MAXIFS($W:$W,$L:$L,$L228,$B:$B,$B228,$W:$W,"&lt;"&amp;$W228))))</f>
        <v/>
      </c>
      <c r="BD228" s="39" t="str">
        <f aca="false">IF($A228="","",IF($AC228="","",IF(OR($L228="",$AC228=0),0,MIN($AC228,ROUND(ROUND(1440*SUMPRODUCT(($L$2:INDEX($L:$L,COUNTA($C:$C))=$L228)*($B$2:INDEX($B:$B,COUNTA($C:$C))=$B228)*(ROW($L$2:INDEX($L:$L,COUNTA($C:$C)))&lt;&gt;ROW())*((((($W228+$BT$2:INDEX($BT:$BT,COUNTA($C:$C))-ABS($W228-$BT$2:INDEX($BT:$BT,COUNTA($C:$C))))/2)-(($U228+$BS$2:INDEX($BS:$BS,COUNTA($C:$C))+ABS($U228-$BS$2:INDEX($BS:$BS,COUNTA($C:$C))))/2))+ABS(((($W228+$BT$2:INDEX($BT:$BT,COUNTA($C:$C))-ABS($W228-$BT$2:INDEX($BT:$BT,COUNTA($C:$C))))/2)-(($U228+$BS$2:INDEX($BS:$BS,COUNTA($C:$C))+ABS($U228-$BS$2:INDEX($BS:$BS,COUNTA($C:$C))))/2))))/2)),4),0)))))</f>
        <v/>
      </c>
      <c r="BE228" s="39" t="str">
        <f aca="false">IF($A228="","",IF($AC228="","",ROUND(MIN($AC228-$BD228,N($R228)),0)))</f>
        <v/>
      </c>
      <c r="BF228" s="10" t="str">
        <f aca="false">IF($A228="","",IFERROR(VLOOKUP($C228,Dim_Fund!$A:$BD,56,0),""))</f>
        <v/>
      </c>
      <c r="BG228" s="10" t="str">
        <f aca="false">IF($A228="","",IFERROR(VLOOKUP($C228,Dim_Fund!$A:$BH,60,0),""))</f>
        <v/>
      </c>
      <c r="BH228" s="10" t="str">
        <f aca="false">IF($A228="","",IF($AI228&lt;&gt;"Yes","Not breached",IF($AM228="Yes","Pricing late",IF($BG228="Thin custody slack","Thin custody slack",IF($BF228="Yes","Broker-dependent","None of these")))))</f>
        <v/>
      </c>
      <c r="BI228" s="23" t="str">
        <f aca="false">IF($A228="","",IFERROR(IF(VLOOKUP($C228,Dim_Fund!$A:$AI,35,0)&gt;0,VLOOKUP($C228,Dim_Fund!$A:$AI,35,0),""),""))</f>
        <v/>
      </c>
      <c r="BJ228" s="10" t="str">
        <f aca="false">IF($A228="","",$C228&amp;IF($E228="Client","*",""))</f>
        <v/>
      </c>
      <c r="BK228" s="39" t="str">
        <f aca="false">IF($A228="","",IFERROR(ROUND(($Y228-$X228)*1440,0),""))</f>
        <v/>
      </c>
      <c r="BL228" s="39" t="str">
        <f aca="false">IF($A228="","",IF($AH228="","",-$AH228))</f>
        <v/>
      </c>
      <c r="BM228" s="46" t="str">
        <f aca="false">IF($A228="","",IF($AQ228="","",IF($AP228="",$AQ228,MIN($AP228,$AQ228))))</f>
        <v/>
      </c>
      <c r="BN228" s="46" t="str">
        <f aca="false">IF($A228="","",IF($BM228="","",ROUND(N($AC228)/60,4)))</f>
        <v/>
      </c>
      <c r="BO228" s="46" t="str">
        <f aca="false">IF($A228="","",IF(OR($BM228="",$AD228=""),"",ROUND($AD228/60,4)))</f>
        <v/>
      </c>
      <c r="BP228" s="46" t="str">
        <f aca="false">IF($A228="","",IF($BM228="","",ROUND(N($AE228)/60,4)))</f>
        <v/>
      </c>
      <c r="BQ228" s="46" t="str">
        <f aca="false">IF($A228="","",IF(OR($BM228="",$AF228=""),"",ROUND($AF228/60,4)))</f>
        <v/>
      </c>
      <c r="BR228" s="39" t="str">
        <f aca="false">IF($A228="","",IF($AC228="","",$AC228-$BD228-$BE228))</f>
        <v/>
      </c>
      <c r="BS228" s="45" t="str">
        <f aca="false">IF($A228="","",IF(AND(ISNUMBER($Z228),ISNUMBER($W228)),$Z228,0))</f>
        <v/>
      </c>
      <c r="BT228" s="45" t="str">
        <f aca="false">IF($A228="","",IF(ISNUMBER($W228),$W228,0))</f>
        <v/>
      </c>
      <c r="BU228" s="23" t="str">
        <f aca="false">IF($A228="","",IF(ISNUMBER($W228),ROUND(($W228-$B228)*24,4),""))</f>
        <v/>
      </c>
      <c r="BV228" s="23" t="str">
        <f aca="false">IF($A228="","",IF(ISNUMBER($X228),ROUND(($X228-$B228)*24,4),""))</f>
        <v/>
      </c>
      <c r="BW228" s="10" t="str">
        <f aca="false">IF($A228="","",IF(NOT(ISNUMBER($W228)),"Missing Calculated",IF(NOT(ISNUMBER($X228)),IF($E228="Client","Missing FA signed off","Missing Controlled"),IF($X228&lt;$W228,"End before start","OK"))))</f>
        <v/>
      </c>
      <c r="BX228" s="23" t="str">
        <f aca="false">IF($A228="","",IF(NOT(ISNUMBER($Z228)),"",ROUND((IF(ISNUMBER($U228),MIN($U228,$Z228),$Z228)-$B228)*24,4)))</f>
        <v/>
      </c>
      <c r="BY228" s="23" t="str">
        <f aca="false">IF($A228="","",IF(ISNUMBER($Z228),ROUND(($Z228-$B228)*24,4),""))</f>
        <v/>
      </c>
      <c r="BZ228" s="23" t="str">
        <f aca="false">IF($A228="","",IF(AND(ISNUMBER($W228),ISNUMBER($S228)),ROUND(($W228+$S228/1440-$B228)*24,4),""))</f>
        <v/>
      </c>
    </row>
    <row r="229" customFormat="false" ht="15" hidden="false" customHeight="true" outlineLevel="0" collapsed="false">
      <c r="A229" s="47"/>
      <c r="B229" s="47"/>
      <c r="D229" s="4" t="str">
        <f aca="false">IF($A229="","",$B229-$A229)</f>
        <v/>
      </c>
      <c r="E229" s="4" t="str">
        <f aca="false">IF($A229="","",IFERROR(VLOOKUP($C229,Dim_Fund!$A:$X,24,0),""))</f>
        <v/>
      </c>
      <c r="F229" s="37" t="str">
        <f aca="false">IF($A229="","",IF(COUNTIFS(Status_Log!$A:$A,$A229,Status_Log!$B:$B,$B229,Status_Log!$C:$C,$C229,Status_Log!$D:$D,"Changed to the status of Calculated")=0,"",_xlfn.MINIFS(Status_Log!$E:$E,Status_Log!$A:$A,$A229,Status_Log!$B:$B,$B229,Status_Log!$C:$C,$C229,Status_Log!$D:$D,"Changed to the status of Calculated")))</f>
        <v/>
      </c>
      <c r="G229" s="37" t="str">
        <f aca="false">IF($A229="","",IF(COUNTIFS(Status_Log!$A:$A,$A229,Status_Log!$B:$B,$B229,Status_Log!$C:$C,$C229,Status_Log!$D:$D,"Changed to the status of Controlled")=0,"",_xlfn.MAXIFS(Status_Log!$E:$E,Status_Log!$A:$A,$A229,Status_Log!$B:$B,$B229,Status_Log!$C:$C,$C229,Status_Log!$D:$D,"Changed to the status of Controlled")))</f>
        <v/>
      </c>
      <c r="H229" s="37" t="str">
        <f aca="false">IF($A229="","",IF(COUNTIFS(Status_Log!$A:$A,$A229,Status_Log!$B:$B,$B229,Status_Log!$C:$C,$C229,Status_Log!$D:$D,"Changed to the status of Fund accounting signed off")=0,"",_xlfn.MAXIFS(Status_Log!$E:$E,Status_Log!$A:$A,$A229,Status_Log!$B:$B,$B229,Status_Log!$C:$C,$C229,Status_Log!$D:$D,"Changed to the status of Fund accounting signed off")))</f>
        <v/>
      </c>
      <c r="I229" s="37" t="str">
        <f aca="false">IF($A229="","",IF(COUNTIFS(Status_Log!$A:$A,$A229,Status_Log!$B:$B,$B229,Status_Log!$C:$C,$C229,Status_Log!$D:$D,"Changed to the status of signed off")=0,"",_xlfn.MAXIFS(Status_Log!$E:$E,Status_Log!$A:$A,$A229,Status_Log!$B:$B,$B229,Status_Log!$C:$C,$C229,Status_Log!$D:$D,"Changed to the status of signed off")))</f>
        <v/>
      </c>
      <c r="J229" s="4" t="str">
        <f aca="false">IF($A229="","",COUNTIFS(Status_Log!$A:$A,$A229,Status_Log!$B:$B,$B229,Status_Log!$C:$C,$C229,Status_Log!$D:$D,"Changed to the status of Calculated"))</f>
        <v/>
      </c>
      <c r="K229" s="38" t="str">
        <f aca="false">IF($A229="","",IF(J229&lt;=1,0,ROUND((_xlfn.MAXIFS(Status_Log!$E:$E,Status_Log!$A:$A,$A229,Status_Log!$B:$B,$B229,Status_Log!$C:$C,$C229,Status_Log!$D:$D,"Changed to the status of Calculated")-F229)*1440,0)))</f>
        <v/>
      </c>
      <c r="L229" s="4" t="str">
        <f aca="false">IF($A229="","",IFERROR(INDEX(Status_Log!$F:$F,MATCH($A229&amp;"|"&amp;$B229&amp;"|"&amp;$C229&amp;"|Changed to the status of Calculated|"&amp;TEXT(_xlfn.MAXIFS(Status_Log!$E:$E,Status_Log!$A:$A,$A229,Status_Log!$B:$B,$B229,Status_Log!$C:$C,$C229,Status_Log!$D:$D,"Changed to the status of Calculated"),"0.000000"),Status_Log!$H:$H,0)),""))</f>
        <v/>
      </c>
      <c r="M229" s="4" t="str">
        <f aca="false">IF($A229="","",IF(E229="Client","n/a — no control step",IFERROR(INDEX(Status_Log!$F:$F,MATCH($A229&amp;"|"&amp;$B229&amp;"|"&amp;$C229&amp;"|Changed to the status of Controlled|"&amp;TEXT(_xlfn.MAXIFS(Status_Log!$E:$E,Status_Log!$A:$A,$A229,Status_Log!$B:$B,$B229,Status_Log!$C:$C,$C229,Status_Log!$D:$D,"Changed to the status of Controlled"),"0.000000"),Status_Log!$H:$H,0)),"")))</f>
        <v/>
      </c>
      <c r="N229" s="4" t="str">
        <f aca="false">IF($A229="","",IFERROR(VLOOKUP($C229,Dim_Fund!$A:$G,7,0),""))</f>
        <v/>
      </c>
      <c r="O229" s="4" t="str">
        <f aca="false">IF($A229="","",IF(L229=N229,"No","Yes"))</f>
        <v/>
      </c>
      <c r="P229" s="4" t="str">
        <f aca="false">IF($A229="","",IF(E229="Client","n/a",IF(L229=M229,"YES — four-eyes breach","No")))</f>
        <v/>
      </c>
      <c r="Q229" s="38" t="str">
        <f aca="false">IF($A229="","",IFERROR(VLOOKUP($C229,Dim_Fund!$A:$AB,28,0),""))</f>
        <v/>
      </c>
      <c r="R229" s="38" t="str">
        <f aca="false">IF($A229="","",IFERROR(VLOOKUP($C229,Dim_Fund!$A:$AC,29,0),""))</f>
        <v/>
      </c>
      <c r="S229" s="38" t="str">
        <f aca="false">IF($A229="","",IFERROR(VLOOKUP($C229,Dim_Fund!$A:$AD,30,0),""))</f>
        <v/>
      </c>
      <c r="T229" s="38" t="str">
        <f aca="false">IF($A229="","",IFERROR(VLOOKUP($C229,Dim_Fund!$A:$AL,38,0),""))</f>
        <v/>
      </c>
      <c r="U229" s="37" t="str">
        <f aca="false">IF($A229="","",IF(AL229="","",IFERROR(IF(COUNTIFS(Fact_Milestone!$A:$A,$B229,Fact_Milestone!$B:$B,AL229)=0,"",_xlfn.MAXIFS(Fact_Milestone!$C:$C,Fact_Milestone!$A:$A,$B229,Fact_Milestone!$B:$B,AL229)),"")))</f>
        <v/>
      </c>
      <c r="V229" s="37" t="str">
        <f aca="false">IF($A229="","",IFERROR(IF(VLOOKUP($C229,Dim_Fund!$A:$AI,35,0)&gt;0,$B229+VLOOKUP($C229,Dim_Fund!$A:$AI,35,0)/24,""),""))</f>
        <v/>
      </c>
      <c r="W229" s="37" t="str">
        <f aca="false">IF($A229="","",F229)</f>
        <v/>
      </c>
      <c r="X229" s="37" t="str">
        <f aca="false">IF($A229="","",IF(E229="Client",H229,G229))</f>
        <v/>
      </c>
      <c r="Y229" s="37" t="str">
        <f aca="false">IF($A229="","",I229)</f>
        <v/>
      </c>
      <c r="Z229" s="37" t="str">
        <f aca="false">IF($A229="","",IFERROR(W229-R229/1440,""))</f>
        <v/>
      </c>
      <c r="AA229" s="38" t="str">
        <f aca="false">IF($A229="","",IF(OR(U229="",V229=""),"",ROUND((V229-U229)*1440,0)))</f>
        <v/>
      </c>
      <c r="AB229" s="38" t="str">
        <f aca="false">IF($A229="","",IF(U229="","",ROUND((W229-U229)*1440,0)))</f>
        <v/>
      </c>
      <c r="AC229" s="38" t="str">
        <f aca="false">IF($A229="","",IF(AB229="","",MAX(0,AB229)))</f>
        <v/>
      </c>
      <c r="AD229" s="38" t="str">
        <f aca="false">IF($A229="","",IFERROR(ROUND((X229-W229)*1440,0),""))</f>
        <v/>
      </c>
      <c r="AE229" s="38" t="str">
        <f aca="false">IF($A229="","",IF(E229="Client","n/a",IFERROR(ROUND((H229-G229)*1440,0),"")))</f>
        <v/>
      </c>
      <c r="AF229" s="38" t="str">
        <f aca="false">IF($A229="","",IFERROR(ROUND((Y229-H229)*1440,0),""))</f>
        <v/>
      </c>
      <c r="AG229" s="38" t="str">
        <f aca="false">IF($A229="","",IFERROR(ROUND((H229-F229)*1440,0),""))</f>
        <v/>
      </c>
      <c r="AH229" s="38" t="str">
        <f aca="false">IF($A229="","",IFERROR(ROUND((Y229-V229)*1440,0),""))</f>
        <v/>
      </c>
      <c r="AI229" s="4" t="str">
        <f aca="false">IF($A229="","",IF(AH229="","",IF(AH229&gt;0,"Yes","No")))</f>
        <v/>
      </c>
      <c r="AJ229" s="4" t="str">
        <f aca="false">IF($A229="","",IF(AI229&lt;&gt;"Yes","On time",IF(N(AC229)&gt;=MAX(N(AF229),N(K229)),"Wait for analyst",IF(N(AF229)&gt;=N(K229),"External sign-off","Rework"))))</f>
        <v/>
      </c>
      <c r="AK229" s="4" t="str">
        <f aca="false">IF($A229="","",IF(OR(F229="",Y229="",ISNA(MATCH(L229,Dim_Analyst!$A:$A,0))),"CHECK","OK"))</f>
        <v/>
      </c>
      <c r="AL229" s="4" t="str">
        <f aca="false">IF($A229="","",IFERROR(VLOOKUP($C229,Dim_Fund!$A:$U,21,0),""))</f>
        <v/>
      </c>
      <c r="AM229" s="4" t="str">
        <f aca="false">IF($A229="","",IF($U229="","",IF($U229&gt;$B229+IFERROR(VLOOKUP($C229,Dim_Fund!$A:$AH,34,0),0)/24,"Yes","No")))</f>
        <v/>
      </c>
      <c r="AN229" s="22" t="str">
        <f aca="false">IF($A229="","",IFERROR(VLOOKUP($C229,Dim_Fund!$A:$AH,34,0),""))</f>
        <v/>
      </c>
      <c r="AO229" s="22" t="str">
        <f aca="false">IF($A229="","",IF($AL229="","",IFERROR(FLOOR(IF(COUNTIFS(Fact_Milestone!$A:$A,$B229,Fact_Milestone!$B:$B,$AL229,Fact_Milestone!$F:$F,"&gt;0")&gt;0,_xlfn.MINIFS(Fact_Milestone!$F:$F,Fact_Milestone!$A:$A,$B229,Fact_Milestone!$B:$B,$AL229,Fact_Milestone!$F:$F,"&gt;0"),VLOOKUP($AL229,Dim_TOP!$A:$E,5,0)),0.5),"")))</f>
        <v/>
      </c>
      <c r="AP229" s="22" t="str">
        <f aca="false">IF($A229="","",IF($U229="","",ROUND(($U229-INT($U229))*24,4)))</f>
        <v/>
      </c>
      <c r="AQ229" s="22" t="str">
        <f aca="false">IF($A229="","",IF($W229="","",ROUND(($W229-INT($W229))*24,4)))</f>
        <v/>
      </c>
      <c r="AR229" s="22" t="str">
        <f aca="false">IF($A229="","",IF($X229="","",ROUND(($X229-INT($X229))*24,4)))</f>
        <v/>
      </c>
      <c r="AS229" s="38" t="str">
        <f aca="false">IF($A229="","",IF(OR($AN229="",$V229="",$S229="",$T229=""),"",ROUND(($V229-($B229+$AN229/24))*1440-$S229-$T229,0)))</f>
        <v/>
      </c>
      <c r="AT229" s="38" t="str">
        <f aca="false">IF($A229="","",IF(OR($AN229="",$U229=""),"",ROUND(($U229-($B229+$AN229/24))*1440,0)))</f>
        <v/>
      </c>
      <c r="AU229" s="38" t="str">
        <f aca="false">IF($A229="","",IF(OR($AD229="",$S229=""),"",ROUND($AD229-$S229,0)))</f>
        <v/>
      </c>
      <c r="AV229" s="38" t="str">
        <f aca="false">IF($A229="","",N($AE229))</f>
        <v/>
      </c>
      <c r="AW229" s="38" t="str">
        <f aca="false">IF($A229="","",IF(OR($AF229="",$T229=""),"",$AF229-$T229))</f>
        <v/>
      </c>
      <c r="AX229" s="38" t="str">
        <f aca="false">IF($A229="","",IF(COUNT($AT229,$AB229,$AU229,$AW229,$AS229,$AH229)&lt;6,"",ROUND($AT229+$AB229+$AU229+$AV229+$AW229-$AS229-$AH229,0)))</f>
        <v/>
      </c>
      <c r="AY229" s="4" t="str">
        <f aca="false">IF($A229="","",IF($AX229="","No",IF(ABS($AX229)&lt;=2,"Yes","No")))</f>
        <v/>
      </c>
      <c r="AZ229" s="4" t="str">
        <f aca="false">IF($A229="","",IF($AI229&lt;&gt;"Yes","n/a",IF(OR($AA229="",$S229="",$T229=""),"Unknown",IF($AA229&lt;$S229+$T229,"Lost on arrival","Lost after arrival"))))</f>
        <v/>
      </c>
      <c r="BA229" s="10" t="str">
        <f aca="false">IF($A229="","",IFERROR(VLOOKUP($C229,Dim_Fund!$A:$D,4,0),""))</f>
        <v/>
      </c>
      <c r="BB229" s="10" t="str">
        <f aca="false">IF($A229="","",IF($AL229="","",IF(COUNTIFS(Fact_Milestone!$A:$A,$B229,Fact_Milestone!$B:$B,$AL229,Fact_Milestone!$I:$I,"No")&gt;0,"No",IF(COUNTIFS(Fact_Milestone!$A:$A,$B229,Fact_Milestone!$B:$B,$AL229,Fact_Milestone!$I:$I,"Yes")&gt;0,"Yes",""))))</f>
        <v/>
      </c>
      <c r="BC229" s="45" t="str">
        <f aca="false">IF($A229="","",IF(OR($L229="",$W229=""),"",IF(COUNTIFS($L:$L,$L229,$B:$B,$B229,$W:$W,"&lt;"&amp;$W229)=0,"",_xlfn.MAXIFS($W:$W,$L:$L,$L229,$B:$B,$B229,$W:$W,"&lt;"&amp;$W229))))</f>
        <v/>
      </c>
      <c r="BD229" s="39" t="str">
        <f aca="false">IF($A229="","",IF($AC229="","",IF(OR($L229="",$AC229=0),0,MIN($AC229,ROUND(ROUND(1440*SUMPRODUCT(($L$2:INDEX($L:$L,COUNTA($C:$C))=$L229)*($B$2:INDEX($B:$B,COUNTA($C:$C))=$B229)*(ROW($L$2:INDEX($L:$L,COUNTA($C:$C)))&lt;&gt;ROW())*((((($W229+$BT$2:INDEX($BT:$BT,COUNTA($C:$C))-ABS($W229-$BT$2:INDEX($BT:$BT,COUNTA($C:$C))))/2)-(($U229+$BS$2:INDEX($BS:$BS,COUNTA($C:$C))+ABS($U229-$BS$2:INDEX($BS:$BS,COUNTA($C:$C))))/2))+ABS(((($W229+$BT$2:INDEX($BT:$BT,COUNTA($C:$C))-ABS($W229-$BT$2:INDEX($BT:$BT,COUNTA($C:$C))))/2)-(($U229+$BS$2:INDEX($BS:$BS,COUNTA($C:$C))+ABS($U229-$BS$2:INDEX($BS:$BS,COUNTA($C:$C))))/2))))/2)),4),0)))))</f>
        <v/>
      </c>
      <c r="BE229" s="39" t="str">
        <f aca="false">IF($A229="","",IF($AC229="","",ROUND(MIN($AC229-$BD229,N($R229)),0)))</f>
        <v/>
      </c>
      <c r="BF229" s="10" t="str">
        <f aca="false">IF($A229="","",IFERROR(VLOOKUP($C229,Dim_Fund!$A:$BD,56,0),""))</f>
        <v/>
      </c>
      <c r="BG229" s="10" t="str">
        <f aca="false">IF($A229="","",IFERROR(VLOOKUP($C229,Dim_Fund!$A:$BH,60,0),""))</f>
        <v/>
      </c>
      <c r="BH229" s="10" t="str">
        <f aca="false">IF($A229="","",IF($AI229&lt;&gt;"Yes","Not breached",IF($AM229="Yes","Pricing late",IF($BG229="Thin custody slack","Thin custody slack",IF($BF229="Yes","Broker-dependent","None of these")))))</f>
        <v/>
      </c>
      <c r="BI229" s="23" t="str">
        <f aca="false">IF($A229="","",IFERROR(IF(VLOOKUP($C229,Dim_Fund!$A:$AI,35,0)&gt;0,VLOOKUP($C229,Dim_Fund!$A:$AI,35,0),""),""))</f>
        <v/>
      </c>
      <c r="BJ229" s="10" t="str">
        <f aca="false">IF($A229="","",$C229&amp;IF($E229="Client","*",""))</f>
        <v/>
      </c>
      <c r="BK229" s="39" t="str">
        <f aca="false">IF($A229="","",IFERROR(ROUND(($Y229-$X229)*1440,0),""))</f>
        <v/>
      </c>
      <c r="BL229" s="39" t="str">
        <f aca="false">IF($A229="","",IF($AH229="","",-$AH229))</f>
        <v/>
      </c>
      <c r="BM229" s="46" t="str">
        <f aca="false">IF($A229="","",IF($AQ229="","",IF($AP229="",$AQ229,MIN($AP229,$AQ229))))</f>
        <v/>
      </c>
      <c r="BN229" s="46" t="str">
        <f aca="false">IF($A229="","",IF($BM229="","",ROUND(N($AC229)/60,4)))</f>
        <v/>
      </c>
      <c r="BO229" s="46" t="str">
        <f aca="false">IF($A229="","",IF(OR($BM229="",$AD229=""),"",ROUND($AD229/60,4)))</f>
        <v/>
      </c>
      <c r="BP229" s="46" t="str">
        <f aca="false">IF($A229="","",IF($BM229="","",ROUND(N($AE229)/60,4)))</f>
        <v/>
      </c>
      <c r="BQ229" s="46" t="str">
        <f aca="false">IF($A229="","",IF(OR($BM229="",$AF229=""),"",ROUND($AF229/60,4)))</f>
        <v/>
      </c>
      <c r="BR229" s="39" t="str">
        <f aca="false">IF($A229="","",IF($AC229="","",$AC229-$BD229-$BE229))</f>
        <v/>
      </c>
      <c r="BS229" s="45" t="str">
        <f aca="false">IF($A229="","",IF(AND(ISNUMBER($Z229),ISNUMBER($W229)),$Z229,0))</f>
        <v/>
      </c>
      <c r="BT229" s="45" t="str">
        <f aca="false">IF($A229="","",IF(ISNUMBER($W229),$W229,0))</f>
        <v/>
      </c>
      <c r="BU229" s="23" t="str">
        <f aca="false">IF($A229="","",IF(ISNUMBER($W229),ROUND(($W229-$B229)*24,4),""))</f>
        <v/>
      </c>
      <c r="BV229" s="23" t="str">
        <f aca="false">IF($A229="","",IF(ISNUMBER($X229),ROUND(($X229-$B229)*24,4),""))</f>
        <v/>
      </c>
      <c r="BW229" s="10" t="str">
        <f aca="false">IF($A229="","",IF(NOT(ISNUMBER($W229)),"Missing Calculated",IF(NOT(ISNUMBER($X229)),IF($E229="Client","Missing FA signed off","Missing Controlled"),IF($X229&lt;$W229,"End before start","OK"))))</f>
        <v/>
      </c>
      <c r="BX229" s="23" t="str">
        <f aca="false">IF($A229="","",IF(NOT(ISNUMBER($Z229)),"",ROUND((IF(ISNUMBER($U229),MIN($U229,$Z229),$Z229)-$B229)*24,4)))</f>
        <v/>
      </c>
      <c r="BY229" s="23" t="str">
        <f aca="false">IF($A229="","",IF(ISNUMBER($Z229),ROUND(($Z229-$B229)*24,4),""))</f>
        <v/>
      </c>
      <c r="BZ229" s="23" t="str">
        <f aca="false">IF($A229="","",IF(AND(ISNUMBER($W229),ISNUMBER($S229)),ROUND(($W229+$S229/1440-$B229)*24,4),""))</f>
        <v/>
      </c>
    </row>
    <row r="230" customFormat="false" ht="15" hidden="false" customHeight="true" outlineLevel="0" collapsed="false">
      <c r="A230" s="47"/>
      <c r="B230" s="47"/>
      <c r="D230" s="4" t="str">
        <f aca="false">IF($A230="","",$B230-$A230)</f>
        <v/>
      </c>
      <c r="E230" s="4" t="str">
        <f aca="false">IF($A230="","",IFERROR(VLOOKUP($C230,Dim_Fund!$A:$X,24,0),""))</f>
        <v/>
      </c>
      <c r="F230" s="37" t="str">
        <f aca="false">IF($A230="","",IF(COUNTIFS(Status_Log!$A:$A,$A230,Status_Log!$B:$B,$B230,Status_Log!$C:$C,$C230,Status_Log!$D:$D,"Changed to the status of Calculated")=0,"",_xlfn.MINIFS(Status_Log!$E:$E,Status_Log!$A:$A,$A230,Status_Log!$B:$B,$B230,Status_Log!$C:$C,$C230,Status_Log!$D:$D,"Changed to the status of Calculated")))</f>
        <v/>
      </c>
      <c r="G230" s="37" t="str">
        <f aca="false">IF($A230="","",IF(COUNTIFS(Status_Log!$A:$A,$A230,Status_Log!$B:$B,$B230,Status_Log!$C:$C,$C230,Status_Log!$D:$D,"Changed to the status of Controlled")=0,"",_xlfn.MAXIFS(Status_Log!$E:$E,Status_Log!$A:$A,$A230,Status_Log!$B:$B,$B230,Status_Log!$C:$C,$C230,Status_Log!$D:$D,"Changed to the status of Controlled")))</f>
        <v/>
      </c>
      <c r="H230" s="37" t="str">
        <f aca="false">IF($A230="","",IF(COUNTIFS(Status_Log!$A:$A,$A230,Status_Log!$B:$B,$B230,Status_Log!$C:$C,$C230,Status_Log!$D:$D,"Changed to the status of Fund accounting signed off")=0,"",_xlfn.MAXIFS(Status_Log!$E:$E,Status_Log!$A:$A,$A230,Status_Log!$B:$B,$B230,Status_Log!$C:$C,$C230,Status_Log!$D:$D,"Changed to the status of Fund accounting signed off")))</f>
        <v/>
      </c>
      <c r="I230" s="37" t="str">
        <f aca="false">IF($A230="","",IF(COUNTIFS(Status_Log!$A:$A,$A230,Status_Log!$B:$B,$B230,Status_Log!$C:$C,$C230,Status_Log!$D:$D,"Changed to the status of signed off")=0,"",_xlfn.MAXIFS(Status_Log!$E:$E,Status_Log!$A:$A,$A230,Status_Log!$B:$B,$B230,Status_Log!$C:$C,$C230,Status_Log!$D:$D,"Changed to the status of signed off")))</f>
        <v/>
      </c>
      <c r="J230" s="4" t="str">
        <f aca="false">IF($A230="","",COUNTIFS(Status_Log!$A:$A,$A230,Status_Log!$B:$B,$B230,Status_Log!$C:$C,$C230,Status_Log!$D:$D,"Changed to the status of Calculated"))</f>
        <v/>
      </c>
      <c r="K230" s="38" t="str">
        <f aca="false">IF($A230="","",IF(J230&lt;=1,0,ROUND((_xlfn.MAXIFS(Status_Log!$E:$E,Status_Log!$A:$A,$A230,Status_Log!$B:$B,$B230,Status_Log!$C:$C,$C230,Status_Log!$D:$D,"Changed to the status of Calculated")-F230)*1440,0)))</f>
        <v/>
      </c>
      <c r="L230" s="4" t="str">
        <f aca="false">IF($A230="","",IFERROR(INDEX(Status_Log!$F:$F,MATCH($A230&amp;"|"&amp;$B230&amp;"|"&amp;$C230&amp;"|Changed to the status of Calculated|"&amp;TEXT(_xlfn.MAXIFS(Status_Log!$E:$E,Status_Log!$A:$A,$A230,Status_Log!$B:$B,$B230,Status_Log!$C:$C,$C230,Status_Log!$D:$D,"Changed to the status of Calculated"),"0.000000"),Status_Log!$H:$H,0)),""))</f>
        <v/>
      </c>
      <c r="M230" s="4" t="str">
        <f aca="false">IF($A230="","",IF(E230="Client","n/a — no control step",IFERROR(INDEX(Status_Log!$F:$F,MATCH($A230&amp;"|"&amp;$B230&amp;"|"&amp;$C230&amp;"|Changed to the status of Controlled|"&amp;TEXT(_xlfn.MAXIFS(Status_Log!$E:$E,Status_Log!$A:$A,$A230,Status_Log!$B:$B,$B230,Status_Log!$C:$C,$C230,Status_Log!$D:$D,"Changed to the status of Controlled"),"0.000000"),Status_Log!$H:$H,0)),"")))</f>
        <v/>
      </c>
      <c r="N230" s="4" t="str">
        <f aca="false">IF($A230="","",IFERROR(VLOOKUP($C230,Dim_Fund!$A:$G,7,0),""))</f>
        <v/>
      </c>
      <c r="O230" s="4" t="str">
        <f aca="false">IF($A230="","",IF(L230=N230,"No","Yes"))</f>
        <v/>
      </c>
      <c r="P230" s="4" t="str">
        <f aca="false">IF($A230="","",IF(E230="Client","n/a",IF(L230=M230,"YES — four-eyes breach","No")))</f>
        <v/>
      </c>
      <c r="Q230" s="38" t="str">
        <f aca="false">IF($A230="","",IFERROR(VLOOKUP($C230,Dim_Fund!$A:$AB,28,0),""))</f>
        <v/>
      </c>
      <c r="R230" s="38" t="str">
        <f aca="false">IF($A230="","",IFERROR(VLOOKUP($C230,Dim_Fund!$A:$AC,29,0),""))</f>
        <v/>
      </c>
      <c r="S230" s="38" t="str">
        <f aca="false">IF($A230="","",IFERROR(VLOOKUP($C230,Dim_Fund!$A:$AD,30,0),""))</f>
        <v/>
      </c>
      <c r="T230" s="38" t="str">
        <f aca="false">IF($A230="","",IFERROR(VLOOKUP($C230,Dim_Fund!$A:$AL,38,0),""))</f>
        <v/>
      </c>
      <c r="U230" s="37" t="str">
        <f aca="false">IF($A230="","",IF(AL230="","",IFERROR(IF(COUNTIFS(Fact_Milestone!$A:$A,$B230,Fact_Milestone!$B:$B,AL230)=0,"",_xlfn.MAXIFS(Fact_Milestone!$C:$C,Fact_Milestone!$A:$A,$B230,Fact_Milestone!$B:$B,AL230)),"")))</f>
        <v/>
      </c>
      <c r="V230" s="37" t="str">
        <f aca="false">IF($A230="","",IFERROR(IF(VLOOKUP($C230,Dim_Fund!$A:$AI,35,0)&gt;0,$B230+VLOOKUP($C230,Dim_Fund!$A:$AI,35,0)/24,""),""))</f>
        <v/>
      </c>
      <c r="W230" s="37" t="str">
        <f aca="false">IF($A230="","",F230)</f>
        <v/>
      </c>
      <c r="X230" s="37" t="str">
        <f aca="false">IF($A230="","",IF(E230="Client",H230,G230))</f>
        <v/>
      </c>
      <c r="Y230" s="37" t="str">
        <f aca="false">IF($A230="","",I230)</f>
        <v/>
      </c>
      <c r="Z230" s="37" t="str">
        <f aca="false">IF($A230="","",IFERROR(W230-R230/1440,""))</f>
        <v/>
      </c>
      <c r="AA230" s="38" t="str">
        <f aca="false">IF($A230="","",IF(OR(U230="",V230=""),"",ROUND((V230-U230)*1440,0)))</f>
        <v/>
      </c>
      <c r="AB230" s="38" t="str">
        <f aca="false">IF($A230="","",IF(U230="","",ROUND((W230-U230)*1440,0)))</f>
        <v/>
      </c>
      <c r="AC230" s="38" t="str">
        <f aca="false">IF($A230="","",IF(AB230="","",MAX(0,AB230)))</f>
        <v/>
      </c>
      <c r="AD230" s="38" t="str">
        <f aca="false">IF($A230="","",IFERROR(ROUND((X230-W230)*1440,0),""))</f>
        <v/>
      </c>
      <c r="AE230" s="38" t="str">
        <f aca="false">IF($A230="","",IF(E230="Client","n/a",IFERROR(ROUND((H230-G230)*1440,0),"")))</f>
        <v/>
      </c>
      <c r="AF230" s="38" t="str">
        <f aca="false">IF($A230="","",IFERROR(ROUND((Y230-H230)*1440,0),""))</f>
        <v/>
      </c>
      <c r="AG230" s="38" t="str">
        <f aca="false">IF($A230="","",IFERROR(ROUND((H230-F230)*1440,0),""))</f>
        <v/>
      </c>
      <c r="AH230" s="38" t="str">
        <f aca="false">IF($A230="","",IFERROR(ROUND((Y230-V230)*1440,0),""))</f>
        <v/>
      </c>
      <c r="AI230" s="4" t="str">
        <f aca="false">IF($A230="","",IF(AH230="","",IF(AH230&gt;0,"Yes","No")))</f>
        <v/>
      </c>
      <c r="AJ230" s="4" t="str">
        <f aca="false">IF($A230="","",IF(AI230&lt;&gt;"Yes","On time",IF(N(AC230)&gt;=MAX(N(AF230),N(K230)),"Wait for analyst",IF(N(AF230)&gt;=N(K230),"External sign-off","Rework"))))</f>
        <v/>
      </c>
      <c r="AK230" s="4" t="str">
        <f aca="false">IF($A230="","",IF(OR(F230="",Y230="",ISNA(MATCH(L230,Dim_Analyst!$A:$A,0))),"CHECK","OK"))</f>
        <v/>
      </c>
      <c r="AL230" s="4" t="str">
        <f aca="false">IF($A230="","",IFERROR(VLOOKUP($C230,Dim_Fund!$A:$U,21,0),""))</f>
        <v/>
      </c>
      <c r="AM230" s="4" t="str">
        <f aca="false">IF($A230="","",IF($U230="","",IF($U230&gt;$B230+IFERROR(VLOOKUP($C230,Dim_Fund!$A:$AH,34,0),0)/24,"Yes","No")))</f>
        <v/>
      </c>
      <c r="AN230" s="22" t="str">
        <f aca="false">IF($A230="","",IFERROR(VLOOKUP($C230,Dim_Fund!$A:$AH,34,0),""))</f>
        <v/>
      </c>
      <c r="AO230" s="22" t="str">
        <f aca="false">IF($A230="","",IF($AL230="","",IFERROR(FLOOR(IF(COUNTIFS(Fact_Milestone!$A:$A,$B230,Fact_Milestone!$B:$B,$AL230,Fact_Milestone!$F:$F,"&gt;0")&gt;0,_xlfn.MINIFS(Fact_Milestone!$F:$F,Fact_Milestone!$A:$A,$B230,Fact_Milestone!$B:$B,$AL230,Fact_Milestone!$F:$F,"&gt;0"),VLOOKUP($AL230,Dim_TOP!$A:$E,5,0)),0.5),"")))</f>
        <v/>
      </c>
      <c r="AP230" s="22" t="str">
        <f aca="false">IF($A230="","",IF($U230="","",ROUND(($U230-INT($U230))*24,4)))</f>
        <v/>
      </c>
      <c r="AQ230" s="22" t="str">
        <f aca="false">IF($A230="","",IF($W230="","",ROUND(($W230-INT($W230))*24,4)))</f>
        <v/>
      </c>
      <c r="AR230" s="22" t="str">
        <f aca="false">IF($A230="","",IF($X230="","",ROUND(($X230-INT($X230))*24,4)))</f>
        <v/>
      </c>
      <c r="AS230" s="38" t="str">
        <f aca="false">IF($A230="","",IF(OR($AN230="",$V230="",$S230="",$T230=""),"",ROUND(($V230-($B230+$AN230/24))*1440-$S230-$T230,0)))</f>
        <v/>
      </c>
      <c r="AT230" s="38" t="str">
        <f aca="false">IF($A230="","",IF(OR($AN230="",$U230=""),"",ROUND(($U230-($B230+$AN230/24))*1440,0)))</f>
        <v/>
      </c>
      <c r="AU230" s="38" t="str">
        <f aca="false">IF($A230="","",IF(OR($AD230="",$S230=""),"",ROUND($AD230-$S230,0)))</f>
        <v/>
      </c>
      <c r="AV230" s="38" t="str">
        <f aca="false">IF($A230="","",N($AE230))</f>
        <v/>
      </c>
      <c r="AW230" s="38" t="str">
        <f aca="false">IF($A230="","",IF(OR($AF230="",$T230=""),"",$AF230-$T230))</f>
        <v/>
      </c>
      <c r="AX230" s="38" t="str">
        <f aca="false">IF($A230="","",IF(COUNT($AT230,$AB230,$AU230,$AW230,$AS230,$AH230)&lt;6,"",ROUND($AT230+$AB230+$AU230+$AV230+$AW230-$AS230-$AH230,0)))</f>
        <v/>
      </c>
      <c r="AY230" s="4" t="str">
        <f aca="false">IF($A230="","",IF($AX230="","No",IF(ABS($AX230)&lt;=2,"Yes","No")))</f>
        <v/>
      </c>
      <c r="AZ230" s="4" t="str">
        <f aca="false">IF($A230="","",IF($AI230&lt;&gt;"Yes","n/a",IF(OR($AA230="",$S230="",$T230=""),"Unknown",IF($AA230&lt;$S230+$T230,"Lost on arrival","Lost after arrival"))))</f>
        <v/>
      </c>
      <c r="BA230" s="10" t="str">
        <f aca="false">IF($A230="","",IFERROR(VLOOKUP($C230,Dim_Fund!$A:$D,4,0),""))</f>
        <v/>
      </c>
      <c r="BB230" s="10" t="str">
        <f aca="false">IF($A230="","",IF($AL230="","",IF(COUNTIFS(Fact_Milestone!$A:$A,$B230,Fact_Milestone!$B:$B,$AL230,Fact_Milestone!$I:$I,"No")&gt;0,"No",IF(COUNTIFS(Fact_Milestone!$A:$A,$B230,Fact_Milestone!$B:$B,$AL230,Fact_Milestone!$I:$I,"Yes")&gt;0,"Yes",""))))</f>
        <v/>
      </c>
      <c r="BC230" s="45" t="str">
        <f aca="false">IF($A230="","",IF(OR($L230="",$W230=""),"",IF(COUNTIFS($L:$L,$L230,$B:$B,$B230,$W:$W,"&lt;"&amp;$W230)=0,"",_xlfn.MAXIFS($W:$W,$L:$L,$L230,$B:$B,$B230,$W:$W,"&lt;"&amp;$W230))))</f>
        <v/>
      </c>
      <c r="BD230" s="39" t="str">
        <f aca="false">IF($A230="","",IF($AC230="","",IF(OR($L230="",$AC230=0),0,MIN($AC230,ROUND(ROUND(1440*SUMPRODUCT(($L$2:INDEX($L:$L,COUNTA($C:$C))=$L230)*($B$2:INDEX($B:$B,COUNTA($C:$C))=$B230)*(ROW($L$2:INDEX($L:$L,COUNTA($C:$C)))&lt;&gt;ROW())*((((($W230+$BT$2:INDEX($BT:$BT,COUNTA($C:$C))-ABS($W230-$BT$2:INDEX($BT:$BT,COUNTA($C:$C))))/2)-(($U230+$BS$2:INDEX($BS:$BS,COUNTA($C:$C))+ABS($U230-$BS$2:INDEX($BS:$BS,COUNTA($C:$C))))/2))+ABS(((($W230+$BT$2:INDEX($BT:$BT,COUNTA($C:$C))-ABS($W230-$BT$2:INDEX($BT:$BT,COUNTA($C:$C))))/2)-(($U230+$BS$2:INDEX($BS:$BS,COUNTA($C:$C))+ABS($U230-$BS$2:INDEX($BS:$BS,COUNTA($C:$C))))/2))))/2)),4),0)))))</f>
        <v/>
      </c>
      <c r="BE230" s="39" t="str">
        <f aca="false">IF($A230="","",IF($AC230="","",ROUND(MIN($AC230-$BD230,N($R230)),0)))</f>
        <v/>
      </c>
      <c r="BF230" s="10" t="str">
        <f aca="false">IF($A230="","",IFERROR(VLOOKUP($C230,Dim_Fund!$A:$BD,56,0),""))</f>
        <v/>
      </c>
      <c r="BG230" s="10" t="str">
        <f aca="false">IF($A230="","",IFERROR(VLOOKUP($C230,Dim_Fund!$A:$BH,60,0),""))</f>
        <v/>
      </c>
      <c r="BH230" s="10" t="str">
        <f aca="false">IF($A230="","",IF($AI230&lt;&gt;"Yes","Not breached",IF($AM230="Yes","Pricing late",IF($BG230="Thin custody slack","Thin custody slack",IF($BF230="Yes","Broker-dependent","None of these")))))</f>
        <v/>
      </c>
      <c r="BI230" s="23" t="str">
        <f aca="false">IF($A230="","",IFERROR(IF(VLOOKUP($C230,Dim_Fund!$A:$AI,35,0)&gt;0,VLOOKUP($C230,Dim_Fund!$A:$AI,35,0),""),""))</f>
        <v/>
      </c>
      <c r="BJ230" s="10" t="str">
        <f aca="false">IF($A230="","",$C230&amp;IF($E230="Client","*",""))</f>
        <v/>
      </c>
      <c r="BK230" s="39" t="str">
        <f aca="false">IF($A230="","",IFERROR(ROUND(($Y230-$X230)*1440,0),""))</f>
        <v/>
      </c>
      <c r="BL230" s="39" t="str">
        <f aca="false">IF($A230="","",IF($AH230="","",-$AH230))</f>
        <v/>
      </c>
      <c r="BM230" s="46" t="str">
        <f aca="false">IF($A230="","",IF($AQ230="","",IF($AP230="",$AQ230,MIN($AP230,$AQ230))))</f>
        <v/>
      </c>
      <c r="BN230" s="46" t="str">
        <f aca="false">IF($A230="","",IF($BM230="","",ROUND(N($AC230)/60,4)))</f>
        <v/>
      </c>
      <c r="BO230" s="46" t="str">
        <f aca="false">IF($A230="","",IF(OR($BM230="",$AD230=""),"",ROUND($AD230/60,4)))</f>
        <v/>
      </c>
      <c r="BP230" s="46" t="str">
        <f aca="false">IF($A230="","",IF($BM230="","",ROUND(N($AE230)/60,4)))</f>
        <v/>
      </c>
      <c r="BQ230" s="46" t="str">
        <f aca="false">IF($A230="","",IF(OR($BM230="",$AF230=""),"",ROUND($AF230/60,4)))</f>
        <v/>
      </c>
      <c r="BR230" s="39" t="str">
        <f aca="false">IF($A230="","",IF($AC230="","",$AC230-$BD230-$BE230))</f>
        <v/>
      </c>
      <c r="BS230" s="45" t="str">
        <f aca="false">IF($A230="","",IF(AND(ISNUMBER($Z230),ISNUMBER($W230)),$Z230,0))</f>
        <v/>
      </c>
      <c r="BT230" s="45" t="str">
        <f aca="false">IF($A230="","",IF(ISNUMBER($W230),$W230,0))</f>
        <v/>
      </c>
      <c r="BU230" s="23" t="str">
        <f aca="false">IF($A230="","",IF(ISNUMBER($W230),ROUND(($W230-$B230)*24,4),""))</f>
        <v/>
      </c>
      <c r="BV230" s="23" t="str">
        <f aca="false">IF($A230="","",IF(ISNUMBER($X230),ROUND(($X230-$B230)*24,4),""))</f>
        <v/>
      </c>
      <c r="BW230" s="10" t="str">
        <f aca="false">IF($A230="","",IF(NOT(ISNUMBER($W230)),"Missing Calculated",IF(NOT(ISNUMBER($X230)),IF($E230="Client","Missing FA signed off","Missing Controlled"),IF($X230&lt;$W230,"End before start","OK"))))</f>
        <v/>
      </c>
      <c r="BX230" s="23" t="str">
        <f aca="false">IF($A230="","",IF(NOT(ISNUMBER($Z230)),"",ROUND((IF(ISNUMBER($U230),MIN($U230,$Z230),$Z230)-$B230)*24,4)))</f>
        <v/>
      </c>
      <c r="BY230" s="23" t="str">
        <f aca="false">IF($A230="","",IF(ISNUMBER($Z230),ROUND(($Z230-$B230)*24,4),""))</f>
        <v/>
      </c>
      <c r="BZ230" s="23" t="str">
        <f aca="false">IF($A230="","",IF(AND(ISNUMBER($W230),ISNUMBER($S230)),ROUND(($W230+$S230/1440-$B230)*24,4),""))</f>
        <v/>
      </c>
    </row>
    <row r="231" customFormat="false" ht="15" hidden="false" customHeight="true" outlineLevel="0" collapsed="false">
      <c r="A231" s="47"/>
      <c r="B231" s="47"/>
      <c r="D231" s="4" t="str">
        <f aca="false">IF($A231="","",$B231-$A231)</f>
        <v/>
      </c>
      <c r="E231" s="4" t="str">
        <f aca="false">IF($A231="","",IFERROR(VLOOKUP($C231,Dim_Fund!$A:$X,24,0),""))</f>
        <v/>
      </c>
      <c r="F231" s="37" t="str">
        <f aca="false">IF($A231="","",IF(COUNTIFS(Status_Log!$A:$A,$A231,Status_Log!$B:$B,$B231,Status_Log!$C:$C,$C231,Status_Log!$D:$D,"Changed to the status of Calculated")=0,"",_xlfn.MINIFS(Status_Log!$E:$E,Status_Log!$A:$A,$A231,Status_Log!$B:$B,$B231,Status_Log!$C:$C,$C231,Status_Log!$D:$D,"Changed to the status of Calculated")))</f>
        <v/>
      </c>
      <c r="G231" s="37" t="str">
        <f aca="false">IF($A231="","",IF(COUNTIFS(Status_Log!$A:$A,$A231,Status_Log!$B:$B,$B231,Status_Log!$C:$C,$C231,Status_Log!$D:$D,"Changed to the status of Controlled")=0,"",_xlfn.MAXIFS(Status_Log!$E:$E,Status_Log!$A:$A,$A231,Status_Log!$B:$B,$B231,Status_Log!$C:$C,$C231,Status_Log!$D:$D,"Changed to the status of Controlled")))</f>
        <v/>
      </c>
      <c r="H231" s="37" t="str">
        <f aca="false">IF($A231="","",IF(COUNTIFS(Status_Log!$A:$A,$A231,Status_Log!$B:$B,$B231,Status_Log!$C:$C,$C231,Status_Log!$D:$D,"Changed to the status of Fund accounting signed off")=0,"",_xlfn.MAXIFS(Status_Log!$E:$E,Status_Log!$A:$A,$A231,Status_Log!$B:$B,$B231,Status_Log!$C:$C,$C231,Status_Log!$D:$D,"Changed to the status of Fund accounting signed off")))</f>
        <v/>
      </c>
      <c r="I231" s="37" t="str">
        <f aca="false">IF($A231="","",IF(COUNTIFS(Status_Log!$A:$A,$A231,Status_Log!$B:$B,$B231,Status_Log!$C:$C,$C231,Status_Log!$D:$D,"Changed to the status of signed off")=0,"",_xlfn.MAXIFS(Status_Log!$E:$E,Status_Log!$A:$A,$A231,Status_Log!$B:$B,$B231,Status_Log!$C:$C,$C231,Status_Log!$D:$D,"Changed to the status of signed off")))</f>
        <v/>
      </c>
      <c r="J231" s="4" t="str">
        <f aca="false">IF($A231="","",COUNTIFS(Status_Log!$A:$A,$A231,Status_Log!$B:$B,$B231,Status_Log!$C:$C,$C231,Status_Log!$D:$D,"Changed to the status of Calculated"))</f>
        <v/>
      </c>
      <c r="K231" s="38" t="str">
        <f aca="false">IF($A231="","",IF(J231&lt;=1,0,ROUND((_xlfn.MAXIFS(Status_Log!$E:$E,Status_Log!$A:$A,$A231,Status_Log!$B:$B,$B231,Status_Log!$C:$C,$C231,Status_Log!$D:$D,"Changed to the status of Calculated")-F231)*1440,0)))</f>
        <v/>
      </c>
      <c r="L231" s="4" t="str">
        <f aca="false">IF($A231="","",IFERROR(INDEX(Status_Log!$F:$F,MATCH($A231&amp;"|"&amp;$B231&amp;"|"&amp;$C231&amp;"|Changed to the status of Calculated|"&amp;TEXT(_xlfn.MAXIFS(Status_Log!$E:$E,Status_Log!$A:$A,$A231,Status_Log!$B:$B,$B231,Status_Log!$C:$C,$C231,Status_Log!$D:$D,"Changed to the status of Calculated"),"0.000000"),Status_Log!$H:$H,0)),""))</f>
        <v/>
      </c>
      <c r="M231" s="4" t="str">
        <f aca="false">IF($A231="","",IF(E231="Client","n/a — no control step",IFERROR(INDEX(Status_Log!$F:$F,MATCH($A231&amp;"|"&amp;$B231&amp;"|"&amp;$C231&amp;"|Changed to the status of Controlled|"&amp;TEXT(_xlfn.MAXIFS(Status_Log!$E:$E,Status_Log!$A:$A,$A231,Status_Log!$B:$B,$B231,Status_Log!$C:$C,$C231,Status_Log!$D:$D,"Changed to the status of Controlled"),"0.000000"),Status_Log!$H:$H,0)),"")))</f>
        <v/>
      </c>
      <c r="N231" s="4" t="str">
        <f aca="false">IF($A231="","",IFERROR(VLOOKUP($C231,Dim_Fund!$A:$G,7,0),""))</f>
        <v/>
      </c>
      <c r="O231" s="4" t="str">
        <f aca="false">IF($A231="","",IF(L231=N231,"No","Yes"))</f>
        <v/>
      </c>
      <c r="P231" s="4" t="str">
        <f aca="false">IF($A231="","",IF(E231="Client","n/a",IF(L231=M231,"YES — four-eyes breach","No")))</f>
        <v/>
      </c>
      <c r="Q231" s="38" t="str">
        <f aca="false">IF($A231="","",IFERROR(VLOOKUP($C231,Dim_Fund!$A:$AB,28,0),""))</f>
        <v/>
      </c>
      <c r="R231" s="38" t="str">
        <f aca="false">IF($A231="","",IFERROR(VLOOKUP($C231,Dim_Fund!$A:$AC,29,0),""))</f>
        <v/>
      </c>
      <c r="S231" s="38" t="str">
        <f aca="false">IF($A231="","",IFERROR(VLOOKUP($C231,Dim_Fund!$A:$AD,30,0),""))</f>
        <v/>
      </c>
      <c r="T231" s="38" t="str">
        <f aca="false">IF($A231="","",IFERROR(VLOOKUP($C231,Dim_Fund!$A:$AL,38,0),""))</f>
        <v/>
      </c>
      <c r="U231" s="37" t="str">
        <f aca="false">IF($A231="","",IF(AL231="","",IFERROR(IF(COUNTIFS(Fact_Milestone!$A:$A,$B231,Fact_Milestone!$B:$B,AL231)=0,"",_xlfn.MAXIFS(Fact_Milestone!$C:$C,Fact_Milestone!$A:$A,$B231,Fact_Milestone!$B:$B,AL231)),"")))</f>
        <v/>
      </c>
      <c r="V231" s="37" t="str">
        <f aca="false">IF($A231="","",IFERROR(IF(VLOOKUP($C231,Dim_Fund!$A:$AI,35,0)&gt;0,$B231+VLOOKUP($C231,Dim_Fund!$A:$AI,35,0)/24,""),""))</f>
        <v/>
      </c>
      <c r="W231" s="37" t="str">
        <f aca="false">IF($A231="","",F231)</f>
        <v/>
      </c>
      <c r="X231" s="37" t="str">
        <f aca="false">IF($A231="","",IF(E231="Client",H231,G231))</f>
        <v/>
      </c>
      <c r="Y231" s="37" t="str">
        <f aca="false">IF($A231="","",I231)</f>
        <v/>
      </c>
      <c r="Z231" s="37" t="str">
        <f aca="false">IF($A231="","",IFERROR(W231-R231/1440,""))</f>
        <v/>
      </c>
      <c r="AA231" s="38" t="str">
        <f aca="false">IF($A231="","",IF(OR(U231="",V231=""),"",ROUND((V231-U231)*1440,0)))</f>
        <v/>
      </c>
      <c r="AB231" s="38" t="str">
        <f aca="false">IF($A231="","",IF(U231="","",ROUND((W231-U231)*1440,0)))</f>
        <v/>
      </c>
      <c r="AC231" s="38" t="str">
        <f aca="false">IF($A231="","",IF(AB231="","",MAX(0,AB231)))</f>
        <v/>
      </c>
      <c r="AD231" s="38" t="str">
        <f aca="false">IF($A231="","",IFERROR(ROUND((X231-W231)*1440,0),""))</f>
        <v/>
      </c>
      <c r="AE231" s="38" t="str">
        <f aca="false">IF($A231="","",IF(E231="Client","n/a",IFERROR(ROUND((H231-G231)*1440,0),"")))</f>
        <v/>
      </c>
      <c r="AF231" s="38" t="str">
        <f aca="false">IF($A231="","",IFERROR(ROUND((Y231-H231)*1440,0),""))</f>
        <v/>
      </c>
      <c r="AG231" s="38" t="str">
        <f aca="false">IF($A231="","",IFERROR(ROUND((H231-F231)*1440,0),""))</f>
        <v/>
      </c>
      <c r="AH231" s="38" t="str">
        <f aca="false">IF($A231="","",IFERROR(ROUND((Y231-V231)*1440,0),""))</f>
        <v/>
      </c>
      <c r="AI231" s="4" t="str">
        <f aca="false">IF($A231="","",IF(AH231="","",IF(AH231&gt;0,"Yes","No")))</f>
        <v/>
      </c>
      <c r="AJ231" s="4" t="str">
        <f aca="false">IF($A231="","",IF(AI231&lt;&gt;"Yes","On time",IF(N(AC231)&gt;=MAX(N(AF231),N(K231)),"Wait for analyst",IF(N(AF231)&gt;=N(K231),"External sign-off","Rework"))))</f>
        <v/>
      </c>
      <c r="AK231" s="4" t="str">
        <f aca="false">IF($A231="","",IF(OR(F231="",Y231="",ISNA(MATCH(L231,Dim_Analyst!$A:$A,0))),"CHECK","OK"))</f>
        <v/>
      </c>
      <c r="AL231" s="4" t="str">
        <f aca="false">IF($A231="","",IFERROR(VLOOKUP($C231,Dim_Fund!$A:$U,21,0),""))</f>
        <v/>
      </c>
      <c r="AM231" s="4" t="str">
        <f aca="false">IF($A231="","",IF($U231="","",IF($U231&gt;$B231+IFERROR(VLOOKUP($C231,Dim_Fund!$A:$AH,34,0),0)/24,"Yes","No")))</f>
        <v/>
      </c>
      <c r="AN231" s="22" t="str">
        <f aca="false">IF($A231="","",IFERROR(VLOOKUP($C231,Dim_Fund!$A:$AH,34,0),""))</f>
        <v/>
      </c>
      <c r="AO231" s="22" t="str">
        <f aca="false">IF($A231="","",IF($AL231="","",IFERROR(FLOOR(IF(COUNTIFS(Fact_Milestone!$A:$A,$B231,Fact_Milestone!$B:$B,$AL231,Fact_Milestone!$F:$F,"&gt;0")&gt;0,_xlfn.MINIFS(Fact_Milestone!$F:$F,Fact_Milestone!$A:$A,$B231,Fact_Milestone!$B:$B,$AL231,Fact_Milestone!$F:$F,"&gt;0"),VLOOKUP($AL231,Dim_TOP!$A:$E,5,0)),0.5),"")))</f>
        <v/>
      </c>
      <c r="AP231" s="22" t="str">
        <f aca="false">IF($A231="","",IF($U231="","",ROUND(($U231-INT($U231))*24,4)))</f>
        <v/>
      </c>
      <c r="AQ231" s="22" t="str">
        <f aca="false">IF($A231="","",IF($W231="","",ROUND(($W231-INT($W231))*24,4)))</f>
        <v/>
      </c>
      <c r="AR231" s="22" t="str">
        <f aca="false">IF($A231="","",IF($X231="","",ROUND(($X231-INT($X231))*24,4)))</f>
        <v/>
      </c>
      <c r="AS231" s="38" t="str">
        <f aca="false">IF($A231="","",IF(OR($AN231="",$V231="",$S231="",$T231=""),"",ROUND(($V231-($B231+$AN231/24))*1440-$S231-$T231,0)))</f>
        <v/>
      </c>
      <c r="AT231" s="38" t="str">
        <f aca="false">IF($A231="","",IF(OR($AN231="",$U231=""),"",ROUND(($U231-($B231+$AN231/24))*1440,0)))</f>
        <v/>
      </c>
      <c r="AU231" s="38" t="str">
        <f aca="false">IF($A231="","",IF(OR($AD231="",$S231=""),"",ROUND($AD231-$S231,0)))</f>
        <v/>
      </c>
      <c r="AV231" s="38" t="str">
        <f aca="false">IF($A231="","",N($AE231))</f>
        <v/>
      </c>
      <c r="AW231" s="38" t="str">
        <f aca="false">IF($A231="","",IF(OR($AF231="",$T231=""),"",$AF231-$T231))</f>
        <v/>
      </c>
      <c r="AX231" s="38" t="str">
        <f aca="false">IF($A231="","",IF(COUNT($AT231,$AB231,$AU231,$AW231,$AS231,$AH231)&lt;6,"",ROUND($AT231+$AB231+$AU231+$AV231+$AW231-$AS231-$AH231,0)))</f>
        <v/>
      </c>
      <c r="AY231" s="4" t="str">
        <f aca="false">IF($A231="","",IF($AX231="","No",IF(ABS($AX231)&lt;=2,"Yes","No")))</f>
        <v/>
      </c>
      <c r="AZ231" s="4" t="str">
        <f aca="false">IF($A231="","",IF($AI231&lt;&gt;"Yes","n/a",IF(OR($AA231="",$S231="",$T231=""),"Unknown",IF($AA231&lt;$S231+$T231,"Lost on arrival","Lost after arrival"))))</f>
        <v/>
      </c>
      <c r="BA231" s="10" t="str">
        <f aca="false">IF($A231="","",IFERROR(VLOOKUP($C231,Dim_Fund!$A:$D,4,0),""))</f>
        <v/>
      </c>
      <c r="BB231" s="10" t="str">
        <f aca="false">IF($A231="","",IF($AL231="","",IF(COUNTIFS(Fact_Milestone!$A:$A,$B231,Fact_Milestone!$B:$B,$AL231,Fact_Milestone!$I:$I,"No")&gt;0,"No",IF(COUNTIFS(Fact_Milestone!$A:$A,$B231,Fact_Milestone!$B:$B,$AL231,Fact_Milestone!$I:$I,"Yes")&gt;0,"Yes",""))))</f>
        <v/>
      </c>
      <c r="BC231" s="45" t="str">
        <f aca="false">IF($A231="","",IF(OR($L231="",$W231=""),"",IF(COUNTIFS($L:$L,$L231,$B:$B,$B231,$W:$W,"&lt;"&amp;$W231)=0,"",_xlfn.MAXIFS($W:$W,$L:$L,$L231,$B:$B,$B231,$W:$W,"&lt;"&amp;$W231))))</f>
        <v/>
      </c>
      <c r="BD231" s="39" t="str">
        <f aca="false">IF($A231="","",IF($AC231="","",IF(OR($L231="",$AC231=0),0,MIN($AC231,ROUND(ROUND(1440*SUMPRODUCT(($L$2:INDEX($L:$L,COUNTA($C:$C))=$L231)*($B$2:INDEX($B:$B,COUNTA($C:$C))=$B231)*(ROW($L$2:INDEX($L:$L,COUNTA($C:$C)))&lt;&gt;ROW())*((((($W231+$BT$2:INDEX($BT:$BT,COUNTA($C:$C))-ABS($W231-$BT$2:INDEX($BT:$BT,COUNTA($C:$C))))/2)-(($U231+$BS$2:INDEX($BS:$BS,COUNTA($C:$C))+ABS($U231-$BS$2:INDEX($BS:$BS,COUNTA($C:$C))))/2))+ABS(((($W231+$BT$2:INDEX($BT:$BT,COUNTA($C:$C))-ABS($W231-$BT$2:INDEX($BT:$BT,COUNTA($C:$C))))/2)-(($U231+$BS$2:INDEX($BS:$BS,COUNTA($C:$C))+ABS($U231-$BS$2:INDEX($BS:$BS,COUNTA($C:$C))))/2))))/2)),4),0)))))</f>
        <v/>
      </c>
      <c r="BE231" s="39" t="str">
        <f aca="false">IF($A231="","",IF($AC231="","",ROUND(MIN($AC231-$BD231,N($R231)),0)))</f>
        <v/>
      </c>
      <c r="BF231" s="10" t="str">
        <f aca="false">IF($A231="","",IFERROR(VLOOKUP($C231,Dim_Fund!$A:$BD,56,0),""))</f>
        <v/>
      </c>
      <c r="BG231" s="10" t="str">
        <f aca="false">IF($A231="","",IFERROR(VLOOKUP($C231,Dim_Fund!$A:$BH,60,0),""))</f>
        <v/>
      </c>
      <c r="BH231" s="10" t="str">
        <f aca="false">IF($A231="","",IF($AI231&lt;&gt;"Yes","Not breached",IF($AM231="Yes","Pricing late",IF($BG231="Thin custody slack","Thin custody slack",IF($BF231="Yes","Broker-dependent","None of these")))))</f>
        <v/>
      </c>
      <c r="BI231" s="23" t="str">
        <f aca="false">IF($A231="","",IFERROR(IF(VLOOKUP($C231,Dim_Fund!$A:$AI,35,0)&gt;0,VLOOKUP($C231,Dim_Fund!$A:$AI,35,0),""),""))</f>
        <v/>
      </c>
      <c r="BJ231" s="10" t="str">
        <f aca="false">IF($A231="","",$C231&amp;IF($E231="Client","*",""))</f>
        <v/>
      </c>
      <c r="BK231" s="39" t="str">
        <f aca="false">IF($A231="","",IFERROR(ROUND(($Y231-$X231)*1440,0),""))</f>
        <v/>
      </c>
      <c r="BL231" s="39" t="str">
        <f aca="false">IF($A231="","",IF($AH231="","",-$AH231))</f>
        <v/>
      </c>
      <c r="BM231" s="46" t="str">
        <f aca="false">IF($A231="","",IF($AQ231="","",IF($AP231="",$AQ231,MIN($AP231,$AQ231))))</f>
        <v/>
      </c>
      <c r="BN231" s="46" t="str">
        <f aca="false">IF($A231="","",IF($BM231="","",ROUND(N($AC231)/60,4)))</f>
        <v/>
      </c>
      <c r="BO231" s="46" t="str">
        <f aca="false">IF($A231="","",IF(OR($BM231="",$AD231=""),"",ROUND($AD231/60,4)))</f>
        <v/>
      </c>
      <c r="BP231" s="46" t="str">
        <f aca="false">IF($A231="","",IF($BM231="","",ROUND(N($AE231)/60,4)))</f>
        <v/>
      </c>
      <c r="BQ231" s="46" t="str">
        <f aca="false">IF($A231="","",IF(OR($BM231="",$AF231=""),"",ROUND($AF231/60,4)))</f>
        <v/>
      </c>
      <c r="BR231" s="39" t="str">
        <f aca="false">IF($A231="","",IF($AC231="","",$AC231-$BD231-$BE231))</f>
        <v/>
      </c>
      <c r="BS231" s="45" t="str">
        <f aca="false">IF($A231="","",IF(AND(ISNUMBER($Z231),ISNUMBER($W231)),$Z231,0))</f>
        <v/>
      </c>
      <c r="BT231" s="45" t="str">
        <f aca="false">IF($A231="","",IF(ISNUMBER($W231),$W231,0))</f>
        <v/>
      </c>
      <c r="BU231" s="23" t="str">
        <f aca="false">IF($A231="","",IF(ISNUMBER($W231),ROUND(($W231-$B231)*24,4),""))</f>
        <v/>
      </c>
      <c r="BV231" s="23" t="str">
        <f aca="false">IF($A231="","",IF(ISNUMBER($X231),ROUND(($X231-$B231)*24,4),""))</f>
        <v/>
      </c>
      <c r="BW231" s="10" t="str">
        <f aca="false">IF($A231="","",IF(NOT(ISNUMBER($W231)),"Missing Calculated",IF(NOT(ISNUMBER($X231)),IF($E231="Client","Missing FA signed off","Missing Controlled"),IF($X231&lt;$W231,"End before start","OK"))))</f>
        <v/>
      </c>
      <c r="BX231" s="23" t="str">
        <f aca="false">IF($A231="","",IF(NOT(ISNUMBER($Z231)),"",ROUND((IF(ISNUMBER($U231),MIN($U231,$Z231),$Z231)-$B231)*24,4)))</f>
        <v/>
      </c>
      <c r="BY231" s="23" t="str">
        <f aca="false">IF($A231="","",IF(ISNUMBER($Z231),ROUND(($Z231-$B231)*24,4),""))</f>
        <v/>
      </c>
      <c r="BZ231" s="23" t="str">
        <f aca="false">IF($A231="","",IF(AND(ISNUMBER($W231),ISNUMBER($S231)),ROUND(($W231+$S231/1440-$B231)*24,4),""))</f>
        <v/>
      </c>
    </row>
    <row r="232" customFormat="false" ht="15" hidden="false" customHeight="true" outlineLevel="0" collapsed="false">
      <c r="A232" s="47"/>
      <c r="B232" s="47"/>
      <c r="D232" s="4" t="str">
        <f aca="false">IF($A232="","",$B232-$A232)</f>
        <v/>
      </c>
      <c r="E232" s="4" t="str">
        <f aca="false">IF($A232="","",IFERROR(VLOOKUP($C232,Dim_Fund!$A:$X,24,0),""))</f>
        <v/>
      </c>
      <c r="F232" s="37" t="str">
        <f aca="false">IF($A232="","",IF(COUNTIFS(Status_Log!$A:$A,$A232,Status_Log!$B:$B,$B232,Status_Log!$C:$C,$C232,Status_Log!$D:$D,"Changed to the status of Calculated")=0,"",_xlfn.MINIFS(Status_Log!$E:$E,Status_Log!$A:$A,$A232,Status_Log!$B:$B,$B232,Status_Log!$C:$C,$C232,Status_Log!$D:$D,"Changed to the status of Calculated")))</f>
        <v/>
      </c>
      <c r="G232" s="37" t="str">
        <f aca="false">IF($A232="","",IF(COUNTIFS(Status_Log!$A:$A,$A232,Status_Log!$B:$B,$B232,Status_Log!$C:$C,$C232,Status_Log!$D:$D,"Changed to the status of Controlled")=0,"",_xlfn.MAXIFS(Status_Log!$E:$E,Status_Log!$A:$A,$A232,Status_Log!$B:$B,$B232,Status_Log!$C:$C,$C232,Status_Log!$D:$D,"Changed to the status of Controlled")))</f>
        <v/>
      </c>
      <c r="H232" s="37" t="str">
        <f aca="false">IF($A232="","",IF(COUNTIFS(Status_Log!$A:$A,$A232,Status_Log!$B:$B,$B232,Status_Log!$C:$C,$C232,Status_Log!$D:$D,"Changed to the status of Fund accounting signed off")=0,"",_xlfn.MAXIFS(Status_Log!$E:$E,Status_Log!$A:$A,$A232,Status_Log!$B:$B,$B232,Status_Log!$C:$C,$C232,Status_Log!$D:$D,"Changed to the status of Fund accounting signed off")))</f>
        <v/>
      </c>
      <c r="I232" s="37" t="str">
        <f aca="false">IF($A232="","",IF(COUNTIFS(Status_Log!$A:$A,$A232,Status_Log!$B:$B,$B232,Status_Log!$C:$C,$C232,Status_Log!$D:$D,"Changed to the status of signed off")=0,"",_xlfn.MAXIFS(Status_Log!$E:$E,Status_Log!$A:$A,$A232,Status_Log!$B:$B,$B232,Status_Log!$C:$C,$C232,Status_Log!$D:$D,"Changed to the status of signed off")))</f>
        <v/>
      </c>
      <c r="J232" s="4" t="str">
        <f aca="false">IF($A232="","",COUNTIFS(Status_Log!$A:$A,$A232,Status_Log!$B:$B,$B232,Status_Log!$C:$C,$C232,Status_Log!$D:$D,"Changed to the status of Calculated"))</f>
        <v/>
      </c>
      <c r="K232" s="38" t="str">
        <f aca="false">IF($A232="","",IF(J232&lt;=1,0,ROUND((_xlfn.MAXIFS(Status_Log!$E:$E,Status_Log!$A:$A,$A232,Status_Log!$B:$B,$B232,Status_Log!$C:$C,$C232,Status_Log!$D:$D,"Changed to the status of Calculated")-F232)*1440,0)))</f>
        <v/>
      </c>
      <c r="L232" s="4" t="str">
        <f aca="false">IF($A232="","",IFERROR(INDEX(Status_Log!$F:$F,MATCH($A232&amp;"|"&amp;$B232&amp;"|"&amp;$C232&amp;"|Changed to the status of Calculated|"&amp;TEXT(_xlfn.MAXIFS(Status_Log!$E:$E,Status_Log!$A:$A,$A232,Status_Log!$B:$B,$B232,Status_Log!$C:$C,$C232,Status_Log!$D:$D,"Changed to the status of Calculated"),"0.000000"),Status_Log!$H:$H,0)),""))</f>
        <v/>
      </c>
      <c r="M232" s="4" t="str">
        <f aca="false">IF($A232="","",IF(E232="Client","n/a — no control step",IFERROR(INDEX(Status_Log!$F:$F,MATCH($A232&amp;"|"&amp;$B232&amp;"|"&amp;$C232&amp;"|Changed to the status of Controlled|"&amp;TEXT(_xlfn.MAXIFS(Status_Log!$E:$E,Status_Log!$A:$A,$A232,Status_Log!$B:$B,$B232,Status_Log!$C:$C,$C232,Status_Log!$D:$D,"Changed to the status of Controlled"),"0.000000"),Status_Log!$H:$H,0)),"")))</f>
        <v/>
      </c>
      <c r="N232" s="4" t="str">
        <f aca="false">IF($A232="","",IFERROR(VLOOKUP($C232,Dim_Fund!$A:$G,7,0),""))</f>
        <v/>
      </c>
      <c r="O232" s="4" t="str">
        <f aca="false">IF($A232="","",IF(L232=N232,"No","Yes"))</f>
        <v/>
      </c>
      <c r="P232" s="4" t="str">
        <f aca="false">IF($A232="","",IF(E232="Client","n/a",IF(L232=M232,"YES — four-eyes breach","No")))</f>
        <v/>
      </c>
      <c r="Q232" s="38" t="str">
        <f aca="false">IF($A232="","",IFERROR(VLOOKUP($C232,Dim_Fund!$A:$AB,28,0),""))</f>
        <v/>
      </c>
      <c r="R232" s="38" t="str">
        <f aca="false">IF($A232="","",IFERROR(VLOOKUP($C232,Dim_Fund!$A:$AC,29,0),""))</f>
        <v/>
      </c>
      <c r="S232" s="38" t="str">
        <f aca="false">IF($A232="","",IFERROR(VLOOKUP($C232,Dim_Fund!$A:$AD,30,0),""))</f>
        <v/>
      </c>
      <c r="T232" s="38" t="str">
        <f aca="false">IF($A232="","",IFERROR(VLOOKUP($C232,Dim_Fund!$A:$AL,38,0),""))</f>
        <v/>
      </c>
      <c r="U232" s="37" t="str">
        <f aca="false">IF($A232="","",IF(AL232="","",IFERROR(IF(COUNTIFS(Fact_Milestone!$A:$A,$B232,Fact_Milestone!$B:$B,AL232)=0,"",_xlfn.MAXIFS(Fact_Milestone!$C:$C,Fact_Milestone!$A:$A,$B232,Fact_Milestone!$B:$B,AL232)),"")))</f>
        <v/>
      </c>
      <c r="V232" s="37" t="str">
        <f aca="false">IF($A232="","",IFERROR(IF(VLOOKUP($C232,Dim_Fund!$A:$AI,35,0)&gt;0,$B232+VLOOKUP($C232,Dim_Fund!$A:$AI,35,0)/24,""),""))</f>
        <v/>
      </c>
      <c r="W232" s="37" t="str">
        <f aca="false">IF($A232="","",F232)</f>
        <v/>
      </c>
      <c r="X232" s="37" t="str">
        <f aca="false">IF($A232="","",IF(E232="Client",H232,G232))</f>
        <v/>
      </c>
      <c r="Y232" s="37" t="str">
        <f aca="false">IF($A232="","",I232)</f>
        <v/>
      </c>
      <c r="Z232" s="37" t="str">
        <f aca="false">IF($A232="","",IFERROR(W232-R232/1440,""))</f>
        <v/>
      </c>
      <c r="AA232" s="38" t="str">
        <f aca="false">IF($A232="","",IF(OR(U232="",V232=""),"",ROUND((V232-U232)*1440,0)))</f>
        <v/>
      </c>
      <c r="AB232" s="38" t="str">
        <f aca="false">IF($A232="","",IF(U232="","",ROUND((W232-U232)*1440,0)))</f>
        <v/>
      </c>
      <c r="AC232" s="38" t="str">
        <f aca="false">IF($A232="","",IF(AB232="","",MAX(0,AB232)))</f>
        <v/>
      </c>
      <c r="AD232" s="38" t="str">
        <f aca="false">IF($A232="","",IFERROR(ROUND((X232-W232)*1440,0),""))</f>
        <v/>
      </c>
      <c r="AE232" s="38" t="str">
        <f aca="false">IF($A232="","",IF(E232="Client","n/a",IFERROR(ROUND((H232-G232)*1440,0),"")))</f>
        <v/>
      </c>
      <c r="AF232" s="38" t="str">
        <f aca="false">IF($A232="","",IFERROR(ROUND((Y232-H232)*1440,0),""))</f>
        <v/>
      </c>
      <c r="AG232" s="38" t="str">
        <f aca="false">IF($A232="","",IFERROR(ROUND((H232-F232)*1440,0),""))</f>
        <v/>
      </c>
      <c r="AH232" s="38" t="str">
        <f aca="false">IF($A232="","",IFERROR(ROUND((Y232-V232)*1440,0),""))</f>
        <v/>
      </c>
      <c r="AI232" s="4" t="str">
        <f aca="false">IF($A232="","",IF(AH232="","",IF(AH232&gt;0,"Yes","No")))</f>
        <v/>
      </c>
      <c r="AJ232" s="4" t="str">
        <f aca="false">IF($A232="","",IF(AI232&lt;&gt;"Yes","On time",IF(N(AC232)&gt;=MAX(N(AF232),N(K232)),"Wait for analyst",IF(N(AF232)&gt;=N(K232),"External sign-off","Rework"))))</f>
        <v/>
      </c>
      <c r="AK232" s="4" t="str">
        <f aca="false">IF($A232="","",IF(OR(F232="",Y232="",ISNA(MATCH(L232,Dim_Analyst!$A:$A,0))),"CHECK","OK"))</f>
        <v/>
      </c>
      <c r="AL232" s="4" t="str">
        <f aca="false">IF($A232="","",IFERROR(VLOOKUP($C232,Dim_Fund!$A:$U,21,0),""))</f>
        <v/>
      </c>
      <c r="AM232" s="4" t="str">
        <f aca="false">IF($A232="","",IF($U232="","",IF($U232&gt;$B232+IFERROR(VLOOKUP($C232,Dim_Fund!$A:$AH,34,0),0)/24,"Yes","No")))</f>
        <v/>
      </c>
      <c r="AN232" s="22" t="str">
        <f aca="false">IF($A232="","",IFERROR(VLOOKUP($C232,Dim_Fund!$A:$AH,34,0),""))</f>
        <v/>
      </c>
      <c r="AO232" s="22" t="str">
        <f aca="false">IF($A232="","",IF($AL232="","",IFERROR(FLOOR(IF(COUNTIFS(Fact_Milestone!$A:$A,$B232,Fact_Milestone!$B:$B,$AL232,Fact_Milestone!$F:$F,"&gt;0")&gt;0,_xlfn.MINIFS(Fact_Milestone!$F:$F,Fact_Milestone!$A:$A,$B232,Fact_Milestone!$B:$B,$AL232,Fact_Milestone!$F:$F,"&gt;0"),VLOOKUP($AL232,Dim_TOP!$A:$E,5,0)),0.5),"")))</f>
        <v/>
      </c>
      <c r="AP232" s="22" t="str">
        <f aca="false">IF($A232="","",IF($U232="","",ROUND(($U232-INT($U232))*24,4)))</f>
        <v/>
      </c>
      <c r="AQ232" s="22" t="str">
        <f aca="false">IF($A232="","",IF($W232="","",ROUND(($W232-INT($W232))*24,4)))</f>
        <v/>
      </c>
      <c r="AR232" s="22" t="str">
        <f aca="false">IF($A232="","",IF($X232="","",ROUND(($X232-INT($X232))*24,4)))</f>
        <v/>
      </c>
      <c r="AS232" s="38" t="str">
        <f aca="false">IF($A232="","",IF(OR($AN232="",$V232="",$S232="",$T232=""),"",ROUND(($V232-($B232+$AN232/24))*1440-$S232-$T232,0)))</f>
        <v/>
      </c>
      <c r="AT232" s="38" t="str">
        <f aca="false">IF($A232="","",IF(OR($AN232="",$U232=""),"",ROUND(($U232-($B232+$AN232/24))*1440,0)))</f>
        <v/>
      </c>
      <c r="AU232" s="38" t="str">
        <f aca="false">IF($A232="","",IF(OR($AD232="",$S232=""),"",ROUND($AD232-$S232,0)))</f>
        <v/>
      </c>
      <c r="AV232" s="38" t="str">
        <f aca="false">IF($A232="","",N($AE232))</f>
        <v/>
      </c>
      <c r="AW232" s="38" t="str">
        <f aca="false">IF($A232="","",IF(OR($AF232="",$T232=""),"",$AF232-$T232))</f>
        <v/>
      </c>
      <c r="AX232" s="38" t="str">
        <f aca="false">IF($A232="","",IF(COUNT($AT232,$AB232,$AU232,$AW232,$AS232,$AH232)&lt;6,"",ROUND($AT232+$AB232+$AU232+$AV232+$AW232-$AS232-$AH232,0)))</f>
        <v/>
      </c>
      <c r="AY232" s="4" t="str">
        <f aca="false">IF($A232="","",IF($AX232="","No",IF(ABS($AX232)&lt;=2,"Yes","No")))</f>
        <v/>
      </c>
      <c r="AZ232" s="4" t="str">
        <f aca="false">IF($A232="","",IF($AI232&lt;&gt;"Yes","n/a",IF(OR($AA232="",$S232="",$T232=""),"Unknown",IF($AA232&lt;$S232+$T232,"Lost on arrival","Lost after arrival"))))</f>
        <v/>
      </c>
      <c r="BA232" s="10" t="str">
        <f aca="false">IF($A232="","",IFERROR(VLOOKUP($C232,Dim_Fund!$A:$D,4,0),""))</f>
        <v/>
      </c>
      <c r="BB232" s="10" t="str">
        <f aca="false">IF($A232="","",IF($AL232="","",IF(COUNTIFS(Fact_Milestone!$A:$A,$B232,Fact_Milestone!$B:$B,$AL232,Fact_Milestone!$I:$I,"No")&gt;0,"No",IF(COUNTIFS(Fact_Milestone!$A:$A,$B232,Fact_Milestone!$B:$B,$AL232,Fact_Milestone!$I:$I,"Yes")&gt;0,"Yes",""))))</f>
        <v/>
      </c>
      <c r="BC232" s="45" t="str">
        <f aca="false">IF($A232="","",IF(OR($L232="",$W232=""),"",IF(COUNTIFS($L:$L,$L232,$B:$B,$B232,$W:$W,"&lt;"&amp;$W232)=0,"",_xlfn.MAXIFS($W:$W,$L:$L,$L232,$B:$B,$B232,$W:$W,"&lt;"&amp;$W232))))</f>
        <v/>
      </c>
      <c r="BD232" s="39" t="str">
        <f aca="false">IF($A232="","",IF($AC232="","",IF(OR($L232="",$AC232=0),0,MIN($AC232,ROUND(ROUND(1440*SUMPRODUCT(($L$2:INDEX($L:$L,COUNTA($C:$C))=$L232)*($B$2:INDEX($B:$B,COUNTA($C:$C))=$B232)*(ROW($L$2:INDEX($L:$L,COUNTA($C:$C)))&lt;&gt;ROW())*((((($W232+$BT$2:INDEX($BT:$BT,COUNTA($C:$C))-ABS($W232-$BT$2:INDEX($BT:$BT,COUNTA($C:$C))))/2)-(($U232+$BS$2:INDEX($BS:$BS,COUNTA($C:$C))+ABS($U232-$BS$2:INDEX($BS:$BS,COUNTA($C:$C))))/2))+ABS(((($W232+$BT$2:INDEX($BT:$BT,COUNTA($C:$C))-ABS($W232-$BT$2:INDEX($BT:$BT,COUNTA($C:$C))))/2)-(($U232+$BS$2:INDEX($BS:$BS,COUNTA($C:$C))+ABS($U232-$BS$2:INDEX($BS:$BS,COUNTA($C:$C))))/2))))/2)),4),0)))))</f>
        <v/>
      </c>
      <c r="BE232" s="39" t="str">
        <f aca="false">IF($A232="","",IF($AC232="","",ROUND(MIN($AC232-$BD232,N($R232)),0)))</f>
        <v/>
      </c>
      <c r="BF232" s="10" t="str">
        <f aca="false">IF($A232="","",IFERROR(VLOOKUP($C232,Dim_Fund!$A:$BD,56,0),""))</f>
        <v/>
      </c>
      <c r="BG232" s="10" t="str">
        <f aca="false">IF($A232="","",IFERROR(VLOOKUP($C232,Dim_Fund!$A:$BH,60,0),""))</f>
        <v/>
      </c>
      <c r="BH232" s="10" t="str">
        <f aca="false">IF($A232="","",IF($AI232&lt;&gt;"Yes","Not breached",IF($AM232="Yes","Pricing late",IF($BG232="Thin custody slack","Thin custody slack",IF($BF232="Yes","Broker-dependent","None of these")))))</f>
        <v/>
      </c>
      <c r="BI232" s="23" t="str">
        <f aca="false">IF($A232="","",IFERROR(IF(VLOOKUP($C232,Dim_Fund!$A:$AI,35,0)&gt;0,VLOOKUP($C232,Dim_Fund!$A:$AI,35,0),""),""))</f>
        <v/>
      </c>
      <c r="BJ232" s="10" t="str">
        <f aca="false">IF($A232="","",$C232&amp;IF($E232="Client","*",""))</f>
        <v/>
      </c>
      <c r="BK232" s="39" t="str">
        <f aca="false">IF($A232="","",IFERROR(ROUND(($Y232-$X232)*1440,0),""))</f>
        <v/>
      </c>
      <c r="BL232" s="39" t="str">
        <f aca="false">IF($A232="","",IF($AH232="","",-$AH232))</f>
        <v/>
      </c>
      <c r="BM232" s="46" t="str">
        <f aca="false">IF($A232="","",IF($AQ232="","",IF($AP232="",$AQ232,MIN($AP232,$AQ232))))</f>
        <v/>
      </c>
      <c r="BN232" s="46" t="str">
        <f aca="false">IF($A232="","",IF($BM232="","",ROUND(N($AC232)/60,4)))</f>
        <v/>
      </c>
      <c r="BO232" s="46" t="str">
        <f aca="false">IF($A232="","",IF(OR($BM232="",$AD232=""),"",ROUND($AD232/60,4)))</f>
        <v/>
      </c>
      <c r="BP232" s="46" t="str">
        <f aca="false">IF($A232="","",IF($BM232="","",ROUND(N($AE232)/60,4)))</f>
        <v/>
      </c>
      <c r="BQ232" s="46" t="str">
        <f aca="false">IF($A232="","",IF(OR($BM232="",$AF232=""),"",ROUND($AF232/60,4)))</f>
        <v/>
      </c>
      <c r="BR232" s="39" t="str">
        <f aca="false">IF($A232="","",IF($AC232="","",$AC232-$BD232-$BE232))</f>
        <v/>
      </c>
      <c r="BS232" s="45" t="str">
        <f aca="false">IF($A232="","",IF(AND(ISNUMBER($Z232),ISNUMBER($W232)),$Z232,0))</f>
        <v/>
      </c>
      <c r="BT232" s="45" t="str">
        <f aca="false">IF($A232="","",IF(ISNUMBER($W232),$W232,0))</f>
        <v/>
      </c>
      <c r="BU232" s="23" t="str">
        <f aca="false">IF($A232="","",IF(ISNUMBER($W232),ROUND(($W232-$B232)*24,4),""))</f>
        <v/>
      </c>
      <c r="BV232" s="23" t="str">
        <f aca="false">IF($A232="","",IF(ISNUMBER($X232),ROUND(($X232-$B232)*24,4),""))</f>
        <v/>
      </c>
      <c r="BW232" s="10" t="str">
        <f aca="false">IF($A232="","",IF(NOT(ISNUMBER($W232)),"Missing Calculated",IF(NOT(ISNUMBER($X232)),IF($E232="Client","Missing FA signed off","Missing Controlled"),IF($X232&lt;$W232,"End before start","OK"))))</f>
        <v/>
      </c>
      <c r="BX232" s="23" t="str">
        <f aca="false">IF($A232="","",IF(NOT(ISNUMBER($Z232)),"",ROUND((IF(ISNUMBER($U232),MIN($U232,$Z232),$Z232)-$B232)*24,4)))</f>
        <v/>
      </c>
      <c r="BY232" s="23" t="str">
        <f aca="false">IF($A232="","",IF(ISNUMBER($Z232),ROUND(($Z232-$B232)*24,4),""))</f>
        <v/>
      </c>
      <c r="BZ232" s="23" t="str">
        <f aca="false">IF($A232="","",IF(AND(ISNUMBER($W232),ISNUMBER($S232)),ROUND(($W232+$S232/1440-$B232)*24,4),""))</f>
        <v/>
      </c>
    </row>
    <row r="233" customFormat="false" ht="15" hidden="false" customHeight="true" outlineLevel="0" collapsed="false">
      <c r="A233" s="47"/>
      <c r="B233" s="47"/>
      <c r="D233" s="4" t="str">
        <f aca="false">IF($A233="","",$B233-$A233)</f>
        <v/>
      </c>
      <c r="E233" s="4" t="str">
        <f aca="false">IF($A233="","",IFERROR(VLOOKUP($C233,Dim_Fund!$A:$X,24,0),""))</f>
        <v/>
      </c>
      <c r="F233" s="37" t="str">
        <f aca="false">IF($A233="","",IF(COUNTIFS(Status_Log!$A:$A,$A233,Status_Log!$B:$B,$B233,Status_Log!$C:$C,$C233,Status_Log!$D:$D,"Changed to the status of Calculated")=0,"",_xlfn.MINIFS(Status_Log!$E:$E,Status_Log!$A:$A,$A233,Status_Log!$B:$B,$B233,Status_Log!$C:$C,$C233,Status_Log!$D:$D,"Changed to the status of Calculated")))</f>
        <v/>
      </c>
      <c r="G233" s="37" t="str">
        <f aca="false">IF($A233="","",IF(COUNTIFS(Status_Log!$A:$A,$A233,Status_Log!$B:$B,$B233,Status_Log!$C:$C,$C233,Status_Log!$D:$D,"Changed to the status of Controlled")=0,"",_xlfn.MAXIFS(Status_Log!$E:$E,Status_Log!$A:$A,$A233,Status_Log!$B:$B,$B233,Status_Log!$C:$C,$C233,Status_Log!$D:$D,"Changed to the status of Controlled")))</f>
        <v/>
      </c>
      <c r="H233" s="37" t="str">
        <f aca="false">IF($A233="","",IF(COUNTIFS(Status_Log!$A:$A,$A233,Status_Log!$B:$B,$B233,Status_Log!$C:$C,$C233,Status_Log!$D:$D,"Changed to the status of Fund accounting signed off")=0,"",_xlfn.MAXIFS(Status_Log!$E:$E,Status_Log!$A:$A,$A233,Status_Log!$B:$B,$B233,Status_Log!$C:$C,$C233,Status_Log!$D:$D,"Changed to the status of Fund accounting signed off")))</f>
        <v/>
      </c>
      <c r="I233" s="37" t="str">
        <f aca="false">IF($A233="","",IF(COUNTIFS(Status_Log!$A:$A,$A233,Status_Log!$B:$B,$B233,Status_Log!$C:$C,$C233,Status_Log!$D:$D,"Changed to the status of signed off")=0,"",_xlfn.MAXIFS(Status_Log!$E:$E,Status_Log!$A:$A,$A233,Status_Log!$B:$B,$B233,Status_Log!$C:$C,$C233,Status_Log!$D:$D,"Changed to the status of signed off")))</f>
        <v/>
      </c>
      <c r="J233" s="4" t="str">
        <f aca="false">IF($A233="","",COUNTIFS(Status_Log!$A:$A,$A233,Status_Log!$B:$B,$B233,Status_Log!$C:$C,$C233,Status_Log!$D:$D,"Changed to the status of Calculated"))</f>
        <v/>
      </c>
      <c r="K233" s="38" t="str">
        <f aca="false">IF($A233="","",IF(J233&lt;=1,0,ROUND((_xlfn.MAXIFS(Status_Log!$E:$E,Status_Log!$A:$A,$A233,Status_Log!$B:$B,$B233,Status_Log!$C:$C,$C233,Status_Log!$D:$D,"Changed to the status of Calculated")-F233)*1440,0)))</f>
        <v/>
      </c>
      <c r="L233" s="4" t="str">
        <f aca="false">IF($A233="","",IFERROR(INDEX(Status_Log!$F:$F,MATCH($A233&amp;"|"&amp;$B233&amp;"|"&amp;$C233&amp;"|Changed to the status of Calculated|"&amp;TEXT(_xlfn.MAXIFS(Status_Log!$E:$E,Status_Log!$A:$A,$A233,Status_Log!$B:$B,$B233,Status_Log!$C:$C,$C233,Status_Log!$D:$D,"Changed to the status of Calculated"),"0.000000"),Status_Log!$H:$H,0)),""))</f>
        <v/>
      </c>
      <c r="M233" s="4" t="str">
        <f aca="false">IF($A233="","",IF(E233="Client","n/a — no control step",IFERROR(INDEX(Status_Log!$F:$F,MATCH($A233&amp;"|"&amp;$B233&amp;"|"&amp;$C233&amp;"|Changed to the status of Controlled|"&amp;TEXT(_xlfn.MAXIFS(Status_Log!$E:$E,Status_Log!$A:$A,$A233,Status_Log!$B:$B,$B233,Status_Log!$C:$C,$C233,Status_Log!$D:$D,"Changed to the status of Controlled"),"0.000000"),Status_Log!$H:$H,0)),"")))</f>
        <v/>
      </c>
      <c r="N233" s="4" t="str">
        <f aca="false">IF($A233="","",IFERROR(VLOOKUP($C233,Dim_Fund!$A:$G,7,0),""))</f>
        <v/>
      </c>
      <c r="O233" s="4" t="str">
        <f aca="false">IF($A233="","",IF(L233=N233,"No","Yes"))</f>
        <v/>
      </c>
      <c r="P233" s="4" t="str">
        <f aca="false">IF($A233="","",IF(E233="Client","n/a",IF(L233=M233,"YES — four-eyes breach","No")))</f>
        <v/>
      </c>
      <c r="Q233" s="38" t="str">
        <f aca="false">IF($A233="","",IFERROR(VLOOKUP($C233,Dim_Fund!$A:$AB,28,0),""))</f>
        <v/>
      </c>
      <c r="R233" s="38" t="str">
        <f aca="false">IF($A233="","",IFERROR(VLOOKUP($C233,Dim_Fund!$A:$AC,29,0),""))</f>
        <v/>
      </c>
      <c r="S233" s="38" t="str">
        <f aca="false">IF($A233="","",IFERROR(VLOOKUP($C233,Dim_Fund!$A:$AD,30,0),""))</f>
        <v/>
      </c>
      <c r="T233" s="38" t="str">
        <f aca="false">IF($A233="","",IFERROR(VLOOKUP($C233,Dim_Fund!$A:$AL,38,0),""))</f>
        <v/>
      </c>
      <c r="U233" s="37" t="str">
        <f aca="false">IF($A233="","",IF(AL233="","",IFERROR(IF(COUNTIFS(Fact_Milestone!$A:$A,$B233,Fact_Milestone!$B:$B,AL233)=0,"",_xlfn.MAXIFS(Fact_Milestone!$C:$C,Fact_Milestone!$A:$A,$B233,Fact_Milestone!$B:$B,AL233)),"")))</f>
        <v/>
      </c>
      <c r="V233" s="37" t="str">
        <f aca="false">IF($A233="","",IFERROR(IF(VLOOKUP($C233,Dim_Fund!$A:$AI,35,0)&gt;0,$B233+VLOOKUP($C233,Dim_Fund!$A:$AI,35,0)/24,""),""))</f>
        <v/>
      </c>
      <c r="W233" s="37" t="str">
        <f aca="false">IF($A233="","",F233)</f>
        <v/>
      </c>
      <c r="X233" s="37" t="str">
        <f aca="false">IF($A233="","",IF(E233="Client",H233,G233))</f>
        <v/>
      </c>
      <c r="Y233" s="37" t="str">
        <f aca="false">IF($A233="","",I233)</f>
        <v/>
      </c>
      <c r="Z233" s="37" t="str">
        <f aca="false">IF($A233="","",IFERROR(W233-R233/1440,""))</f>
        <v/>
      </c>
      <c r="AA233" s="38" t="str">
        <f aca="false">IF($A233="","",IF(OR(U233="",V233=""),"",ROUND((V233-U233)*1440,0)))</f>
        <v/>
      </c>
      <c r="AB233" s="38" t="str">
        <f aca="false">IF($A233="","",IF(U233="","",ROUND((W233-U233)*1440,0)))</f>
        <v/>
      </c>
      <c r="AC233" s="38" t="str">
        <f aca="false">IF($A233="","",IF(AB233="","",MAX(0,AB233)))</f>
        <v/>
      </c>
      <c r="AD233" s="38" t="str">
        <f aca="false">IF($A233="","",IFERROR(ROUND((X233-W233)*1440,0),""))</f>
        <v/>
      </c>
      <c r="AE233" s="38" t="str">
        <f aca="false">IF($A233="","",IF(E233="Client","n/a",IFERROR(ROUND((H233-G233)*1440,0),"")))</f>
        <v/>
      </c>
      <c r="AF233" s="38" t="str">
        <f aca="false">IF($A233="","",IFERROR(ROUND((Y233-H233)*1440,0),""))</f>
        <v/>
      </c>
      <c r="AG233" s="38" t="str">
        <f aca="false">IF($A233="","",IFERROR(ROUND((H233-F233)*1440,0),""))</f>
        <v/>
      </c>
      <c r="AH233" s="38" t="str">
        <f aca="false">IF($A233="","",IFERROR(ROUND((Y233-V233)*1440,0),""))</f>
        <v/>
      </c>
      <c r="AI233" s="4" t="str">
        <f aca="false">IF($A233="","",IF(AH233="","",IF(AH233&gt;0,"Yes","No")))</f>
        <v/>
      </c>
      <c r="AJ233" s="4" t="str">
        <f aca="false">IF($A233="","",IF(AI233&lt;&gt;"Yes","On time",IF(N(AC233)&gt;=MAX(N(AF233),N(K233)),"Wait for analyst",IF(N(AF233)&gt;=N(K233),"External sign-off","Rework"))))</f>
        <v/>
      </c>
      <c r="AK233" s="4" t="str">
        <f aca="false">IF($A233="","",IF(OR(F233="",Y233="",ISNA(MATCH(L233,Dim_Analyst!$A:$A,0))),"CHECK","OK"))</f>
        <v/>
      </c>
      <c r="AL233" s="4" t="str">
        <f aca="false">IF($A233="","",IFERROR(VLOOKUP($C233,Dim_Fund!$A:$U,21,0),""))</f>
        <v/>
      </c>
      <c r="AM233" s="4" t="str">
        <f aca="false">IF($A233="","",IF($U233="","",IF($U233&gt;$B233+IFERROR(VLOOKUP($C233,Dim_Fund!$A:$AH,34,0),0)/24,"Yes","No")))</f>
        <v/>
      </c>
      <c r="AN233" s="22" t="str">
        <f aca="false">IF($A233="","",IFERROR(VLOOKUP($C233,Dim_Fund!$A:$AH,34,0),""))</f>
        <v/>
      </c>
      <c r="AO233" s="22" t="str">
        <f aca="false">IF($A233="","",IF($AL233="","",IFERROR(FLOOR(IF(COUNTIFS(Fact_Milestone!$A:$A,$B233,Fact_Milestone!$B:$B,$AL233,Fact_Milestone!$F:$F,"&gt;0")&gt;0,_xlfn.MINIFS(Fact_Milestone!$F:$F,Fact_Milestone!$A:$A,$B233,Fact_Milestone!$B:$B,$AL233,Fact_Milestone!$F:$F,"&gt;0"),VLOOKUP($AL233,Dim_TOP!$A:$E,5,0)),0.5),"")))</f>
        <v/>
      </c>
      <c r="AP233" s="22" t="str">
        <f aca="false">IF($A233="","",IF($U233="","",ROUND(($U233-INT($U233))*24,4)))</f>
        <v/>
      </c>
      <c r="AQ233" s="22" t="str">
        <f aca="false">IF($A233="","",IF($W233="","",ROUND(($W233-INT($W233))*24,4)))</f>
        <v/>
      </c>
      <c r="AR233" s="22" t="str">
        <f aca="false">IF($A233="","",IF($X233="","",ROUND(($X233-INT($X233))*24,4)))</f>
        <v/>
      </c>
      <c r="AS233" s="38" t="str">
        <f aca="false">IF($A233="","",IF(OR($AN233="",$V233="",$S233="",$T233=""),"",ROUND(($V233-($B233+$AN233/24))*1440-$S233-$T233,0)))</f>
        <v/>
      </c>
      <c r="AT233" s="38" t="str">
        <f aca="false">IF($A233="","",IF(OR($AN233="",$U233=""),"",ROUND(($U233-($B233+$AN233/24))*1440,0)))</f>
        <v/>
      </c>
      <c r="AU233" s="38" t="str">
        <f aca="false">IF($A233="","",IF(OR($AD233="",$S233=""),"",ROUND($AD233-$S233,0)))</f>
        <v/>
      </c>
      <c r="AV233" s="38" t="str">
        <f aca="false">IF($A233="","",N($AE233))</f>
        <v/>
      </c>
      <c r="AW233" s="38" t="str">
        <f aca="false">IF($A233="","",IF(OR($AF233="",$T233=""),"",$AF233-$T233))</f>
        <v/>
      </c>
      <c r="AX233" s="38" t="str">
        <f aca="false">IF($A233="","",IF(COUNT($AT233,$AB233,$AU233,$AW233,$AS233,$AH233)&lt;6,"",ROUND($AT233+$AB233+$AU233+$AV233+$AW233-$AS233-$AH233,0)))</f>
        <v/>
      </c>
      <c r="AY233" s="4" t="str">
        <f aca="false">IF($A233="","",IF($AX233="","No",IF(ABS($AX233)&lt;=2,"Yes","No")))</f>
        <v/>
      </c>
      <c r="AZ233" s="4" t="str">
        <f aca="false">IF($A233="","",IF($AI233&lt;&gt;"Yes","n/a",IF(OR($AA233="",$S233="",$T233=""),"Unknown",IF($AA233&lt;$S233+$T233,"Lost on arrival","Lost after arrival"))))</f>
        <v/>
      </c>
      <c r="BA233" s="10" t="str">
        <f aca="false">IF($A233="","",IFERROR(VLOOKUP($C233,Dim_Fund!$A:$D,4,0),""))</f>
        <v/>
      </c>
      <c r="BB233" s="10" t="str">
        <f aca="false">IF($A233="","",IF($AL233="","",IF(COUNTIFS(Fact_Milestone!$A:$A,$B233,Fact_Milestone!$B:$B,$AL233,Fact_Milestone!$I:$I,"No")&gt;0,"No",IF(COUNTIFS(Fact_Milestone!$A:$A,$B233,Fact_Milestone!$B:$B,$AL233,Fact_Milestone!$I:$I,"Yes")&gt;0,"Yes",""))))</f>
        <v/>
      </c>
      <c r="BC233" s="45" t="str">
        <f aca="false">IF($A233="","",IF(OR($L233="",$W233=""),"",IF(COUNTIFS($L:$L,$L233,$B:$B,$B233,$W:$W,"&lt;"&amp;$W233)=0,"",_xlfn.MAXIFS($W:$W,$L:$L,$L233,$B:$B,$B233,$W:$W,"&lt;"&amp;$W233))))</f>
        <v/>
      </c>
      <c r="BD233" s="39" t="str">
        <f aca="false">IF($A233="","",IF($AC233="","",IF(OR($L233="",$AC233=0),0,MIN($AC233,ROUND(ROUND(1440*SUMPRODUCT(($L$2:INDEX($L:$L,COUNTA($C:$C))=$L233)*($B$2:INDEX($B:$B,COUNTA($C:$C))=$B233)*(ROW($L$2:INDEX($L:$L,COUNTA($C:$C)))&lt;&gt;ROW())*((((($W233+$BT$2:INDEX($BT:$BT,COUNTA($C:$C))-ABS($W233-$BT$2:INDEX($BT:$BT,COUNTA($C:$C))))/2)-(($U233+$BS$2:INDEX($BS:$BS,COUNTA($C:$C))+ABS($U233-$BS$2:INDEX($BS:$BS,COUNTA($C:$C))))/2))+ABS(((($W233+$BT$2:INDEX($BT:$BT,COUNTA($C:$C))-ABS($W233-$BT$2:INDEX($BT:$BT,COUNTA($C:$C))))/2)-(($U233+$BS$2:INDEX($BS:$BS,COUNTA($C:$C))+ABS($U233-$BS$2:INDEX($BS:$BS,COUNTA($C:$C))))/2))))/2)),4),0)))))</f>
        <v/>
      </c>
      <c r="BE233" s="39" t="str">
        <f aca="false">IF($A233="","",IF($AC233="","",ROUND(MIN($AC233-$BD233,N($R233)),0)))</f>
        <v/>
      </c>
      <c r="BF233" s="10" t="str">
        <f aca="false">IF($A233="","",IFERROR(VLOOKUP($C233,Dim_Fund!$A:$BD,56,0),""))</f>
        <v/>
      </c>
      <c r="BG233" s="10" t="str">
        <f aca="false">IF($A233="","",IFERROR(VLOOKUP($C233,Dim_Fund!$A:$BH,60,0),""))</f>
        <v/>
      </c>
      <c r="BH233" s="10" t="str">
        <f aca="false">IF($A233="","",IF($AI233&lt;&gt;"Yes","Not breached",IF($AM233="Yes","Pricing late",IF($BG233="Thin custody slack","Thin custody slack",IF($BF233="Yes","Broker-dependent","None of these")))))</f>
        <v/>
      </c>
      <c r="BI233" s="23" t="str">
        <f aca="false">IF($A233="","",IFERROR(IF(VLOOKUP($C233,Dim_Fund!$A:$AI,35,0)&gt;0,VLOOKUP($C233,Dim_Fund!$A:$AI,35,0),""),""))</f>
        <v/>
      </c>
      <c r="BJ233" s="10" t="str">
        <f aca="false">IF($A233="","",$C233&amp;IF($E233="Client","*",""))</f>
        <v/>
      </c>
      <c r="BK233" s="39" t="str">
        <f aca="false">IF($A233="","",IFERROR(ROUND(($Y233-$X233)*1440,0),""))</f>
        <v/>
      </c>
      <c r="BL233" s="39" t="str">
        <f aca="false">IF($A233="","",IF($AH233="","",-$AH233))</f>
        <v/>
      </c>
      <c r="BM233" s="46" t="str">
        <f aca="false">IF($A233="","",IF($AQ233="","",IF($AP233="",$AQ233,MIN($AP233,$AQ233))))</f>
        <v/>
      </c>
      <c r="BN233" s="46" t="str">
        <f aca="false">IF($A233="","",IF($BM233="","",ROUND(N($AC233)/60,4)))</f>
        <v/>
      </c>
      <c r="BO233" s="46" t="str">
        <f aca="false">IF($A233="","",IF(OR($BM233="",$AD233=""),"",ROUND($AD233/60,4)))</f>
        <v/>
      </c>
      <c r="BP233" s="46" t="str">
        <f aca="false">IF($A233="","",IF($BM233="","",ROUND(N($AE233)/60,4)))</f>
        <v/>
      </c>
      <c r="BQ233" s="46" t="str">
        <f aca="false">IF($A233="","",IF(OR($BM233="",$AF233=""),"",ROUND($AF233/60,4)))</f>
        <v/>
      </c>
      <c r="BR233" s="39" t="str">
        <f aca="false">IF($A233="","",IF($AC233="","",$AC233-$BD233-$BE233))</f>
        <v/>
      </c>
      <c r="BS233" s="45" t="str">
        <f aca="false">IF($A233="","",IF(AND(ISNUMBER($Z233),ISNUMBER($W233)),$Z233,0))</f>
        <v/>
      </c>
      <c r="BT233" s="45" t="str">
        <f aca="false">IF($A233="","",IF(ISNUMBER($W233),$W233,0))</f>
        <v/>
      </c>
      <c r="BU233" s="23" t="str">
        <f aca="false">IF($A233="","",IF(ISNUMBER($W233),ROUND(($W233-$B233)*24,4),""))</f>
        <v/>
      </c>
      <c r="BV233" s="23" t="str">
        <f aca="false">IF($A233="","",IF(ISNUMBER($X233),ROUND(($X233-$B233)*24,4),""))</f>
        <v/>
      </c>
      <c r="BW233" s="10" t="str">
        <f aca="false">IF($A233="","",IF(NOT(ISNUMBER($W233)),"Missing Calculated",IF(NOT(ISNUMBER($X233)),IF($E233="Client","Missing FA signed off","Missing Controlled"),IF($X233&lt;$W233,"End before start","OK"))))</f>
        <v/>
      </c>
      <c r="BX233" s="23" t="str">
        <f aca="false">IF($A233="","",IF(NOT(ISNUMBER($Z233)),"",ROUND((IF(ISNUMBER($U233),MIN($U233,$Z233),$Z233)-$B233)*24,4)))</f>
        <v/>
      </c>
      <c r="BY233" s="23" t="str">
        <f aca="false">IF($A233="","",IF(ISNUMBER($Z233),ROUND(($Z233-$B233)*24,4),""))</f>
        <v/>
      </c>
      <c r="BZ233" s="23" t="str">
        <f aca="false">IF($A233="","",IF(AND(ISNUMBER($W233),ISNUMBER($S233)),ROUND(($W233+$S233/1440-$B233)*24,4),""))</f>
        <v/>
      </c>
    </row>
    <row r="234" customFormat="false" ht="15" hidden="false" customHeight="true" outlineLevel="0" collapsed="false">
      <c r="A234" s="47"/>
      <c r="B234" s="47"/>
      <c r="D234" s="4" t="str">
        <f aca="false">IF($A234="","",$B234-$A234)</f>
        <v/>
      </c>
      <c r="E234" s="4" t="str">
        <f aca="false">IF($A234="","",IFERROR(VLOOKUP($C234,Dim_Fund!$A:$X,24,0),""))</f>
        <v/>
      </c>
      <c r="F234" s="37" t="str">
        <f aca="false">IF($A234="","",IF(COUNTIFS(Status_Log!$A:$A,$A234,Status_Log!$B:$B,$B234,Status_Log!$C:$C,$C234,Status_Log!$D:$D,"Changed to the status of Calculated")=0,"",_xlfn.MINIFS(Status_Log!$E:$E,Status_Log!$A:$A,$A234,Status_Log!$B:$B,$B234,Status_Log!$C:$C,$C234,Status_Log!$D:$D,"Changed to the status of Calculated")))</f>
        <v/>
      </c>
      <c r="G234" s="37" t="str">
        <f aca="false">IF($A234="","",IF(COUNTIFS(Status_Log!$A:$A,$A234,Status_Log!$B:$B,$B234,Status_Log!$C:$C,$C234,Status_Log!$D:$D,"Changed to the status of Controlled")=0,"",_xlfn.MAXIFS(Status_Log!$E:$E,Status_Log!$A:$A,$A234,Status_Log!$B:$B,$B234,Status_Log!$C:$C,$C234,Status_Log!$D:$D,"Changed to the status of Controlled")))</f>
        <v/>
      </c>
      <c r="H234" s="37" t="str">
        <f aca="false">IF($A234="","",IF(COUNTIFS(Status_Log!$A:$A,$A234,Status_Log!$B:$B,$B234,Status_Log!$C:$C,$C234,Status_Log!$D:$D,"Changed to the status of Fund accounting signed off")=0,"",_xlfn.MAXIFS(Status_Log!$E:$E,Status_Log!$A:$A,$A234,Status_Log!$B:$B,$B234,Status_Log!$C:$C,$C234,Status_Log!$D:$D,"Changed to the status of Fund accounting signed off")))</f>
        <v/>
      </c>
      <c r="I234" s="37" t="str">
        <f aca="false">IF($A234="","",IF(COUNTIFS(Status_Log!$A:$A,$A234,Status_Log!$B:$B,$B234,Status_Log!$C:$C,$C234,Status_Log!$D:$D,"Changed to the status of signed off")=0,"",_xlfn.MAXIFS(Status_Log!$E:$E,Status_Log!$A:$A,$A234,Status_Log!$B:$B,$B234,Status_Log!$C:$C,$C234,Status_Log!$D:$D,"Changed to the status of signed off")))</f>
        <v/>
      </c>
      <c r="J234" s="4" t="str">
        <f aca="false">IF($A234="","",COUNTIFS(Status_Log!$A:$A,$A234,Status_Log!$B:$B,$B234,Status_Log!$C:$C,$C234,Status_Log!$D:$D,"Changed to the status of Calculated"))</f>
        <v/>
      </c>
      <c r="K234" s="38" t="str">
        <f aca="false">IF($A234="","",IF(J234&lt;=1,0,ROUND((_xlfn.MAXIFS(Status_Log!$E:$E,Status_Log!$A:$A,$A234,Status_Log!$B:$B,$B234,Status_Log!$C:$C,$C234,Status_Log!$D:$D,"Changed to the status of Calculated")-F234)*1440,0)))</f>
        <v/>
      </c>
      <c r="L234" s="4" t="str">
        <f aca="false">IF($A234="","",IFERROR(INDEX(Status_Log!$F:$F,MATCH($A234&amp;"|"&amp;$B234&amp;"|"&amp;$C234&amp;"|Changed to the status of Calculated|"&amp;TEXT(_xlfn.MAXIFS(Status_Log!$E:$E,Status_Log!$A:$A,$A234,Status_Log!$B:$B,$B234,Status_Log!$C:$C,$C234,Status_Log!$D:$D,"Changed to the status of Calculated"),"0.000000"),Status_Log!$H:$H,0)),""))</f>
        <v/>
      </c>
      <c r="M234" s="4" t="str">
        <f aca="false">IF($A234="","",IF(E234="Client","n/a — no control step",IFERROR(INDEX(Status_Log!$F:$F,MATCH($A234&amp;"|"&amp;$B234&amp;"|"&amp;$C234&amp;"|Changed to the status of Controlled|"&amp;TEXT(_xlfn.MAXIFS(Status_Log!$E:$E,Status_Log!$A:$A,$A234,Status_Log!$B:$B,$B234,Status_Log!$C:$C,$C234,Status_Log!$D:$D,"Changed to the status of Controlled"),"0.000000"),Status_Log!$H:$H,0)),"")))</f>
        <v/>
      </c>
      <c r="N234" s="4" t="str">
        <f aca="false">IF($A234="","",IFERROR(VLOOKUP($C234,Dim_Fund!$A:$G,7,0),""))</f>
        <v/>
      </c>
      <c r="O234" s="4" t="str">
        <f aca="false">IF($A234="","",IF(L234=N234,"No","Yes"))</f>
        <v/>
      </c>
      <c r="P234" s="4" t="str">
        <f aca="false">IF($A234="","",IF(E234="Client","n/a",IF(L234=M234,"YES — four-eyes breach","No")))</f>
        <v/>
      </c>
      <c r="Q234" s="38" t="str">
        <f aca="false">IF($A234="","",IFERROR(VLOOKUP($C234,Dim_Fund!$A:$AB,28,0),""))</f>
        <v/>
      </c>
      <c r="R234" s="38" t="str">
        <f aca="false">IF($A234="","",IFERROR(VLOOKUP($C234,Dim_Fund!$A:$AC,29,0),""))</f>
        <v/>
      </c>
      <c r="S234" s="38" t="str">
        <f aca="false">IF($A234="","",IFERROR(VLOOKUP($C234,Dim_Fund!$A:$AD,30,0),""))</f>
        <v/>
      </c>
      <c r="T234" s="38" t="str">
        <f aca="false">IF($A234="","",IFERROR(VLOOKUP($C234,Dim_Fund!$A:$AL,38,0),""))</f>
        <v/>
      </c>
      <c r="U234" s="37" t="str">
        <f aca="false">IF($A234="","",IF(AL234="","",IFERROR(IF(COUNTIFS(Fact_Milestone!$A:$A,$B234,Fact_Milestone!$B:$B,AL234)=0,"",_xlfn.MAXIFS(Fact_Milestone!$C:$C,Fact_Milestone!$A:$A,$B234,Fact_Milestone!$B:$B,AL234)),"")))</f>
        <v/>
      </c>
      <c r="V234" s="37" t="str">
        <f aca="false">IF($A234="","",IFERROR(IF(VLOOKUP($C234,Dim_Fund!$A:$AI,35,0)&gt;0,$B234+VLOOKUP($C234,Dim_Fund!$A:$AI,35,0)/24,""),""))</f>
        <v/>
      </c>
      <c r="W234" s="37" t="str">
        <f aca="false">IF($A234="","",F234)</f>
        <v/>
      </c>
      <c r="X234" s="37" t="str">
        <f aca="false">IF($A234="","",IF(E234="Client",H234,G234))</f>
        <v/>
      </c>
      <c r="Y234" s="37" t="str">
        <f aca="false">IF($A234="","",I234)</f>
        <v/>
      </c>
      <c r="Z234" s="37" t="str">
        <f aca="false">IF($A234="","",IFERROR(W234-R234/1440,""))</f>
        <v/>
      </c>
      <c r="AA234" s="38" t="str">
        <f aca="false">IF($A234="","",IF(OR(U234="",V234=""),"",ROUND((V234-U234)*1440,0)))</f>
        <v/>
      </c>
      <c r="AB234" s="38" t="str">
        <f aca="false">IF($A234="","",IF(U234="","",ROUND((W234-U234)*1440,0)))</f>
        <v/>
      </c>
      <c r="AC234" s="38" t="str">
        <f aca="false">IF($A234="","",IF(AB234="","",MAX(0,AB234)))</f>
        <v/>
      </c>
      <c r="AD234" s="38" t="str">
        <f aca="false">IF($A234="","",IFERROR(ROUND((X234-W234)*1440,0),""))</f>
        <v/>
      </c>
      <c r="AE234" s="38" t="str">
        <f aca="false">IF($A234="","",IF(E234="Client","n/a",IFERROR(ROUND((H234-G234)*1440,0),"")))</f>
        <v/>
      </c>
      <c r="AF234" s="38" t="str">
        <f aca="false">IF($A234="","",IFERROR(ROUND((Y234-H234)*1440,0),""))</f>
        <v/>
      </c>
      <c r="AG234" s="38" t="str">
        <f aca="false">IF($A234="","",IFERROR(ROUND((H234-F234)*1440,0),""))</f>
        <v/>
      </c>
      <c r="AH234" s="38" t="str">
        <f aca="false">IF($A234="","",IFERROR(ROUND((Y234-V234)*1440,0),""))</f>
        <v/>
      </c>
      <c r="AI234" s="4" t="str">
        <f aca="false">IF($A234="","",IF(AH234="","",IF(AH234&gt;0,"Yes","No")))</f>
        <v/>
      </c>
      <c r="AJ234" s="4" t="str">
        <f aca="false">IF($A234="","",IF(AI234&lt;&gt;"Yes","On time",IF(N(AC234)&gt;=MAX(N(AF234),N(K234)),"Wait for analyst",IF(N(AF234)&gt;=N(K234),"External sign-off","Rework"))))</f>
        <v/>
      </c>
      <c r="AK234" s="4" t="str">
        <f aca="false">IF($A234="","",IF(OR(F234="",Y234="",ISNA(MATCH(L234,Dim_Analyst!$A:$A,0))),"CHECK","OK"))</f>
        <v/>
      </c>
      <c r="AL234" s="4" t="str">
        <f aca="false">IF($A234="","",IFERROR(VLOOKUP($C234,Dim_Fund!$A:$U,21,0),""))</f>
        <v/>
      </c>
      <c r="AM234" s="4" t="str">
        <f aca="false">IF($A234="","",IF($U234="","",IF($U234&gt;$B234+IFERROR(VLOOKUP($C234,Dim_Fund!$A:$AH,34,0),0)/24,"Yes","No")))</f>
        <v/>
      </c>
      <c r="AN234" s="22" t="str">
        <f aca="false">IF($A234="","",IFERROR(VLOOKUP($C234,Dim_Fund!$A:$AH,34,0),""))</f>
        <v/>
      </c>
      <c r="AO234" s="22" t="str">
        <f aca="false">IF($A234="","",IF($AL234="","",IFERROR(FLOOR(IF(COUNTIFS(Fact_Milestone!$A:$A,$B234,Fact_Milestone!$B:$B,$AL234,Fact_Milestone!$F:$F,"&gt;0")&gt;0,_xlfn.MINIFS(Fact_Milestone!$F:$F,Fact_Milestone!$A:$A,$B234,Fact_Milestone!$B:$B,$AL234,Fact_Milestone!$F:$F,"&gt;0"),VLOOKUP($AL234,Dim_TOP!$A:$E,5,0)),0.5),"")))</f>
        <v/>
      </c>
      <c r="AP234" s="22" t="str">
        <f aca="false">IF($A234="","",IF($U234="","",ROUND(($U234-INT($U234))*24,4)))</f>
        <v/>
      </c>
      <c r="AQ234" s="22" t="str">
        <f aca="false">IF($A234="","",IF($W234="","",ROUND(($W234-INT($W234))*24,4)))</f>
        <v/>
      </c>
      <c r="AR234" s="22" t="str">
        <f aca="false">IF($A234="","",IF($X234="","",ROUND(($X234-INT($X234))*24,4)))</f>
        <v/>
      </c>
      <c r="AS234" s="38" t="str">
        <f aca="false">IF($A234="","",IF(OR($AN234="",$V234="",$S234="",$T234=""),"",ROUND(($V234-($B234+$AN234/24))*1440-$S234-$T234,0)))</f>
        <v/>
      </c>
      <c r="AT234" s="38" t="str">
        <f aca="false">IF($A234="","",IF(OR($AN234="",$U234=""),"",ROUND(($U234-($B234+$AN234/24))*1440,0)))</f>
        <v/>
      </c>
      <c r="AU234" s="38" t="str">
        <f aca="false">IF($A234="","",IF(OR($AD234="",$S234=""),"",ROUND($AD234-$S234,0)))</f>
        <v/>
      </c>
      <c r="AV234" s="38" t="str">
        <f aca="false">IF($A234="","",N($AE234))</f>
        <v/>
      </c>
      <c r="AW234" s="38" t="str">
        <f aca="false">IF($A234="","",IF(OR($AF234="",$T234=""),"",$AF234-$T234))</f>
        <v/>
      </c>
      <c r="AX234" s="38" t="str">
        <f aca="false">IF($A234="","",IF(COUNT($AT234,$AB234,$AU234,$AW234,$AS234,$AH234)&lt;6,"",ROUND($AT234+$AB234+$AU234+$AV234+$AW234-$AS234-$AH234,0)))</f>
        <v/>
      </c>
      <c r="AY234" s="4" t="str">
        <f aca="false">IF($A234="","",IF($AX234="","No",IF(ABS($AX234)&lt;=2,"Yes","No")))</f>
        <v/>
      </c>
      <c r="AZ234" s="4" t="str">
        <f aca="false">IF($A234="","",IF($AI234&lt;&gt;"Yes","n/a",IF(OR($AA234="",$S234="",$T234=""),"Unknown",IF($AA234&lt;$S234+$T234,"Lost on arrival","Lost after arrival"))))</f>
        <v/>
      </c>
      <c r="BA234" s="10" t="str">
        <f aca="false">IF($A234="","",IFERROR(VLOOKUP($C234,Dim_Fund!$A:$D,4,0),""))</f>
        <v/>
      </c>
      <c r="BB234" s="10" t="str">
        <f aca="false">IF($A234="","",IF($AL234="","",IF(COUNTIFS(Fact_Milestone!$A:$A,$B234,Fact_Milestone!$B:$B,$AL234,Fact_Milestone!$I:$I,"No")&gt;0,"No",IF(COUNTIFS(Fact_Milestone!$A:$A,$B234,Fact_Milestone!$B:$B,$AL234,Fact_Milestone!$I:$I,"Yes")&gt;0,"Yes",""))))</f>
        <v/>
      </c>
      <c r="BC234" s="45" t="str">
        <f aca="false">IF($A234="","",IF(OR($L234="",$W234=""),"",IF(COUNTIFS($L:$L,$L234,$B:$B,$B234,$W:$W,"&lt;"&amp;$W234)=0,"",_xlfn.MAXIFS($W:$W,$L:$L,$L234,$B:$B,$B234,$W:$W,"&lt;"&amp;$W234))))</f>
        <v/>
      </c>
      <c r="BD234" s="39" t="str">
        <f aca="false">IF($A234="","",IF($AC234="","",IF(OR($L234="",$AC234=0),0,MIN($AC234,ROUND(ROUND(1440*SUMPRODUCT(($L$2:INDEX($L:$L,COUNTA($C:$C))=$L234)*($B$2:INDEX($B:$B,COUNTA($C:$C))=$B234)*(ROW($L$2:INDEX($L:$L,COUNTA($C:$C)))&lt;&gt;ROW())*((((($W234+$BT$2:INDEX($BT:$BT,COUNTA($C:$C))-ABS($W234-$BT$2:INDEX($BT:$BT,COUNTA($C:$C))))/2)-(($U234+$BS$2:INDEX($BS:$BS,COUNTA($C:$C))+ABS($U234-$BS$2:INDEX($BS:$BS,COUNTA($C:$C))))/2))+ABS(((($W234+$BT$2:INDEX($BT:$BT,COUNTA($C:$C))-ABS($W234-$BT$2:INDEX($BT:$BT,COUNTA($C:$C))))/2)-(($U234+$BS$2:INDEX($BS:$BS,COUNTA($C:$C))+ABS($U234-$BS$2:INDEX($BS:$BS,COUNTA($C:$C))))/2))))/2)),4),0)))))</f>
        <v/>
      </c>
      <c r="BE234" s="39" t="str">
        <f aca="false">IF($A234="","",IF($AC234="","",ROUND(MIN($AC234-$BD234,N($R234)),0)))</f>
        <v/>
      </c>
      <c r="BF234" s="10" t="str">
        <f aca="false">IF($A234="","",IFERROR(VLOOKUP($C234,Dim_Fund!$A:$BD,56,0),""))</f>
        <v/>
      </c>
      <c r="BG234" s="10" t="str">
        <f aca="false">IF($A234="","",IFERROR(VLOOKUP($C234,Dim_Fund!$A:$BH,60,0),""))</f>
        <v/>
      </c>
      <c r="BH234" s="10" t="str">
        <f aca="false">IF($A234="","",IF($AI234&lt;&gt;"Yes","Not breached",IF($AM234="Yes","Pricing late",IF($BG234="Thin custody slack","Thin custody slack",IF($BF234="Yes","Broker-dependent","None of these")))))</f>
        <v/>
      </c>
      <c r="BI234" s="23" t="str">
        <f aca="false">IF($A234="","",IFERROR(IF(VLOOKUP($C234,Dim_Fund!$A:$AI,35,0)&gt;0,VLOOKUP($C234,Dim_Fund!$A:$AI,35,0),""),""))</f>
        <v/>
      </c>
      <c r="BJ234" s="10" t="str">
        <f aca="false">IF($A234="","",$C234&amp;IF($E234="Client","*",""))</f>
        <v/>
      </c>
      <c r="BK234" s="39" t="str">
        <f aca="false">IF($A234="","",IFERROR(ROUND(($Y234-$X234)*1440,0),""))</f>
        <v/>
      </c>
      <c r="BL234" s="39" t="str">
        <f aca="false">IF($A234="","",IF($AH234="","",-$AH234))</f>
        <v/>
      </c>
      <c r="BM234" s="46" t="str">
        <f aca="false">IF($A234="","",IF($AQ234="","",IF($AP234="",$AQ234,MIN($AP234,$AQ234))))</f>
        <v/>
      </c>
      <c r="BN234" s="46" t="str">
        <f aca="false">IF($A234="","",IF($BM234="","",ROUND(N($AC234)/60,4)))</f>
        <v/>
      </c>
      <c r="BO234" s="46" t="str">
        <f aca="false">IF($A234="","",IF(OR($BM234="",$AD234=""),"",ROUND($AD234/60,4)))</f>
        <v/>
      </c>
      <c r="BP234" s="46" t="str">
        <f aca="false">IF($A234="","",IF($BM234="","",ROUND(N($AE234)/60,4)))</f>
        <v/>
      </c>
      <c r="BQ234" s="46" t="str">
        <f aca="false">IF($A234="","",IF(OR($BM234="",$AF234=""),"",ROUND($AF234/60,4)))</f>
        <v/>
      </c>
      <c r="BR234" s="39" t="str">
        <f aca="false">IF($A234="","",IF($AC234="","",$AC234-$BD234-$BE234))</f>
        <v/>
      </c>
      <c r="BS234" s="45" t="str">
        <f aca="false">IF($A234="","",IF(AND(ISNUMBER($Z234),ISNUMBER($W234)),$Z234,0))</f>
        <v/>
      </c>
      <c r="BT234" s="45" t="str">
        <f aca="false">IF($A234="","",IF(ISNUMBER($W234),$W234,0))</f>
        <v/>
      </c>
      <c r="BU234" s="23" t="str">
        <f aca="false">IF($A234="","",IF(ISNUMBER($W234),ROUND(($W234-$B234)*24,4),""))</f>
        <v/>
      </c>
      <c r="BV234" s="23" t="str">
        <f aca="false">IF($A234="","",IF(ISNUMBER($X234),ROUND(($X234-$B234)*24,4),""))</f>
        <v/>
      </c>
      <c r="BW234" s="10" t="str">
        <f aca="false">IF($A234="","",IF(NOT(ISNUMBER($W234)),"Missing Calculated",IF(NOT(ISNUMBER($X234)),IF($E234="Client","Missing FA signed off","Missing Controlled"),IF($X234&lt;$W234,"End before start","OK"))))</f>
        <v/>
      </c>
      <c r="BX234" s="23" t="str">
        <f aca="false">IF($A234="","",IF(NOT(ISNUMBER($Z234)),"",ROUND((IF(ISNUMBER($U234),MIN($U234,$Z234),$Z234)-$B234)*24,4)))</f>
        <v/>
      </c>
      <c r="BY234" s="23" t="str">
        <f aca="false">IF($A234="","",IF(ISNUMBER($Z234),ROUND(($Z234-$B234)*24,4),""))</f>
        <v/>
      </c>
      <c r="BZ234" s="23" t="str">
        <f aca="false">IF($A234="","",IF(AND(ISNUMBER($W234),ISNUMBER($S234)),ROUND(($W234+$S234/1440-$B234)*24,4),""))</f>
        <v/>
      </c>
    </row>
    <row r="235" customFormat="false" ht="15" hidden="false" customHeight="true" outlineLevel="0" collapsed="false">
      <c r="A235" s="47"/>
      <c r="B235" s="47"/>
      <c r="D235" s="4" t="str">
        <f aca="false">IF($A235="","",$B235-$A235)</f>
        <v/>
      </c>
      <c r="E235" s="4" t="str">
        <f aca="false">IF($A235="","",IFERROR(VLOOKUP($C235,Dim_Fund!$A:$X,24,0),""))</f>
        <v/>
      </c>
      <c r="F235" s="37" t="str">
        <f aca="false">IF($A235="","",IF(COUNTIFS(Status_Log!$A:$A,$A235,Status_Log!$B:$B,$B235,Status_Log!$C:$C,$C235,Status_Log!$D:$D,"Changed to the status of Calculated")=0,"",_xlfn.MINIFS(Status_Log!$E:$E,Status_Log!$A:$A,$A235,Status_Log!$B:$B,$B235,Status_Log!$C:$C,$C235,Status_Log!$D:$D,"Changed to the status of Calculated")))</f>
        <v/>
      </c>
      <c r="G235" s="37" t="str">
        <f aca="false">IF($A235="","",IF(COUNTIFS(Status_Log!$A:$A,$A235,Status_Log!$B:$B,$B235,Status_Log!$C:$C,$C235,Status_Log!$D:$D,"Changed to the status of Controlled")=0,"",_xlfn.MAXIFS(Status_Log!$E:$E,Status_Log!$A:$A,$A235,Status_Log!$B:$B,$B235,Status_Log!$C:$C,$C235,Status_Log!$D:$D,"Changed to the status of Controlled")))</f>
        <v/>
      </c>
      <c r="H235" s="37" t="str">
        <f aca="false">IF($A235="","",IF(COUNTIFS(Status_Log!$A:$A,$A235,Status_Log!$B:$B,$B235,Status_Log!$C:$C,$C235,Status_Log!$D:$D,"Changed to the status of Fund accounting signed off")=0,"",_xlfn.MAXIFS(Status_Log!$E:$E,Status_Log!$A:$A,$A235,Status_Log!$B:$B,$B235,Status_Log!$C:$C,$C235,Status_Log!$D:$D,"Changed to the status of Fund accounting signed off")))</f>
        <v/>
      </c>
      <c r="I235" s="37" t="str">
        <f aca="false">IF($A235="","",IF(COUNTIFS(Status_Log!$A:$A,$A235,Status_Log!$B:$B,$B235,Status_Log!$C:$C,$C235,Status_Log!$D:$D,"Changed to the status of signed off")=0,"",_xlfn.MAXIFS(Status_Log!$E:$E,Status_Log!$A:$A,$A235,Status_Log!$B:$B,$B235,Status_Log!$C:$C,$C235,Status_Log!$D:$D,"Changed to the status of signed off")))</f>
        <v/>
      </c>
      <c r="J235" s="4" t="str">
        <f aca="false">IF($A235="","",COUNTIFS(Status_Log!$A:$A,$A235,Status_Log!$B:$B,$B235,Status_Log!$C:$C,$C235,Status_Log!$D:$D,"Changed to the status of Calculated"))</f>
        <v/>
      </c>
      <c r="K235" s="38" t="str">
        <f aca="false">IF($A235="","",IF(J235&lt;=1,0,ROUND((_xlfn.MAXIFS(Status_Log!$E:$E,Status_Log!$A:$A,$A235,Status_Log!$B:$B,$B235,Status_Log!$C:$C,$C235,Status_Log!$D:$D,"Changed to the status of Calculated")-F235)*1440,0)))</f>
        <v/>
      </c>
      <c r="L235" s="4" t="str">
        <f aca="false">IF($A235="","",IFERROR(INDEX(Status_Log!$F:$F,MATCH($A235&amp;"|"&amp;$B235&amp;"|"&amp;$C235&amp;"|Changed to the status of Calculated|"&amp;TEXT(_xlfn.MAXIFS(Status_Log!$E:$E,Status_Log!$A:$A,$A235,Status_Log!$B:$B,$B235,Status_Log!$C:$C,$C235,Status_Log!$D:$D,"Changed to the status of Calculated"),"0.000000"),Status_Log!$H:$H,0)),""))</f>
        <v/>
      </c>
      <c r="M235" s="4" t="str">
        <f aca="false">IF($A235="","",IF(E235="Client","n/a — no control step",IFERROR(INDEX(Status_Log!$F:$F,MATCH($A235&amp;"|"&amp;$B235&amp;"|"&amp;$C235&amp;"|Changed to the status of Controlled|"&amp;TEXT(_xlfn.MAXIFS(Status_Log!$E:$E,Status_Log!$A:$A,$A235,Status_Log!$B:$B,$B235,Status_Log!$C:$C,$C235,Status_Log!$D:$D,"Changed to the status of Controlled"),"0.000000"),Status_Log!$H:$H,0)),"")))</f>
        <v/>
      </c>
      <c r="N235" s="4" t="str">
        <f aca="false">IF($A235="","",IFERROR(VLOOKUP($C235,Dim_Fund!$A:$G,7,0),""))</f>
        <v/>
      </c>
      <c r="O235" s="4" t="str">
        <f aca="false">IF($A235="","",IF(L235=N235,"No","Yes"))</f>
        <v/>
      </c>
      <c r="P235" s="4" t="str">
        <f aca="false">IF($A235="","",IF(E235="Client","n/a",IF(L235=M235,"YES — four-eyes breach","No")))</f>
        <v/>
      </c>
      <c r="Q235" s="38" t="str">
        <f aca="false">IF($A235="","",IFERROR(VLOOKUP($C235,Dim_Fund!$A:$AB,28,0),""))</f>
        <v/>
      </c>
      <c r="R235" s="38" t="str">
        <f aca="false">IF($A235="","",IFERROR(VLOOKUP($C235,Dim_Fund!$A:$AC,29,0),""))</f>
        <v/>
      </c>
      <c r="S235" s="38" t="str">
        <f aca="false">IF($A235="","",IFERROR(VLOOKUP($C235,Dim_Fund!$A:$AD,30,0),""))</f>
        <v/>
      </c>
      <c r="T235" s="38" t="str">
        <f aca="false">IF($A235="","",IFERROR(VLOOKUP($C235,Dim_Fund!$A:$AL,38,0),""))</f>
        <v/>
      </c>
      <c r="U235" s="37" t="str">
        <f aca="false">IF($A235="","",IF(AL235="","",IFERROR(IF(COUNTIFS(Fact_Milestone!$A:$A,$B235,Fact_Milestone!$B:$B,AL235)=0,"",_xlfn.MAXIFS(Fact_Milestone!$C:$C,Fact_Milestone!$A:$A,$B235,Fact_Milestone!$B:$B,AL235)),"")))</f>
        <v/>
      </c>
      <c r="V235" s="37" t="str">
        <f aca="false">IF($A235="","",IFERROR(IF(VLOOKUP($C235,Dim_Fund!$A:$AI,35,0)&gt;0,$B235+VLOOKUP($C235,Dim_Fund!$A:$AI,35,0)/24,""),""))</f>
        <v/>
      </c>
      <c r="W235" s="37" t="str">
        <f aca="false">IF($A235="","",F235)</f>
        <v/>
      </c>
      <c r="X235" s="37" t="str">
        <f aca="false">IF($A235="","",IF(E235="Client",H235,G235))</f>
        <v/>
      </c>
      <c r="Y235" s="37" t="str">
        <f aca="false">IF($A235="","",I235)</f>
        <v/>
      </c>
      <c r="Z235" s="37" t="str">
        <f aca="false">IF($A235="","",IFERROR(W235-R235/1440,""))</f>
        <v/>
      </c>
      <c r="AA235" s="38" t="str">
        <f aca="false">IF($A235="","",IF(OR(U235="",V235=""),"",ROUND((V235-U235)*1440,0)))</f>
        <v/>
      </c>
      <c r="AB235" s="38" t="str">
        <f aca="false">IF($A235="","",IF(U235="","",ROUND((W235-U235)*1440,0)))</f>
        <v/>
      </c>
      <c r="AC235" s="38" t="str">
        <f aca="false">IF($A235="","",IF(AB235="","",MAX(0,AB235)))</f>
        <v/>
      </c>
      <c r="AD235" s="38" t="str">
        <f aca="false">IF($A235="","",IFERROR(ROUND((X235-W235)*1440,0),""))</f>
        <v/>
      </c>
      <c r="AE235" s="38" t="str">
        <f aca="false">IF($A235="","",IF(E235="Client","n/a",IFERROR(ROUND((H235-G235)*1440,0),"")))</f>
        <v/>
      </c>
      <c r="AF235" s="38" t="str">
        <f aca="false">IF($A235="","",IFERROR(ROUND((Y235-H235)*1440,0),""))</f>
        <v/>
      </c>
      <c r="AG235" s="38" t="str">
        <f aca="false">IF($A235="","",IFERROR(ROUND((H235-F235)*1440,0),""))</f>
        <v/>
      </c>
      <c r="AH235" s="38" t="str">
        <f aca="false">IF($A235="","",IFERROR(ROUND((Y235-V235)*1440,0),""))</f>
        <v/>
      </c>
      <c r="AI235" s="4" t="str">
        <f aca="false">IF($A235="","",IF(AH235="","",IF(AH235&gt;0,"Yes","No")))</f>
        <v/>
      </c>
      <c r="AJ235" s="4" t="str">
        <f aca="false">IF($A235="","",IF(AI235&lt;&gt;"Yes","On time",IF(N(AC235)&gt;=MAX(N(AF235),N(K235)),"Wait for analyst",IF(N(AF235)&gt;=N(K235),"External sign-off","Rework"))))</f>
        <v/>
      </c>
      <c r="AK235" s="4" t="str">
        <f aca="false">IF($A235="","",IF(OR(F235="",Y235="",ISNA(MATCH(L235,Dim_Analyst!$A:$A,0))),"CHECK","OK"))</f>
        <v/>
      </c>
      <c r="AL235" s="4" t="str">
        <f aca="false">IF($A235="","",IFERROR(VLOOKUP($C235,Dim_Fund!$A:$U,21,0),""))</f>
        <v/>
      </c>
      <c r="AM235" s="4" t="str">
        <f aca="false">IF($A235="","",IF($U235="","",IF($U235&gt;$B235+IFERROR(VLOOKUP($C235,Dim_Fund!$A:$AH,34,0),0)/24,"Yes","No")))</f>
        <v/>
      </c>
      <c r="AN235" s="22" t="str">
        <f aca="false">IF($A235="","",IFERROR(VLOOKUP($C235,Dim_Fund!$A:$AH,34,0),""))</f>
        <v/>
      </c>
      <c r="AO235" s="22" t="str">
        <f aca="false">IF($A235="","",IF($AL235="","",IFERROR(FLOOR(IF(COUNTIFS(Fact_Milestone!$A:$A,$B235,Fact_Milestone!$B:$B,$AL235,Fact_Milestone!$F:$F,"&gt;0")&gt;0,_xlfn.MINIFS(Fact_Milestone!$F:$F,Fact_Milestone!$A:$A,$B235,Fact_Milestone!$B:$B,$AL235,Fact_Milestone!$F:$F,"&gt;0"),VLOOKUP($AL235,Dim_TOP!$A:$E,5,0)),0.5),"")))</f>
        <v/>
      </c>
      <c r="AP235" s="22" t="str">
        <f aca="false">IF($A235="","",IF($U235="","",ROUND(($U235-INT($U235))*24,4)))</f>
        <v/>
      </c>
      <c r="AQ235" s="22" t="str">
        <f aca="false">IF($A235="","",IF($W235="","",ROUND(($W235-INT($W235))*24,4)))</f>
        <v/>
      </c>
      <c r="AR235" s="22" t="str">
        <f aca="false">IF($A235="","",IF($X235="","",ROUND(($X235-INT($X235))*24,4)))</f>
        <v/>
      </c>
      <c r="AS235" s="38" t="str">
        <f aca="false">IF($A235="","",IF(OR($AN235="",$V235="",$S235="",$T235=""),"",ROUND(($V235-($B235+$AN235/24))*1440-$S235-$T235,0)))</f>
        <v/>
      </c>
      <c r="AT235" s="38" t="str">
        <f aca="false">IF($A235="","",IF(OR($AN235="",$U235=""),"",ROUND(($U235-($B235+$AN235/24))*1440,0)))</f>
        <v/>
      </c>
      <c r="AU235" s="38" t="str">
        <f aca="false">IF($A235="","",IF(OR($AD235="",$S235=""),"",ROUND($AD235-$S235,0)))</f>
        <v/>
      </c>
      <c r="AV235" s="38" t="str">
        <f aca="false">IF($A235="","",N($AE235))</f>
        <v/>
      </c>
      <c r="AW235" s="38" t="str">
        <f aca="false">IF($A235="","",IF(OR($AF235="",$T235=""),"",$AF235-$T235))</f>
        <v/>
      </c>
      <c r="AX235" s="38" t="str">
        <f aca="false">IF($A235="","",IF(COUNT($AT235,$AB235,$AU235,$AW235,$AS235,$AH235)&lt;6,"",ROUND($AT235+$AB235+$AU235+$AV235+$AW235-$AS235-$AH235,0)))</f>
        <v/>
      </c>
      <c r="AY235" s="4" t="str">
        <f aca="false">IF($A235="","",IF($AX235="","No",IF(ABS($AX235)&lt;=2,"Yes","No")))</f>
        <v/>
      </c>
      <c r="AZ235" s="4" t="str">
        <f aca="false">IF($A235="","",IF($AI235&lt;&gt;"Yes","n/a",IF(OR($AA235="",$S235="",$T235=""),"Unknown",IF($AA235&lt;$S235+$T235,"Lost on arrival","Lost after arrival"))))</f>
        <v/>
      </c>
      <c r="BA235" s="10" t="str">
        <f aca="false">IF($A235="","",IFERROR(VLOOKUP($C235,Dim_Fund!$A:$D,4,0),""))</f>
        <v/>
      </c>
      <c r="BB235" s="10" t="str">
        <f aca="false">IF($A235="","",IF($AL235="","",IF(COUNTIFS(Fact_Milestone!$A:$A,$B235,Fact_Milestone!$B:$B,$AL235,Fact_Milestone!$I:$I,"No")&gt;0,"No",IF(COUNTIFS(Fact_Milestone!$A:$A,$B235,Fact_Milestone!$B:$B,$AL235,Fact_Milestone!$I:$I,"Yes")&gt;0,"Yes",""))))</f>
        <v/>
      </c>
      <c r="BC235" s="45" t="str">
        <f aca="false">IF($A235="","",IF(OR($L235="",$W235=""),"",IF(COUNTIFS($L:$L,$L235,$B:$B,$B235,$W:$W,"&lt;"&amp;$W235)=0,"",_xlfn.MAXIFS($W:$W,$L:$L,$L235,$B:$B,$B235,$W:$W,"&lt;"&amp;$W235))))</f>
        <v/>
      </c>
      <c r="BD235" s="39" t="str">
        <f aca="false">IF($A235="","",IF($AC235="","",IF(OR($L235="",$AC235=0),0,MIN($AC235,ROUND(ROUND(1440*SUMPRODUCT(($L$2:INDEX($L:$L,COUNTA($C:$C))=$L235)*($B$2:INDEX($B:$B,COUNTA($C:$C))=$B235)*(ROW($L$2:INDEX($L:$L,COUNTA($C:$C)))&lt;&gt;ROW())*((((($W235+$BT$2:INDEX($BT:$BT,COUNTA($C:$C))-ABS($W235-$BT$2:INDEX($BT:$BT,COUNTA($C:$C))))/2)-(($U235+$BS$2:INDEX($BS:$BS,COUNTA($C:$C))+ABS($U235-$BS$2:INDEX($BS:$BS,COUNTA($C:$C))))/2))+ABS(((($W235+$BT$2:INDEX($BT:$BT,COUNTA($C:$C))-ABS($W235-$BT$2:INDEX($BT:$BT,COUNTA($C:$C))))/2)-(($U235+$BS$2:INDEX($BS:$BS,COUNTA($C:$C))+ABS($U235-$BS$2:INDEX($BS:$BS,COUNTA($C:$C))))/2))))/2)),4),0)))))</f>
        <v/>
      </c>
      <c r="BE235" s="39" t="str">
        <f aca="false">IF($A235="","",IF($AC235="","",ROUND(MIN($AC235-$BD235,N($R235)),0)))</f>
        <v/>
      </c>
      <c r="BF235" s="10" t="str">
        <f aca="false">IF($A235="","",IFERROR(VLOOKUP($C235,Dim_Fund!$A:$BD,56,0),""))</f>
        <v/>
      </c>
      <c r="BG235" s="10" t="str">
        <f aca="false">IF($A235="","",IFERROR(VLOOKUP($C235,Dim_Fund!$A:$BH,60,0),""))</f>
        <v/>
      </c>
      <c r="BH235" s="10" t="str">
        <f aca="false">IF($A235="","",IF($AI235&lt;&gt;"Yes","Not breached",IF($AM235="Yes","Pricing late",IF($BG235="Thin custody slack","Thin custody slack",IF($BF235="Yes","Broker-dependent","None of these")))))</f>
        <v/>
      </c>
      <c r="BI235" s="23" t="str">
        <f aca="false">IF($A235="","",IFERROR(IF(VLOOKUP($C235,Dim_Fund!$A:$AI,35,0)&gt;0,VLOOKUP($C235,Dim_Fund!$A:$AI,35,0),""),""))</f>
        <v/>
      </c>
      <c r="BJ235" s="10" t="str">
        <f aca="false">IF($A235="","",$C235&amp;IF($E235="Client","*",""))</f>
        <v/>
      </c>
      <c r="BK235" s="39" t="str">
        <f aca="false">IF($A235="","",IFERROR(ROUND(($Y235-$X235)*1440,0),""))</f>
        <v/>
      </c>
      <c r="BL235" s="39" t="str">
        <f aca="false">IF($A235="","",IF($AH235="","",-$AH235))</f>
        <v/>
      </c>
      <c r="BM235" s="46" t="str">
        <f aca="false">IF($A235="","",IF($AQ235="","",IF($AP235="",$AQ235,MIN($AP235,$AQ235))))</f>
        <v/>
      </c>
      <c r="BN235" s="46" t="str">
        <f aca="false">IF($A235="","",IF($BM235="","",ROUND(N($AC235)/60,4)))</f>
        <v/>
      </c>
      <c r="BO235" s="46" t="str">
        <f aca="false">IF($A235="","",IF(OR($BM235="",$AD235=""),"",ROUND($AD235/60,4)))</f>
        <v/>
      </c>
      <c r="BP235" s="46" t="str">
        <f aca="false">IF($A235="","",IF($BM235="","",ROUND(N($AE235)/60,4)))</f>
        <v/>
      </c>
      <c r="BQ235" s="46" t="str">
        <f aca="false">IF($A235="","",IF(OR($BM235="",$AF235=""),"",ROUND($AF235/60,4)))</f>
        <v/>
      </c>
      <c r="BR235" s="39" t="str">
        <f aca="false">IF($A235="","",IF($AC235="","",$AC235-$BD235-$BE235))</f>
        <v/>
      </c>
      <c r="BS235" s="45" t="str">
        <f aca="false">IF($A235="","",IF(AND(ISNUMBER($Z235),ISNUMBER($W235)),$Z235,0))</f>
        <v/>
      </c>
      <c r="BT235" s="45" t="str">
        <f aca="false">IF($A235="","",IF(ISNUMBER($W235),$W235,0))</f>
        <v/>
      </c>
      <c r="BU235" s="23" t="str">
        <f aca="false">IF($A235="","",IF(ISNUMBER($W235),ROUND(($W235-$B235)*24,4),""))</f>
        <v/>
      </c>
      <c r="BV235" s="23" t="str">
        <f aca="false">IF($A235="","",IF(ISNUMBER($X235),ROUND(($X235-$B235)*24,4),""))</f>
        <v/>
      </c>
      <c r="BW235" s="10" t="str">
        <f aca="false">IF($A235="","",IF(NOT(ISNUMBER($W235)),"Missing Calculated",IF(NOT(ISNUMBER($X235)),IF($E235="Client","Missing FA signed off","Missing Controlled"),IF($X235&lt;$W235,"End before start","OK"))))</f>
        <v/>
      </c>
      <c r="BX235" s="23" t="str">
        <f aca="false">IF($A235="","",IF(NOT(ISNUMBER($Z235)),"",ROUND((IF(ISNUMBER($U235),MIN($U235,$Z235),$Z235)-$B235)*24,4)))</f>
        <v/>
      </c>
      <c r="BY235" s="23" t="str">
        <f aca="false">IF($A235="","",IF(ISNUMBER($Z235),ROUND(($Z235-$B235)*24,4),""))</f>
        <v/>
      </c>
      <c r="BZ235" s="23" t="str">
        <f aca="false">IF($A235="","",IF(AND(ISNUMBER($W235),ISNUMBER($S235)),ROUND(($W235+$S235/1440-$B235)*24,4),""))</f>
        <v/>
      </c>
    </row>
    <row r="236" customFormat="false" ht="15" hidden="false" customHeight="true" outlineLevel="0" collapsed="false">
      <c r="A236" s="47"/>
      <c r="B236" s="47"/>
      <c r="D236" s="4" t="str">
        <f aca="false">IF($A236="","",$B236-$A236)</f>
        <v/>
      </c>
      <c r="E236" s="4" t="str">
        <f aca="false">IF($A236="","",IFERROR(VLOOKUP($C236,Dim_Fund!$A:$X,24,0),""))</f>
        <v/>
      </c>
      <c r="F236" s="37" t="str">
        <f aca="false">IF($A236="","",IF(COUNTIFS(Status_Log!$A:$A,$A236,Status_Log!$B:$B,$B236,Status_Log!$C:$C,$C236,Status_Log!$D:$D,"Changed to the status of Calculated")=0,"",_xlfn.MINIFS(Status_Log!$E:$E,Status_Log!$A:$A,$A236,Status_Log!$B:$B,$B236,Status_Log!$C:$C,$C236,Status_Log!$D:$D,"Changed to the status of Calculated")))</f>
        <v/>
      </c>
      <c r="G236" s="37" t="str">
        <f aca="false">IF($A236="","",IF(COUNTIFS(Status_Log!$A:$A,$A236,Status_Log!$B:$B,$B236,Status_Log!$C:$C,$C236,Status_Log!$D:$D,"Changed to the status of Controlled")=0,"",_xlfn.MAXIFS(Status_Log!$E:$E,Status_Log!$A:$A,$A236,Status_Log!$B:$B,$B236,Status_Log!$C:$C,$C236,Status_Log!$D:$D,"Changed to the status of Controlled")))</f>
        <v/>
      </c>
      <c r="H236" s="37" t="str">
        <f aca="false">IF($A236="","",IF(COUNTIFS(Status_Log!$A:$A,$A236,Status_Log!$B:$B,$B236,Status_Log!$C:$C,$C236,Status_Log!$D:$D,"Changed to the status of Fund accounting signed off")=0,"",_xlfn.MAXIFS(Status_Log!$E:$E,Status_Log!$A:$A,$A236,Status_Log!$B:$B,$B236,Status_Log!$C:$C,$C236,Status_Log!$D:$D,"Changed to the status of Fund accounting signed off")))</f>
        <v/>
      </c>
      <c r="I236" s="37" t="str">
        <f aca="false">IF($A236="","",IF(COUNTIFS(Status_Log!$A:$A,$A236,Status_Log!$B:$B,$B236,Status_Log!$C:$C,$C236,Status_Log!$D:$D,"Changed to the status of signed off")=0,"",_xlfn.MAXIFS(Status_Log!$E:$E,Status_Log!$A:$A,$A236,Status_Log!$B:$B,$B236,Status_Log!$C:$C,$C236,Status_Log!$D:$D,"Changed to the status of signed off")))</f>
        <v/>
      </c>
      <c r="J236" s="4" t="str">
        <f aca="false">IF($A236="","",COUNTIFS(Status_Log!$A:$A,$A236,Status_Log!$B:$B,$B236,Status_Log!$C:$C,$C236,Status_Log!$D:$D,"Changed to the status of Calculated"))</f>
        <v/>
      </c>
      <c r="K236" s="38" t="str">
        <f aca="false">IF($A236="","",IF(J236&lt;=1,0,ROUND((_xlfn.MAXIFS(Status_Log!$E:$E,Status_Log!$A:$A,$A236,Status_Log!$B:$B,$B236,Status_Log!$C:$C,$C236,Status_Log!$D:$D,"Changed to the status of Calculated")-F236)*1440,0)))</f>
        <v/>
      </c>
      <c r="L236" s="4" t="str">
        <f aca="false">IF($A236="","",IFERROR(INDEX(Status_Log!$F:$F,MATCH($A236&amp;"|"&amp;$B236&amp;"|"&amp;$C236&amp;"|Changed to the status of Calculated|"&amp;TEXT(_xlfn.MAXIFS(Status_Log!$E:$E,Status_Log!$A:$A,$A236,Status_Log!$B:$B,$B236,Status_Log!$C:$C,$C236,Status_Log!$D:$D,"Changed to the status of Calculated"),"0.000000"),Status_Log!$H:$H,0)),""))</f>
        <v/>
      </c>
      <c r="M236" s="4" t="str">
        <f aca="false">IF($A236="","",IF(E236="Client","n/a — no control step",IFERROR(INDEX(Status_Log!$F:$F,MATCH($A236&amp;"|"&amp;$B236&amp;"|"&amp;$C236&amp;"|Changed to the status of Controlled|"&amp;TEXT(_xlfn.MAXIFS(Status_Log!$E:$E,Status_Log!$A:$A,$A236,Status_Log!$B:$B,$B236,Status_Log!$C:$C,$C236,Status_Log!$D:$D,"Changed to the status of Controlled"),"0.000000"),Status_Log!$H:$H,0)),"")))</f>
        <v/>
      </c>
      <c r="N236" s="4" t="str">
        <f aca="false">IF($A236="","",IFERROR(VLOOKUP($C236,Dim_Fund!$A:$G,7,0),""))</f>
        <v/>
      </c>
      <c r="O236" s="4" t="str">
        <f aca="false">IF($A236="","",IF(L236=N236,"No","Yes"))</f>
        <v/>
      </c>
      <c r="P236" s="4" t="str">
        <f aca="false">IF($A236="","",IF(E236="Client","n/a",IF(L236=M236,"YES — four-eyes breach","No")))</f>
        <v/>
      </c>
      <c r="Q236" s="38" t="str">
        <f aca="false">IF($A236="","",IFERROR(VLOOKUP($C236,Dim_Fund!$A:$AB,28,0),""))</f>
        <v/>
      </c>
      <c r="R236" s="38" t="str">
        <f aca="false">IF($A236="","",IFERROR(VLOOKUP($C236,Dim_Fund!$A:$AC,29,0),""))</f>
        <v/>
      </c>
      <c r="S236" s="38" t="str">
        <f aca="false">IF($A236="","",IFERROR(VLOOKUP($C236,Dim_Fund!$A:$AD,30,0),""))</f>
        <v/>
      </c>
      <c r="T236" s="38" t="str">
        <f aca="false">IF($A236="","",IFERROR(VLOOKUP($C236,Dim_Fund!$A:$AL,38,0),""))</f>
        <v/>
      </c>
      <c r="U236" s="37" t="str">
        <f aca="false">IF($A236="","",IF(AL236="","",IFERROR(IF(COUNTIFS(Fact_Milestone!$A:$A,$B236,Fact_Milestone!$B:$B,AL236)=0,"",_xlfn.MAXIFS(Fact_Milestone!$C:$C,Fact_Milestone!$A:$A,$B236,Fact_Milestone!$B:$B,AL236)),"")))</f>
        <v/>
      </c>
      <c r="V236" s="37" t="str">
        <f aca="false">IF($A236="","",IFERROR(IF(VLOOKUP($C236,Dim_Fund!$A:$AI,35,0)&gt;0,$B236+VLOOKUP($C236,Dim_Fund!$A:$AI,35,0)/24,""),""))</f>
        <v/>
      </c>
      <c r="W236" s="37" t="str">
        <f aca="false">IF($A236="","",F236)</f>
        <v/>
      </c>
      <c r="X236" s="37" t="str">
        <f aca="false">IF($A236="","",IF(E236="Client",H236,G236))</f>
        <v/>
      </c>
      <c r="Y236" s="37" t="str">
        <f aca="false">IF($A236="","",I236)</f>
        <v/>
      </c>
      <c r="Z236" s="37" t="str">
        <f aca="false">IF($A236="","",IFERROR(W236-R236/1440,""))</f>
        <v/>
      </c>
      <c r="AA236" s="38" t="str">
        <f aca="false">IF($A236="","",IF(OR(U236="",V236=""),"",ROUND((V236-U236)*1440,0)))</f>
        <v/>
      </c>
      <c r="AB236" s="38" t="str">
        <f aca="false">IF($A236="","",IF(U236="","",ROUND((W236-U236)*1440,0)))</f>
        <v/>
      </c>
      <c r="AC236" s="38" t="str">
        <f aca="false">IF($A236="","",IF(AB236="","",MAX(0,AB236)))</f>
        <v/>
      </c>
      <c r="AD236" s="38" t="str">
        <f aca="false">IF($A236="","",IFERROR(ROUND((X236-W236)*1440,0),""))</f>
        <v/>
      </c>
      <c r="AE236" s="38" t="str">
        <f aca="false">IF($A236="","",IF(E236="Client","n/a",IFERROR(ROUND((H236-G236)*1440,0),"")))</f>
        <v/>
      </c>
      <c r="AF236" s="38" t="str">
        <f aca="false">IF($A236="","",IFERROR(ROUND((Y236-H236)*1440,0),""))</f>
        <v/>
      </c>
      <c r="AG236" s="38" t="str">
        <f aca="false">IF($A236="","",IFERROR(ROUND((H236-F236)*1440,0),""))</f>
        <v/>
      </c>
      <c r="AH236" s="38" t="str">
        <f aca="false">IF($A236="","",IFERROR(ROUND((Y236-V236)*1440,0),""))</f>
        <v/>
      </c>
      <c r="AI236" s="4" t="str">
        <f aca="false">IF($A236="","",IF(AH236="","",IF(AH236&gt;0,"Yes","No")))</f>
        <v/>
      </c>
      <c r="AJ236" s="4" t="str">
        <f aca="false">IF($A236="","",IF(AI236&lt;&gt;"Yes","On time",IF(N(AC236)&gt;=MAX(N(AF236),N(K236)),"Wait for analyst",IF(N(AF236)&gt;=N(K236),"External sign-off","Rework"))))</f>
        <v/>
      </c>
      <c r="AK236" s="4" t="str">
        <f aca="false">IF($A236="","",IF(OR(F236="",Y236="",ISNA(MATCH(L236,Dim_Analyst!$A:$A,0))),"CHECK","OK"))</f>
        <v/>
      </c>
      <c r="AL236" s="4" t="str">
        <f aca="false">IF($A236="","",IFERROR(VLOOKUP($C236,Dim_Fund!$A:$U,21,0),""))</f>
        <v/>
      </c>
      <c r="AM236" s="4" t="str">
        <f aca="false">IF($A236="","",IF($U236="","",IF($U236&gt;$B236+IFERROR(VLOOKUP($C236,Dim_Fund!$A:$AH,34,0),0)/24,"Yes","No")))</f>
        <v/>
      </c>
      <c r="AN236" s="22" t="str">
        <f aca="false">IF($A236="","",IFERROR(VLOOKUP($C236,Dim_Fund!$A:$AH,34,0),""))</f>
        <v/>
      </c>
      <c r="AO236" s="22" t="str">
        <f aca="false">IF($A236="","",IF($AL236="","",IFERROR(FLOOR(IF(COUNTIFS(Fact_Milestone!$A:$A,$B236,Fact_Milestone!$B:$B,$AL236,Fact_Milestone!$F:$F,"&gt;0")&gt;0,_xlfn.MINIFS(Fact_Milestone!$F:$F,Fact_Milestone!$A:$A,$B236,Fact_Milestone!$B:$B,$AL236,Fact_Milestone!$F:$F,"&gt;0"),VLOOKUP($AL236,Dim_TOP!$A:$E,5,0)),0.5),"")))</f>
        <v/>
      </c>
      <c r="AP236" s="22" t="str">
        <f aca="false">IF($A236="","",IF($U236="","",ROUND(($U236-INT($U236))*24,4)))</f>
        <v/>
      </c>
      <c r="AQ236" s="22" t="str">
        <f aca="false">IF($A236="","",IF($W236="","",ROUND(($W236-INT($W236))*24,4)))</f>
        <v/>
      </c>
      <c r="AR236" s="22" t="str">
        <f aca="false">IF($A236="","",IF($X236="","",ROUND(($X236-INT($X236))*24,4)))</f>
        <v/>
      </c>
      <c r="AS236" s="38" t="str">
        <f aca="false">IF($A236="","",IF(OR($AN236="",$V236="",$S236="",$T236=""),"",ROUND(($V236-($B236+$AN236/24))*1440-$S236-$T236,0)))</f>
        <v/>
      </c>
      <c r="AT236" s="38" t="str">
        <f aca="false">IF($A236="","",IF(OR($AN236="",$U236=""),"",ROUND(($U236-($B236+$AN236/24))*1440,0)))</f>
        <v/>
      </c>
      <c r="AU236" s="38" t="str">
        <f aca="false">IF($A236="","",IF(OR($AD236="",$S236=""),"",ROUND($AD236-$S236,0)))</f>
        <v/>
      </c>
      <c r="AV236" s="38" t="str">
        <f aca="false">IF($A236="","",N($AE236))</f>
        <v/>
      </c>
      <c r="AW236" s="38" t="str">
        <f aca="false">IF($A236="","",IF(OR($AF236="",$T236=""),"",$AF236-$T236))</f>
        <v/>
      </c>
      <c r="AX236" s="38" t="str">
        <f aca="false">IF($A236="","",IF(COUNT($AT236,$AB236,$AU236,$AW236,$AS236,$AH236)&lt;6,"",ROUND($AT236+$AB236+$AU236+$AV236+$AW236-$AS236-$AH236,0)))</f>
        <v/>
      </c>
      <c r="AY236" s="4" t="str">
        <f aca="false">IF($A236="","",IF($AX236="","No",IF(ABS($AX236)&lt;=2,"Yes","No")))</f>
        <v/>
      </c>
      <c r="AZ236" s="4" t="str">
        <f aca="false">IF($A236="","",IF($AI236&lt;&gt;"Yes","n/a",IF(OR($AA236="",$S236="",$T236=""),"Unknown",IF($AA236&lt;$S236+$T236,"Lost on arrival","Lost after arrival"))))</f>
        <v/>
      </c>
      <c r="BA236" s="10" t="str">
        <f aca="false">IF($A236="","",IFERROR(VLOOKUP($C236,Dim_Fund!$A:$D,4,0),""))</f>
        <v/>
      </c>
      <c r="BB236" s="10" t="str">
        <f aca="false">IF($A236="","",IF($AL236="","",IF(COUNTIFS(Fact_Milestone!$A:$A,$B236,Fact_Milestone!$B:$B,$AL236,Fact_Milestone!$I:$I,"No")&gt;0,"No",IF(COUNTIFS(Fact_Milestone!$A:$A,$B236,Fact_Milestone!$B:$B,$AL236,Fact_Milestone!$I:$I,"Yes")&gt;0,"Yes",""))))</f>
        <v/>
      </c>
      <c r="BC236" s="45" t="str">
        <f aca="false">IF($A236="","",IF(OR($L236="",$W236=""),"",IF(COUNTIFS($L:$L,$L236,$B:$B,$B236,$W:$W,"&lt;"&amp;$W236)=0,"",_xlfn.MAXIFS($W:$W,$L:$L,$L236,$B:$B,$B236,$W:$W,"&lt;"&amp;$W236))))</f>
        <v/>
      </c>
      <c r="BD236" s="39" t="str">
        <f aca="false">IF($A236="","",IF($AC236="","",IF(OR($L236="",$AC236=0),0,MIN($AC236,ROUND(ROUND(1440*SUMPRODUCT(($L$2:INDEX($L:$L,COUNTA($C:$C))=$L236)*($B$2:INDEX($B:$B,COUNTA($C:$C))=$B236)*(ROW($L$2:INDEX($L:$L,COUNTA($C:$C)))&lt;&gt;ROW())*((((($W236+$BT$2:INDEX($BT:$BT,COUNTA($C:$C))-ABS($W236-$BT$2:INDEX($BT:$BT,COUNTA($C:$C))))/2)-(($U236+$BS$2:INDEX($BS:$BS,COUNTA($C:$C))+ABS($U236-$BS$2:INDEX($BS:$BS,COUNTA($C:$C))))/2))+ABS(((($W236+$BT$2:INDEX($BT:$BT,COUNTA($C:$C))-ABS($W236-$BT$2:INDEX($BT:$BT,COUNTA($C:$C))))/2)-(($U236+$BS$2:INDEX($BS:$BS,COUNTA($C:$C))+ABS($U236-$BS$2:INDEX($BS:$BS,COUNTA($C:$C))))/2))))/2)),4),0)))))</f>
        <v/>
      </c>
      <c r="BE236" s="39" t="str">
        <f aca="false">IF($A236="","",IF($AC236="","",ROUND(MIN($AC236-$BD236,N($R236)),0)))</f>
        <v/>
      </c>
      <c r="BF236" s="10" t="str">
        <f aca="false">IF($A236="","",IFERROR(VLOOKUP($C236,Dim_Fund!$A:$BD,56,0),""))</f>
        <v/>
      </c>
      <c r="BG236" s="10" t="str">
        <f aca="false">IF($A236="","",IFERROR(VLOOKUP($C236,Dim_Fund!$A:$BH,60,0),""))</f>
        <v/>
      </c>
      <c r="BH236" s="10" t="str">
        <f aca="false">IF($A236="","",IF($AI236&lt;&gt;"Yes","Not breached",IF($AM236="Yes","Pricing late",IF($BG236="Thin custody slack","Thin custody slack",IF($BF236="Yes","Broker-dependent","None of these")))))</f>
        <v/>
      </c>
      <c r="BI236" s="23" t="str">
        <f aca="false">IF($A236="","",IFERROR(IF(VLOOKUP($C236,Dim_Fund!$A:$AI,35,0)&gt;0,VLOOKUP($C236,Dim_Fund!$A:$AI,35,0),""),""))</f>
        <v/>
      </c>
      <c r="BJ236" s="10" t="str">
        <f aca="false">IF($A236="","",$C236&amp;IF($E236="Client","*",""))</f>
        <v/>
      </c>
      <c r="BK236" s="39" t="str">
        <f aca="false">IF($A236="","",IFERROR(ROUND(($Y236-$X236)*1440,0),""))</f>
        <v/>
      </c>
      <c r="BL236" s="39" t="str">
        <f aca="false">IF($A236="","",IF($AH236="","",-$AH236))</f>
        <v/>
      </c>
      <c r="BM236" s="46" t="str">
        <f aca="false">IF($A236="","",IF($AQ236="","",IF($AP236="",$AQ236,MIN($AP236,$AQ236))))</f>
        <v/>
      </c>
      <c r="BN236" s="46" t="str">
        <f aca="false">IF($A236="","",IF($BM236="","",ROUND(N($AC236)/60,4)))</f>
        <v/>
      </c>
      <c r="BO236" s="46" t="str">
        <f aca="false">IF($A236="","",IF(OR($BM236="",$AD236=""),"",ROUND($AD236/60,4)))</f>
        <v/>
      </c>
      <c r="BP236" s="46" t="str">
        <f aca="false">IF($A236="","",IF($BM236="","",ROUND(N($AE236)/60,4)))</f>
        <v/>
      </c>
      <c r="BQ236" s="46" t="str">
        <f aca="false">IF($A236="","",IF(OR($BM236="",$AF236=""),"",ROUND($AF236/60,4)))</f>
        <v/>
      </c>
      <c r="BR236" s="39" t="str">
        <f aca="false">IF($A236="","",IF($AC236="","",$AC236-$BD236-$BE236))</f>
        <v/>
      </c>
      <c r="BS236" s="45" t="str">
        <f aca="false">IF($A236="","",IF(AND(ISNUMBER($Z236),ISNUMBER($W236)),$Z236,0))</f>
        <v/>
      </c>
      <c r="BT236" s="45" t="str">
        <f aca="false">IF($A236="","",IF(ISNUMBER($W236),$W236,0))</f>
        <v/>
      </c>
      <c r="BU236" s="23" t="str">
        <f aca="false">IF($A236="","",IF(ISNUMBER($W236),ROUND(($W236-$B236)*24,4),""))</f>
        <v/>
      </c>
      <c r="BV236" s="23" t="str">
        <f aca="false">IF($A236="","",IF(ISNUMBER($X236),ROUND(($X236-$B236)*24,4),""))</f>
        <v/>
      </c>
      <c r="BW236" s="10" t="str">
        <f aca="false">IF($A236="","",IF(NOT(ISNUMBER($W236)),"Missing Calculated",IF(NOT(ISNUMBER($X236)),IF($E236="Client","Missing FA signed off","Missing Controlled"),IF($X236&lt;$W236,"End before start","OK"))))</f>
        <v/>
      </c>
      <c r="BX236" s="23" t="str">
        <f aca="false">IF($A236="","",IF(NOT(ISNUMBER($Z236)),"",ROUND((IF(ISNUMBER($U236),MIN($U236,$Z236),$Z236)-$B236)*24,4)))</f>
        <v/>
      </c>
      <c r="BY236" s="23" t="str">
        <f aca="false">IF($A236="","",IF(ISNUMBER($Z236),ROUND(($Z236-$B236)*24,4),""))</f>
        <v/>
      </c>
      <c r="BZ236" s="23" t="str">
        <f aca="false">IF($A236="","",IF(AND(ISNUMBER($W236),ISNUMBER($S236)),ROUND(($W236+$S236/1440-$B236)*24,4),""))</f>
        <v/>
      </c>
    </row>
    <row r="237" customFormat="false" ht="15" hidden="false" customHeight="true" outlineLevel="0" collapsed="false">
      <c r="A237" s="47"/>
      <c r="B237" s="47"/>
      <c r="D237" s="4" t="str">
        <f aca="false">IF($A237="","",$B237-$A237)</f>
        <v/>
      </c>
      <c r="E237" s="4" t="str">
        <f aca="false">IF($A237="","",IFERROR(VLOOKUP($C237,Dim_Fund!$A:$X,24,0),""))</f>
        <v/>
      </c>
      <c r="F237" s="37" t="str">
        <f aca="false">IF($A237="","",IF(COUNTIFS(Status_Log!$A:$A,$A237,Status_Log!$B:$B,$B237,Status_Log!$C:$C,$C237,Status_Log!$D:$D,"Changed to the status of Calculated")=0,"",_xlfn.MINIFS(Status_Log!$E:$E,Status_Log!$A:$A,$A237,Status_Log!$B:$B,$B237,Status_Log!$C:$C,$C237,Status_Log!$D:$D,"Changed to the status of Calculated")))</f>
        <v/>
      </c>
      <c r="G237" s="37" t="str">
        <f aca="false">IF($A237="","",IF(COUNTIFS(Status_Log!$A:$A,$A237,Status_Log!$B:$B,$B237,Status_Log!$C:$C,$C237,Status_Log!$D:$D,"Changed to the status of Controlled")=0,"",_xlfn.MAXIFS(Status_Log!$E:$E,Status_Log!$A:$A,$A237,Status_Log!$B:$B,$B237,Status_Log!$C:$C,$C237,Status_Log!$D:$D,"Changed to the status of Controlled")))</f>
        <v/>
      </c>
      <c r="H237" s="37" t="str">
        <f aca="false">IF($A237="","",IF(COUNTIFS(Status_Log!$A:$A,$A237,Status_Log!$B:$B,$B237,Status_Log!$C:$C,$C237,Status_Log!$D:$D,"Changed to the status of Fund accounting signed off")=0,"",_xlfn.MAXIFS(Status_Log!$E:$E,Status_Log!$A:$A,$A237,Status_Log!$B:$B,$B237,Status_Log!$C:$C,$C237,Status_Log!$D:$D,"Changed to the status of Fund accounting signed off")))</f>
        <v/>
      </c>
      <c r="I237" s="37" t="str">
        <f aca="false">IF($A237="","",IF(COUNTIFS(Status_Log!$A:$A,$A237,Status_Log!$B:$B,$B237,Status_Log!$C:$C,$C237,Status_Log!$D:$D,"Changed to the status of signed off")=0,"",_xlfn.MAXIFS(Status_Log!$E:$E,Status_Log!$A:$A,$A237,Status_Log!$B:$B,$B237,Status_Log!$C:$C,$C237,Status_Log!$D:$D,"Changed to the status of signed off")))</f>
        <v/>
      </c>
      <c r="J237" s="4" t="str">
        <f aca="false">IF($A237="","",COUNTIFS(Status_Log!$A:$A,$A237,Status_Log!$B:$B,$B237,Status_Log!$C:$C,$C237,Status_Log!$D:$D,"Changed to the status of Calculated"))</f>
        <v/>
      </c>
      <c r="K237" s="38" t="str">
        <f aca="false">IF($A237="","",IF(J237&lt;=1,0,ROUND((_xlfn.MAXIFS(Status_Log!$E:$E,Status_Log!$A:$A,$A237,Status_Log!$B:$B,$B237,Status_Log!$C:$C,$C237,Status_Log!$D:$D,"Changed to the status of Calculated")-F237)*1440,0)))</f>
        <v/>
      </c>
      <c r="L237" s="4" t="str">
        <f aca="false">IF($A237="","",IFERROR(INDEX(Status_Log!$F:$F,MATCH($A237&amp;"|"&amp;$B237&amp;"|"&amp;$C237&amp;"|Changed to the status of Calculated|"&amp;TEXT(_xlfn.MAXIFS(Status_Log!$E:$E,Status_Log!$A:$A,$A237,Status_Log!$B:$B,$B237,Status_Log!$C:$C,$C237,Status_Log!$D:$D,"Changed to the status of Calculated"),"0.000000"),Status_Log!$H:$H,0)),""))</f>
        <v/>
      </c>
      <c r="M237" s="4" t="str">
        <f aca="false">IF($A237="","",IF(E237="Client","n/a — no control step",IFERROR(INDEX(Status_Log!$F:$F,MATCH($A237&amp;"|"&amp;$B237&amp;"|"&amp;$C237&amp;"|Changed to the status of Controlled|"&amp;TEXT(_xlfn.MAXIFS(Status_Log!$E:$E,Status_Log!$A:$A,$A237,Status_Log!$B:$B,$B237,Status_Log!$C:$C,$C237,Status_Log!$D:$D,"Changed to the status of Controlled"),"0.000000"),Status_Log!$H:$H,0)),"")))</f>
        <v/>
      </c>
      <c r="N237" s="4" t="str">
        <f aca="false">IF($A237="","",IFERROR(VLOOKUP($C237,Dim_Fund!$A:$G,7,0),""))</f>
        <v/>
      </c>
      <c r="O237" s="4" t="str">
        <f aca="false">IF($A237="","",IF(L237=N237,"No","Yes"))</f>
        <v/>
      </c>
      <c r="P237" s="4" t="str">
        <f aca="false">IF($A237="","",IF(E237="Client","n/a",IF(L237=M237,"YES — four-eyes breach","No")))</f>
        <v/>
      </c>
      <c r="Q237" s="38" t="str">
        <f aca="false">IF($A237="","",IFERROR(VLOOKUP($C237,Dim_Fund!$A:$AB,28,0),""))</f>
        <v/>
      </c>
      <c r="R237" s="38" t="str">
        <f aca="false">IF($A237="","",IFERROR(VLOOKUP($C237,Dim_Fund!$A:$AC,29,0),""))</f>
        <v/>
      </c>
      <c r="S237" s="38" t="str">
        <f aca="false">IF($A237="","",IFERROR(VLOOKUP($C237,Dim_Fund!$A:$AD,30,0),""))</f>
        <v/>
      </c>
      <c r="T237" s="38" t="str">
        <f aca="false">IF($A237="","",IFERROR(VLOOKUP($C237,Dim_Fund!$A:$AL,38,0),""))</f>
        <v/>
      </c>
      <c r="U237" s="37" t="str">
        <f aca="false">IF($A237="","",IF(AL237="","",IFERROR(IF(COUNTIFS(Fact_Milestone!$A:$A,$B237,Fact_Milestone!$B:$B,AL237)=0,"",_xlfn.MAXIFS(Fact_Milestone!$C:$C,Fact_Milestone!$A:$A,$B237,Fact_Milestone!$B:$B,AL237)),"")))</f>
        <v/>
      </c>
      <c r="V237" s="37" t="str">
        <f aca="false">IF($A237="","",IFERROR(IF(VLOOKUP($C237,Dim_Fund!$A:$AI,35,0)&gt;0,$B237+VLOOKUP($C237,Dim_Fund!$A:$AI,35,0)/24,""),""))</f>
        <v/>
      </c>
      <c r="W237" s="37" t="str">
        <f aca="false">IF($A237="","",F237)</f>
        <v/>
      </c>
      <c r="X237" s="37" t="str">
        <f aca="false">IF($A237="","",IF(E237="Client",H237,G237))</f>
        <v/>
      </c>
      <c r="Y237" s="37" t="str">
        <f aca="false">IF($A237="","",I237)</f>
        <v/>
      </c>
      <c r="Z237" s="37" t="str">
        <f aca="false">IF($A237="","",IFERROR(W237-R237/1440,""))</f>
        <v/>
      </c>
      <c r="AA237" s="38" t="str">
        <f aca="false">IF($A237="","",IF(OR(U237="",V237=""),"",ROUND((V237-U237)*1440,0)))</f>
        <v/>
      </c>
      <c r="AB237" s="38" t="str">
        <f aca="false">IF($A237="","",IF(U237="","",ROUND((W237-U237)*1440,0)))</f>
        <v/>
      </c>
      <c r="AC237" s="38" t="str">
        <f aca="false">IF($A237="","",IF(AB237="","",MAX(0,AB237)))</f>
        <v/>
      </c>
      <c r="AD237" s="38" t="str">
        <f aca="false">IF($A237="","",IFERROR(ROUND((X237-W237)*1440,0),""))</f>
        <v/>
      </c>
      <c r="AE237" s="38" t="str">
        <f aca="false">IF($A237="","",IF(E237="Client","n/a",IFERROR(ROUND((H237-G237)*1440,0),"")))</f>
        <v/>
      </c>
      <c r="AF237" s="38" t="str">
        <f aca="false">IF($A237="","",IFERROR(ROUND((Y237-H237)*1440,0),""))</f>
        <v/>
      </c>
      <c r="AG237" s="38" t="str">
        <f aca="false">IF($A237="","",IFERROR(ROUND((H237-F237)*1440,0),""))</f>
        <v/>
      </c>
      <c r="AH237" s="38" t="str">
        <f aca="false">IF($A237="","",IFERROR(ROUND((Y237-V237)*1440,0),""))</f>
        <v/>
      </c>
      <c r="AI237" s="4" t="str">
        <f aca="false">IF($A237="","",IF(AH237="","",IF(AH237&gt;0,"Yes","No")))</f>
        <v/>
      </c>
      <c r="AJ237" s="4" t="str">
        <f aca="false">IF($A237="","",IF(AI237&lt;&gt;"Yes","On time",IF(N(AC237)&gt;=MAX(N(AF237),N(K237)),"Wait for analyst",IF(N(AF237)&gt;=N(K237),"External sign-off","Rework"))))</f>
        <v/>
      </c>
      <c r="AK237" s="4" t="str">
        <f aca="false">IF($A237="","",IF(OR(F237="",Y237="",ISNA(MATCH(L237,Dim_Analyst!$A:$A,0))),"CHECK","OK"))</f>
        <v/>
      </c>
      <c r="AL237" s="4" t="str">
        <f aca="false">IF($A237="","",IFERROR(VLOOKUP($C237,Dim_Fund!$A:$U,21,0),""))</f>
        <v/>
      </c>
      <c r="AM237" s="4" t="str">
        <f aca="false">IF($A237="","",IF($U237="","",IF($U237&gt;$B237+IFERROR(VLOOKUP($C237,Dim_Fund!$A:$AH,34,0),0)/24,"Yes","No")))</f>
        <v/>
      </c>
      <c r="AN237" s="22" t="str">
        <f aca="false">IF($A237="","",IFERROR(VLOOKUP($C237,Dim_Fund!$A:$AH,34,0),""))</f>
        <v/>
      </c>
      <c r="AO237" s="22" t="str">
        <f aca="false">IF($A237="","",IF($AL237="","",IFERROR(FLOOR(IF(COUNTIFS(Fact_Milestone!$A:$A,$B237,Fact_Milestone!$B:$B,$AL237,Fact_Milestone!$F:$F,"&gt;0")&gt;0,_xlfn.MINIFS(Fact_Milestone!$F:$F,Fact_Milestone!$A:$A,$B237,Fact_Milestone!$B:$B,$AL237,Fact_Milestone!$F:$F,"&gt;0"),VLOOKUP($AL237,Dim_TOP!$A:$E,5,0)),0.5),"")))</f>
        <v/>
      </c>
      <c r="AP237" s="22" t="str">
        <f aca="false">IF($A237="","",IF($U237="","",ROUND(($U237-INT($U237))*24,4)))</f>
        <v/>
      </c>
      <c r="AQ237" s="22" t="str">
        <f aca="false">IF($A237="","",IF($W237="","",ROUND(($W237-INT($W237))*24,4)))</f>
        <v/>
      </c>
      <c r="AR237" s="22" t="str">
        <f aca="false">IF($A237="","",IF($X237="","",ROUND(($X237-INT($X237))*24,4)))</f>
        <v/>
      </c>
      <c r="AS237" s="38" t="str">
        <f aca="false">IF($A237="","",IF(OR($AN237="",$V237="",$S237="",$T237=""),"",ROUND(($V237-($B237+$AN237/24))*1440-$S237-$T237,0)))</f>
        <v/>
      </c>
      <c r="AT237" s="38" t="str">
        <f aca="false">IF($A237="","",IF(OR($AN237="",$U237=""),"",ROUND(($U237-($B237+$AN237/24))*1440,0)))</f>
        <v/>
      </c>
      <c r="AU237" s="38" t="str">
        <f aca="false">IF($A237="","",IF(OR($AD237="",$S237=""),"",ROUND($AD237-$S237,0)))</f>
        <v/>
      </c>
      <c r="AV237" s="38" t="str">
        <f aca="false">IF($A237="","",N($AE237))</f>
        <v/>
      </c>
      <c r="AW237" s="38" t="str">
        <f aca="false">IF($A237="","",IF(OR($AF237="",$T237=""),"",$AF237-$T237))</f>
        <v/>
      </c>
      <c r="AX237" s="38" t="str">
        <f aca="false">IF($A237="","",IF(COUNT($AT237,$AB237,$AU237,$AW237,$AS237,$AH237)&lt;6,"",ROUND($AT237+$AB237+$AU237+$AV237+$AW237-$AS237-$AH237,0)))</f>
        <v/>
      </c>
      <c r="AY237" s="4" t="str">
        <f aca="false">IF($A237="","",IF($AX237="","No",IF(ABS($AX237)&lt;=2,"Yes","No")))</f>
        <v/>
      </c>
      <c r="AZ237" s="4" t="str">
        <f aca="false">IF($A237="","",IF($AI237&lt;&gt;"Yes","n/a",IF(OR($AA237="",$S237="",$T237=""),"Unknown",IF($AA237&lt;$S237+$T237,"Lost on arrival","Lost after arrival"))))</f>
        <v/>
      </c>
      <c r="BA237" s="10" t="str">
        <f aca="false">IF($A237="","",IFERROR(VLOOKUP($C237,Dim_Fund!$A:$D,4,0),""))</f>
        <v/>
      </c>
      <c r="BB237" s="10" t="str">
        <f aca="false">IF($A237="","",IF($AL237="","",IF(COUNTIFS(Fact_Milestone!$A:$A,$B237,Fact_Milestone!$B:$B,$AL237,Fact_Milestone!$I:$I,"No")&gt;0,"No",IF(COUNTIFS(Fact_Milestone!$A:$A,$B237,Fact_Milestone!$B:$B,$AL237,Fact_Milestone!$I:$I,"Yes")&gt;0,"Yes",""))))</f>
        <v/>
      </c>
      <c r="BC237" s="45" t="str">
        <f aca="false">IF($A237="","",IF(OR($L237="",$W237=""),"",IF(COUNTIFS($L:$L,$L237,$B:$B,$B237,$W:$W,"&lt;"&amp;$W237)=0,"",_xlfn.MAXIFS($W:$W,$L:$L,$L237,$B:$B,$B237,$W:$W,"&lt;"&amp;$W237))))</f>
        <v/>
      </c>
      <c r="BD237" s="39" t="str">
        <f aca="false">IF($A237="","",IF($AC237="","",IF(OR($L237="",$AC237=0),0,MIN($AC237,ROUND(ROUND(1440*SUMPRODUCT(($L$2:INDEX($L:$L,COUNTA($C:$C))=$L237)*($B$2:INDEX($B:$B,COUNTA($C:$C))=$B237)*(ROW($L$2:INDEX($L:$L,COUNTA($C:$C)))&lt;&gt;ROW())*((((($W237+$BT$2:INDEX($BT:$BT,COUNTA($C:$C))-ABS($W237-$BT$2:INDEX($BT:$BT,COUNTA($C:$C))))/2)-(($U237+$BS$2:INDEX($BS:$BS,COUNTA($C:$C))+ABS($U237-$BS$2:INDEX($BS:$BS,COUNTA($C:$C))))/2))+ABS(((($W237+$BT$2:INDEX($BT:$BT,COUNTA($C:$C))-ABS($W237-$BT$2:INDEX($BT:$BT,COUNTA($C:$C))))/2)-(($U237+$BS$2:INDEX($BS:$BS,COUNTA($C:$C))+ABS($U237-$BS$2:INDEX($BS:$BS,COUNTA($C:$C))))/2))))/2)),4),0)))))</f>
        <v/>
      </c>
      <c r="BE237" s="39" t="str">
        <f aca="false">IF($A237="","",IF($AC237="","",ROUND(MIN($AC237-$BD237,N($R237)),0)))</f>
        <v/>
      </c>
      <c r="BF237" s="10" t="str">
        <f aca="false">IF($A237="","",IFERROR(VLOOKUP($C237,Dim_Fund!$A:$BD,56,0),""))</f>
        <v/>
      </c>
      <c r="BG237" s="10" t="str">
        <f aca="false">IF($A237="","",IFERROR(VLOOKUP($C237,Dim_Fund!$A:$BH,60,0),""))</f>
        <v/>
      </c>
      <c r="BH237" s="10" t="str">
        <f aca="false">IF($A237="","",IF($AI237&lt;&gt;"Yes","Not breached",IF($AM237="Yes","Pricing late",IF($BG237="Thin custody slack","Thin custody slack",IF($BF237="Yes","Broker-dependent","None of these")))))</f>
        <v/>
      </c>
      <c r="BI237" s="23" t="str">
        <f aca="false">IF($A237="","",IFERROR(IF(VLOOKUP($C237,Dim_Fund!$A:$AI,35,0)&gt;0,VLOOKUP($C237,Dim_Fund!$A:$AI,35,0),""),""))</f>
        <v/>
      </c>
      <c r="BJ237" s="10" t="str">
        <f aca="false">IF($A237="","",$C237&amp;IF($E237="Client","*",""))</f>
        <v/>
      </c>
      <c r="BK237" s="39" t="str">
        <f aca="false">IF($A237="","",IFERROR(ROUND(($Y237-$X237)*1440,0),""))</f>
        <v/>
      </c>
      <c r="BL237" s="39" t="str">
        <f aca="false">IF($A237="","",IF($AH237="","",-$AH237))</f>
        <v/>
      </c>
      <c r="BM237" s="46" t="str">
        <f aca="false">IF($A237="","",IF($AQ237="","",IF($AP237="",$AQ237,MIN($AP237,$AQ237))))</f>
        <v/>
      </c>
      <c r="BN237" s="46" t="str">
        <f aca="false">IF($A237="","",IF($BM237="","",ROUND(N($AC237)/60,4)))</f>
        <v/>
      </c>
      <c r="BO237" s="46" t="str">
        <f aca="false">IF($A237="","",IF(OR($BM237="",$AD237=""),"",ROUND($AD237/60,4)))</f>
        <v/>
      </c>
      <c r="BP237" s="46" t="str">
        <f aca="false">IF($A237="","",IF($BM237="","",ROUND(N($AE237)/60,4)))</f>
        <v/>
      </c>
      <c r="BQ237" s="46" t="str">
        <f aca="false">IF($A237="","",IF(OR($BM237="",$AF237=""),"",ROUND($AF237/60,4)))</f>
        <v/>
      </c>
      <c r="BR237" s="39" t="str">
        <f aca="false">IF($A237="","",IF($AC237="","",$AC237-$BD237-$BE237))</f>
        <v/>
      </c>
      <c r="BS237" s="45" t="str">
        <f aca="false">IF($A237="","",IF(AND(ISNUMBER($Z237),ISNUMBER($W237)),$Z237,0))</f>
        <v/>
      </c>
      <c r="BT237" s="45" t="str">
        <f aca="false">IF($A237="","",IF(ISNUMBER($W237),$W237,0))</f>
        <v/>
      </c>
      <c r="BU237" s="23" t="str">
        <f aca="false">IF($A237="","",IF(ISNUMBER($W237),ROUND(($W237-$B237)*24,4),""))</f>
        <v/>
      </c>
      <c r="BV237" s="23" t="str">
        <f aca="false">IF($A237="","",IF(ISNUMBER($X237),ROUND(($X237-$B237)*24,4),""))</f>
        <v/>
      </c>
      <c r="BW237" s="10" t="str">
        <f aca="false">IF($A237="","",IF(NOT(ISNUMBER($W237)),"Missing Calculated",IF(NOT(ISNUMBER($X237)),IF($E237="Client","Missing FA signed off","Missing Controlled"),IF($X237&lt;$W237,"End before start","OK"))))</f>
        <v/>
      </c>
      <c r="BX237" s="23" t="str">
        <f aca="false">IF($A237="","",IF(NOT(ISNUMBER($Z237)),"",ROUND((IF(ISNUMBER($U237),MIN($U237,$Z237),$Z237)-$B237)*24,4)))</f>
        <v/>
      </c>
      <c r="BY237" s="23" t="str">
        <f aca="false">IF($A237="","",IF(ISNUMBER($Z237),ROUND(($Z237-$B237)*24,4),""))</f>
        <v/>
      </c>
      <c r="BZ237" s="23" t="str">
        <f aca="false">IF($A237="","",IF(AND(ISNUMBER($W237),ISNUMBER($S237)),ROUND(($W237+$S237/1440-$B237)*24,4),""))</f>
        <v/>
      </c>
    </row>
    <row r="238" customFormat="false" ht="15" hidden="false" customHeight="true" outlineLevel="0" collapsed="false">
      <c r="A238" s="47"/>
      <c r="B238" s="47"/>
      <c r="D238" s="4" t="str">
        <f aca="false">IF($A238="","",$B238-$A238)</f>
        <v/>
      </c>
      <c r="E238" s="4" t="str">
        <f aca="false">IF($A238="","",IFERROR(VLOOKUP($C238,Dim_Fund!$A:$X,24,0),""))</f>
        <v/>
      </c>
      <c r="F238" s="37" t="str">
        <f aca="false">IF($A238="","",IF(COUNTIFS(Status_Log!$A:$A,$A238,Status_Log!$B:$B,$B238,Status_Log!$C:$C,$C238,Status_Log!$D:$D,"Changed to the status of Calculated")=0,"",_xlfn.MINIFS(Status_Log!$E:$E,Status_Log!$A:$A,$A238,Status_Log!$B:$B,$B238,Status_Log!$C:$C,$C238,Status_Log!$D:$D,"Changed to the status of Calculated")))</f>
        <v/>
      </c>
      <c r="G238" s="37" t="str">
        <f aca="false">IF($A238="","",IF(COUNTIFS(Status_Log!$A:$A,$A238,Status_Log!$B:$B,$B238,Status_Log!$C:$C,$C238,Status_Log!$D:$D,"Changed to the status of Controlled")=0,"",_xlfn.MAXIFS(Status_Log!$E:$E,Status_Log!$A:$A,$A238,Status_Log!$B:$B,$B238,Status_Log!$C:$C,$C238,Status_Log!$D:$D,"Changed to the status of Controlled")))</f>
        <v/>
      </c>
      <c r="H238" s="37" t="str">
        <f aca="false">IF($A238="","",IF(COUNTIFS(Status_Log!$A:$A,$A238,Status_Log!$B:$B,$B238,Status_Log!$C:$C,$C238,Status_Log!$D:$D,"Changed to the status of Fund accounting signed off")=0,"",_xlfn.MAXIFS(Status_Log!$E:$E,Status_Log!$A:$A,$A238,Status_Log!$B:$B,$B238,Status_Log!$C:$C,$C238,Status_Log!$D:$D,"Changed to the status of Fund accounting signed off")))</f>
        <v/>
      </c>
      <c r="I238" s="37" t="str">
        <f aca="false">IF($A238="","",IF(COUNTIFS(Status_Log!$A:$A,$A238,Status_Log!$B:$B,$B238,Status_Log!$C:$C,$C238,Status_Log!$D:$D,"Changed to the status of signed off")=0,"",_xlfn.MAXIFS(Status_Log!$E:$E,Status_Log!$A:$A,$A238,Status_Log!$B:$B,$B238,Status_Log!$C:$C,$C238,Status_Log!$D:$D,"Changed to the status of signed off")))</f>
        <v/>
      </c>
      <c r="J238" s="4" t="str">
        <f aca="false">IF($A238="","",COUNTIFS(Status_Log!$A:$A,$A238,Status_Log!$B:$B,$B238,Status_Log!$C:$C,$C238,Status_Log!$D:$D,"Changed to the status of Calculated"))</f>
        <v/>
      </c>
      <c r="K238" s="38" t="str">
        <f aca="false">IF($A238="","",IF(J238&lt;=1,0,ROUND((_xlfn.MAXIFS(Status_Log!$E:$E,Status_Log!$A:$A,$A238,Status_Log!$B:$B,$B238,Status_Log!$C:$C,$C238,Status_Log!$D:$D,"Changed to the status of Calculated")-F238)*1440,0)))</f>
        <v/>
      </c>
      <c r="L238" s="4" t="str">
        <f aca="false">IF($A238="","",IFERROR(INDEX(Status_Log!$F:$F,MATCH($A238&amp;"|"&amp;$B238&amp;"|"&amp;$C238&amp;"|Changed to the status of Calculated|"&amp;TEXT(_xlfn.MAXIFS(Status_Log!$E:$E,Status_Log!$A:$A,$A238,Status_Log!$B:$B,$B238,Status_Log!$C:$C,$C238,Status_Log!$D:$D,"Changed to the status of Calculated"),"0.000000"),Status_Log!$H:$H,0)),""))</f>
        <v/>
      </c>
      <c r="M238" s="4" t="str">
        <f aca="false">IF($A238="","",IF(E238="Client","n/a — no control step",IFERROR(INDEX(Status_Log!$F:$F,MATCH($A238&amp;"|"&amp;$B238&amp;"|"&amp;$C238&amp;"|Changed to the status of Controlled|"&amp;TEXT(_xlfn.MAXIFS(Status_Log!$E:$E,Status_Log!$A:$A,$A238,Status_Log!$B:$B,$B238,Status_Log!$C:$C,$C238,Status_Log!$D:$D,"Changed to the status of Controlled"),"0.000000"),Status_Log!$H:$H,0)),"")))</f>
        <v/>
      </c>
      <c r="N238" s="4" t="str">
        <f aca="false">IF($A238="","",IFERROR(VLOOKUP($C238,Dim_Fund!$A:$G,7,0),""))</f>
        <v/>
      </c>
      <c r="O238" s="4" t="str">
        <f aca="false">IF($A238="","",IF(L238=N238,"No","Yes"))</f>
        <v/>
      </c>
      <c r="P238" s="4" t="str">
        <f aca="false">IF($A238="","",IF(E238="Client","n/a",IF(L238=M238,"YES — four-eyes breach","No")))</f>
        <v/>
      </c>
      <c r="Q238" s="38" t="str">
        <f aca="false">IF($A238="","",IFERROR(VLOOKUP($C238,Dim_Fund!$A:$AB,28,0),""))</f>
        <v/>
      </c>
      <c r="R238" s="38" t="str">
        <f aca="false">IF($A238="","",IFERROR(VLOOKUP($C238,Dim_Fund!$A:$AC,29,0),""))</f>
        <v/>
      </c>
      <c r="S238" s="38" t="str">
        <f aca="false">IF($A238="","",IFERROR(VLOOKUP($C238,Dim_Fund!$A:$AD,30,0),""))</f>
        <v/>
      </c>
      <c r="T238" s="38" t="str">
        <f aca="false">IF($A238="","",IFERROR(VLOOKUP($C238,Dim_Fund!$A:$AL,38,0),""))</f>
        <v/>
      </c>
      <c r="U238" s="37" t="str">
        <f aca="false">IF($A238="","",IF(AL238="","",IFERROR(IF(COUNTIFS(Fact_Milestone!$A:$A,$B238,Fact_Milestone!$B:$B,AL238)=0,"",_xlfn.MAXIFS(Fact_Milestone!$C:$C,Fact_Milestone!$A:$A,$B238,Fact_Milestone!$B:$B,AL238)),"")))</f>
        <v/>
      </c>
      <c r="V238" s="37" t="str">
        <f aca="false">IF($A238="","",IFERROR(IF(VLOOKUP($C238,Dim_Fund!$A:$AI,35,0)&gt;0,$B238+VLOOKUP($C238,Dim_Fund!$A:$AI,35,0)/24,""),""))</f>
        <v/>
      </c>
      <c r="W238" s="37" t="str">
        <f aca="false">IF($A238="","",F238)</f>
        <v/>
      </c>
      <c r="X238" s="37" t="str">
        <f aca="false">IF($A238="","",IF(E238="Client",H238,G238))</f>
        <v/>
      </c>
      <c r="Y238" s="37" t="str">
        <f aca="false">IF($A238="","",I238)</f>
        <v/>
      </c>
      <c r="Z238" s="37" t="str">
        <f aca="false">IF($A238="","",IFERROR(W238-R238/1440,""))</f>
        <v/>
      </c>
      <c r="AA238" s="38" t="str">
        <f aca="false">IF($A238="","",IF(OR(U238="",V238=""),"",ROUND((V238-U238)*1440,0)))</f>
        <v/>
      </c>
      <c r="AB238" s="38" t="str">
        <f aca="false">IF($A238="","",IF(U238="","",ROUND((W238-U238)*1440,0)))</f>
        <v/>
      </c>
      <c r="AC238" s="38" t="str">
        <f aca="false">IF($A238="","",IF(AB238="","",MAX(0,AB238)))</f>
        <v/>
      </c>
      <c r="AD238" s="38" t="str">
        <f aca="false">IF($A238="","",IFERROR(ROUND((X238-W238)*1440,0),""))</f>
        <v/>
      </c>
      <c r="AE238" s="38" t="str">
        <f aca="false">IF($A238="","",IF(E238="Client","n/a",IFERROR(ROUND((H238-G238)*1440,0),"")))</f>
        <v/>
      </c>
      <c r="AF238" s="38" t="str">
        <f aca="false">IF($A238="","",IFERROR(ROUND((Y238-H238)*1440,0),""))</f>
        <v/>
      </c>
      <c r="AG238" s="38" t="str">
        <f aca="false">IF($A238="","",IFERROR(ROUND((H238-F238)*1440,0),""))</f>
        <v/>
      </c>
      <c r="AH238" s="38" t="str">
        <f aca="false">IF($A238="","",IFERROR(ROUND((Y238-V238)*1440,0),""))</f>
        <v/>
      </c>
      <c r="AI238" s="4" t="str">
        <f aca="false">IF($A238="","",IF(AH238="","",IF(AH238&gt;0,"Yes","No")))</f>
        <v/>
      </c>
      <c r="AJ238" s="4" t="str">
        <f aca="false">IF($A238="","",IF(AI238&lt;&gt;"Yes","On time",IF(N(AC238)&gt;=MAX(N(AF238),N(K238)),"Wait for analyst",IF(N(AF238)&gt;=N(K238),"External sign-off","Rework"))))</f>
        <v/>
      </c>
      <c r="AK238" s="4" t="str">
        <f aca="false">IF($A238="","",IF(OR(F238="",Y238="",ISNA(MATCH(L238,Dim_Analyst!$A:$A,0))),"CHECK","OK"))</f>
        <v/>
      </c>
      <c r="AL238" s="4" t="str">
        <f aca="false">IF($A238="","",IFERROR(VLOOKUP($C238,Dim_Fund!$A:$U,21,0),""))</f>
        <v/>
      </c>
      <c r="AM238" s="4" t="str">
        <f aca="false">IF($A238="","",IF($U238="","",IF($U238&gt;$B238+IFERROR(VLOOKUP($C238,Dim_Fund!$A:$AH,34,0),0)/24,"Yes","No")))</f>
        <v/>
      </c>
      <c r="AN238" s="22" t="str">
        <f aca="false">IF($A238="","",IFERROR(VLOOKUP($C238,Dim_Fund!$A:$AH,34,0),""))</f>
        <v/>
      </c>
      <c r="AO238" s="22" t="str">
        <f aca="false">IF($A238="","",IF($AL238="","",IFERROR(FLOOR(IF(COUNTIFS(Fact_Milestone!$A:$A,$B238,Fact_Milestone!$B:$B,$AL238,Fact_Milestone!$F:$F,"&gt;0")&gt;0,_xlfn.MINIFS(Fact_Milestone!$F:$F,Fact_Milestone!$A:$A,$B238,Fact_Milestone!$B:$B,$AL238,Fact_Milestone!$F:$F,"&gt;0"),VLOOKUP($AL238,Dim_TOP!$A:$E,5,0)),0.5),"")))</f>
        <v/>
      </c>
      <c r="AP238" s="22" t="str">
        <f aca="false">IF($A238="","",IF($U238="","",ROUND(($U238-INT($U238))*24,4)))</f>
        <v/>
      </c>
      <c r="AQ238" s="22" t="str">
        <f aca="false">IF($A238="","",IF($W238="","",ROUND(($W238-INT($W238))*24,4)))</f>
        <v/>
      </c>
      <c r="AR238" s="22" t="str">
        <f aca="false">IF($A238="","",IF($X238="","",ROUND(($X238-INT($X238))*24,4)))</f>
        <v/>
      </c>
      <c r="AS238" s="38" t="str">
        <f aca="false">IF($A238="","",IF(OR($AN238="",$V238="",$S238="",$T238=""),"",ROUND(($V238-($B238+$AN238/24))*1440-$S238-$T238,0)))</f>
        <v/>
      </c>
      <c r="AT238" s="38" t="str">
        <f aca="false">IF($A238="","",IF(OR($AN238="",$U238=""),"",ROUND(($U238-($B238+$AN238/24))*1440,0)))</f>
        <v/>
      </c>
      <c r="AU238" s="38" t="str">
        <f aca="false">IF($A238="","",IF(OR($AD238="",$S238=""),"",ROUND($AD238-$S238,0)))</f>
        <v/>
      </c>
      <c r="AV238" s="38" t="str">
        <f aca="false">IF($A238="","",N($AE238))</f>
        <v/>
      </c>
      <c r="AW238" s="38" t="str">
        <f aca="false">IF($A238="","",IF(OR($AF238="",$T238=""),"",$AF238-$T238))</f>
        <v/>
      </c>
      <c r="AX238" s="38" t="str">
        <f aca="false">IF($A238="","",IF(COUNT($AT238,$AB238,$AU238,$AW238,$AS238,$AH238)&lt;6,"",ROUND($AT238+$AB238+$AU238+$AV238+$AW238-$AS238-$AH238,0)))</f>
        <v/>
      </c>
      <c r="AY238" s="4" t="str">
        <f aca="false">IF($A238="","",IF($AX238="","No",IF(ABS($AX238)&lt;=2,"Yes","No")))</f>
        <v/>
      </c>
      <c r="AZ238" s="4" t="str">
        <f aca="false">IF($A238="","",IF($AI238&lt;&gt;"Yes","n/a",IF(OR($AA238="",$S238="",$T238=""),"Unknown",IF($AA238&lt;$S238+$T238,"Lost on arrival","Lost after arrival"))))</f>
        <v/>
      </c>
      <c r="BA238" s="10" t="str">
        <f aca="false">IF($A238="","",IFERROR(VLOOKUP($C238,Dim_Fund!$A:$D,4,0),""))</f>
        <v/>
      </c>
      <c r="BB238" s="10" t="str">
        <f aca="false">IF($A238="","",IF($AL238="","",IF(COUNTIFS(Fact_Milestone!$A:$A,$B238,Fact_Milestone!$B:$B,$AL238,Fact_Milestone!$I:$I,"No")&gt;0,"No",IF(COUNTIFS(Fact_Milestone!$A:$A,$B238,Fact_Milestone!$B:$B,$AL238,Fact_Milestone!$I:$I,"Yes")&gt;0,"Yes",""))))</f>
        <v/>
      </c>
      <c r="BC238" s="45" t="str">
        <f aca="false">IF($A238="","",IF(OR($L238="",$W238=""),"",IF(COUNTIFS($L:$L,$L238,$B:$B,$B238,$W:$W,"&lt;"&amp;$W238)=0,"",_xlfn.MAXIFS($W:$W,$L:$L,$L238,$B:$B,$B238,$W:$W,"&lt;"&amp;$W238))))</f>
        <v/>
      </c>
      <c r="BD238" s="39" t="str">
        <f aca="false">IF($A238="","",IF($AC238="","",IF(OR($L238="",$AC238=0),0,MIN($AC238,ROUND(ROUND(1440*SUMPRODUCT(($L$2:INDEX($L:$L,COUNTA($C:$C))=$L238)*($B$2:INDEX($B:$B,COUNTA($C:$C))=$B238)*(ROW($L$2:INDEX($L:$L,COUNTA($C:$C)))&lt;&gt;ROW())*((((($W238+$BT$2:INDEX($BT:$BT,COUNTA($C:$C))-ABS($W238-$BT$2:INDEX($BT:$BT,COUNTA($C:$C))))/2)-(($U238+$BS$2:INDEX($BS:$BS,COUNTA($C:$C))+ABS($U238-$BS$2:INDEX($BS:$BS,COUNTA($C:$C))))/2))+ABS(((($W238+$BT$2:INDEX($BT:$BT,COUNTA($C:$C))-ABS($W238-$BT$2:INDEX($BT:$BT,COUNTA($C:$C))))/2)-(($U238+$BS$2:INDEX($BS:$BS,COUNTA($C:$C))+ABS($U238-$BS$2:INDEX($BS:$BS,COUNTA($C:$C))))/2))))/2)),4),0)))))</f>
        <v/>
      </c>
      <c r="BE238" s="39" t="str">
        <f aca="false">IF($A238="","",IF($AC238="","",ROUND(MIN($AC238-$BD238,N($R238)),0)))</f>
        <v/>
      </c>
      <c r="BF238" s="10" t="str">
        <f aca="false">IF($A238="","",IFERROR(VLOOKUP($C238,Dim_Fund!$A:$BD,56,0),""))</f>
        <v/>
      </c>
      <c r="BG238" s="10" t="str">
        <f aca="false">IF($A238="","",IFERROR(VLOOKUP($C238,Dim_Fund!$A:$BH,60,0),""))</f>
        <v/>
      </c>
      <c r="BH238" s="10" t="str">
        <f aca="false">IF($A238="","",IF($AI238&lt;&gt;"Yes","Not breached",IF($AM238="Yes","Pricing late",IF($BG238="Thin custody slack","Thin custody slack",IF($BF238="Yes","Broker-dependent","None of these")))))</f>
        <v/>
      </c>
      <c r="BI238" s="23" t="str">
        <f aca="false">IF($A238="","",IFERROR(IF(VLOOKUP($C238,Dim_Fund!$A:$AI,35,0)&gt;0,VLOOKUP($C238,Dim_Fund!$A:$AI,35,0),""),""))</f>
        <v/>
      </c>
      <c r="BJ238" s="10" t="str">
        <f aca="false">IF($A238="","",$C238&amp;IF($E238="Client","*",""))</f>
        <v/>
      </c>
      <c r="BK238" s="39" t="str">
        <f aca="false">IF($A238="","",IFERROR(ROUND(($Y238-$X238)*1440,0),""))</f>
        <v/>
      </c>
      <c r="BL238" s="39" t="str">
        <f aca="false">IF($A238="","",IF($AH238="","",-$AH238))</f>
        <v/>
      </c>
      <c r="BM238" s="46" t="str">
        <f aca="false">IF($A238="","",IF($AQ238="","",IF($AP238="",$AQ238,MIN($AP238,$AQ238))))</f>
        <v/>
      </c>
      <c r="BN238" s="46" t="str">
        <f aca="false">IF($A238="","",IF($BM238="","",ROUND(N($AC238)/60,4)))</f>
        <v/>
      </c>
      <c r="BO238" s="46" t="str">
        <f aca="false">IF($A238="","",IF(OR($BM238="",$AD238=""),"",ROUND($AD238/60,4)))</f>
        <v/>
      </c>
      <c r="BP238" s="46" t="str">
        <f aca="false">IF($A238="","",IF($BM238="","",ROUND(N($AE238)/60,4)))</f>
        <v/>
      </c>
      <c r="BQ238" s="46" t="str">
        <f aca="false">IF($A238="","",IF(OR($BM238="",$AF238=""),"",ROUND($AF238/60,4)))</f>
        <v/>
      </c>
      <c r="BR238" s="39" t="str">
        <f aca="false">IF($A238="","",IF($AC238="","",$AC238-$BD238-$BE238))</f>
        <v/>
      </c>
      <c r="BS238" s="45" t="str">
        <f aca="false">IF($A238="","",IF(AND(ISNUMBER($Z238),ISNUMBER($W238)),$Z238,0))</f>
        <v/>
      </c>
      <c r="BT238" s="45" t="str">
        <f aca="false">IF($A238="","",IF(ISNUMBER($W238),$W238,0))</f>
        <v/>
      </c>
      <c r="BU238" s="23" t="str">
        <f aca="false">IF($A238="","",IF(ISNUMBER($W238),ROUND(($W238-$B238)*24,4),""))</f>
        <v/>
      </c>
      <c r="BV238" s="23" t="str">
        <f aca="false">IF($A238="","",IF(ISNUMBER($X238),ROUND(($X238-$B238)*24,4),""))</f>
        <v/>
      </c>
      <c r="BW238" s="10" t="str">
        <f aca="false">IF($A238="","",IF(NOT(ISNUMBER($W238)),"Missing Calculated",IF(NOT(ISNUMBER($X238)),IF($E238="Client","Missing FA signed off","Missing Controlled"),IF($X238&lt;$W238,"End before start","OK"))))</f>
        <v/>
      </c>
      <c r="BX238" s="23" t="str">
        <f aca="false">IF($A238="","",IF(NOT(ISNUMBER($Z238)),"",ROUND((IF(ISNUMBER($U238),MIN($U238,$Z238),$Z238)-$B238)*24,4)))</f>
        <v/>
      </c>
      <c r="BY238" s="23" t="str">
        <f aca="false">IF($A238="","",IF(ISNUMBER($Z238),ROUND(($Z238-$B238)*24,4),""))</f>
        <v/>
      </c>
      <c r="BZ238" s="23" t="str">
        <f aca="false">IF($A238="","",IF(AND(ISNUMBER($W238),ISNUMBER($S238)),ROUND(($W238+$S238/1440-$B238)*24,4),""))</f>
        <v/>
      </c>
    </row>
    <row r="239" customFormat="false" ht="15" hidden="false" customHeight="true" outlineLevel="0" collapsed="false">
      <c r="A239" s="47"/>
      <c r="B239" s="47"/>
      <c r="D239" s="4" t="str">
        <f aca="false">IF($A239="","",$B239-$A239)</f>
        <v/>
      </c>
      <c r="E239" s="4" t="str">
        <f aca="false">IF($A239="","",IFERROR(VLOOKUP($C239,Dim_Fund!$A:$X,24,0),""))</f>
        <v/>
      </c>
      <c r="F239" s="37" t="str">
        <f aca="false">IF($A239="","",IF(COUNTIFS(Status_Log!$A:$A,$A239,Status_Log!$B:$B,$B239,Status_Log!$C:$C,$C239,Status_Log!$D:$D,"Changed to the status of Calculated")=0,"",_xlfn.MINIFS(Status_Log!$E:$E,Status_Log!$A:$A,$A239,Status_Log!$B:$B,$B239,Status_Log!$C:$C,$C239,Status_Log!$D:$D,"Changed to the status of Calculated")))</f>
        <v/>
      </c>
      <c r="G239" s="37" t="str">
        <f aca="false">IF($A239="","",IF(COUNTIFS(Status_Log!$A:$A,$A239,Status_Log!$B:$B,$B239,Status_Log!$C:$C,$C239,Status_Log!$D:$D,"Changed to the status of Controlled")=0,"",_xlfn.MAXIFS(Status_Log!$E:$E,Status_Log!$A:$A,$A239,Status_Log!$B:$B,$B239,Status_Log!$C:$C,$C239,Status_Log!$D:$D,"Changed to the status of Controlled")))</f>
        <v/>
      </c>
      <c r="H239" s="37" t="str">
        <f aca="false">IF($A239="","",IF(COUNTIFS(Status_Log!$A:$A,$A239,Status_Log!$B:$B,$B239,Status_Log!$C:$C,$C239,Status_Log!$D:$D,"Changed to the status of Fund accounting signed off")=0,"",_xlfn.MAXIFS(Status_Log!$E:$E,Status_Log!$A:$A,$A239,Status_Log!$B:$B,$B239,Status_Log!$C:$C,$C239,Status_Log!$D:$D,"Changed to the status of Fund accounting signed off")))</f>
        <v/>
      </c>
      <c r="I239" s="37" t="str">
        <f aca="false">IF($A239="","",IF(COUNTIFS(Status_Log!$A:$A,$A239,Status_Log!$B:$B,$B239,Status_Log!$C:$C,$C239,Status_Log!$D:$D,"Changed to the status of signed off")=0,"",_xlfn.MAXIFS(Status_Log!$E:$E,Status_Log!$A:$A,$A239,Status_Log!$B:$B,$B239,Status_Log!$C:$C,$C239,Status_Log!$D:$D,"Changed to the status of signed off")))</f>
        <v/>
      </c>
      <c r="J239" s="4" t="str">
        <f aca="false">IF($A239="","",COUNTIFS(Status_Log!$A:$A,$A239,Status_Log!$B:$B,$B239,Status_Log!$C:$C,$C239,Status_Log!$D:$D,"Changed to the status of Calculated"))</f>
        <v/>
      </c>
      <c r="K239" s="38" t="str">
        <f aca="false">IF($A239="","",IF(J239&lt;=1,0,ROUND((_xlfn.MAXIFS(Status_Log!$E:$E,Status_Log!$A:$A,$A239,Status_Log!$B:$B,$B239,Status_Log!$C:$C,$C239,Status_Log!$D:$D,"Changed to the status of Calculated")-F239)*1440,0)))</f>
        <v/>
      </c>
      <c r="L239" s="4" t="str">
        <f aca="false">IF($A239="","",IFERROR(INDEX(Status_Log!$F:$F,MATCH($A239&amp;"|"&amp;$B239&amp;"|"&amp;$C239&amp;"|Changed to the status of Calculated|"&amp;TEXT(_xlfn.MAXIFS(Status_Log!$E:$E,Status_Log!$A:$A,$A239,Status_Log!$B:$B,$B239,Status_Log!$C:$C,$C239,Status_Log!$D:$D,"Changed to the status of Calculated"),"0.000000"),Status_Log!$H:$H,0)),""))</f>
        <v/>
      </c>
      <c r="M239" s="4" t="str">
        <f aca="false">IF($A239="","",IF(E239="Client","n/a — no control step",IFERROR(INDEX(Status_Log!$F:$F,MATCH($A239&amp;"|"&amp;$B239&amp;"|"&amp;$C239&amp;"|Changed to the status of Controlled|"&amp;TEXT(_xlfn.MAXIFS(Status_Log!$E:$E,Status_Log!$A:$A,$A239,Status_Log!$B:$B,$B239,Status_Log!$C:$C,$C239,Status_Log!$D:$D,"Changed to the status of Controlled"),"0.000000"),Status_Log!$H:$H,0)),"")))</f>
        <v/>
      </c>
      <c r="N239" s="4" t="str">
        <f aca="false">IF($A239="","",IFERROR(VLOOKUP($C239,Dim_Fund!$A:$G,7,0),""))</f>
        <v/>
      </c>
      <c r="O239" s="4" t="str">
        <f aca="false">IF($A239="","",IF(L239=N239,"No","Yes"))</f>
        <v/>
      </c>
      <c r="P239" s="4" t="str">
        <f aca="false">IF($A239="","",IF(E239="Client","n/a",IF(L239=M239,"YES — four-eyes breach","No")))</f>
        <v/>
      </c>
      <c r="Q239" s="38" t="str">
        <f aca="false">IF($A239="","",IFERROR(VLOOKUP($C239,Dim_Fund!$A:$AB,28,0),""))</f>
        <v/>
      </c>
      <c r="R239" s="38" t="str">
        <f aca="false">IF($A239="","",IFERROR(VLOOKUP($C239,Dim_Fund!$A:$AC,29,0),""))</f>
        <v/>
      </c>
      <c r="S239" s="38" t="str">
        <f aca="false">IF($A239="","",IFERROR(VLOOKUP($C239,Dim_Fund!$A:$AD,30,0),""))</f>
        <v/>
      </c>
      <c r="T239" s="38" t="str">
        <f aca="false">IF($A239="","",IFERROR(VLOOKUP($C239,Dim_Fund!$A:$AL,38,0),""))</f>
        <v/>
      </c>
      <c r="U239" s="37" t="str">
        <f aca="false">IF($A239="","",IF(AL239="","",IFERROR(IF(COUNTIFS(Fact_Milestone!$A:$A,$B239,Fact_Milestone!$B:$B,AL239)=0,"",_xlfn.MAXIFS(Fact_Milestone!$C:$C,Fact_Milestone!$A:$A,$B239,Fact_Milestone!$B:$B,AL239)),"")))</f>
        <v/>
      </c>
      <c r="V239" s="37" t="str">
        <f aca="false">IF($A239="","",IFERROR(IF(VLOOKUP($C239,Dim_Fund!$A:$AI,35,0)&gt;0,$B239+VLOOKUP($C239,Dim_Fund!$A:$AI,35,0)/24,""),""))</f>
        <v/>
      </c>
      <c r="W239" s="37" t="str">
        <f aca="false">IF($A239="","",F239)</f>
        <v/>
      </c>
      <c r="X239" s="37" t="str">
        <f aca="false">IF($A239="","",IF(E239="Client",H239,G239))</f>
        <v/>
      </c>
      <c r="Y239" s="37" t="str">
        <f aca="false">IF($A239="","",I239)</f>
        <v/>
      </c>
      <c r="Z239" s="37" t="str">
        <f aca="false">IF($A239="","",IFERROR(W239-R239/1440,""))</f>
        <v/>
      </c>
      <c r="AA239" s="38" t="str">
        <f aca="false">IF($A239="","",IF(OR(U239="",V239=""),"",ROUND((V239-U239)*1440,0)))</f>
        <v/>
      </c>
      <c r="AB239" s="38" t="str">
        <f aca="false">IF($A239="","",IF(U239="","",ROUND((W239-U239)*1440,0)))</f>
        <v/>
      </c>
      <c r="AC239" s="38" t="str">
        <f aca="false">IF($A239="","",IF(AB239="","",MAX(0,AB239)))</f>
        <v/>
      </c>
      <c r="AD239" s="38" t="str">
        <f aca="false">IF($A239="","",IFERROR(ROUND((X239-W239)*1440,0),""))</f>
        <v/>
      </c>
      <c r="AE239" s="38" t="str">
        <f aca="false">IF($A239="","",IF(E239="Client","n/a",IFERROR(ROUND((H239-G239)*1440,0),"")))</f>
        <v/>
      </c>
      <c r="AF239" s="38" t="str">
        <f aca="false">IF($A239="","",IFERROR(ROUND((Y239-H239)*1440,0),""))</f>
        <v/>
      </c>
      <c r="AG239" s="38" t="str">
        <f aca="false">IF($A239="","",IFERROR(ROUND((H239-F239)*1440,0),""))</f>
        <v/>
      </c>
      <c r="AH239" s="38" t="str">
        <f aca="false">IF($A239="","",IFERROR(ROUND((Y239-V239)*1440,0),""))</f>
        <v/>
      </c>
      <c r="AI239" s="4" t="str">
        <f aca="false">IF($A239="","",IF(AH239="","",IF(AH239&gt;0,"Yes","No")))</f>
        <v/>
      </c>
      <c r="AJ239" s="4" t="str">
        <f aca="false">IF($A239="","",IF(AI239&lt;&gt;"Yes","On time",IF(N(AC239)&gt;=MAX(N(AF239),N(K239)),"Wait for analyst",IF(N(AF239)&gt;=N(K239),"External sign-off","Rework"))))</f>
        <v/>
      </c>
      <c r="AK239" s="4" t="str">
        <f aca="false">IF($A239="","",IF(OR(F239="",Y239="",ISNA(MATCH(L239,Dim_Analyst!$A:$A,0))),"CHECK","OK"))</f>
        <v/>
      </c>
      <c r="AL239" s="4" t="str">
        <f aca="false">IF($A239="","",IFERROR(VLOOKUP($C239,Dim_Fund!$A:$U,21,0),""))</f>
        <v/>
      </c>
      <c r="AM239" s="4" t="str">
        <f aca="false">IF($A239="","",IF($U239="","",IF($U239&gt;$B239+IFERROR(VLOOKUP($C239,Dim_Fund!$A:$AH,34,0),0)/24,"Yes","No")))</f>
        <v/>
      </c>
      <c r="AN239" s="22" t="str">
        <f aca="false">IF($A239="","",IFERROR(VLOOKUP($C239,Dim_Fund!$A:$AH,34,0),""))</f>
        <v/>
      </c>
      <c r="AO239" s="22" t="str">
        <f aca="false">IF($A239="","",IF($AL239="","",IFERROR(FLOOR(IF(COUNTIFS(Fact_Milestone!$A:$A,$B239,Fact_Milestone!$B:$B,$AL239,Fact_Milestone!$F:$F,"&gt;0")&gt;0,_xlfn.MINIFS(Fact_Milestone!$F:$F,Fact_Milestone!$A:$A,$B239,Fact_Milestone!$B:$B,$AL239,Fact_Milestone!$F:$F,"&gt;0"),VLOOKUP($AL239,Dim_TOP!$A:$E,5,0)),0.5),"")))</f>
        <v/>
      </c>
      <c r="AP239" s="22" t="str">
        <f aca="false">IF($A239="","",IF($U239="","",ROUND(($U239-INT($U239))*24,4)))</f>
        <v/>
      </c>
      <c r="AQ239" s="22" t="str">
        <f aca="false">IF($A239="","",IF($W239="","",ROUND(($W239-INT($W239))*24,4)))</f>
        <v/>
      </c>
      <c r="AR239" s="22" t="str">
        <f aca="false">IF($A239="","",IF($X239="","",ROUND(($X239-INT($X239))*24,4)))</f>
        <v/>
      </c>
      <c r="AS239" s="38" t="str">
        <f aca="false">IF($A239="","",IF(OR($AN239="",$V239="",$S239="",$T239=""),"",ROUND(($V239-($B239+$AN239/24))*1440-$S239-$T239,0)))</f>
        <v/>
      </c>
      <c r="AT239" s="38" t="str">
        <f aca="false">IF($A239="","",IF(OR($AN239="",$U239=""),"",ROUND(($U239-($B239+$AN239/24))*1440,0)))</f>
        <v/>
      </c>
      <c r="AU239" s="38" t="str">
        <f aca="false">IF($A239="","",IF(OR($AD239="",$S239=""),"",ROUND($AD239-$S239,0)))</f>
        <v/>
      </c>
      <c r="AV239" s="38" t="str">
        <f aca="false">IF($A239="","",N($AE239))</f>
        <v/>
      </c>
      <c r="AW239" s="38" t="str">
        <f aca="false">IF($A239="","",IF(OR($AF239="",$T239=""),"",$AF239-$T239))</f>
        <v/>
      </c>
      <c r="AX239" s="38" t="str">
        <f aca="false">IF($A239="","",IF(COUNT($AT239,$AB239,$AU239,$AW239,$AS239,$AH239)&lt;6,"",ROUND($AT239+$AB239+$AU239+$AV239+$AW239-$AS239-$AH239,0)))</f>
        <v/>
      </c>
      <c r="AY239" s="4" t="str">
        <f aca="false">IF($A239="","",IF($AX239="","No",IF(ABS($AX239)&lt;=2,"Yes","No")))</f>
        <v/>
      </c>
      <c r="AZ239" s="4" t="str">
        <f aca="false">IF($A239="","",IF($AI239&lt;&gt;"Yes","n/a",IF(OR($AA239="",$S239="",$T239=""),"Unknown",IF($AA239&lt;$S239+$T239,"Lost on arrival","Lost after arrival"))))</f>
        <v/>
      </c>
      <c r="BA239" s="10" t="str">
        <f aca="false">IF($A239="","",IFERROR(VLOOKUP($C239,Dim_Fund!$A:$D,4,0),""))</f>
        <v/>
      </c>
      <c r="BB239" s="10" t="str">
        <f aca="false">IF($A239="","",IF($AL239="","",IF(COUNTIFS(Fact_Milestone!$A:$A,$B239,Fact_Milestone!$B:$B,$AL239,Fact_Milestone!$I:$I,"No")&gt;0,"No",IF(COUNTIFS(Fact_Milestone!$A:$A,$B239,Fact_Milestone!$B:$B,$AL239,Fact_Milestone!$I:$I,"Yes")&gt;0,"Yes",""))))</f>
        <v/>
      </c>
      <c r="BC239" s="45" t="str">
        <f aca="false">IF($A239="","",IF(OR($L239="",$W239=""),"",IF(COUNTIFS($L:$L,$L239,$B:$B,$B239,$W:$W,"&lt;"&amp;$W239)=0,"",_xlfn.MAXIFS($W:$W,$L:$L,$L239,$B:$B,$B239,$W:$W,"&lt;"&amp;$W239))))</f>
        <v/>
      </c>
      <c r="BD239" s="39" t="str">
        <f aca="false">IF($A239="","",IF($AC239="","",IF(OR($L239="",$AC239=0),0,MIN($AC239,ROUND(ROUND(1440*SUMPRODUCT(($L$2:INDEX($L:$L,COUNTA($C:$C))=$L239)*($B$2:INDEX($B:$B,COUNTA($C:$C))=$B239)*(ROW($L$2:INDEX($L:$L,COUNTA($C:$C)))&lt;&gt;ROW())*((((($W239+$BT$2:INDEX($BT:$BT,COUNTA($C:$C))-ABS($W239-$BT$2:INDEX($BT:$BT,COUNTA($C:$C))))/2)-(($U239+$BS$2:INDEX($BS:$BS,COUNTA($C:$C))+ABS($U239-$BS$2:INDEX($BS:$BS,COUNTA($C:$C))))/2))+ABS(((($W239+$BT$2:INDEX($BT:$BT,COUNTA($C:$C))-ABS($W239-$BT$2:INDEX($BT:$BT,COUNTA($C:$C))))/2)-(($U239+$BS$2:INDEX($BS:$BS,COUNTA($C:$C))+ABS($U239-$BS$2:INDEX($BS:$BS,COUNTA($C:$C))))/2))))/2)),4),0)))))</f>
        <v/>
      </c>
      <c r="BE239" s="39" t="str">
        <f aca="false">IF($A239="","",IF($AC239="","",ROUND(MIN($AC239-$BD239,N($R239)),0)))</f>
        <v/>
      </c>
      <c r="BF239" s="10" t="str">
        <f aca="false">IF($A239="","",IFERROR(VLOOKUP($C239,Dim_Fund!$A:$BD,56,0),""))</f>
        <v/>
      </c>
      <c r="BG239" s="10" t="str">
        <f aca="false">IF($A239="","",IFERROR(VLOOKUP($C239,Dim_Fund!$A:$BH,60,0),""))</f>
        <v/>
      </c>
      <c r="BH239" s="10" t="str">
        <f aca="false">IF($A239="","",IF($AI239&lt;&gt;"Yes","Not breached",IF($AM239="Yes","Pricing late",IF($BG239="Thin custody slack","Thin custody slack",IF($BF239="Yes","Broker-dependent","None of these")))))</f>
        <v/>
      </c>
      <c r="BI239" s="23" t="str">
        <f aca="false">IF($A239="","",IFERROR(IF(VLOOKUP($C239,Dim_Fund!$A:$AI,35,0)&gt;0,VLOOKUP($C239,Dim_Fund!$A:$AI,35,0),""),""))</f>
        <v/>
      </c>
      <c r="BJ239" s="10" t="str">
        <f aca="false">IF($A239="","",$C239&amp;IF($E239="Client","*",""))</f>
        <v/>
      </c>
      <c r="BK239" s="39" t="str">
        <f aca="false">IF($A239="","",IFERROR(ROUND(($Y239-$X239)*1440,0),""))</f>
        <v/>
      </c>
      <c r="BL239" s="39" t="str">
        <f aca="false">IF($A239="","",IF($AH239="","",-$AH239))</f>
        <v/>
      </c>
      <c r="BM239" s="46" t="str">
        <f aca="false">IF($A239="","",IF($AQ239="","",IF($AP239="",$AQ239,MIN($AP239,$AQ239))))</f>
        <v/>
      </c>
      <c r="BN239" s="46" t="str">
        <f aca="false">IF($A239="","",IF($BM239="","",ROUND(N($AC239)/60,4)))</f>
        <v/>
      </c>
      <c r="BO239" s="46" t="str">
        <f aca="false">IF($A239="","",IF(OR($BM239="",$AD239=""),"",ROUND($AD239/60,4)))</f>
        <v/>
      </c>
      <c r="BP239" s="46" t="str">
        <f aca="false">IF($A239="","",IF($BM239="","",ROUND(N($AE239)/60,4)))</f>
        <v/>
      </c>
      <c r="BQ239" s="46" t="str">
        <f aca="false">IF($A239="","",IF(OR($BM239="",$AF239=""),"",ROUND($AF239/60,4)))</f>
        <v/>
      </c>
      <c r="BR239" s="39" t="str">
        <f aca="false">IF($A239="","",IF($AC239="","",$AC239-$BD239-$BE239))</f>
        <v/>
      </c>
      <c r="BS239" s="45" t="str">
        <f aca="false">IF($A239="","",IF(AND(ISNUMBER($Z239),ISNUMBER($W239)),$Z239,0))</f>
        <v/>
      </c>
      <c r="BT239" s="45" t="str">
        <f aca="false">IF($A239="","",IF(ISNUMBER($W239),$W239,0))</f>
        <v/>
      </c>
      <c r="BU239" s="23" t="str">
        <f aca="false">IF($A239="","",IF(ISNUMBER($W239),ROUND(($W239-$B239)*24,4),""))</f>
        <v/>
      </c>
      <c r="BV239" s="23" t="str">
        <f aca="false">IF($A239="","",IF(ISNUMBER($X239),ROUND(($X239-$B239)*24,4),""))</f>
        <v/>
      </c>
      <c r="BW239" s="10" t="str">
        <f aca="false">IF($A239="","",IF(NOT(ISNUMBER($W239)),"Missing Calculated",IF(NOT(ISNUMBER($X239)),IF($E239="Client","Missing FA signed off","Missing Controlled"),IF($X239&lt;$W239,"End before start","OK"))))</f>
        <v/>
      </c>
      <c r="BX239" s="23" t="str">
        <f aca="false">IF($A239="","",IF(NOT(ISNUMBER($Z239)),"",ROUND((IF(ISNUMBER($U239),MIN($U239,$Z239),$Z239)-$B239)*24,4)))</f>
        <v/>
      </c>
      <c r="BY239" s="23" t="str">
        <f aca="false">IF($A239="","",IF(ISNUMBER($Z239),ROUND(($Z239-$B239)*24,4),""))</f>
        <v/>
      </c>
      <c r="BZ239" s="23" t="str">
        <f aca="false">IF($A239="","",IF(AND(ISNUMBER($W239),ISNUMBER($S239)),ROUND(($W239+$S239/1440-$B239)*24,4),""))</f>
        <v/>
      </c>
    </row>
    <row r="240" customFormat="false" ht="15" hidden="false" customHeight="true" outlineLevel="0" collapsed="false">
      <c r="A240" s="47"/>
      <c r="B240" s="47"/>
      <c r="D240" s="4" t="str">
        <f aca="false">IF($A240="","",$B240-$A240)</f>
        <v/>
      </c>
      <c r="E240" s="4" t="str">
        <f aca="false">IF($A240="","",IFERROR(VLOOKUP($C240,Dim_Fund!$A:$X,24,0),""))</f>
        <v/>
      </c>
      <c r="F240" s="37" t="str">
        <f aca="false">IF($A240="","",IF(COUNTIFS(Status_Log!$A:$A,$A240,Status_Log!$B:$B,$B240,Status_Log!$C:$C,$C240,Status_Log!$D:$D,"Changed to the status of Calculated")=0,"",_xlfn.MINIFS(Status_Log!$E:$E,Status_Log!$A:$A,$A240,Status_Log!$B:$B,$B240,Status_Log!$C:$C,$C240,Status_Log!$D:$D,"Changed to the status of Calculated")))</f>
        <v/>
      </c>
      <c r="G240" s="37" t="str">
        <f aca="false">IF($A240="","",IF(COUNTIFS(Status_Log!$A:$A,$A240,Status_Log!$B:$B,$B240,Status_Log!$C:$C,$C240,Status_Log!$D:$D,"Changed to the status of Controlled")=0,"",_xlfn.MAXIFS(Status_Log!$E:$E,Status_Log!$A:$A,$A240,Status_Log!$B:$B,$B240,Status_Log!$C:$C,$C240,Status_Log!$D:$D,"Changed to the status of Controlled")))</f>
        <v/>
      </c>
      <c r="H240" s="37" t="str">
        <f aca="false">IF($A240="","",IF(COUNTIFS(Status_Log!$A:$A,$A240,Status_Log!$B:$B,$B240,Status_Log!$C:$C,$C240,Status_Log!$D:$D,"Changed to the status of Fund accounting signed off")=0,"",_xlfn.MAXIFS(Status_Log!$E:$E,Status_Log!$A:$A,$A240,Status_Log!$B:$B,$B240,Status_Log!$C:$C,$C240,Status_Log!$D:$D,"Changed to the status of Fund accounting signed off")))</f>
        <v/>
      </c>
      <c r="I240" s="37" t="str">
        <f aca="false">IF($A240="","",IF(COUNTIFS(Status_Log!$A:$A,$A240,Status_Log!$B:$B,$B240,Status_Log!$C:$C,$C240,Status_Log!$D:$D,"Changed to the status of signed off")=0,"",_xlfn.MAXIFS(Status_Log!$E:$E,Status_Log!$A:$A,$A240,Status_Log!$B:$B,$B240,Status_Log!$C:$C,$C240,Status_Log!$D:$D,"Changed to the status of signed off")))</f>
        <v/>
      </c>
      <c r="J240" s="4" t="str">
        <f aca="false">IF($A240="","",COUNTIFS(Status_Log!$A:$A,$A240,Status_Log!$B:$B,$B240,Status_Log!$C:$C,$C240,Status_Log!$D:$D,"Changed to the status of Calculated"))</f>
        <v/>
      </c>
      <c r="K240" s="38" t="str">
        <f aca="false">IF($A240="","",IF(J240&lt;=1,0,ROUND((_xlfn.MAXIFS(Status_Log!$E:$E,Status_Log!$A:$A,$A240,Status_Log!$B:$B,$B240,Status_Log!$C:$C,$C240,Status_Log!$D:$D,"Changed to the status of Calculated")-F240)*1440,0)))</f>
        <v/>
      </c>
      <c r="L240" s="4" t="str">
        <f aca="false">IF($A240="","",IFERROR(INDEX(Status_Log!$F:$F,MATCH($A240&amp;"|"&amp;$B240&amp;"|"&amp;$C240&amp;"|Changed to the status of Calculated|"&amp;TEXT(_xlfn.MAXIFS(Status_Log!$E:$E,Status_Log!$A:$A,$A240,Status_Log!$B:$B,$B240,Status_Log!$C:$C,$C240,Status_Log!$D:$D,"Changed to the status of Calculated"),"0.000000"),Status_Log!$H:$H,0)),""))</f>
        <v/>
      </c>
      <c r="M240" s="4" t="str">
        <f aca="false">IF($A240="","",IF(E240="Client","n/a — no control step",IFERROR(INDEX(Status_Log!$F:$F,MATCH($A240&amp;"|"&amp;$B240&amp;"|"&amp;$C240&amp;"|Changed to the status of Controlled|"&amp;TEXT(_xlfn.MAXIFS(Status_Log!$E:$E,Status_Log!$A:$A,$A240,Status_Log!$B:$B,$B240,Status_Log!$C:$C,$C240,Status_Log!$D:$D,"Changed to the status of Controlled"),"0.000000"),Status_Log!$H:$H,0)),"")))</f>
        <v/>
      </c>
      <c r="N240" s="4" t="str">
        <f aca="false">IF($A240="","",IFERROR(VLOOKUP($C240,Dim_Fund!$A:$G,7,0),""))</f>
        <v/>
      </c>
      <c r="O240" s="4" t="str">
        <f aca="false">IF($A240="","",IF(L240=N240,"No","Yes"))</f>
        <v/>
      </c>
      <c r="P240" s="4" t="str">
        <f aca="false">IF($A240="","",IF(E240="Client","n/a",IF(L240=M240,"YES — four-eyes breach","No")))</f>
        <v/>
      </c>
      <c r="Q240" s="38" t="str">
        <f aca="false">IF($A240="","",IFERROR(VLOOKUP($C240,Dim_Fund!$A:$AB,28,0),""))</f>
        <v/>
      </c>
      <c r="R240" s="38" t="str">
        <f aca="false">IF($A240="","",IFERROR(VLOOKUP($C240,Dim_Fund!$A:$AC,29,0),""))</f>
        <v/>
      </c>
      <c r="S240" s="38" t="str">
        <f aca="false">IF($A240="","",IFERROR(VLOOKUP($C240,Dim_Fund!$A:$AD,30,0),""))</f>
        <v/>
      </c>
      <c r="T240" s="38" t="str">
        <f aca="false">IF($A240="","",IFERROR(VLOOKUP($C240,Dim_Fund!$A:$AL,38,0),""))</f>
        <v/>
      </c>
      <c r="U240" s="37" t="str">
        <f aca="false">IF($A240="","",IF(AL240="","",IFERROR(IF(COUNTIFS(Fact_Milestone!$A:$A,$B240,Fact_Milestone!$B:$B,AL240)=0,"",_xlfn.MAXIFS(Fact_Milestone!$C:$C,Fact_Milestone!$A:$A,$B240,Fact_Milestone!$B:$B,AL240)),"")))</f>
        <v/>
      </c>
      <c r="V240" s="37" t="str">
        <f aca="false">IF($A240="","",IFERROR(IF(VLOOKUP($C240,Dim_Fund!$A:$AI,35,0)&gt;0,$B240+VLOOKUP($C240,Dim_Fund!$A:$AI,35,0)/24,""),""))</f>
        <v/>
      </c>
      <c r="W240" s="37" t="str">
        <f aca="false">IF($A240="","",F240)</f>
        <v/>
      </c>
      <c r="X240" s="37" t="str">
        <f aca="false">IF($A240="","",IF(E240="Client",H240,G240))</f>
        <v/>
      </c>
      <c r="Y240" s="37" t="str">
        <f aca="false">IF($A240="","",I240)</f>
        <v/>
      </c>
      <c r="Z240" s="37" t="str">
        <f aca="false">IF($A240="","",IFERROR(W240-R240/1440,""))</f>
        <v/>
      </c>
      <c r="AA240" s="38" t="str">
        <f aca="false">IF($A240="","",IF(OR(U240="",V240=""),"",ROUND((V240-U240)*1440,0)))</f>
        <v/>
      </c>
      <c r="AB240" s="38" t="str">
        <f aca="false">IF($A240="","",IF(U240="","",ROUND((W240-U240)*1440,0)))</f>
        <v/>
      </c>
      <c r="AC240" s="38" t="str">
        <f aca="false">IF($A240="","",IF(AB240="","",MAX(0,AB240)))</f>
        <v/>
      </c>
      <c r="AD240" s="38" t="str">
        <f aca="false">IF($A240="","",IFERROR(ROUND((X240-W240)*1440,0),""))</f>
        <v/>
      </c>
      <c r="AE240" s="38" t="str">
        <f aca="false">IF($A240="","",IF(E240="Client","n/a",IFERROR(ROUND((H240-G240)*1440,0),"")))</f>
        <v/>
      </c>
      <c r="AF240" s="38" t="str">
        <f aca="false">IF($A240="","",IFERROR(ROUND((Y240-H240)*1440,0),""))</f>
        <v/>
      </c>
      <c r="AG240" s="38" t="str">
        <f aca="false">IF($A240="","",IFERROR(ROUND((H240-F240)*1440,0),""))</f>
        <v/>
      </c>
      <c r="AH240" s="38" t="str">
        <f aca="false">IF($A240="","",IFERROR(ROUND((Y240-V240)*1440,0),""))</f>
        <v/>
      </c>
      <c r="AI240" s="4" t="str">
        <f aca="false">IF($A240="","",IF(AH240="","",IF(AH240&gt;0,"Yes","No")))</f>
        <v/>
      </c>
      <c r="AJ240" s="4" t="str">
        <f aca="false">IF($A240="","",IF(AI240&lt;&gt;"Yes","On time",IF(N(AC240)&gt;=MAX(N(AF240),N(K240)),"Wait for analyst",IF(N(AF240)&gt;=N(K240),"External sign-off","Rework"))))</f>
        <v/>
      </c>
      <c r="AK240" s="4" t="str">
        <f aca="false">IF($A240="","",IF(OR(F240="",Y240="",ISNA(MATCH(L240,Dim_Analyst!$A:$A,0))),"CHECK","OK"))</f>
        <v/>
      </c>
      <c r="AL240" s="4" t="str">
        <f aca="false">IF($A240="","",IFERROR(VLOOKUP($C240,Dim_Fund!$A:$U,21,0),""))</f>
        <v/>
      </c>
      <c r="AM240" s="4" t="str">
        <f aca="false">IF($A240="","",IF($U240="","",IF($U240&gt;$B240+IFERROR(VLOOKUP($C240,Dim_Fund!$A:$AH,34,0),0)/24,"Yes","No")))</f>
        <v/>
      </c>
      <c r="AN240" s="22" t="str">
        <f aca="false">IF($A240="","",IFERROR(VLOOKUP($C240,Dim_Fund!$A:$AH,34,0),""))</f>
        <v/>
      </c>
      <c r="AO240" s="22" t="str">
        <f aca="false">IF($A240="","",IF($AL240="","",IFERROR(FLOOR(IF(COUNTIFS(Fact_Milestone!$A:$A,$B240,Fact_Milestone!$B:$B,$AL240,Fact_Milestone!$F:$F,"&gt;0")&gt;0,_xlfn.MINIFS(Fact_Milestone!$F:$F,Fact_Milestone!$A:$A,$B240,Fact_Milestone!$B:$B,$AL240,Fact_Milestone!$F:$F,"&gt;0"),VLOOKUP($AL240,Dim_TOP!$A:$E,5,0)),0.5),"")))</f>
        <v/>
      </c>
      <c r="AP240" s="22" t="str">
        <f aca="false">IF($A240="","",IF($U240="","",ROUND(($U240-INT($U240))*24,4)))</f>
        <v/>
      </c>
      <c r="AQ240" s="22" t="str">
        <f aca="false">IF($A240="","",IF($W240="","",ROUND(($W240-INT($W240))*24,4)))</f>
        <v/>
      </c>
      <c r="AR240" s="22" t="str">
        <f aca="false">IF($A240="","",IF($X240="","",ROUND(($X240-INT($X240))*24,4)))</f>
        <v/>
      </c>
      <c r="AS240" s="38" t="str">
        <f aca="false">IF($A240="","",IF(OR($AN240="",$V240="",$S240="",$T240=""),"",ROUND(($V240-($B240+$AN240/24))*1440-$S240-$T240,0)))</f>
        <v/>
      </c>
      <c r="AT240" s="38" t="str">
        <f aca="false">IF($A240="","",IF(OR($AN240="",$U240=""),"",ROUND(($U240-($B240+$AN240/24))*1440,0)))</f>
        <v/>
      </c>
      <c r="AU240" s="38" t="str">
        <f aca="false">IF($A240="","",IF(OR($AD240="",$S240=""),"",ROUND($AD240-$S240,0)))</f>
        <v/>
      </c>
      <c r="AV240" s="38" t="str">
        <f aca="false">IF($A240="","",N($AE240))</f>
        <v/>
      </c>
      <c r="AW240" s="38" t="str">
        <f aca="false">IF($A240="","",IF(OR($AF240="",$T240=""),"",$AF240-$T240))</f>
        <v/>
      </c>
      <c r="AX240" s="38" t="str">
        <f aca="false">IF($A240="","",IF(COUNT($AT240,$AB240,$AU240,$AW240,$AS240,$AH240)&lt;6,"",ROUND($AT240+$AB240+$AU240+$AV240+$AW240-$AS240-$AH240,0)))</f>
        <v/>
      </c>
      <c r="AY240" s="4" t="str">
        <f aca="false">IF($A240="","",IF($AX240="","No",IF(ABS($AX240)&lt;=2,"Yes","No")))</f>
        <v/>
      </c>
      <c r="AZ240" s="4" t="str">
        <f aca="false">IF($A240="","",IF($AI240&lt;&gt;"Yes","n/a",IF(OR($AA240="",$S240="",$T240=""),"Unknown",IF($AA240&lt;$S240+$T240,"Lost on arrival","Lost after arrival"))))</f>
        <v/>
      </c>
      <c r="BA240" s="10" t="str">
        <f aca="false">IF($A240="","",IFERROR(VLOOKUP($C240,Dim_Fund!$A:$D,4,0),""))</f>
        <v/>
      </c>
      <c r="BB240" s="10" t="str">
        <f aca="false">IF($A240="","",IF($AL240="","",IF(COUNTIFS(Fact_Milestone!$A:$A,$B240,Fact_Milestone!$B:$B,$AL240,Fact_Milestone!$I:$I,"No")&gt;0,"No",IF(COUNTIFS(Fact_Milestone!$A:$A,$B240,Fact_Milestone!$B:$B,$AL240,Fact_Milestone!$I:$I,"Yes")&gt;0,"Yes",""))))</f>
        <v/>
      </c>
      <c r="BC240" s="45" t="str">
        <f aca="false">IF($A240="","",IF(OR($L240="",$W240=""),"",IF(COUNTIFS($L:$L,$L240,$B:$B,$B240,$W:$W,"&lt;"&amp;$W240)=0,"",_xlfn.MAXIFS($W:$W,$L:$L,$L240,$B:$B,$B240,$W:$W,"&lt;"&amp;$W240))))</f>
        <v/>
      </c>
      <c r="BD240" s="39" t="str">
        <f aca="false">IF($A240="","",IF($AC240="","",IF(OR($L240="",$AC240=0),0,MIN($AC240,ROUND(ROUND(1440*SUMPRODUCT(($L$2:INDEX($L:$L,COUNTA($C:$C))=$L240)*($B$2:INDEX($B:$B,COUNTA($C:$C))=$B240)*(ROW($L$2:INDEX($L:$L,COUNTA($C:$C)))&lt;&gt;ROW())*((((($W240+$BT$2:INDEX($BT:$BT,COUNTA($C:$C))-ABS($W240-$BT$2:INDEX($BT:$BT,COUNTA($C:$C))))/2)-(($U240+$BS$2:INDEX($BS:$BS,COUNTA($C:$C))+ABS($U240-$BS$2:INDEX($BS:$BS,COUNTA($C:$C))))/2))+ABS(((($W240+$BT$2:INDEX($BT:$BT,COUNTA($C:$C))-ABS($W240-$BT$2:INDEX($BT:$BT,COUNTA($C:$C))))/2)-(($U240+$BS$2:INDEX($BS:$BS,COUNTA($C:$C))+ABS($U240-$BS$2:INDEX($BS:$BS,COUNTA($C:$C))))/2))))/2)),4),0)))))</f>
        <v/>
      </c>
      <c r="BE240" s="39" t="str">
        <f aca="false">IF($A240="","",IF($AC240="","",ROUND(MIN($AC240-$BD240,N($R240)),0)))</f>
        <v/>
      </c>
      <c r="BF240" s="10" t="str">
        <f aca="false">IF($A240="","",IFERROR(VLOOKUP($C240,Dim_Fund!$A:$BD,56,0),""))</f>
        <v/>
      </c>
      <c r="BG240" s="10" t="str">
        <f aca="false">IF($A240="","",IFERROR(VLOOKUP($C240,Dim_Fund!$A:$BH,60,0),""))</f>
        <v/>
      </c>
      <c r="BH240" s="10" t="str">
        <f aca="false">IF($A240="","",IF($AI240&lt;&gt;"Yes","Not breached",IF($AM240="Yes","Pricing late",IF($BG240="Thin custody slack","Thin custody slack",IF($BF240="Yes","Broker-dependent","None of these")))))</f>
        <v/>
      </c>
      <c r="BI240" s="23" t="str">
        <f aca="false">IF($A240="","",IFERROR(IF(VLOOKUP($C240,Dim_Fund!$A:$AI,35,0)&gt;0,VLOOKUP($C240,Dim_Fund!$A:$AI,35,0),""),""))</f>
        <v/>
      </c>
      <c r="BJ240" s="10" t="str">
        <f aca="false">IF($A240="","",$C240&amp;IF($E240="Client","*",""))</f>
        <v/>
      </c>
      <c r="BK240" s="39" t="str">
        <f aca="false">IF($A240="","",IFERROR(ROUND(($Y240-$X240)*1440,0),""))</f>
        <v/>
      </c>
      <c r="BL240" s="39" t="str">
        <f aca="false">IF($A240="","",IF($AH240="","",-$AH240))</f>
        <v/>
      </c>
      <c r="BM240" s="46" t="str">
        <f aca="false">IF($A240="","",IF($AQ240="","",IF($AP240="",$AQ240,MIN($AP240,$AQ240))))</f>
        <v/>
      </c>
      <c r="BN240" s="46" t="str">
        <f aca="false">IF($A240="","",IF($BM240="","",ROUND(N($AC240)/60,4)))</f>
        <v/>
      </c>
      <c r="BO240" s="46" t="str">
        <f aca="false">IF($A240="","",IF(OR($BM240="",$AD240=""),"",ROUND($AD240/60,4)))</f>
        <v/>
      </c>
      <c r="BP240" s="46" t="str">
        <f aca="false">IF($A240="","",IF($BM240="","",ROUND(N($AE240)/60,4)))</f>
        <v/>
      </c>
      <c r="BQ240" s="46" t="str">
        <f aca="false">IF($A240="","",IF(OR($BM240="",$AF240=""),"",ROUND($AF240/60,4)))</f>
        <v/>
      </c>
      <c r="BR240" s="39" t="str">
        <f aca="false">IF($A240="","",IF($AC240="","",$AC240-$BD240-$BE240))</f>
        <v/>
      </c>
      <c r="BS240" s="45" t="str">
        <f aca="false">IF($A240="","",IF(AND(ISNUMBER($Z240),ISNUMBER($W240)),$Z240,0))</f>
        <v/>
      </c>
      <c r="BT240" s="45" t="str">
        <f aca="false">IF($A240="","",IF(ISNUMBER($W240),$W240,0))</f>
        <v/>
      </c>
      <c r="BU240" s="23" t="str">
        <f aca="false">IF($A240="","",IF(ISNUMBER($W240),ROUND(($W240-$B240)*24,4),""))</f>
        <v/>
      </c>
      <c r="BV240" s="23" t="str">
        <f aca="false">IF($A240="","",IF(ISNUMBER($X240),ROUND(($X240-$B240)*24,4),""))</f>
        <v/>
      </c>
      <c r="BW240" s="10" t="str">
        <f aca="false">IF($A240="","",IF(NOT(ISNUMBER($W240)),"Missing Calculated",IF(NOT(ISNUMBER($X240)),IF($E240="Client","Missing FA signed off","Missing Controlled"),IF($X240&lt;$W240,"End before start","OK"))))</f>
        <v/>
      </c>
      <c r="BX240" s="23" t="str">
        <f aca="false">IF($A240="","",IF(NOT(ISNUMBER($Z240)),"",ROUND((IF(ISNUMBER($U240),MIN($U240,$Z240),$Z240)-$B240)*24,4)))</f>
        <v/>
      </c>
      <c r="BY240" s="23" t="str">
        <f aca="false">IF($A240="","",IF(ISNUMBER($Z240),ROUND(($Z240-$B240)*24,4),""))</f>
        <v/>
      </c>
      <c r="BZ240" s="23" t="str">
        <f aca="false">IF($A240="","",IF(AND(ISNUMBER($W240),ISNUMBER($S240)),ROUND(($W240+$S240/1440-$B240)*24,4),""))</f>
        <v/>
      </c>
    </row>
    <row r="241" customFormat="false" ht="15" hidden="false" customHeight="true" outlineLevel="0" collapsed="false">
      <c r="A241" s="47"/>
      <c r="B241" s="47"/>
      <c r="D241" s="4" t="str">
        <f aca="false">IF($A241="","",$B241-$A241)</f>
        <v/>
      </c>
      <c r="E241" s="4" t="str">
        <f aca="false">IF($A241="","",IFERROR(VLOOKUP($C241,Dim_Fund!$A:$X,24,0),""))</f>
        <v/>
      </c>
      <c r="F241" s="37" t="str">
        <f aca="false">IF($A241="","",IF(COUNTIFS(Status_Log!$A:$A,$A241,Status_Log!$B:$B,$B241,Status_Log!$C:$C,$C241,Status_Log!$D:$D,"Changed to the status of Calculated")=0,"",_xlfn.MINIFS(Status_Log!$E:$E,Status_Log!$A:$A,$A241,Status_Log!$B:$B,$B241,Status_Log!$C:$C,$C241,Status_Log!$D:$D,"Changed to the status of Calculated")))</f>
        <v/>
      </c>
      <c r="G241" s="37" t="str">
        <f aca="false">IF($A241="","",IF(COUNTIFS(Status_Log!$A:$A,$A241,Status_Log!$B:$B,$B241,Status_Log!$C:$C,$C241,Status_Log!$D:$D,"Changed to the status of Controlled")=0,"",_xlfn.MAXIFS(Status_Log!$E:$E,Status_Log!$A:$A,$A241,Status_Log!$B:$B,$B241,Status_Log!$C:$C,$C241,Status_Log!$D:$D,"Changed to the status of Controlled")))</f>
        <v/>
      </c>
      <c r="H241" s="37" t="str">
        <f aca="false">IF($A241="","",IF(COUNTIFS(Status_Log!$A:$A,$A241,Status_Log!$B:$B,$B241,Status_Log!$C:$C,$C241,Status_Log!$D:$D,"Changed to the status of Fund accounting signed off")=0,"",_xlfn.MAXIFS(Status_Log!$E:$E,Status_Log!$A:$A,$A241,Status_Log!$B:$B,$B241,Status_Log!$C:$C,$C241,Status_Log!$D:$D,"Changed to the status of Fund accounting signed off")))</f>
        <v/>
      </c>
      <c r="I241" s="37" t="str">
        <f aca="false">IF($A241="","",IF(COUNTIFS(Status_Log!$A:$A,$A241,Status_Log!$B:$B,$B241,Status_Log!$C:$C,$C241,Status_Log!$D:$D,"Changed to the status of signed off")=0,"",_xlfn.MAXIFS(Status_Log!$E:$E,Status_Log!$A:$A,$A241,Status_Log!$B:$B,$B241,Status_Log!$C:$C,$C241,Status_Log!$D:$D,"Changed to the status of signed off")))</f>
        <v/>
      </c>
      <c r="J241" s="4" t="str">
        <f aca="false">IF($A241="","",COUNTIFS(Status_Log!$A:$A,$A241,Status_Log!$B:$B,$B241,Status_Log!$C:$C,$C241,Status_Log!$D:$D,"Changed to the status of Calculated"))</f>
        <v/>
      </c>
      <c r="K241" s="38" t="str">
        <f aca="false">IF($A241="","",IF(J241&lt;=1,0,ROUND((_xlfn.MAXIFS(Status_Log!$E:$E,Status_Log!$A:$A,$A241,Status_Log!$B:$B,$B241,Status_Log!$C:$C,$C241,Status_Log!$D:$D,"Changed to the status of Calculated")-F241)*1440,0)))</f>
        <v/>
      </c>
      <c r="L241" s="4" t="str">
        <f aca="false">IF($A241="","",IFERROR(INDEX(Status_Log!$F:$F,MATCH($A241&amp;"|"&amp;$B241&amp;"|"&amp;$C241&amp;"|Changed to the status of Calculated|"&amp;TEXT(_xlfn.MAXIFS(Status_Log!$E:$E,Status_Log!$A:$A,$A241,Status_Log!$B:$B,$B241,Status_Log!$C:$C,$C241,Status_Log!$D:$D,"Changed to the status of Calculated"),"0.000000"),Status_Log!$H:$H,0)),""))</f>
        <v/>
      </c>
      <c r="M241" s="4" t="str">
        <f aca="false">IF($A241="","",IF(E241="Client","n/a — no control step",IFERROR(INDEX(Status_Log!$F:$F,MATCH($A241&amp;"|"&amp;$B241&amp;"|"&amp;$C241&amp;"|Changed to the status of Controlled|"&amp;TEXT(_xlfn.MAXIFS(Status_Log!$E:$E,Status_Log!$A:$A,$A241,Status_Log!$B:$B,$B241,Status_Log!$C:$C,$C241,Status_Log!$D:$D,"Changed to the status of Controlled"),"0.000000"),Status_Log!$H:$H,0)),"")))</f>
        <v/>
      </c>
      <c r="N241" s="4" t="str">
        <f aca="false">IF($A241="","",IFERROR(VLOOKUP($C241,Dim_Fund!$A:$G,7,0),""))</f>
        <v/>
      </c>
      <c r="O241" s="4" t="str">
        <f aca="false">IF($A241="","",IF(L241=N241,"No","Yes"))</f>
        <v/>
      </c>
      <c r="P241" s="4" t="str">
        <f aca="false">IF($A241="","",IF(E241="Client","n/a",IF(L241=M241,"YES — four-eyes breach","No")))</f>
        <v/>
      </c>
      <c r="Q241" s="38" t="str">
        <f aca="false">IF($A241="","",IFERROR(VLOOKUP($C241,Dim_Fund!$A:$AB,28,0),""))</f>
        <v/>
      </c>
      <c r="R241" s="38" t="str">
        <f aca="false">IF($A241="","",IFERROR(VLOOKUP($C241,Dim_Fund!$A:$AC,29,0),""))</f>
        <v/>
      </c>
      <c r="S241" s="38" t="str">
        <f aca="false">IF($A241="","",IFERROR(VLOOKUP($C241,Dim_Fund!$A:$AD,30,0),""))</f>
        <v/>
      </c>
      <c r="T241" s="38" t="str">
        <f aca="false">IF($A241="","",IFERROR(VLOOKUP($C241,Dim_Fund!$A:$AL,38,0),""))</f>
        <v/>
      </c>
      <c r="U241" s="37" t="str">
        <f aca="false">IF($A241="","",IF(AL241="","",IFERROR(IF(COUNTIFS(Fact_Milestone!$A:$A,$B241,Fact_Milestone!$B:$B,AL241)=0,"",_xlfn.MAXIFS(Fact_Milestone!$C:$C,Fact_Milestone!$A:$A,$B241,Fact_Milestone!$B:$B,AL241)),"")))</f>
        <v/>
      </c>
      <c r="V241" s="37" t="str">
        <f aca="false">IF($A241="","",IFERROR(IF(VLOOKUP($C241,Dim_Fund!$A:$AI,35,0)&gt;0,$B241+VLOOKUP($C241,Dim_Fund!$A:$AI,35,0)/24,""),""))</f>
        <v/>
      </c>
      <c r="W241" s="37" t="str">
        <f aca="false">IF($A241="","",F241)</f>
        <v/>
      </c>
      <c r="X241" s="37" t="str">
        <f aca="false">IF($A241="","",IF(E241="Client",H241,G241))</f>
        <v/>
      </c>
      <c r="Y241" s="37" t="str">
        <f aca="false">IF($A241="","",I241)</f>
        <v/>
      </c>
      <c r="Z241" s="37" t="str">
        <f aca="false">IF($A241="","",IFERROR(W241-R241/1440,""))</f>
        <v/>
      </c>
      <c r="AA241" s="38" t="str">
        <f aca="false">IF($A241="","",IF(OR(U241="",V241=""),"",ROUND((V241-U241)*1440,0)))</f>
        <v/>
      </c>
      <c r="AB241" s="38" t="str">
        <f aca="false">IF($A241="","",IF(U241="","",ROUND((W241-U241)*1440,0)))</f>
        <v/>
      </c>
      <c r="AC241" s="38" t="str">
        <f aca="false">IF($A241="","",IF(AB241="","",MAX(0,AB241)))</f>
        <v/>
      </c>
      <c r="AD241" s="38" t="str">
        <f aca="false">IF($A241="","",IFERROR(ROUND((X241-W241)*1440,0),""))</f>
        <v/>
      </c>
      <c r="AE241" s="38" t="str">
        <f aca="false">IF($A241="","",IF(E241="Client","n/a",IFERROR(ROUND((H241-G241)*1440,0),"")))</f>
        <v/>
      </c>
      <c r="AF241" s="38" t="str">
        <f aca="false">IF($A241="","",IFERROR(ROUND((Y241-H241)*1440,0),""))</f>
        <v/>
      </c>
      <c r="AG241" s="38" t="str">
        <f aca="false">IF($A241="","",IFERROR(ROUND((H241-F241)*1440,0),""))</f>
        <v/>
      </c>
      <c r="AH241" s="38" t="str">
        <f aca="false">IF($A241="","",IFERROR(ROUND((Y241-V241)*1440,0),""))</f>
        <v/>
      </c>
      <c r="AI241" s="4" t="str">
        <f aca="false">IF($A241="","",IF(AH241="","",IF(AH241&gt;0,"Yes","No")))</f>
        <v/>
      </c>
      <c r="AJ241" s="4" t="str">
        <f aca="false">IF($A241="","",IF(AI241&lt;&gt;"Yes","On time",IF(N(AC241)&gt;=MAX(N(AF241),N(K241)),"Wait for analyst",IF(N(AF241)&gt;=N(K241),"External sign-off","Rework"))))</f>
        <v/>
      </c>
      <c r="AK241" s="4" t="str">
        <f aca="false">IF($A241="","",IF(OR(F241="",Y241="",ISNA(MATCH(L241,Dim_Analyst!$A:$A,0))),"CHECK","OK"))</f>
        <v/>
      </c>
      <c r="AL241" s="4" t="str">
        <f aca="false">IF($A241="","",IFERROR(VLOOKUP($C241,Dim_Fund!$A:$U,21,0),""))</f>
        <v/>
      </c>
      <c r="AM241" s="4" t="str">
        <f aca="false">IF($A241="","",IF($U241="","",IF($U241&gt;$B241+IFERROR(VLOOKUP($C241,Dim_Fund!$A:$AH,34,0),0)/24,"Yes","No")))</f>
        <v/>
      </c>
      <c r="AN241" s="22" t="str">
        <f aca="false">IF($A241="","",IFERROR(VLOOKUP($C241,Dim_Fund!$A:$AH,34,0),""))</f>
        <v/>
      </c>
      <c r="AO241" s="22" t="str">
        <f aca="false">IF($A241="","",IF($AL241="","",IFERROR(FLOOR(IF(COUNTIFS(Fact_Milestone!$A:$A,$B241,Fact_Milestone!$B:$B,$AL241,Fact_Milestone!$F:$F,"&gt;0")&gt;0,_xlfn.MINIFS(Fact_Milestone!$F:$F,Fact_Milestone!$A:$A,$B241,Fact_Milestone!$B:$B,$AL241,Fact_Milestone!$F:$F,"&gt;0"),VLOOKUP($AL241,Dim_TOP!$A:$E,5,0)),0.5),"")))</f>
        <v/>
      </c>
      <c r="AP241" s="22" t="str">
        <f aca="false">IF($A241="","",IF($U241="","",ROUND(($U241-INT($U241))*24,4)))</f>
        <v/>
      </c>
      <c r="AQ241" s="22" t="str">
        <f aca="false">IF($A241="","",IF($W241="","",ROUND(($W241-INT($W241))*24,4)))</f>
        <v/>
      </c>
      <c r="AR241" s="22" t="str">
        <f aca="false">IF($A241="","",IF($X241="","",ROUND(($X241-INT($X241))*24,4)))</f>
        <v/>
      </c>
      <c r="AS241" s="38" t="str">
        <f aca="false">IF($A241="","",IF(OR($AN241="",$V241="",$S241="",$T241=""),"",ROUND(($V241-($B241+$AN241/24))*1440-$S241-$T241,0)))</f>
        <v/>
      </c>
      <c r="AT241" s="38" t="str">
        <f aca="false">IF($A241="","",IF(OR($AN241="",$U241=""),"",ROUND(($U241-($B241+$AN241/24))*1440,0)))</f>
        <v/>
      </c>
      <c r="AU241" s="38" t="str">
        <f aca="false">IF($A241="","",IF(OR($AD241="",$S241=""),"",ROUND($AD241-$S241,0)))</f>
        <v/>
      </c>
      <c r="AV241" s="38" t="str">
        <f aca="false">IF($A241="","",N($AE241))</f>
        <v/>
      </c>
      <c r="AW241" s="38" t="str">
        <f aca="false">IF($A241="","",IF(OR($AF241="",$T241=""),"",$AF241-$T241))</f>
        <v/>
      </c>
      <c r="AX241" s="38" t="str">
        <f aca="false">IF($A241="","",IF(COUNT($AT241,$AB241,$AU241,$AW241,$AS241,$AH241)&lt;6,"",ROUND($AT241+$AB241+$AU241+$AV241+$AW241-$AS241-$AH241,0)))</f>
        <v/>
      </c>
      <c r="AY241" s="4" t="str">
        <f aca="false">IF($A241="","",IF($AX241="","No",IF(ABS($AX241)&lt;=2,"Yes","No")))</f>
        <v/>
      </c>
      <c r="AZ241" s="4" t="str">
        <f aca="false">IF($A241="","",IF($AI241&lt;&gt;"Yes","n/a",IF(OR($AA241="",$S241="",$T241=""),"Unknown",IF($AA241&lt;$S241+$T241,"Lost on arrival","Lost after arrival"))))</f>
        <v/>
      </c>
      <c r="BA241" s="10" t="str">
        <f aca="false">IF($A241="","",IFERROR(VLOOKUP($C241,Dim_Fund!$A:$D,4,0),""))</f>
        <v/>
      </c>
      <c r="BB241" s="10" t="str">
        <f aca="false">IF($A241="","",IF($AL241="","",IF(COUNTIFS(Fact_Milestone!$A:$A,$B241,Fact_Milestone!$B:$B,$AL241,Fact_Milestone!$I:$I,"No")&gt;0,"No",IF(COUNTIFS(Fact_Milestone!$A:$A,$B241,Fact_Milestone!$B:$B,$AL241,Fact_Milestone!$I:$I,"Yes")&gt;0,"Yes",""))))</f>
        <v/>
      </c>
      <c r="BC241" s="45" t="str">
        <f aca="false">IF($A241="","",IF(OR($L241="",$W241=""),"",IF(COUNTIFS($L:$L,$L241,$B:$B,$B241,$W:$W,"&lt;"&amp;$W241)=0,"",_xlfn.MAXIFS($W:$W,$L:$L,$L241,$B:$B,$B241,$W:$W,"&lt;"&amp;$W241))))</f>
        <v/>
      </c>
      <c r="BD241" s="39" t="str">
        <f aca="false">IF($A241="","",IF($AC241="","",IF(OR($L241="",$AC241=0),0,MIN($AC241,ROUND(ROUND(1440*SUMPRODUCT(($L$2:INDEX($L:$L,COUNTA($C:$C))=$L241)*($B$2:INDEX($B:$B,COUNTA($C:$C))=$B241)*(ROW($L$2:INDEX($L:$L,COUNTA($C:$C)))&lt;&gt;ROW())*((((($W241+$BT$2:INDEX($BT:$BT,COUNTA($C:$C))-ABS($W241-$BT$2:INDEX($BT:$BT,COUNTA($C:$C))))/2)-(($U241+$BS$2:INDEX($BS:$BS,COUNTA($C:$C))+ABS($U241-$BS$2:INDEX($BS:$BS,COUNTA($C:$C))))/2))+ABS(((($W241+$BT$2:INDEX($BT:$BT,COUNTA($C:$C))-ABS($W241-$BT$2:INDEX($BT:$BT,COUNTA($C:$C))))/2)-(($U241+$BS$2:INDEX($BS:$BS,COUNTA($C:$C))+ABS($U241-$BS$2:INDEX($BS:$BS,COUNTA($C:$C))))/2))))/2)),4),0)))))</f>
        <v/>
      </c>
      <c r="BE241" s="39" t="str">
        <f aca="false">IF($A241="","",IF($AC241="","",ROUND(MIN($AC241-$BD241,N($R241)),0)))</f>
        <v/>
      </c>
      <c r="BF241" s="10" t="str">
        <f aca="false">IF($A241="","",IFERROR(VLOOKUP($C241,Dim_Fund!$A:$BD,56,0),""))</f>
        <v/>
      </c>
      <c r="BG241" s="10" t="str">
        <f aca="false">IF($A241="","",IFERROR(VLOOKUP($C241,Dim_Fund!$A:$BH,60,0),""))</f>
        <v/>
      </c>
      <c r="BH241" s="10" t="str">
        <f aca="false">IF($A241="","",IF($AI241&lt;&gt;"Yes","Not breached",IF($AM241="Yes","Pricing late",IF($BG241="Thin custody slack","Thin custody slack",IF($BF241="Yes","Broker-dependent","None of these")))))</f>
        <v/>
      </c>
      <c r="BI241" s="23" t="str">
        <f aca="false">IF($A241="","",IFERROR(IF(VLOOKUP($C241,Dim_Fund!$A:$AI,35,0)&gt;0,VLOOKUP($C241,Dim_Fund!$A:$AI,35,0),""),""))</f>
        <v/>
      </c>
      <c r="BJ241" s="10" t="str">
        <f aca="false">IF($A241="","",$C241&amp;IF($E241="Client","*",""))</f>
        <v/>
      </c>
      <c r="BK241" s="39" t="str">
        <f aca="false">IF($A241="","",IFERROR(ROUND(($Y241-$X241)*1440,0),""))</f>
        <v/>
      </c>
      <c r="BL241" s="39" t="str">
        <f aca="false">IF($A241="","",IF($AH241="","",-$AH241))</f>
        <v/>
      </c>
      <c r="BM241" s="46" t="str">
        <f aca="false">IF($A241="","",IF($AQ241="","",IF($AP241="",$AQ241,MIN($AP241,$AQ241))))</f>
        <v/>
      </c>
      <c r="BN241" s="46" t="str">
        <f aca="false">IF($A241="","",IF($BM241="","",ROUND(N($AC241)/60,4)))</f>
        <v/>
      </c>
      <c r="BO241" s="46" t="str">
        <f aca="false">IF($A241="","",IF(OR($BM241="",$AD241=""),"",ROUND($AD241/60,4)))</f>
        <v/>
      </c>
      <c r="BP241" s="46" t="str">
        <f aca="false">IF($A241="","",IF($BM241="","",ROUND(N($AE241)/60,4)))</f>
        <v/>
      </c>
      <c r="BQ241" s="46" t="str">
        <f aca="false">IF($A241="","",IF(OR($BM241="",$AF241=""),"",ROUND($AF241/60,4)))</f>
        <v/>
      </c>
      <c r="BR241" s="39" t="str">
        <f aca="false">IF($A241="","",IF($AC241="","",$AC241-$BD241-$BE241))</f>
        <v/>
      </c>
      <c r="BS241" s="45" t="str">
        <f aca="false">IF($A241="","",IF(AND(ISNUMBER($Z241),ISNUMBER($W241)),$Z241,0))</f>
        <v/>
      </c>
      <c r="BT241" s="45" t="str">
        <f aca="false">IF($A241="","",IF(ISNUMBER($W241),$W241,0))</f>
        <v/>
      </c>
      <c r="BU241" s="23" t="str">
        <f aca="false">IF($A241="","",IF(ISNUMBER($W241),ROUND(($W241-$B241)*24,4),""))</f>
        <v/>
      </c>
      <c r="BV241" s="23" t="str">
        <f aca="false">IF($A241="","",IF(ISNUMBER($X241),ROUND(($X241-$B241)*24,4),""))</f>
        <v/>
      </c>
      <c r="BW241" s="10" t="str">
        <f aca="false">IF($A241="","",IF(NOT(ISNUMBER($W241)),"Missing Calculated",IF(NOT(ISNUMBER($X241)),IF($E241="Client","Missing FA signed off","Missing Controlled"),IF($X241&lt;$W241,"End before start","OK"))))</f>
        <v/>
      </c>
      <c r="BX241" s="23" t="str">
        <f aca="false">IF($A241="","",IF(NOT(ISNUMBER($Z241)),"",ROUND((IF(ISNUMBER($U241),MIN($U241,$Z241),$Z241)-$B241)*24,4)))</f>
        <v/>
      </c>
      <c r="BY241" s="23" t="str">
        <f aca="false">IF($A241="","",IF(ISNUMBER($Z241),ROUND(($Z241-$B241)*24,4),""))</f>
        <v/>
      </c>
      <c r="BZ241" s="23" t="str">
        <f aca="false">IF($A241="","",IF(AND(ISNUMBER($W241),ISNUMBER($S241)),ROUND(($W241+$S241/1440-$B241)*24,4),""))</f>
        <v/>
      </c>
    </row>
    <row r="242" customFormat="false" ht="15" hidden="false" customHeight="true" outlineLevel="0" collapsed="false">
      <c r="A242" s="47"/>
      <c r="B242" s="47"/>
      <c r="D242" s="4" t="str">
        <f aca="false">IF($A242="","",$B242-$A242)</f>
        <v/>
      </c>
      <c r="E242" s="4" t="str">
        <f aca="false">IF($A242="","",IFERROR(VLOOKUP($C242,Dim_Fund!$A:$X,24,0),""))</f>
        <v/>
      </c>
      <c r="F242" s="37" t="str">
        <f aca="false">IF($A242="","",IF(COUNTIFS(Status_Log!$A:$A,$A242,Status_Log!$B:$B,$B242,Status_Log!$C:$C,$C242,Status_Log!$D:$D,"Changed to the status of Calculated")=0,"",_xlfn.MINIFS(Status_Log!$E:$E,Status_Log!$A:$A,$A242,Status_Log!$B:$B,$B242,Status_Log!$C:$C,$C242,Status_Log!$D:$D,"Changed to the status of Calculated")))</f>
        <v/>
      </c>
      <c r="G242" s="37" t="str">
        <f aca="false">IF($A242="","",IF(COUNTIFS(Status_Log!$A:$A,$A242,Status_Log!$B:$B,$B242,Status_Log!$C:$C,$C242,Status_Log!$D:$D,"Changed to the status of Controlled")=0,"",_xlfn.MAXIFS(Status_Log!$E:$E,Status_Log!$A:$A,$A242,Status_Log!$B:$B,$B242,Status_Log!$C:$C,$C242,Status_Log!$D:$D,"Changed to the status of Controlled")))</f>
        <v/>
      </c>
      <c r="H242" s="37" t="str">
        <f aca="false">IF($A242="","",IF(COUNTIFS(Status_Log!$A:$A,$A242,Status_Log!$B:$B,$B242,Status_Log!$C:$C,$C242,Status_Log!$D:$D,"Changed to the status of Fund accounting signed off")=0,"",_xlfn.MAXIFS(Status_Log!$E:$E,Status_Log!$A:$A,$A242,Status_Log!$B:$B,$B242,Status_Log!$C:$C,$C242,Status_Log!$D:$D,"Changed to the status of Fund accounting signed off")))</f>
        <v/>
      </c>
      <c r="I242" s="37" t="str">
        <f aca="false">IF($A242="","",IF(COUNTIFS(Status_Log!$A:$A,$A242,Status_Log!$B:$B,$B242,Status_Log!$C:$C,$C242,Status_Log!$D:$D,"Changed to the status of signed off")=0,"",_xlfn.MAXIFS(Status_Log!$E:$E,Status_Log!$A:$A,$A242,Status_Log!$B:$B,$B242,Status_Log!$C:$C,$C242,Status_Log!$D:$D,"Changed to the status of signed off")))</f>
        <v/>
      </c>
      <c r="J242" s="4" t="str">
        <f aca="false">IF($A242="","",COUNTIFS(Status_Log!$A:$A,$A242,Status_Log!$B:$B,$B242,Status_Log!$C:$C,$C242,Status_Log!$D:$D,"Changed to the status of Calculated"))</f>
        <v/>
      </c>
      <c r="K242" s="38" t="str">
        <f aca="false">IF($A242="","",IF(J242&lt;=1,0,ROUND((_xlfn.MAXIFS(Status_Log!$E:$E,Status_Log!$A:$A,$A242,Status_Log!$B:$B,$B242,Status_Log!$C:$C,$C242,Status_Log!$D:$D,"Changed to the status of Calculated")-F242)*1440,0)))</f>
        <v/>
      </c>
      <c r="L242" s="4" t="str">
        <f aca="false">IF($A242="","",IFERROR(INDEX(Status_Log!$F:$F,MATCH($A242&amp;"|"&amp;$B242&amp;"|"&amp;$C242&amp;"|Changed to the status of Calculated|"&amp;TEXT(_xlfn.MAXIFS(Status_Log!$E:$E,Status_Log!$A:$A,$A242,Status_Log!$B:$B,$B242,Status_Log!$C:$C,$C242,Status_Log!$D:$D,"Changed to the status of Calculated"),"0.000000"),Status_Log!$H:$H,0)),""))</f>
        <v/>
      </c>
      <c r="M242" s="4" t="str">
        <f aca="false">IF($A242="","",IF(E242="Client","n/a — no control step",IFERROR(INDEX(Status_Log!$F:$F,MATCH($A242&amp;"|"&amp;$B242&amp;"|"&amp;$C242&amp;"|Changed to the status of Controlled|"&amp;TEXT(_xlfn.MAXIFS(Status_Log!$E:$E,Status_Log!$A:$A,$A242,Status_Log!$B:$B,$B242,Status_Log!$C:$C,$C242,Status_Log!$D:$D,"Changed to the status of Controlled"),"0.000000"),Status_Log!$H:$H,0)),"")))</f>
        <v/>
      </c>
      <c r="N242" s="4" t="str">
        <f aca="false">IF($A242="","",IFERROR(VLOOKUP($C242,Dim_Fund!$A:$G,7,0),""))</f>
        <v/>
      </c>
      <c r="O242" s="4" t="str">
        <f aca="false">IF($A242="","",IF(L242=N242,"No","Yes"))</f>
        <v/>
      </c>
      <c r="P242" s="4" t="str">
        <f aca="false">IF($A242="","",IF(E242="Client","n/a",IF(L242=M242,"YES — four-eyes breach","No")))</f>
        <v/>
      </c>
      <c r="Q242" s="38" t="str">
        <f aca="false">IF($A242="","",IFERROR(VLOOKUP($C242,Dim_Fund!$A:$AB,28,0),""))</f>
        <v/>
      </c>
      <c r="R242" s="38" t="str">
        <f aca="false">IF($A242="","",IFERROR(VLOOKUP($C242,Dim_Fund!$A:$AC,29,0),""))</f>
        <v/>
      </c>
      <c r="S242" s="38" t="str">
        <f aca="false">IF($A242="","",IFERROR(VLOOKUP($C242,Dim_Fund!$A:$AD,30,0),""))</f>
        <v/>
      </c>
      <c r="T242" s="38" t="str">
        <f aca="false">IF($A242="","",IFERROR(VLOOKUP($C242,Dim_Fund!$A:$AL,38,0),""))</f>
        <v/>
      </c>
      <c r="U242" s="37" t="str">
        <f aca="false">IF($A242="","",IF(AL242="","",IFERROR(IF(COUNTIFS(Fact_Milestone!$A:$A,$B242,Fact_Milestone!$B:$B,AL242)=0,"",_xlfn.MAXIFS(Fact_Milestone!$C:$C,Fact_Milestone!$A:$A,$B242,Fact_Milestone!$B:$B,AL242)),"")))</f>
        <v/>
      </c>
      <c r="V242" s="37" t="str">
        <f aca="false">IF($A242="","",IFERROR(IF(VLOOKUP($C242,Dim_Fund!$A:$AI,35,0)&gt;0,$B242+VLOOKUP($C242,Dim_Fund!$A:$AI,35,0)/24,""),""))</f>
        <v/>
      </c>
      <c r="W242" s="37" t="str">
        <f aca="false">IF($A242="","",F242)</f>
        <v/>
      </c>
      <c r="X242" s="37" t="str">
        <f aca="false">IF($A242="","",IF(E242="Client",H242,G242))</f>
        <v/>
      </c>
      <c r="Y242" s="37" t="str">
        <f aca="false">IF($A242="","",I242)</f>
        <v/>
      </c>
      <c r="Z242" s="37" t="str">
        <f aca="false">IF($A242="","",IFERROR(W242-R242/1440,""))</f>
        <v/>
      </c>
      <c r="AA242" s="38" t="str">
        <f aca="false">IF($A242="","",IF(OR(U242="",V242=""),"",ROUND((V242-U242)*1440,0)))</f>
        <v/>
      </c>
      <c r="AB242" s="38" t="str">
        <f aca="false">IF($A242="","",IF(U242="","",ROUND((W242-U242)*1440,0)))</f>
        <v/>
      </c>
      <c r="AC242" s="38" t="str">
        <f aca="false">IF($A242="","",IF(AB242="","",MAX(0,AB242)))</f>
        <v/>
      </c>
      <c r="AD242" s="38" t="str">
        <f aca="false">IF($A242="","",IFERROR(ROUND((X242-W242)*1440,0),""))</f>
        <v/>
      </c>
      <c r="AE242" s="38" t="str">
        <f aca="false">IF($A242="","",IF(E242="Client","n/a",IFERROR(ROUND((H242-G242)*1440,0),"")))</f>
        <v/>
      </c>
      <c r="AF242" s="38" t="str">
        <f aca="false">IF($A242="","",IFERROR(ROUND((Y242-H242)*1440,0),""))</f>
        <v/>
      </c>
      <c r="AG242" s="38" t="str">
        <f aca="false">IF($A242="","",IFERROR(ROUND((H242-F242)*1440,0),""))</f>
        <v/>
      </c>
      <c r="AH242" s="38" t="str">
        <f aca="false">IF($A242="","",IFERROR(ROUND((Y242-V242)*1440,0),""))</f>
        <v/>
      </c>
      <c r="AI242" s="4" t="str">
        <f aca="false">IF($A242="","",IF(AH242="","",IF(AH242&gt;0,"Yes","No")))</f>
        <v/>
      </c>
      <c r="AJ242" s="4" t="str">
        <f aca="false">IF($A242="","",IF(AI242&lt;&gt;"Yes","On time",IF(N(AC242)&gt;=MAX(N(AF242),N(K242)),"Wait for analyst",IF(N(AF242)&gt;=N(K242),"External sign-off","Rework"))))</f>
        <v/>
      </c>
      <c r="AK242" s="4" t="str">
        <f aca="false">IF($A242="","",IF(OR(F242="",Y242="",ISNA(MATCH(L242,Dim_Analyst!$A:$A,0))),"CHECK","OK"))</f>
        <v/>
      </c>
      <c r="AL242" s="4" t="str">
        <f aca="false">IF($A242="","",IFERROR(VLOOKUP($C242,Dim_Fund!$A:$U,21,0),""))</f>
        <v/>
      </c>
      <c r="AM242" s="4" t="str">
        <f aca="false">IF($A242="","",IF($U242="","",IF($U242&gt;$B242+IFERROR(VLOOKUP($C242,Dim_Fund!$A:$AH,34,0),0)/24,"Yes","No")))</f>
        <v/>
      </c>
      <c r="AN242" s="22" t="str">
        <f aca="false">IF($A242="","",IFERROR(VLOOKUP($C242,Dim_Fund!$A:$AH,34,0),""))</f>
        <v/>
      </c>
      <c r="AO242" s="22" t="str">
        <f aca="false">IF($A242="","",IF($AL242="","",IFERROR(FLOOR(IF(COUNTIFS(Fact_Milestone!$A:$A,$B242,Fact_Milestone!$B:$B,$AL242,Fact_Milestone!$F:$F,"&gt;0")&gt;0,_xlfn.MINIFS(Fact_Milestone!$F:$F,Fact_Milestone!$A:$A,$B242,Fact_Milestone!$B:$B,$AL242,Fact_Milestone!$F:$F,"&gt;0"),VLOOKUP($AL242,Dim_TOP!$A:$E,5,0)),0.5),"")))</f>
        <v/>
      </c>
      <c r="AP242" s="22" t="str">
        <f aca="false">IF($A242="","",IF($U242="","",ROUND(($U242-INT($U242))*24,4)))</f>
        <v/>
      </c>
      <c r="AQ242" s="22" t="str">
        <f aca="false">IF($A242="","",IF($W242="","",ROUND(($W242-INT($W242))*24,4)))</f>
        <v/>
      </c>
      <c r="AR242" s="22" t="str">
        <f aca="false">IF($A242="","",IF($X242="","",ROUND(($X242-INT($X242))*24,4)))</f>
        <v/>
      </c>
      <c r="AS242" s="38" t="str">
        <f aca="false">IF($A242="","",IF(OR($AN242="",$V242="",$S242="",$T242=""),"",ROUND(($V242-($B242+$AN242/24))*1440-$S242-$T242,0)))</f>
        <v/>
      </c>
      <c r="AT242" s="38" t="str">
        <f aca="false">IF($A242="","",IF(OR($AN242="",$U242=""),"",ROUND(($U242-($B242+$AN242/24))*1440,0)))</f>
        <v/>
      </c>
      <c r="AU242" s="38" t="str">
        <f aca="false">IF($A242="","",IF(OR($AD242="",$S242=""),"",ROUND($AD242-$S242,0)))</f>
        <v/>
      </c>
      <c r="AV242" s="38" t="str">
        <f aca="false">IF($A242="","",N($AE242))</f>
        <v/>
      </c>
      <c r="AW242" s="38" t="str">
        <f aca="false">IF($A242="","",IF(OR($AF242="",$T242=""),"",$AF242-$T242))</f>
        <v/>
      </c>
      <c r="AX242" s="38" t="str">
        <f aca="false">IF($A242="","",IF(COUNT($AT242,$AB242,$AU242,$AW242,$AS242,$AH242)&lt;6,"",ROUND($AT242+$AB242+$AU242+$AV242+$AW242-$AS242-$AH242,0)))</f>
        <v/>
      </c>
      <c r="AY242" s="4" t="str">
        <f aca="false">IF($A242="","",IF($AX242="","No",IF(ABS($AX242)&lt;=2,"Yes","No")))</f>
        <v/>
      </c>
      <c r="AZ242" s="4" t="str">
        <f aca="false">IF($A242="","",IF($AI242&lt;&gt;"Yes","n/a",IF(OR($AA242="",$S242="",$T242=""),"Unknown",IF($AA242&lt;$S242+$T242,"Lost on arrival","Lost after arrival"))))</f>
        <v/>
      </c>
      <c r="BA242" s="10" t="str">
        <f aca="false">IF($A242="","",IFERROR(VLOOKUP($C242,Dim_Fund!$A:$D,4,0),""))</f>
        <v/>
      </c>
      <c r="BB242" s="10" t="str">
        <f aca="false">IF($A242="","",IF($AL242="","",IF(COUNTIFS(Fact_Milestone!$A:$A,$B242,Fact_Milestone!$B:$B,$AL242,Fact_Milestone!$I:$I,"No")&gt;0,"No",IF(COUNTIFS(Fact_Milestone!$A:$A,$B242,Fact_Milestone!$B:$B,$AL242,Fact_Milestone!$I:$I,"Yes")&gt;0,"Yes",""))))</f>
        <v/>
      </c>
      <c r="BC242" s="45" t="str">
        <f aca="false">IF($A242="","",IF(OR($L242="",$W242=""),"",IF(COUNTIFS($L:$L,$L242,$B:$B,$B242,$W:$W,"&lt;"&amp;$W242)=0,"",_xlfn.MAXIFS($W:$W,$L:$L,$L242,$B:$B,$B242,$W:$W,"&lt;"&amp;$W242))))</f>
        <v/>
      </c>
      <c r="BD242" s="39" t="str">
        <f aca="false">IF($A242="","",IF($AC242="","",IF(OR($L242="",$AC242=0),0,MIN($AC242,ROUND(ROUND(1440*SUMPRODUCT(($L$2:INDEX($L:$L,COUNTA($C:$C))=$L242)*($B$2:INDEX($B:$B,COUNTA($C:$C))=$B242)*(ROW($L$2:INDEX($L:$L,COUNTA($C:$C)))&lt;&gt;ROW())*((((($W242+$BT$2:INDEX($BT:$BT,COUNTA($C:$C))-ABS($W242-$BT$2:INDEX($BT:$BT,COUNTA($C:$C))))/2)-(($U242+$BS$2:INDEX($BS:$BS,COUNTA($C:$C))+ABS($U242-$BS$2:INDEX($BS:$BS,COUNTA($C:$C))))/2))+ABS(((($W242+$BT$2:INDEX($BT:$BT,COUNTA($C:$C))-ABS($W242-$BT$2:INDEX($BT:$BT,COUNTA($C:$C))))/2)-(($U242+$BS$2:INDEX($BS:$BS,COUNTA($C:$C))+ABS($U242-$BS$2:INDEX($BS:$BS,COUNTA($C:$C))))/2))))/2)),4),0)))))</f>
        <v/>
      </c>
      <c r="BE242" s="39" t="str">
        <f aca="false">IF($A242="","",IF($AC242="","",ROUND(MIN($AC242-$BD242,N($R242)),0)))</f>
        <v/>
      </c>
      <c r="BF242" s="10" t="str">
        <f aca="false">IF($A242="","",IFERROR(VLOOKUP($C242,Dim_Fund!$A:$BD,56,0),""))</f>
        <v/>
      </c>
      <c r="BG242" s="10" t="str">
        <f aca="false">IF($A242="","",IFERROR(VLOOKUP($C242,Dim_Fund!$A:$BH,60,0),""))</f>
        <v/>
      </c>
      <c r="BH242" s="10" t="str">
        <f aca="false">IF($A242="","",IF($AI242&lt;&gt;"Yes","Not breached",IF($AM242="Yes","Pricing late",IF($BG242="Thin custody slack","Thin custody slack",IF($BF242="Yes","Broker-dependent","None of these")))))</f>
        <v/>
      </c>
      <c r="BI242" s="23" t="str">
        <f aca="false">IF($A242="","",IFERROR(IF(VLOOKUP($C242,Dim_Fund!$A:$AI,35,0)&gt;0,VLOOKUP($C242,Dim_Fund!$A:$AI,35,0),""),""))</f>
        <v/>
      </c>
      <c r="BJ242" s="10" t="str">
        <f aca="false">IF($A242="","",$C242&amp;IF($E242="Client","*",""))</f>
        <v/>
      </c>
      <c r="BK242" s="39" t="str">
        <f aca="false">IF($A242="","",IFERROR(ROUND(($Y242-$X242)*1440,0),""))</f>
        <v/>
      </c>
      <c r="BL242" s="39" t="str">
        <f aca="false">IF($A242="","",IF($AH242="","",-$AH242))</f>
        <v/>
      </c>
      <c r="BM242" s="46" t="str">
        <f aca="false">IF($A242="","",IF($AQ242="","",IF($AP242="",$AQ242,MIN($AP242,$AQ242))))</f>
        <v/>
      </c>
      <c r="BN242" s="46" t="str">
        <f aca="false">IF($A242="","",IF($BM242="","",ROUND(N($AC242)/60,4)))</f>
        <v/>
      </c>
      <c r="BO242" s="46" t="str">
        <f aca="false">IF($A242="","",IF(OR($BM242="",$AD242=""),"",ROUND($AD242/60,4)))</f>
        <v/>
      </c>
      <c r="BP242" s="46" t="str">
        <f aca="false">IF($A242="","",IF($BM242="","",ROUND(N($AE242)/60,4)))</f>
        <v/>
      </c>
      <c r="BQ242" s="46" t="str">
        <f aca="false">IF($A242="","",IF(OR($BM242="",$AF242=""),"",ROUND($AF242/60,4)))</f>
        <v/>
      </c>
      <c r="BR242" s="39" t="str">
        <f aca="false">IF($A242="","",IF($AC242="","",$AC242-$BD242-$BE242))</f>
        <v/>
      </c>
      <c r="BS242" s="45" t="str">
        <f aca="false">IF($A242="","",IF(AND(ISNUMBER($Z242),ISNUMBER($W242)),$Z242,0))</f>
        <v/>
      </c>
      <c r="BT242" s="45" t="str">
        <f aca="false">IF($A242="","",IF(ISNUMBER($W242),$W242,0))</f>
        <v/>
      </c>
      <c r="BU242" s="23" t="str">
        <f aca="false">IF($A242="","",IF(ISNUMBER($W242),ROUND(($W242-$B242)*24,4),""))</f>
        <v/>
      </c>
      <c r="BV242" s="23" t="str">
        <f aca="false">IF($A242="","",IF(ISNUMBER($X242),ROUND(($X242-$B242)*24,4),""))</f>
        <v/>
      </c>
      <c r="BW242" s="10" t="str">
        <f aca="false">IF($A242="","",IF(NOT(ISNUMBER($W242)),"Missing Calculated",IF(NOT(ISNUMBER($X242)),IF($E242="Client","Missing FA signed off","Missing Controlled"),IF($X242&lt;$W242,"End before start","OK"))))</f>
        <v/>
      </c>
      <c r="BX242" s="23" t="str">
        <f aca="false">IF($A242="","",IF(NOT(ISNUMBER($Z242)),"",ROUND((IF(ISNUMBER($U242),MIN($U242,$Z242),$Z242)-$B242)*24,4)))</f>
        <v/>
      </c>
      <c r="BY242" s="23" t="str">
        <f aca="false">IF($A242="","",IF(ISNUMBER($Z242),ROUND(($Z242-$B242)*24,4),""))</f>
        <v/>
      </c>
      <c r="BZ242" s="23" t="str">
        <f aca="false">IF($A242="","",IF(AND(ISNUMBER($W242),ISNUMBER($S242)),ROUND(($W242+$S242/1440-$B242)*24,4),""))</f>
        <v/>
      </c>
    </row>
    <row r="243" customFormat="false" ht="15" hidden="false" customHeight="true" outlineLevel="0" collapsed="false">
      <c r="A243" s="47"/>
      <c r="B243" s="47"/>
      <c r="D243" s="4" t="str">
        <f aca="false">IF($A243="","",$B243-$A243)</f>
        <v/>
      </c>
      <c r="E243" s="4" t="str">
        <f aca="false">IF($A243="","",IFERROR(VLOOKUP($C243,Dim_Fund!$A:$X,24,0),""))</f>
        <v/>
      </c>
      <c r="F243" s="37" t="str">
        <f aca="false">IF($A243="","",IF(COUNTIFS(Status_Log!$A:$A,$A243,Status_Log!$B:$B,$B243,Status_Log!$C:$C,$C243,Status_Log!$D:$D,"Changed to the status of Calculated")=0,"",_xlfn.MINIFS(Status_Log!$E:$E,Status_Log!$A:$A,$A243,Status_Log!$B:$B,$B243,Status_Log!$C:$C,$C243,Status_Log!$D:$D,"Changed to the status of Calculated")))</f>
        <v/>
      </c>
      <c r="G243" s="37" t="str">
        <f aca="false">IF($A243="","",IF(COUNTIFS(Status_Log!$A:$A,$A243,Status_Log!$B:$B,$B243,Status_Log!$C:$C,$C243,Status_Log!$D:$D,"Changed to the status of Controlled")=0,"",_xlfn.MAXIFS(Status_Log!$E:$E,Status_Log!$A:$A,$A243,Status_Log!$B:$B,$B243,Status_Log!$C:$C,$C243,Status_Log!$D:$D,"Changed to the status of Controlled")))</f>
        <v/>
      </c>
      <c r="H243" s="37" t="str">
        <f aca="false">IF($A243="","",IF(COUNTIFS(Status_Log!$A:$A,$A243,Status_Log!$B:$B,$B243,Status_Log!$C:$C,$C243,Status_Log!$D:$D,"Changed to the status of Fund accounting signed off")=0,"",_xlfn.MAXIFS(Status_Log!$E:$E,Status_Log!$A:$A,$A243,Status_Log!$B:$B,$B243,Status_Log!$C:$C,$C243,Status_Log!$D:$D,"Changed to the status of Fund accounting signed off")))</f>
        <v/>
      </c>
      <c r="I243" s="37" t="str">
        <f aca="false">IF($A243="","",IF(COUNTIFS(Status_Log!$A:$A,$A243,Status_Log!$B:$B,$B243,Status_Log!$C:$C,$C243,Status_Log!$D:$D,"Changed to the status of signed off")=0,"",_xlfn.MAXIFS(Status_Log!$E:$E,Status_Log!$A:$A,$A243,Status_Log!$B:$B,$B243,Status_Log!$C:$C,$C243,Status_Log!$D:$D,"Changed to the status of signed off")))</f>
        <v/>
      </c>
      <c r="J243" s="4" t="str">
        <f aca="false">IF($A243="","",COUNTIFS(Status_Log!$A:$A,$A243,Status_Log!$B:$B,$B243,Status_Log!$C:$C,$C243,Status_Log!$D:$D,"Changed to the status of Calculated"))</f>
        <v/>
      </c>
      <c r="K243" s="38" t="str">
        <f aca="false">IF($A243="","",IF(J243&lt;=1,0,ROUND((_xlfn.MAXIFS(Status_Log!$E:$E,Status_Log!$A:$A,$A243,Status_Log!$B:$B,$B243,Status_Log!$C:$C,$C243,Status_Log!$D:$D,"Changed to the status of Calculated")-F243)*1440,0)))</f>
        <v/>
      </c>
      <c r="L243" s="4" t="str">
        <f aca="false">IF($A243="","",IFERROR(INDEX(Status_Log!$F:$F,MATCH($A243&amp;"|"&amp;$B243&amp;"|"&amp;$C243&amp;"|Changed to the status of Calculated|"&amp;TEXT(_xlfn.MAXIFS(Status_Log!$E:$E,Status_Log!$A:$A,$A243,Status_Log!$B:$B,$B243,Status_Log!$C:$C,$C243,Status_Log!$D:$D,"Changed to the status of Calculated"),"0.000000"),Status_Log!$H:$H,0)),""))</f>
        <v/>
      </c>
      <c r="M243" s="4" t="str">
        <f aca="false">IF($A243="","",IF(E243="Client","n/a — no control step",IFERROR(INDEX(Status_Log!$F:$F,MATCH($A243&amp;"|"&amp;$B243&amp;"|"&amp;$C243&amp;"|Changed to the status of Controlled|"&amp;TEXT(_xlfn.MAXIFS(Status_Log!$E:$E,Status_Log!$A:$A,$A243,Status_Log!$B:$B,$B243,Status_Log!$C:$C,$C243,Status_Log!$D:$D,"Changed to the status of Controlled"),"0.000000"),Status_Log!$H:$H,0)),"")))</f>
        <v/>
      </c>
      <c r="N243" s="4" t="str">
        <f aca="false">IF($A243="","",IFERROR(VLOOKUP($C243,Dim_Fund!$A:$G,7,0),""))</f>
        <v/>
      </c>
      <c r="O243" s="4" t="str">
        <f aca="false">IF($A243="","",IF(L243=N243,"No","Yes"))</f>
        <v/>
      </c>
      <c r="P243" s="4" t="str">
        <f aca="false">IF($A243="","",IF(E243="Client","n/a",IF(L243=M243,"YES — four-eyes breach","No")))</f>
        <v/>
      </c>
      <c r="Q243" s="38" t="str">
        <f aca="false">IF($A243="","",IFERROR(VLOOKUP($C243,Dim_Fund!$A:$AB,28,0),""))</f>
        <v/>
      </c>
      <c r="R243" s="38" t="str">
        <f aca="false">IF($A243="","",IFERROR(VLOOKUP($C243,Dim_Fund!$A:$AC,29,0),""))</f>
        <v/>
      </c>
      <c r="S243" s="38" t="str">
        <f aca="false">IF($A243="","",IFERROR(VLOOKUP($C243,Dim_Fund!$A:$AD,30,0),""))</f>
        <v/>
      </c>
      <c r="T243" s="38" t="str">
        <f aca="false">IF($A243="","",IFERROR(VLOOKUP($C243,Dim_Fund!$A:$AL,38,0),""))</f>
        <v/>
      </c>
      <c r="U243" s="37" t="str">
        <f aca="false">IF($A243="","",IF(AL243="","",IFERROR(IF(COUNTIFS(Fact_Milestone!$A:$A,$B243,Fact_Milestone!$B:$B,AL243)=0,"",_xlfn.MAXIFS(Fact_Milestone!$C:$C,Fact_Milestone!$A:$A,$B243,Fact_Milestone!$B:$B,AL243)),"")))</f>
        <v/>
      </c>
      <c r="V243" s="37" t="str">
        <f aca="false">IF($A243="","",IFERROR(IF(VLOOKUP($C243,Dim_Fund!$A:$AI,35,0)&gt;0,$B243+VLOOKUP($C243,Dim_Fund!$A:$AI,35,0)/24,""),""))</f>
        <v/>
      </c>
      <c r="W243" s="37" t="str">
        <f aca="false">IF($A243="","",F243)</f>
        <v/>
      </c>
      <c r="X243" s="37" t="str">
        <f aca="false">IF($A243="","",IF(E243="Client",H243,G243))</f>
        <v/>
      </c>
      <c r="Y243" s="37" t="str">
        <f aca="false">IF($A243="","",I243)</f>
        <v/>
      </c>
      <c r="Z243" s="37" t="str">
        <f aca="false">IF($A243="","",IFERROR(W243-R243/1440,""))</f>
        <v/>
      </c>
      <c r="AA243" s="38" t="str">
        <f aca="false">IF($A243="","",IF(OR(U243="",V243=""),"",ROUND((V243-U243)*1440,0)))</f>
        <v/>
      </c>
      <c r="AB243" s="38" t="str">
        <f aca="false">IF($A243="","",IF(U243="","",ROUND((W243-U243)*1440,0)))</f>
        <v/>
      </c>
      <c r="AC243" s="38" t="str">
        <f aca="false">IF($A243="","",IF(AB243="","",MAX(0,AB243)))</f>
        <v/>
      </c>
      <c r="AD243" s="38" t="str">
        <f aca="false">IF($A243="","",IFERROR(ROUND((X243-W243)*1440,0),""))</f>
        <v/>
      </c>
      <c r="AE243" s="38" t="str">
        <f aca="false">IF($A243="","",IF(E243="Client","n/a",IFERROR(ROUND((H243-G243)*1440,0),"")))</f>
        <v/>
      </c>
      <c r="AF243" s="38" t="str">
        <f aca="false">IF($A243="","",IFERROR(ROUND((Y243-H243)*1440,0),""))</f>
        <v/>
      </c>
      <c r="AG243" s="38" t="str">
        <f aca="false">IF($A243="","",IFERROR(ROUND((H243-F243)*1440,0),""))</f>
        <v/>
      </c>
      <c r="AH243" s="38" t="str">
        <f aca="false">IF($A243="","",IFERROR(ROUND((Y243-V243)*1440,0),""))</f>
        <v/>
      </c>
      <c r="AI243" s="4" t="str">
        <f aca="false">IF($A243="","",IF(AH243="","",IF(AH243&gt;0,"Yes","No")))</f>
        <v/>
      </c>
      <c r="AJ243" s="4" t="str">
        <f aca="false">IF($A243="","",IF(AI243&lt;&gt;"Yes","On time",IF(N(AC243)&gt;=MAX(N(AF243),N(K243)),"Wait for analyst",IF(N(AF243)&gt;=N(K243),"External sign-off","Rework"))))</f>
        <v/>
      </c>
      <c r="AK243" s="4" t="str">
        <f aca="false">IF($A243="","",IF(OR(F243="",Y243="",ISNA(MATCH(L243,Dim_Analyst!$A:$A,0))),"CHECK","OK"))</f>
        <v/>
      </c>
      <c r="AL243" s="4" t="str">
        <f aca="false">IF($A243="","",IFERROR(VLOOKUP($C243,Dim_Fund!$A:$U,21,0),""))</f>
        <v/>
      </c>
      <c r="AM243" s="4" t="str">
        <f aca="false">IF($A243="","",IF($U243="","",IF($U243&gt;$B243+IFERROR(VLOOKUP($C243,Dim_Fund!$A:$AH,34,0),0)/24,"Yes","No")))</f>
        <v/>
      </c>
      <c r="AN243" s="22" t="str">
        <f aca="false">IF($A243="","",IFERROR(VLOOKUP($C243,Dim_Fund!$A:$AH,34,0),""))</f>
        <v/>
      </c>
      <c r="AO243" s="22" t="str">
        <f aca="false">IF($A243="","",IF($AL243="","",IFERROR(FLOOR(IF(COUNTIFS(Fact_Milestone!$A:$A,$B243,Fact_Milestone!$B:$B,$AL243,Fact_Milestone!$F:$F,"&gt;0")&gt;0,_xlfn.MINIFS(Fact_Milestone!$F:$F,Fact_Milestone!$A:$A,$B243,Fact_Milestone!$B:$B,$AL243,Fact_Milestone!$F:$F,"&gt;0"),VLOOKUP($AL243,Dim_TOP!$A:$E,5,0)),0.5),"")))</f>
        <v/>
      </c>
      <c r="AP243" s="22" t="str">
        <f aca="false">IF($A243="","",IF($U243="","",ROUND(($U243-INT($U243))*24,4)))</f>
        <v/>
      </c>
      <c r="AQ243" s="22" t="str">
        <f aca="false">IF($A243="","",IF($W243="","",ROUND(($W243-INT($W243))*24,4)))</f>
        <v/>
      </c>
      <c r="AR243" s="22" t="str">
        <f aca="false">IF($A243="","",IF($X243="","",ROUND(($X243-INT($X243))*24,4)))</f>
        <v/>
      </c>
      <c r="AS243" s="38" t="str">
        <f aca="false">IF($A243="","",IF(OR($AN243="",$V243="",$S243="",$T243=""),"",ROUND(($V243-($B243+$AN243/24))*1440-$S243-$T243,0)))</f>
        <v/>
      </c>
      <c r="AT243" s="38" t="str">
        <f aca="false">IF($A243="","",IF(OR($AN243="",$U243=""),"",ROUND(($U243-($B243+$AN243/24))*1440,0)))</f>
        <v/>
      </c>
      <c r="AU243" s="38" t="str">
        <f aca="false">IF($A243="","",IF(OR($AD243="",$S243=""),"",ROUND($AD243-$S243,0)))</f>
        <v/>
      </c>
      <c r="AV243" s="38" t="str">
        <f aca="false">IF($A243="","",N($AE243))</f>
        <v/>
      </c>
      <c r="AW243" s="38" t="str">
        <f aca="false">IF($A243="","",IF(OR($AF243="",$T243=""),"",$AF243-$T243))</f>
        <v/>
      </c>
      <c r="AX243" s="38" t="str">
        <f aca="false">IF($A243="","",IF(COUNT($AT243,$AB243,$AU243,$AW243,$AS243,$AH243)&lt;6,"",ROUND($AT243+$AB243+$AU243+$AV243+$AW243-$AS243-$AH243,0)))</f>
        <v/>
      </c>
      <c r="AY243" s="4" t="str">
        <f aca="false">IF($A243="","",IF($AX243="","No",IF(ABS($AX243)&lt;=2,"Yes","No")))</f>
        <v/>
      </c>
      <c r="AZ243" s="4" t="str">
        <f aca="false">IF($A243="","",IF($AI243&lt;&gt;"Yes","n/a",IF(OR($AA243="",$S243="",$T243=""),"Unknown",IF($AA243&lt;$S243+$T243,"Lost on arrival","Lost after arrival"))))</f>
        <v/>
      </c>
      <c r="BA243" s="10" t="str">
        <f aca="false">IF($A243="","",IFERROR(VLOOKUP($C243,Dim_Fund!$A:$D,4,0),""))</f>
        <v/>
      </c>
      <c r="BB243" s="10" t="str">
        <f aca="false">IF($A243="","",IF($AL243="","",IF(COUNTIFS(Fact_Milestone!$A:$A,$B243,Fact_Milestone!$B:$B,$AL243,Fact_Milestone!$I:$I,"No")&gt;0,"No",IF(COUNTIFS(Fact_Milestone!$A:$A,$B243,Fact_Milestone!$B:$B,$AL243,Fact_Milestone!$I:$I,"Yes")&gt;0,"Yes",""))))</f>
        <v/>
      </c>
      <c r="BC243" s="45" t="str">
        <f aca="false">IF($A243="","",IF(OR($L243="",$W243=""),"",IF(COUNTIFS($L:$L,$L243,$B:$B,$B243,$W:$W,"&lt;"&amp;$W243)=0,"",_xlfn.MAXIFS($W:$W,$L:$L,$L243,$B:$B,$B243,$W:$W,"&lt;"&amp;$W243))))</f>
        <v/>
      </c>
      <c r="BD243" s="39" t="str">
        <f aca="false">IF($A243="","",IF($AC243="","",IF(OR($L243="",$AC243=0),0,MIN($AC243,ROUND(ROUND(1440*SUMPRODUCT(($L$2:INDEX($L:$L,COUNTA($C:$C))=$L243)*($B$2:INDEX($B:$B,COUNTA($C:$C))=$B243)*(ROW($L$2:INDEX($L:$L,COUNTA($C:$C)))&lt;&gt;ROW())*((((($W243+$BT$2:INDEX($BT:$BT,COUNTA($C:$C))-ABS($W243-$BT$2:INDEX($BT:$BT,COUNTA($C:$C))))/2)-(($U243+$BS$2:INDEX($BS:$BS,COUNTA($C:$C))+ABS($U243-$BS$2:INDEX($BS:$BS,COUNTA($C:$C))))/2))+ABS(((($W243+$BT$2:INDEX($BT:$BT,COUNTA($C:$C))-ABS($W243-$BT$2:INDEX($BT:$BT,COUNTA($C:$C))))/2)-(($U243+$BS$2:INDEX($BS:$BS,COUNTA($C:$C))+ABS($U243-$BS$2:INDEX($BS:$BS,COUNTA($C:$C))))/2))))/2)),4),0)))))</f>
        <v/>
      </c>
      <c r="BE243" s="39" t="str">
        <f aca="false">IF($A243="","",IF($AC243="","",ROUND(MIN($AC243-$BD243,N($R243)),0)))</f>
        <v/>
      </c>
      <c r="BF243" s="10" t="str">
        <f aca="false">IF($A243="","",IFERROR(VLOOKUP($C243,Dim_Fund!$A:$BD,56,0),""))</f>
        <v/>
      </c>
      <c r="BG243" s="10" t="str">
        <f aca="false">IF($A243="","",IFERROR(VLOOKUP($C243,Dim_Fund!$A:$BH,60,0),""))</f>
        <v/>
      </c>
      <c r="BH243" s="10" t="str">
        <f aca="false">IF($A243="","",IF($AI243&lt;&gt;"Yes","Not breached",IF($AM243="Yes","Pricing late",IF($BG243="Thin custody slack","Thin custody slack",IF($BF243="Yes","Broker-dependent","None of these")))))</f>
        <v/>
      </c>
      <c r="BI243" s="23" t="str">
        <f aca="false">IF($A243="","",IFERROR(IF(VLOOKUP($C243,Dim_Fund!$A:$AI,35,0)&gt;0,VLOOKUP($C243,Dim_Fund!$A:$AI,35,0),""),""))</f>
        <v/>
      </c>
      <c r="BJ243" s="10" t="str">
        <f aca="false">IF($A243="","",$C243&amp;IF($E243="Client","*",""))</f>
        <v/>
      </c>
      <c r="BK243" s="39" t="str">
        <f aca="false">IF($A243="","",IFERROR(ROUND(($Y243-$X243)*1440,0),""))</f>
        <v/>
      </c>
      <c r="BL243" s="39" t="str">
        <f aca="false">IF($A243="","",IF($AH243="","",-$AH243))</f>
        <v/>
      </c>
      <c r="BM243" s="46" t="str">
        <f aca="false">IF($A243="","",IF($AQ243="","",IF($AP243="",$AQ243,MIN($AP243,$AQ243))))</f>
        <v/>
      </c>
      <c r="BN243" s="46" t="str">
        <f aca="false">IF($A243="","",IF($BM243="","",ROUND(N($AC243)/60,4)))</f>
        <v/>
      </c>
      <c r="BO243" s="46" t="str">
        <f aca="false">IF($A243="","",IF(OR($BM243="",$AD243=""),"",ROUND($AD243/60,4)))</f>
        <v/>
      </c>
      <c r="BP243" s="46" t="str">
        <f aca="false">IF($A243="","",IF($BM243="","",ROUND(N($AE243)/60,4)))</f>
        <v/>
      </c>
      <c r="BQ243" s="46" t="str">
        <f aca="false">IF($A243="","",IF(OR($BM243="",$AF243=""),"",ROUND($AF243/60,4)))</f>
        <v/>
      </c>
      <c r="BR243" s="39" t="str">
        <f aca="false">IF($A243="","",IF($AC243="","",$AC243-$BD243-$BE243))</f>
        <v/>
      </c>
      <c r="BS243" s="45" t="str">
        <f aca="false">IF($A243="","",IF(AND(ISNUMBER($Z243),ISNUMBER($W243)),$Z243,0))</f>
        <v/>
      </c>
      <c r="BT243" s="45" t="str">
        <f aca="false">IF($A243="","",IF(ISNUMBER($W243),$W243,0))</f>
        <v/>
      </c>
      <c r="BU243" s="23" t="str">
        <f aca="false">IF($A243="","",IF(ISNUMBER($W243),ROUND(($W243-$B243)*24,4),""))</f>
        <v/>
      </c>
      <c r="BV243" s="23" t="str">
        <f aca="false">IF($A243="","",IF(ISNUMBER($X243),ROUND(($X243-$B243)*24,4),""))</f>
        <v/>
      </c>
      <c r="BW243" s="10" t="str">
        <f aca="false">IF($A243="","",IF(NOT(ISNUMBER($W243)),"Missing Calculated",IF(NOT(ISNUMBER($X243)),IF($E243="Client","Missing FA signed off","Missing Controlled"),IF($X243&lt;$W243,"End before start","OK"))))</f>
        <v/>
      </c>
      <c r="BX243" s="23" t="str">
        <f aca="false">IF($A243="","",IF(NOT(ISNUMBER($Z243)),"",ROUND((IF(ISNUMBER($U243),MIN($U243,$Z243),$Z243)-$B243)*24,4)))</f>
        <v/>
      </c>
      <c r="BY243" s="23" t="str">
        <f aca="false">IF($A243="","",IF(ISNUMBER($Z243),ROUND(($Z243-$B243)*24,4),""))</f>
        <v/>
      </c>
      <c r="BZ243" s="23" t="str">
        <f aca="false">IF($A243="","",IF(AND(ISNUMBER($W243),ISNUMBER($S243)),ROUND(($W243+$S243/1440-$B243)*24,4),""))</f>
        <v/>
      </c>
    </row>
    <row r="244" customFormat="false" ht="15" hidden="false" customHeight="true" outlineLevel="0" collapsed="false">
      <c r="A244" s="47"/>
      <c r="B244" s="47"/>
      <c r="D244" s="4" t="str">
        <f aca="false">IF($A244="","",$B244-$A244)</f>
        <v/>
      </c>
      <c r="E244" s="4" t="str">
        <f aca="false">IF($A244="","",IFERROR(VLOOKUP($C244,Dim_Fund!$A:$X,24,0),""))</f>
        <v/>
      </c>
      <c r="F244" s="37" t="str">
        <f aca="false">IF($A244="","",IF(COUNTIFS(Status_Log!$A:$A,$A244,Status_Log!$B:$B,$B244,Status_Log!$C:$C,$C244,Status_Log!$D:$D,"Changed to the status of Calculated")=0,"",_xlfn.MINIFS(Status_Log!$E:$E,Status_Log!$A:$A,$A244,Status_Log!$B:$B,$B244,Status_Log!$C:$C,$C244,Status_Log!$D:$D,"Changed to the status of Calculated")))</f>
        <v/>
      </c>
      <c r="G244" s="37" t="str">
        <f aca="false">IF($A244="","",IF(COUNTIFS(Status_Log!$A:$A,$A244,Status_Log!$B:$B,$B244,Status_Log!$C:$C,$C244,Status_Log!$D:$D,"Changed to the status of Controlled")=0,"",_xlfn.MAXIFS(Status_Log!$E:$E,Status_Log!$A:$A,$A244,Status_Log!$B:$B,$B244,Status_Log!$C:$C,$C244,Status_Log!$D:$D,"Changed to the status of Controlled")))</f>
        <v/>
      </c>
      <c r="H244" s="37" t="str">
        <f aca="false">IF($A244="","",IF(COUNTIFS(Status_Log!$A:$A,$A244,Status_Log!$B:$B,$B244,Status_Log!$C:$C,$C244,Status_Log!$D:$D,"Changed to the status of Fund accounting signed off")=0,"",_xlfn.MAXIFS(Status_Log!$E:$E,Status_Log!$A:$A,$A244,Status_Log!$B:$B,$B244,Status_Log!$C:$C,$C244,Status_Log!$D:$D,"Changed to the status of Fund accounting signed off")))</f>
        <v/>
      </c>
      <c r="I244" s="37" t="str">
        <f aca="false">IF($A244="","",IF(COUNTIFS(Status_Log!$A:$A,$A244,Status_Log!$B:$B,$B244,Status_Log!$C:$C,$C244,Status_Log!$D:$D,"Changed to the status of signed off")=0,"",_xlfn.MAXIFS(Status_Log!$E:$E,Status_Log!$A:$A,$A244,Status_Log!$B:$B,$B244,Status_Log!$C:$C,$C244,Status_Log!$D:$D,"Changed to the status of signed off")))</f>
        <v/>
      </c>
      <c r="J244" s="4" t="str">
        <f aca="false">IF($A244="","",COUNTIFS(Status_Log!$A:$A,$A244,Status_Log!$B:$B,$B244,Status_Log!$C:$C,$C244,Status_Log!$D:$D,"Changed to the status of Calculated"))</f>
        <v/>
      </c>
      <c r="K244" s="38" t="str">
        <f aca="false">IF($A244="","",IF(J244&lt;=1,0,ROUND((_xlfn.MAXIFS(Status_Log!$E:$E,Status_Log!$A:$A,$A244,Status_Log!$B:$B,$B244,Status_Log!$C:$C,$C244,Status_Log!$D:$D,"Changed to the status of Calculated")-F244)*1440,0)))</f>
        <v/>
      </c>
      <c r="L244" s="4" t="str">
        <f aca="false">IF($A244="","",IFERROR(INDEX(Status_Log!$F:$F,MATCH($A244&amp;"|"&amp;$B244&amp;"|"&amp;$C244&amp;"|Changed to the status of Calculated|"&amp;TEXT(_xlfn.MAXIFS(Status_Log!$E:$E,Status_Log!$A:$A,$A244,Status_Log!$B:$B,$B244,Status_Log!$C:$C,$C244,Status_Log!$D:$D,"Changed to the status of Calculated"),"0.000000"),Status_Log!$H:$H,0)),""))</f>
        <v/>
      </c>
      <c r="M244" s="4" t="str">
        <f aca="false">IF($A244="","",IF(E244="Client","n/a — no control step",IFERROR(INDEX(Status_Log!$F:$F,MATCH($A244&amp;"|"&amp;$B244&amp;"|"&amp;$C244&amp;"|Changed to the status of Controlled|"&amp;TEXT(_xlfn.MAXIFS(Status_Log!$E:$E,Status_Log!$A:$A,$A244,Status_Log!$B:$B,$B244,Status_Log!$C:$C,$C244,Status_Log!$D:$D,"Changed to the status of Controlled"),"0.000000"),Status_Log!$H:$H,0)),"")))</f>
        <v/>
      </c>
      <c r="N244" s="4" t="str">
        <f aca="false">IF($A244="","",IFERROR(VLOOKUP($C244,Dim_Fund!$A:$G,7,0),""))</f>
        <v/>
      </c>
      <c r="O244" s="4" t="str">
        <f aca="false">IF($A244="","",IF(L244=N244,"No","Yes"))</f>
        <v/>
      </c>
      <c r="P244" s="4" t="str">
        <f aca="false">IF($A244="","",IF(E244="Client","n/a",IF(L244=M244,"YES — four-eyes breach","No")))</f>
        <v/>
      </c>
      <c r="Q244" s="38" t="str">
        <f aca="false">IF($A244="","",IFERROR(VLOOKUP($C244,Dim_Fund!$A:$AB,28,0),""))</f>
        <v/>
      </c>
      <c r="R244" s="38" t="str">
        <f aca="false">IF($A244="","",IFERROR(VLOOKUP($C244,Dim_Fund!$A:$AC,29,0),""))</f>
        <v/>
      </c>
      <c r="S244" s="38" t="str">
        <f aca="false">IF($A244="","",IFERROR(VLOOKUP($C244,Dim_Fund!$A:$AD,30,0),""))</f>
        <v/>
      </c>
      <c r="T244" s="38" t="str">
        <f aca="false">IF($A244="","",IFERROR(VLOOKUP($C244,Dim_Fund!$A:$AL,38,0),""))</f>
        <v/>
      </c>
      <c r="U244" s="37" t="str">
        <f aca="false">IF($A244="","",IF(AL244="","",IFERROR(IF(COUNTIFS(Fact_Milestone!$A:$A,$B244,Fact_Milestone!$B:$B,AL244)=0,"",_xlfn.MAXIFS(Fact_Milestone!$C:$C,Fact_Milestone!$A:$A,$B244,Fact_Milestone!$B:$B,AL244)),"")))</f>
        <v/>
      </c>
      <c r="V244" s="37" t="str">
        <f aca="false">IF($A244="","",IFERROR(IF(VLOOKUP($C244,Dim_Fund!$A:$AI,35,0)&gt;0,$B244+VLOOKUP($C244,Dim_Fund!$A:$AI,35,0)/24,""),""))</f>
        <v/>
      </c>
      <c r="W244" s="37" t="str">
        <f aca="false">IF($A244="","",F244)</f>
        <v/>
      </c>
      <c r="X244" s="37" t="str">
        <f aca="false">IF($A244="","",IF(E244="Client",H244,G244))</f>
        <v/>
      </c>
      <c r="Y244" s="37" t="str">
        <f aca="false">IF($A244="","",I244)</f>
        <v/>
      </c>
      <c r="Z244" s="37" t="str">
        <f aca="false">IF($A244="","",IFERROR(W244-R244/1440,""))</f>
        <v/>
      </c>
      <c r="AA244" s="38" t="str">
        <f aca="false">IF($A244="","",IF(OR(U244="",V244=""),"",ROUND((V244-U244)*1440,0)))</f>
        <v/>
      </c>
      <c r="AB244" s="38" t="str">
        <f aca="false">IF($A244="","",IF(U244="","",ROUND((W244-U244)*1440,0)))</f>
        <v/>
      </c>
      <c r="AC244" s="38" t="str">
        <f aca="false">IF($A244="","",IF(AB244="","",MAX(0,AB244)))</f>
        <v/>
      </c>
      <c r="AD244" s="38" t="str">
        <f aca="false">IF($A244="","",IFERROR(ROUND((X244-W244)*1440,0),""))</f>
        <v/>
      </c>
      <c r="AE244" s="38" t="str">
        <f aca="false">IF($A244="","",IF(E244="Client","n/a",IFERROR(ROUND((H244-G244)*1440,0),"")))</f>
        <v/>
      </c>
      <c r="AF244" s="38" t="str">
        <f aca="false">IF($A244="","",IFERROR(ROUND((Y244-H244)*1440,0),""))</f>
        <v/>
      </c>
      <c r="AG244" s="38" t="str">
        <f aca="false">IF($A244="","",IFERROR(ROUND((H244-F244)*1440,0),""))</f>
        <v/>
      </c>
      <c r="AH244" s="38" t="str">
        <f aca="false">IF($A244="","",IFERROR(ROUND((Y244-V244)*1440,0),""))</f>
        <v/>
      </c>
      <c r="AI244" s="4" t="str">
        <f aca="false">IF($A244="","",IF(AH244="","",IF(AH244&gt;0,"Yes","No")))</f>
        <v/>
      </c>
      <c r="AJ244" s="4" t="str">
        <f aca="false">IF($A244="","",IF(AI244&lt;&gt;"Yes","On time",IF(N(AC244)&gt;=MAX(N(AF244),N(K244)),"Wait for analyst",IF(N(AF244)&gt;=N(K244),"External sign-off","Rework"))))</f>
        <v/>
      </c>
      <c r="AK244" s="4" t="str">
        <f aca="false">IF($A244="","",IF(OR(F244="",Y244="",ISNA(MATCH(L244,Dim_Analyst!$A:$A,0))),"CHECK","OK"))</f>
        <v/>
      </c>
      <c r="AL244" s="4" t="str">
        <f aca="false">IF($A244="","",IFERROR(VLOOKUP($C244,Dim_Fund!$A:$U,21,0),""))</f>
        <v/>
      </c>
      <c r="AM244" s="4" t="str">
        <f aca="false">IF($A244="","",IF($U244="","",IF($U244&gt;$B244+IFERROR(VLOOKUP($C244,Dim_Fund!$A:$AH,34,0),0)/24,"Yes","No")))</f>
        <v/>
      </c>
      <c r="AN244" s="22" t="str">
        <f aca="false">IF($A244="","",IFERROR(VLOOKUP($C244,Dim_Fund!$A:$AH,34,0),""))</f>
        <v/>
      </c>
      <c r="AO244" s="22" t="str">
        <f aca="false">IF($A244="","",IF($AL244="","",IFERROR(FLOOR(IF(COUNTIFS(Fact_Milestone!$A:$A,$B244,Fact_Milestone!$B:$B,$AL244,Fact_Milestone!$F:$F,"&gt;0")&gt;0,_xlfn.MINIFS(Fact_Milestone!$F:$F,Fact_Milestone!$A:$A,$B244,Fact_Milestone!$B:$B,$AL244,Fact_Milestone!$F:$F,"&gt;0"),VLOOKUP($AL244,Dim_TOP!$A:$E,5,0)),0.5),"")))</f>
        <v/>
      </c>
      <c r="AP244" s="22" t="str">
        <f aca="false">IF($A244="","",IF($U244="","",ROUND(($U244-INT($U244))*24,4)))</f>
        <v/>
      </c>
      <c r="AQ244" s="22" t="str">
        <f aca="false">IF($A244="","",IF($W244="","",ROUND(($W244-INT($W244))*24,4)))</f>
        <v/>
      </c>
      <c r="AR244" s="22" t="str">
        <f aca="false">IF($A244="","",IF($X244="","",ROUND(($X244-INT($X244))*24,4)))</f>
        <v/>
      </c>
      <c r="AS244" s="38" t="str">
        <f aca="false">IF($A244="","",IF(OR($AN244="",$V244="",$S244="",$T244=""),"",ROUND(($V244-($B244+$AN244/24))*1440-$S244-$T244,0)))</f>
        <v/>
      </c>
      <c r="AT244" s="38" t="str">
        <f aca="false">IF($A244="","",IF(OR($AN244="",$U244=""),"",ROUND(($U244-($B244+$AN244/24))*1440,0)))</f>
        <v/>
      </c>
      <c r="AU244" s="38" t="str">
        <f aca="false">IF($A244="","",IF(OR($AD244="",$S244=""),"",ROUND($AD244-$S244,0)))</f>
        <v/>
      </c>
      <c r="AV244" s="38" t="str">
        <f aca="false">IF($A244="","",N($AE244))</f>
        <v/>
      </c>
      <c r="AW244" s="38" t="str">
        <f aca="false">IF($A244="","",IF(OR($AF244="",$T244=""),"",$AF244-$T244))</f>
        <v/>
      </c>
      <c r="AX244" s="38" t="str">
        <f aca="false">IF($A244="","",IF(COUNT($AT244,$AB244,$AU244,$AW244,$AS244,$AH244)&lt;6,"",ROUND($AT244+$AB244+$AU244+$AV244+$AW244-$AS244-$AH244,0)))</f>
        <v/>
      </c>
      <c r="AY244" s="4" t="str">
        <f aca="false">IF($A244="","",IF($AX244="","No",IF(ABS($AX244)&lt;=2,"Yes","No")))</f>
        <v/>
      </c>
      <c r="AZ244" s="4" t="str">
        <f aca="false">IF($A244="","",IF($AI244&lt;&gt;"Yes","n/a",IF(OR($AA244="",$S244="",$T244=""),"Unknown",IF($AA244&lt;$S244+$T244,"Lost on arrival","Lost after arrival"))))</f>
        <v/>
      </c>
      <c r="BA244" s="10" t="str">
        <f aca="false">IF($A244="","",IFERROR(VLOOKUP($C244,Dim_Fund!$A:$D,4,0),""))</f>
        <v/>
      </c>
      <c r="BB244" s="10" t="str">
        <f aca="false">IF($A244="","",IF($AL244="","",IF(COUNTIFS(Fact_Milestone!$A:$A,$B244,Fact_Milestone!$B:$B,$AL244,Fact_Milestone!$I:$I,"No")&gt;0,"No",IF(COUNTIFS(Fact_Milestone!$A:$A,$B244,Fact_Milestone!$B:$B,$AL244,Fact_Milestone!$I:$I,"Yes")&gt;0,"Yes",""))))</f>
        <v/>
      </c>
      <c r="BC244" s="45" t="str">
        <f aca="false">IF($A244="","",IF(OR($L244="",$W244=""),"",IF(COUNTIFS($L:$L,$L244,$B:$B,$B244,$W:$W,"&lt;"&amp;$W244)=0,"",_xlfn.MAXIFS($W:$W,$L:$L,$L244,$B:$B,$B244,$W:$W,"&lt;"&amp;$W244))))</f>
        <v/>
      </c>
      <c r="BD244" s="39" t="str">
        <f aca="false">IF($A244="","",IF($AC244="","",IF(OR($L244="",$AC244=0),0,MIN($AC244,ROUND(ROUND(1440*SUMPRODUCT(($L$2:INDEX($L:$L,COUNTA($C:$C))=$L244)*($B$2:INDEX($B:$B,COUNTA($C:$C))=$B244)*(ROW($L$2:INDEX($L:$L,COUNTA($C:$C)))&lt;&gt;ROW())*((((($W244+$BT$2:INDEX($BT:$BT,COUNTA($C:$C))-ABS($W244-$BT$2:INDEX($BT:$BT,COUNTA($C:$C))))/2)-(($U244+$BS$2:INDEX($BS:$BS,COUNTA($C:$C))+ABS($U244-$BS$2:INDEX($BS:$BS,COUNTA($C:$C))))/2))+ABS(((($W244+$BT$2:INDEX($BT:$BT,COUNTA($C:$C))-ABS($W244-$BT$2:INDEX($BT:$BT,COUNTA($C:$C))))/2)-(($U244+$BS$2:INDEX($BS:$BS,COUNTA($C:$C))+ABS($U244-$BS$2:INDEX($BS:$BS,COUNTA($C:$C))))/2))))/2)),4),0)))))</f>
        <v/>
      </c>
      <c r="BE244" s="39" t="str">
        <f aca="false">IF($A244="","",IF($AC244="","",ROUND(MIN($AC244-$BD244,N($R244)),0)))</f>
        <v/>
      </c>
      <c r="BF244" s="10" t="str">
        <f aca="false">IF($A244="","",IFERROR(VLOOKUP($C244,Dim_Fund!$A:$BD,56,0),""))</f>
        <v/>
      </c>
      <c r="BG244" s="10" t="str">
        <f aca="false">IF($A244="","",IFERROR(VLOOKUP($C244,Dim_Fund!$A:$BH,60,0),""))</f>
        <v/>
      </c>
      <c r="BH244" s="10" t="str">
        <f aca="false">IF($A244="","",IF($AI244&lt;&gt;"Yes","Not breached",IF($AM244="Yes","Pricing late",IF($BG244="Thin custody slack","Thin custody slack",IF($BF244="Yes","Broker-dependent","None of these")))))</f>
        <v/>
      </c>
      <c r="BI244" s="23" t="str">
        <f aca="false">IF($A244="","",IFERROR(IF(VLOOKUP($C244,Dim_Fund!$A:$AI,35,0)&gt;0,VLOOKUP($C244,Dim_Fund!$A:$AI,35,0),""),""))</f>
        <v/>
      </c>
      <c r="BJ244" s="10" t="str">
        <f aca="false">IF($A244="","",$C244&amp;IF($E244="Client","*",""))</f>
        <v/>
      </c>
      <c r="BK244" s="39" t="str">
        <f aca="false">IF($A244="","",IFERROR(ROUND(($Y244-$X244)*1440,0),""))</f>
        <v/>
      </c>
      <c r="BL244" s="39" t="str">
        <f aca="false">IF($A244="","",IF($AH244="","",-$AH244))</f>
        <v/>
      </c>
      <c r="BM244" s="46" t="str">
        <f aca="false">IF($A244="","",IF($AQ244="","",IF($AP244="",$AQ244,MIN($AP244,$AQ244))))</f>
        <v/>
      </c>
      <c r="BN244" s="46" t="str">
        <f aca="false">IF($A244="","",IF($BM244="","",ROUND(N($AC244)/60,4)))</f>
        <v/>
      </c>
      <c r="BO244" s="46" t="str">
        <f aca="false">IF($A244="","",IF(OR($BM244="",$AD244=""),"",ROUND($AD244/60,4)))</f>
        <v/>
      </c>
      <c r="BP244" s="46" t="str">
        <f aca="false">IF($A244="","",IF($BM244="","",ROUND(N($AE244)/60,4)))</f>
        <v/>
      </c>
      <c r="BQ244" s="46" t="str">
        <f aca="false">IF($A244="","",IF(OR($BM244="",$AF244=""),"",ROUND($AF244/60,4)))</f>
        <v/>
      </c>
      <c r="BR244" s="39" t="str">
        <f aca="false">IF($A244="","",IF($AC244="","",$AC244-$BD244-$BE244))</f>
        <v/>
      </c>
      <c r="BS244" s="45" t="str">
        <f aca="false">IF($A244="","",IF(AND(ISNUMBER($Z244),ISNUMBER($W244)),$Z244,0))</f>
        <v/>
      </c>
      <c r="BT244" s="45" t="str">
        <f aca="false">IF($A244="","",IF(ISNUMBER($W244),$W244,0))</f>
        <v/>
      </c>
      <c r="BU244" s="23" t="str">
        <f aca="false">IF($A244="","",IF(ISNUMBER($W244),ROUND(($W244-$B244)*24,4),""))</f>
        <v/>
      </c>
      <c r="BV244" s="23" t="str">
        <f aca="false">IF($A244="","",IF(ISNUMBER($X244),ROUND(($X244-$B244)*24,4),""))</f>
        <v/>
      </c>
      <c r="BW244" s="10" t="str">
        <f aca="false">IF($A244="","",IF(NOT(ISNUMBER($W244)),"Missing Calculated",IF(NOT(ISNUMBER($X244)),IF($E244="Client","Missing FA signed off","Missing Controlled"),IF($X244&lt;$W244,"End before start","OK"))))</f>
        <v/>
      </c>
      <c r="BX244" s="23" t="str">
        <f aca="false">IF($A244="","",IF(NOT(ISNUMBER($Z244)),"",ROUND((IF(ISNUMBER($U244),MIN($U244,$Z244),$Z244)-$B244)*24,4)))</f>
        <v/>
      </c>
      <c r="BY244" s="23" t="str">
        <f aca="false">IF($A244="","",IF(ISNUMBER($Z244),ROUND(($Z244-$B244)*24,4),""))</f>
        <v/>
      </c>
      <c r="BZ244" s="23" t="str">
        <f aca="false">IF($A244="","",IF(AND(ISNUMBER($W244),ISNUMBER($S244)),ROUND(($W244+$S244/1440-$B244)*24,4),""))</f>
        <v/>
      </c>
    </row>
    <row r="245" customFormat="false" ht="15" hidden="false" customHeight="true" outlineLevel="0" collapsed="false">
      <c r="A245" s="47"/>
      <c r="B245" s="47"/>
      <c r="D245" s="4" t="str">
        <f aca="false">IF($A245="","",$B245-$A245)</f>
        <v/>
      </c>
      <c r="E245" s="4" t="str">
        <f aca="false">IF($A245="","",IFERROR(VLOOKUP($C245,Dim_Fund!$A:$X,24,0),""))</f>
        <v/>
      </c>
      <c r="F245" s="37" t="str">
        <f aca="false">IF($A245="","",IF(COUNTIFS(Status_Log!$A:$A,$A245,Status_Log!$B:$B,$B245,Status_Log!$C:$C,$C245,Status_Log!$D:$D,"Changed to the status of Calculated")=0,"",_xlfn.MINIFS(Status_Log!$E:$E,Status_Log!$A:$A,$A245,Status_Log!$B:$B,$B245,Status_Log!$C:$C,$C245,Status_Log!$D:$D,"Changed to the status of Calculated")))</f>
        <v/>
      </c>
      <c r="G245" s="37" t="str">
        <f aca="false">IF($A245="","",IF(COUNTIFS(Status_Log!$A:$A,$A245,Status_Log!$B:$B,$B245,Status_Log!$C:$C,$C245,Status_Log!$D:$D,"Changed to the status of Controlled")=0,"",_xlfn.MAXIFS(Status_Log!$E:$E,Status_Log!$A:$A,$A245,Status_Log!$B:$B,$B245,Status_Log!$C:$C,$C245,Status_Log!$D:$D,"Changed to the status of Controlled")))</f>
        <v/>
      </c>
      <c r="H245" s="37" t="str">
        <f aca="false">IF($A245="","",IF(COUNTIFS(Status_Log!$A:$A,$A245,Status_Log!$B:$B,$B245,Status_Log!$C:$C,$C245,Status_Log!$D:$D,"Changed to the status of Fund accounting signed off")=0,"",_xlfn.MAXIFS(Status_Log!$E:$E,Status_Log!$A:$A,$A245,Status_Log!$B:$B,$B245,Status_Log!$C:$C,$C245,Status_Log!$D:$D,"Changed to the status of Fund accounting signed off")))</f>
        <v/>
      </c>
      <c r="I245" s="37" t="str">
        <f aca="false">IF($A245="","",IF(COUNTIFS(Status_Log!$A:$A,$A245,Status_Log!$B:$B,$B245,Status_Log!$C:$C,$C245,Status_Log!$D:$D,"Changed to the status of signed off")=0,"",_xlfn.MAXIFS(Status_Log!$E:$E,Status_Log!$A:$A,$A245,Status_Log!$B:$B,$B245,Status_Log!$C:$C,$C245,Status_Log!$D:$D,"Changed to the status of signed off")))</f>
        <v/>
      </c>
      <c r="J245" s="4" t="str">
        <f aca="false">IF($A245="","",COUNTIFS(Status_Log!$A:$A,$A245,Status_Log!$B:$B,$B245,Status_Log!$C:$C,$C245,Status_Log!$D:$D,"Changed to the status of Calculated"))</f>
        <v/>
      </c>
      <c r="K245" s="38" t="str">
        <f aca="false">IF($A245="","",IF(J245&lt;=1,0,ROUND((_xlfn.MAXIFS(Status_Log!$E:$E,Status_Log!$A:$A,$A245,Status_Log!$B:$B,$B245,Status_Log!$C:$C,$C245,Status_Log!$D:$D,"Changed to the status of Calculated")-F245)*1440,0)))</f>
        <v/>
      </c>
      <c r="L245" s="4" t="str">
        <f aca="false">IF($A245="","",IFERROR(INDEX(Status_Log!$F:$F,MATCH($A245&amp;"|"&amp;$B245&amp;"|"&amp;$C245&amp;"|Changed to the status of Calculated|"&amp;TEXT(_xlfn.MAXIFS(Status_Log!$E:$E,Status_Log!$A:$A,$A245,Status_Log!$B:$B,$B245,Status_Log!$C:$C,$C245,Status_Log!$D:$D,"Changed to the status of Calculated"),"0.000000"),Status_Log!$H:$H,0)),""))</f>
        <v/>
      </c>
      <c r="M245" s="4" t="str">
        <f aca="false">IF($A245="","",IF(E245="Client","n/a — no control step",IFERROR(INDEX(Status_Log!$F:$F,MATCH($A245&amp;"|"&amp;$B245&amp;"|"&amp;$C245&amp;"|Changed to the status of Controlled|"&amp;TEXT(_xlfn.MAXIFS(Status_Log!$E:$E,Status_Log!$A:$A,$A245,Status_Log!$B:$B,$B245,Status_Log!$C:$C,$C245,Status_Log!$D:$D,"Changed to the status of Controlled"),"0.000000"),Status_Log!$H:$H,0)),"")))</f>
        <v/>
      </c>
      <c r="N245" s="4" t="str">
        <f aca="false">IF($A245="","",IFERROR(VLOOKUP($C245,Dim_Fund!$A:$G,7,0),""))</f>
        <v/>
      </c>
      <c r="O245" s="4" t="str">
        <f aca="false">IF($A245="","",IF(L245=N245,"No","Yes"))</f>
        <v/>
      </c>
      <c r="P245" s="4" t="str">
        <f aca="false">IF($A245="","",IF(E245="Client","n/a",IF(L245=M245,"YES — four-eyes breach","No")))</f>
        <v/>
      </c>
      <c r="Q245" s="38" t="str">
        <f aca="false">IF($A245="","",IFERROR(VLOOKUP($C245,Dim_Fund!$A:$AB,28,0),""))</f>
        <v/>
      </c>
      <c r="R245" s="38" t="str">
        <f aca="false">IF($A245="","",IFERROR(VLOOKUP($C245,Dim_Fund!$A:$AC,29,0),""))</f>
        <v/>
      </c>
      <c r="S245" s="38" t="str">
        <f aca="false">IF($A245="","",IFERROR(VLOOKUP($C245,Dim_Fund!$A:$AD,30,0),""))</f>
        <v/>
      </c>
      <c r="T245" s="38" t="str">
        <f aca="false">IF($A245="","",IFERROR(VLOOKUP($C245,Dim_Fund!$A:$AL,38,0),""))</f>
        <v/>
      </c>
      <c r="U245" s="37" t="str">
        <f aca="false">IF($A245="","",IF(AL245="","",IFERROR(IF(COUNTIFS(Fact_Milestone!$A:$A,$B245,Fact_Milestone!$B:$B,AL245)=0,"",_xlfn.MAXIFS(Fact_Milestone!$C:$C,Fact_Milestone!$A:$A,$B245,Fact_Milestone!$B:$B,AL245)),"")))</f>
        <v/>
      </c>
      <c r="V245" s="37" t="str">
        <f aca="false">IF($A245="","",IFERROR(IF(VLOOKUP($C245,Dim_Fund!$A:$AI,35,0)&gt;0,$B245+VLOOKUP($C245,Dim_Fund!$A:$AI,35,0)/24,""),""))</f>
        <v/>
      </c>
      <c r="W245" s="37" t="str">
        <f aca="false">IF($A245="","",F245)</f>
        <v/>
      </c>
      <c r="X245" s="37" t="str">
        <f aca="false">IF($A245="","",IF(E245="Client",H245,G245))</f>
        <v/>
      </c>
      <c r="Y245" s="37" t="str">
        <f aca="false">IF($A245="","",I245)</f>
        <v/>
      </c>
      <c r="Z245" s="37" t="str">
        <f aca="false">IF($A245="","",IFERROR(W245-R245/1440,""))</f>
        <v/>
      </c>
      <c r="AA245" s="38" t="str">
        <f aca="false">IF($A245="","",IF(OR(U245="",V245=""),"",ROUND((V245-U245)*1440,0)))</f>
        <v/>
      </c>
      <c r="AB245" s="38" t="str">
        <f aca="false">IF($A245="","",IF(U245="","",ROUND((W245-U245)*1440,0)))</f>
        <v/>
      </c>
      <c r="AC245" s="38" t="str">
        <f aca="false">IF($A245="","",IF(AB245="","",MAX(0,AB245)))</f>
        <v/>
      </c>
      <c r="AD245" s="38" t="str">
        <f aca="false">IF($A245="","",IFERROR(ROUND((X245-W245)*1440,0),""))</f>
        <v/>
      </c>
      <c r="AE245" s="38" t="str">
        <f aca="false">IF($A245="","",IF(E245="Client","n/a",IFERROR(ROUND((H245-G245)*1440,0),"")))</f>
        <v/>
      </c>
      <c r="AF245" s="38" t="str">
        <f aca="false">IF($A245="","",IFERROR(ROUND((Y245-H245)*1440,0),""))</f>
        <v/>
      </c>
      <c r="AG245" s="38" t="str">
        <f aca="false">IF($A245="","",IFERROR(ROUND((H245-F245)*1440,0),""))</f>
        <v/>
      </c>
      <c r="AH245" s="38" t="str">
        <f aca="false">IF($A245="","",IFERROR(ROUND((Y245-V245)*1440,0),""))</f>
        <v/>
      </c>
      <c r="AI245" s="4" t="str">
        <f aca="false">IF($A245="","",IF(AH245="","",IF(AH245&gt;0,"Yes","No")))</f>
        <v/>
      </c>
      <c r="AJ245" s="4" t="str">
        <f aca="false">IF($A245="","",IF(AI245&lt;&gt;"Yes","On time",IF(N(AC245)&gt;=MAX(N(AF245),N(K245)),"Wait for analyst",IF(N(AF245)&gt;=N(K245),"External sign-off","Rework"))))</f>
        <v/>
      </c>
      <c r="AK245" s="4" t="str">
        <f aca="false">IF($A245="","",IF(OR(F245="",Y245="",ISNA(MATCH(L245,Dim_Analyst!$A:$A,0))),"CHECK","OK"))</f>
        <v/>
      </c>
      <c r="AL245" s="4" t="str">
        <f aca="false">IF($A245="","",IFERROR(VLOOKUP($C245,Dim_Fund!$A:$U,21,0),""))</f>
        <v/>
      </c>
      <c r="AM245" s="4" t="str">
        <f aca="false">IF($A245="","",IF($U245="","",IF($U245&gt;$B245+IFERROR(VLOOKUP($C245,Dim_Fund!$A:$AH,34,0),0)/24,"Yes","No")))</f>
        <v/>
      </c>
      <c r="AN245" s="22" t="str">
        <f aca="false">IF($A245="","",IFERROR(VLOOKUP($C245,Dim_Fund!$A:$AH,34,0),""))</f>
        <v/>
      </c>
      <c r="AO245" s="22" t="str">
        <f aca="false">IF($A245="","",IF($AL245="","",IFERROR(FLOOR(IF(COUNTIFS(Fact_Milestone!$A:$A,$B245,Fact_Milestone!$B:$B,$AL245,Fact_Milestone!$F:$F,"&gt;0")&gt;0,_xlfn.MINIFS(Fact_Milestone!$F:$F,Fact_Milestone!$A:$A,$B245,Fact_Milestone!$B:$B,$AL245,Fact_Milestone!$F:$F,"&gt;0"),VLOOKUP($AL245,Dim_TOP!$A:$E,5,0)),0.5),"")))</f>
        <v/>
      </c>
      <c r="AP245" s="22" t="str">
        <f aca="false">IF($A245="","",IF($U245="","",ROUND(($U245-INT($U245))*24,4)))</f>
        <v/>
      </c>
      <c r="AQ245" s="22" t="str">
        <f aca="false">IF($A245="","",IF($W245="","",ROUND(($W245-INT($W245))*24,4)))</f>
        <v/>
      </c>
      <c r="AR245" s="22" t="str">
        <f aca="false">IF($A245="","",IF($X245="","",ROUND(($X245-INT($X245))*24,4)))</f>
        <v/>
      </c>
      <c r="AS245" s="38" t="str">
        <f aca="false">IF($A245="","",IF(OR($AN245="",$V245="",$S245="",$T245=""),"",ROUND(($V245-($B245+$AN245/24))*1440-$S245-$T245,0)))</f>
        <v/>
      </c>
      <c r="AT245" s="38" t="str">
        <f aca="false">IF($A245="","",IF(OR($AN245="",$U245=""),"",ROUND(($U245-($B245+$AN245/24))*1440,0)))</f>
        <v/>
      </c>
      <c r="AU245" s="38" t="str">
        <f aca="false">IF($A245="","",IF(OR($AD245="",$S245=""),"",ROUND($AD245-$S245,0)))</f>
        <v/>
      </c>
      <c r="AV245" s="38" t="str">
        <f aca="false">IF($A245="","",N($AE245))</f>
        <v/>
      </c>
      <c r="AW245" s="38" t="str">
        <f aca="false">IF($A245="","",IF(OR($AF245="",$T245=""),"",$AF245-$T245))</f>
        <v/>
      </c>
      <c r="AX245" s="38" t="str">
        <f aca="false">IF($A245="","",IF(COUNT($AT245,$AB245,$AU245,$AW245,$AS245,$AH245)&lt;6,"",ROUND($AT245+$AB245+$AU245+$AV245+$AW245-$AS245-$AH245,0)))</f>
        <v/>
      </c>
      <c r="AY245" s="4" t="str">
        <f aca="false">IF($A245="","",IF($AX245="","No",IF(ABS($AX245)&lt;=2,"Yes","No")))</f>
        <v/>
      </c>
      <c r="AZ245" s="4" t="str">
        <f aca="false">IF($A245="","",IF($AI245&lt;&gt;"Yes","n/a",IF(OR($AA245="",$S245="",$T245=""),"Unknown",IF($AA245&lt;$S245+$T245,"Lost on arrival","Lost after arrival"))))</f>
        <v/>
      </c>
      <c r="BA245" s="10" t="str">
        <f aca="false">IF($A245="","",IFERROR(VLOOKUP($C245,Dim_Fund!$A:$D,4,0),""))</f>
        <v/>
      </c>
      <c r="BB245" s="10" t="str">
        <f aca="false">IF($A245="","",IF($AL245="","",IF(COUNTIFS(Fact_Milestone!$A:$A,$B245,Fact_Milestone!$B:$B,$AL245,Fact_Milestone!$I:$I,"No")&gt;0,"No",IF(COUNTIFS(Fact_Milestone!$A:$A,$B245,Fact_Milestone!$B:$B,$AL245,Fact_Milestone!$I:$I,"Yes")&gt;0,"Yes",""))))</f>
        <v/>
      </c>
      <c r="BC245" s="45" t="str">
        <f aca="false">IF($A245="","",IF(OR($L245="",$W245=""),"",IF(COUNTIFS($L:$L,$L245,$B:$B,$B245,$W:$W,"&lt;"&amp;$W245)=0,"",_xlfn.MAXIFS($W:$W,$L:$L,$L245,$B:$B,$B245,$W:$W,"&lt;"&amp;$W245))))</f>
        <v/>
      </c>
      <c r="BD245" s="39" t="str">
        <f aca="false">IF($A245="","",IF($AC245="","",IF(OR($L245="",$AC245=0),0,MIN($AC245,ROUND(ROUND(1440*SUMPRODUCT(($L$2:INDEX($L:$L,COUNTA($C:$C))=$L245)*($B$2:INDEX($B:$B,COUNTA($C:$C))=$B245)*(ROW($L$2:INDEX($L:$L,COUNTA($C:$C)))&lt;&gt;ROW())*((((($W245+$BT$2:INDEX($BT:$BT,COUNTA($C:$C))-ABS($W245-$BT$2:INDEX($BT:$BT,COUNTA($C:$C))))/2)-(($U245+$BS$2:INDEX($BS:$BS,COUNTA($C:$C))+ABS($U245-$BS$2:INDEX($BS:$BS,COUNTA($C:$C))))/2))+ABS(((($W245+$BT$2:INDEX($BT:$BT,COUNTA($C:$C))-ABS($W245-$BT$2:INDEX($BT:$BT,COUNTA($C:$C))))/2)-(($U245+$BS$2:INDEX($BS:$BS,COUNTA($C:$C))+ABS($U245-$BS$2:INDEX($BS:$BS,COUNTA($C:$C))))/2))))/2)),4),0)))))</f>
        <v/>
      </c>
      <c r="BE245" s="39" t="str">
        <f aca="false">IF($A245="","",IF($AC245="","",ROUND(MIN($AC245-$BD245,N($R245)),0)))</f>
        <v/>
      </c>
      <c r="BF245" s="10" t="str">
        <f aca="false">IF($A245="","",IFERROR(VLOOKUP($C245,Dim_Fund!$A:$BD,56,0),""))</f>
        <v/>
      </c>
      <c r="BG245" s="10" t="str">
        <f aca="false">IF($A245="","",IFERROR(VLOOKUP($C245,Dim_Fund!$A:$BH,60,0),""))</f>
        <v/>
      </c>
      <c r="BH245" s="10" t="str">
        <f aca="false">IF($A245="","",IF($AI245&lt;&gt;"Yes","Not breached",IF($AM245="Yes","Pricing late",IF($BG245="Thin custody slack","Thin custody slack",IF($BF245="Yes","Broker-dependent","None of these")))))</f>
        <v/>
      </c>
      <c r="BI245" s="23" t="str">
        <f aca="false">IF($A245="","",IFERROR(IF(VLOOKUP($C245,Dim_Fund!$A:$AI,35,0)&gt;0,VLOOKUP($C245,Dim_Fund!$A:$AI,35,0),""),""))</f>
        <v/>
      </c>
      <c r="BJ245" s="10" t="str">
        <f aca="false">IF($A245="","",$C245&amp;IF($E245="Client","*",""))</f>
        <v/>
      </c>
      <c r="BK245" s="39" t="str">
        <f aca="false">IF($A245="","",IFERROR(ROUND(($Y245-$X245)*1440,0),""))</f>
        <v/>
      </c>
      <c r="BL245" s="39" t="str">
        <f aca="false">IF($A245="","",IF($AH245="","",-$AH245))</f>
        <v/>
      </c>
      <c r="BM245" s="46" t="str">
        <f aca="false">IF($A245="","",IF($AQ245="","",IF($AP245="",$AQ245,MIN($AP245,$AQ245))))</f>
        <v/>
      </c>
      <c r="BN245" s="46" t="str">
        <f aca="false">IF($A245="","",IF($BM245="","",ROUND(N($AC245)/60,4)))</f>
        <v/>
      </c>
      <c r="BO245" s="46" t="str">
        <f aca="false">IF($A245="","",IF(OR($BM245="",$AD245=""),"",ROUND($AD245/60,4)))</f>
        <v/>
      </c>
      <c r="BP245" s="46" t="str">
        <f aca="false">IF($A245="","",IF($BM245="","",ROUND(N($AE245)/60,4)))</f>
        <v/>
      </c>
      <c r="BQ245" s="46" t="str">
        <f aca="false">IF($A245="","",IF(OR($BM245="",$AF245=""),"",ROUND($AF245/60,4)))</f>
        <v/>
      </c>
      <c r="BR245" s="39" t="str">
        <f aca="false">IF($A245="","",IF($AC245="","",$AC245-$BD245-$BE245))</f>
        <v/>
      </c>
      <c r="BS245" s="45" t="str">
        <f aca="false">IF($A245="","",IF(AND(ISNUMBER($Z245),ISNUMBER($W245)),$Z245,0))</f>
        <v/>
      </c>
      <c r="BT245" s="45" t="str">
        <f aca="false">IF($A245="","",IF(ISNUMBER($W245),$W245,0))</f>
        <v/>
      </c>
      <c r="BU245" s="23" t="str">
        <f aca="false">IF($A245="","",IF(ISNUMBER($W245),ROUND(($W245-$B245)*24,4),""))</f>
        <v/>
      </c>
      <c r="BV245" s="23" t="str">
        <f aca="false">IF($A245="","",IF(ISNUMBER($X245),ROUND(($X245-$B245)*24,4),""))</f>
        <v/>
      </c>
      <c r="BW245" s="10" t="str">
        <f aca="false">IF($A245="","",IF(NOT(ISNUMBER($W245)),"Missing Calculated",IF(NOT(ISNUMBER($X245)),IF($E245="Client","Missing FA signed off","Missing Controlled"),IF($X245&lt;$W245,"End before start","OK"))))</f>
        <v/>
      </c>
      <c r="BX245" s="23" t="str">
        <f aca="false">IF($A245="","",IF(NOT(ISNUMBER($Z245)),"",ROUND((IF(ISNUMBER($U245),MIN($U245,$Z245),$Z245)-$B245)*24,4)))</f>
        <v/>
      </c>
      <c r="BY245" s="23" t="str">
        <f aca="false">IF($A245="","",IF(ISNUMBER($Z245),ROUND(($Z245-$B245)*24,4),""))</f>
        <v/>
      </c>
      <c r="BZ245" s="23" t="str">
        <f aca="false">IF($A245="","",IF(AND(ISNUMBER($W245),ISNUMBER($S245)),ROUND(($W245+$S245/1440-$B245)*24,4),""))</f>
        <v/>
      </c>
    </row>
    <row r="246" customFormat="false" ht="15" hidden="false" customHeight="true" outlineLevel="0" collapsed="false">
      <c r="A246" s="47"/>
      <c r="B246" s="47"/>
      <c r="D246" s="4" t="str">
        <f aca="false">IF($A246="","",$B246-$A246)</f>
        <v/>
      </c>
      <c r="E246" s="4" t="str">
        <f aca="false">IF($A246="","",IFERROR(VLOOKUP($C246,Dim_Fund!$A:$X,24,0),""))</f>
        <v/>
      </c>
      <c r="F246" s="37" t="str">
        <f aca="false">IF($A246="","",IF(COUNTIFS(Status_Log!$A:$A,$A246,Status_Log!$B:$B,$B246,Status_Log!$C:$C,$C246,Status_Log!$D:$D,"Changed to the status of Calculated")=0,"",_xlfn.MINIFS(Status_Log!$E:$E,Status_Log!$A:$A,$A246,Status_Log!$B:$B,$B246,Status_Log!$C:$C,$C246,Status_Log!$D:$D,"Changed to the status of Calculated")))</f>
        <v/>
      </c>
      <c r="G246" s="37" t="str">
        <f aca="false">IF($A246="","",IF(COUNTIFS(Status_Log!$A:$A,$A246,Status_Log!$B:$B,$B246,Status_Log!$C:$C,$C246,Status_Log!$D:$D,"Changed to the status of Controlled")=0,"",_xlfn.MAXIFS(Status_Log!$E:$E,Status_Log!$A:$A,$A246,Status_Log!$B:$B,$B246,Status_Log!$C:$C,$C246,Status_Log!$D:$D,"Changed to the status of Controlled")))</f>
        <v/>
      </c>
      <c r="H246" s="37" t="str">
        <f aca="false">IF($A246="","",IF(COUNTIFS(Status_Log!$A:$A,$A246,Status_Log!$B:$B,$B246,Status_Log!$C:$C,$C246,Status_Log!$D:$D,"Changed to the status of Fund accounting signed off")=0,"",_xlfn.MAXIFS(Status_Log!$E:$E,Status_Log!$A:$A,$A246,Status_Log!$B:$B,$B246,Status_Log!$C:$C,$C246,Status_Log!$D:$D,"Changed to the status of Fund accounting signed off")))</f>
        <v/>
      </c>
      <c r="I246" s="37" t="str">
        <f aca="false">IF($A246="","",IF(COUNTIFS(Status_Log!$A:$A,$A246,Status_Log!$B:$B,$B246,Status_Log!$C:$C,$C246,Status_Log!$D:$D,"Changed to the status of signed off")=0,"",_xlfn.MAXIFS(Status_Log!$E:$E,Status_Log!$A:$A,$A246,Status_Log!$B:$B,$B246,Status_Log!$C:$C,$C246,Status_Log!$D:$D,"Changed to the status of signed off")))</f>
        <v/>
      </c>
      <c r="J246" s="4" t="str">
        <f aca="false">IF($A246="","",COUNTIFS(Status_Log!$A:$A,$A246,Status_Log!$B:$B,$B246,Status_Log!$C:$C,$C246,Status_Log!$D:$D,"Changed to the status of Calculated"))</f>
        <v/>
      </c>
      <c r="K246" s="38" t="str">
        <f aca="false">IF($A246="","",IF(J246&lt;=1,0,ROUND((_xlfn.MAXIFS(Status_Log!$E:$E,Status_Log!$A:$A,$A246,Status_Log!$B:$B,$B246,Status_Log!$C:$C,$C246,Status_Log!$D:$D,"Changed to the status of Calculated")-F246)*1440,0)))</f>
        <v/>
      </c>
      <c r="L246" s="4" t="str">
        <f aca="false">IF($A246="","",IFERROR(INDEX(Status_Log!$F:$F,MATCH($A246&amp;"|"&amp;$B246&amp;"|"&amp;$C246&amp;"|Changed to the status of Calculated|"&amp;TEXT(_xlfn.MAXIFS(Status_Log!$E:$E,Status_Log!$A:$A,$A246,Status_Log!$B:$B,$B246,Status_Log!$C:$C,$C246,Status_Log!$D:$D,"Changed to the status of Calculated"),"0.000000"),Status_Log!$H:$H,0)),""))</f>
        <v/>
      </c>
      <c r="M246" s="4" t="str">
        <f aca="false">IF($A246="","",IF(E246="Client","n/a — no control step",IFERROR(INDEX(Status_Log!$F:$F,MATCH($A246&amp;"|"&amp;$B246&amp;"|"&amp;$C246&amp;"|Changed to the status of Controlled|"&amp;TEXT(_xlfn.MAXIFS(Status_Log!$E:$E,Status_Log!$A:$A,$A246,Status_Log!$B:$B,$B246,Status_Log!$C:$C,$C246,Status_Log!$D:$D,"Changed to the status of Controlled"),"0.000000"),Status_Log!$H:$H,0)),"")))</f>
        <v/>
      </c>
      <c r="N246" s="4" t="str">
        <f aca="false">IF($A246="","",IFERROR(VLOOKUP($C246,Dim_Fund!$A:$G,7,0),""))</f>
        <v/>
      </c>
      <c r="O246" s="4" t="str">
        <f aca="false">IF($A246="","",IF(L246=N246,"No","Yes"))</f>
        <v/>
      </c>
      <c r="P246" s="4" t="str">
        <f aca="false">IF($A246="","",IF(E246="Client","n/a",IF(L246=M246,"YES — four-eyes breach","No")))</f>
        <v/>
      </c>
      <c r="Q246" s="38" t="str">
        <f aca="false">IF($A246="","",IFERROR(VLOOKUP($C246,Dim_Fund!$A:$AB,28,0),""))</f>
        <v/>
      </c>
      <c r="R246" s="38" t="str">
        <f aca="false">IF($A246="","",IFERROR(VLOOKUP($C246,Dim_Fund!$A:$AC,29,0),""))</f>
        <v/>
      </c>
      <c r="S246" s="38" t="str">
        <f aca="false">IF($A246="","",IFERROR(VLOOKUP($C246,Dim_Fund!$A:$AD,30,0),""))</f>
        <v/>
      </c>
      <c r="T246" s="38" t="str">
        <f aca="false">IF($A246="","",IFERROR(VLOOKUP($C246,Dim_Fund!$A:$AL,38,0),""))</f>
        <v/>
      </c>
      <c r="U246" s="37" t="str">
        <f aca="false">IF($A246="","",IF(AL246="","",IFERROR(IF(COUNTIFS(Fact_Milestone!$A:$A,$B246,Fact_Milestone!$B:$B,AL246)=0,"",_xlfn.MAXIFS(Fact_Milestone!$C:$C,Fact_Milestone!$A:$A,$B246,Fact_Milestone!$B:$B,AL246)),"")))</f>
        <v/>
      </c>
      <c r="V246" s="37" t="str">
        <f aca="false">IF($A246="","",IFERROR(IF(VLOOKUP($C246,Dim_Fund!$A:$AI,35,0)&gt;0,$B246+VLOOKUP($C246,Dim_Fund!$A:$AI,35,0)/24,""),""))</f>
        <v/>
      </c>
      <c r="W246" s="37" t="str">
        <f aca="false">IF($A246="","",F246)</f>
        <v/>
      </c>
      <c r="X246" s="37" t="str">
        <f aca="false">IF($A246="","",IF(E246="Client",H246,G246))</f>
        <v/>
      </c>
      <c r="Y246" s="37" t="str">
        <f aca="false">IF($A246="","",I246)</f>
        <v/>
      </c>
      <c r="Z246" s="37" t="str">
        <f aca="false">IF($A246="","",IFERROR(W246-R246/1440,""))</f>
        <v/>
      </c>
      <c r="AA246" s="38" t="str">
        <f aca="false">IF($A246="","",IF(OR(U246="",V246=""),"",ROUND((V246-U246)*1440,0)))</f>
        <v/>
      </c>
      <c r="AB246" s="38" t="str">
        <f aca="false">IF($A246="","",IF(U246="","",ROUND((W246-U246)*1440,0)))</f>
        <v/>
      </c>
      <c r="AC246" s="38" t="str">
        <f aca="false">IF($A246="","",IF(AB246="","",MAX(0,AB246)))</f>
        <v/>
      </c>
      <c r="AD246" s="38" t="str">
        <f aca="false">IF($A246="","",IFERROR(ROUND((X246-W246)*1440,0),""))</f>
        <v/>
      </c>
      <c r="AE246" s="38" t="str">
        <f aca="false">IF($A246="","",IF(E246="Client","n/a",IFERROR(ROUND((H246-G246)*1440,0),"")))</f>
        <v/>
      </c>
      <c r="AF246" s="38" t="str">
        <f aca="false">IF($A246="","",IFERROR(ROUND((Y246-H246)*1440,0),""))</f>
        <v/>
      </c>
      <c r="AG246" s="38" t="str">
        <f aca="false">IF($A246="","",IFERROR(ROUND((H246-F246)*1440,0),""))</f>
        <v/>
      </c>
      <c r="AH246" s="38" t="str">
        <f aca="false">IF($A246="","",IFERROR(ROUND((Y246-V246)*1440,0),""))</f>
        <v/>
      </c>
      <c r="AI246" s="4" t="str">
        <f aca="false">IF($A246="","",IF(AH246="","",IF(AH246&gt;0,"Yes","No")))</f>
        <v/>
      </c>
      <c r="AJ246" s="4" t="str">
        <f aca="false">IF($A246="","",IF(AI246&lt;&gt;"Yes","On time",IF(N(AC246)&gt;=MAX(N(AF246),N(K246)),"Wait for analyst",IF(N(AF246)&gt;=N(K246),"External sign-off","Rework"))))</f>
        <v/>
      </c>
      <c r="AK246" s="4" t="str">
        <f aca="false">IF($A246="","",IF(OR(F246="",Y246="",ISNA(MATCH(L246,Dim_Analyst!$A:$A,0))),"CHECK","OK"))</f>
        <v/>
      </c>
      <c r="AL246" s="4" t="str">
        <f aca="false">IF($A246="","",IFERROR(VLOOKUP($C246,Dim_Fund!$A:$U,21,0),""))</f>
        <v/>
      </c>
      <c r="AM246" s="4" t="str">
        <f aca="false">IF($A246="","",IF($U246="","",IF($U246&gt;$B246+IFERROR(VLOOKUP($C246,Dim_Fund!$A:$AH,34,0),0)/24,"Yes","No")))</f>
        <v/>
      </c>
      <c r="AN246" s="22" t="str">
        <f aca="false">IF($A246="","",IFERROR(VLOOKUP($C246,Dim_Fund!$A:$AH,34,0),""))</f>
        <v/>
      </c>
      <c r="AO246" s="22" t="str">
        <f aca="false">IF($A246="","",IF($AL246="","",IFERROR(FLOOR(IF(COUNTIFS(Fact_Milestone!$A:$A,$B246,Fact_Milestone!$B:$B,$AL246,Fact_Milestone!$F:$F,"&gt;0")&gt;0,_xlfn.MINIFS(Fact_Milestone!$F:$F,Fact_Milestone!$A:$A,$B246,Fact_Milestone!$B:$B,$AL246,Fact_Milestone!$F:$F,"&gt;0"),VLOOKUP($AL246,Dim_TOP!$A:$E,5,0)),0.5),"")))</f>
        <v/>
      </c>
      <c r="AP246" s="22" t="str">
        <f aca="false">IF($A246="","",IF($U246="","",ROUND(($U246-INT($U246))*24,4)))</f>
        <v/>
      </c>
      <c r="AQ246" s="22" t="str">
        <f aca="false">IF($A246="","",IF($W246="","",ROUND(($W246-INT($W246))*24,4)))</f>
        <v/>
      </c>
      <c r="AR246" s="22" t="str">
        <f aca="false">IF($A246="","",IF($X246="","",ROUND(($X246-INT($X246))*24,4)))</f>
        <v/>
      </c>
      <c r="AS246" s="38" t="str">
        <f aca="false">IF($A246="","",IF(OR($AN246="",$V246="",$S246="",$T246=""),"",ROUND(($V246-($B246+$AN246/24))*1440-$S246-$T246,0)))</f>
        <v/>
      </c>
      <c r="AT246" s="38" t="str">
        <f aca="false">IF($A246="","",IF(OR($AN246="",$U246=""),"",ROUND(($U246-($B246+$AN246/24))*1440,0)))</f>
        <v/>
      </c>
      <c r="AU246" s="38" t="str">
        <f aca="false">IF($A246="","",IF(OR($AD246="",$S246=""),"",ROUND($AD246-$S246,0)))</f>
        <v/>
      </c>
      <c r="AV246" s="38" t="str">
        <f aca="false">IF($A246="","",N($AE246))</f>
        <v/>
      </c>
      <c r="AW246" s="38" t="str">
        <f aca="false">IF($A246="","",IF(OR($AF246="",$T246=""),"",$AF246-$T246))</f>
        <v/>
      </c>
      <c r="AX246" s="38" t="str">
        <f aca="false">IF($A246="","",IF(COUNT($AT246,$AB246,$AU246,$AW246,$AS246,$AH246)&lt;6,"",ROUND($AT246+$AB246+$AU246+$AV246+$AW246-$AS246-$AH246,0)))</f>
        <v/>
      </c>
      <c r="AY246" s="4" t="str">
        <f aca="false">IF($A246="","",IF($AX246="","No",IF(ABS($AX246)&lt;=2,"Yes","No")))</f>
        <v/>
      </c>
      <c r="AZ246" s="4" t="str">
        <f aca="false">IF($A246="","",IF($AI246&lt;&gt;"Yes","n/a",IF(OR($AA246="",$S246="",$T246=""),"Unknown",IF($AA246&lt;$S246+$T246,"Lost on arrival","Lost after arrival"))))</f>
        <v/>
      </c>
      <c r="BA246" s="10" t="str">
        <f aca="false">IF($A246="","",IFERROR(VLOOKUP($C246,Dim_Fund!$A:$D,4,0),""))</f>
        <v/>
      </c>
      <c r="BB246" s="10" t="str">
        <f aca="false">IF($A246="","",IF($AL246="","",IF(COUNTIFS(Fact_Milestone!$A:$A,$B246,Fact_Milestone!$B:$B,$AL246,Fact_Milestone!$I:$I,"No")&gt;0,"No",IF(COUNTIFS(Fact_Milestone!$A:$A,$B246,Fact_Milestone!$B:$B,$AL246,Fact_Milestone!$I:$I,"Yes")&gt;0,"Yes",""))))</f>
        <v/>
      </c>
      <c r="BC246" s="45" t="str">
        <f aca="false">IF($A246="","",IF(OR($L246="",$W246=""),"",IF(COUNTIFS($L:$L,$L246,$B:$B,$B246,$W:$W,"&lt;"&amp;$W246)=0,"",_xlfn.MAXIFS($W:$W,$L:$L,$L246,$B:$B,$B246,$W:$W,"&lt;"&amp;$W246))))</f>
        <v/>
      </c>
      <c r="BD246" s="39" t="str">
        <f aca="false">IF($A246="","",IF($AC246="","",IF(OR($L246="",$AC246=0),0,MIN($AC246,ROUND(ROUND(1440*SUMPRODUCT(($L$2:INDEX($L:$L,COUNTA($C:$C))=$L246)*($B$2:INDEX($B:$B,COUNTA($C:$C))=$B246)*(ROW($L$2:INDEX($L:$L,COUNTA($C:$C)))&lt;&gt;ROW())*((((($W246+$BT$2:INDEX($BT:$BT,COUNTA($C:$C))-ABS($W246-$BT$2:INDEX($BT:$BT,COUNTA($C:$C))))/2)-(($U246+$BS$2:INDEX($BS:$BS,COUNTA($C:$C))+ABS($U246-$BS$2:INDEX($BS:$BS,COUNTA($C:$C))))/2))+ABS(((($W246+$BT$2:INDEX($BT:$BT,COUNTA($C:$C))-ABS($W246-$BT$2:INDEX($BT:$BT,COUNTA($C:$C))))/2)-(($U246+$BS$2:INDEX($BS:$BS,COUNTA($C:$C))+ABS($U246-$BS$2:INDEX($BS:$BS,COUNTA($C:$C))))/2))))/2)),4),0)))))</f>
        <v/>
      </c>
      <c r="BE246" s="39" t="str">
        <f aca="false">IF($A246="","",IF($AC246="","",ROUND(MIN($AC246-$BD246,N($R246)),0)))</f>
        <v/>
      </c>
      <c r="BF246" s="10" t="str">
        <f aca="false">IF($A246="","",IFERROR(VLOOKUP($C246,Dim_Fund!$A:$BD,56,0),""))</f>
        <v/>
      </c>
      <c r="BG246" s="10" t="str">
        <f aca="false">IF($A246="","",IFERROR(VLOOKUP($C246,Dim_Fund!$A:$BH,60,0),""))</f>
        <v/>
      </c>
      <c r="BH246" s="10" t="str">
        <f aca="false">IF($A246="","",IF($AI246&lt;&gt;"Yes","Not breached",IF($AM246="Yes","Pricing late",IF($BG246="Thin custody slack","Thin custody slack",IF($BF246="Yes","Broker-dependent","None of these")))))</f>
        <v/>
      </c>
      <c r="BI246" s="23" t="str">
        <f aca="false">IF($A246="","",IFERROR(IF(VLOOKUP($C246,Dim_Fund!$A:$AI,35,0)&gt;0,VLOOKUP($C246,Dim_Fund!$A:$AI,35,0),""),""))</f>
        <v/>
      </c>
      <c r="BJ246" s="10" t="str">
        <f aca="false">IF($A246="","",$C246&amp;IF($E246="Client","*",""))</f>
        <v/>
      </c>
      <c r="BK246" s="39" t="str">
        <f aca="false">IF($A246="","",IFERROR(ROUND(($Y246-$X246)*1440,0),""))</f>
        <v/>
      </c>
      <c r="BL246" s="39" t="str">
        <f aca="false">IF($A246="","",IF($AH246="","",-$AH246))</f>
        <v/>
      </c>
      <c r="BM246" s="46" t="str">
        <f aca="false">IF($A246="","",IF($AQ246="","",IF($AP246="",$AQ246,MIN($AP246,$AQ246))))</f>
        <v/>
      </c>
      <c r="BN246" s="46" t="str">
        <f aca="false">IF($A246="","",IF($BM246="","",ROUND(N($AC246)/60,4)))</f>
        <v/>
      </c>
      <c r="BO246" s="46" t="str">
        <f aca="false">IF($A246="","",IF(OR($BM246="",$AD246=""),"",ROUND($AD246/60,4)))</f>
        <v/>
      </c>
      <c r="BP246" s="46" t="str">
        <f aca="false">IF($A246="","",IF($BM246="","",ROUND(N($AE246)/60,4)))</f>
        <v/>
      </c>
      <c r="BQ246" s="46" t="str">
        <f aca="false">IF($A246="","",IF(OR($BM246="",$AF246=""),"",ROUND($AF246/60,4)))</f>
        <v/>
      </c>
      <c r="BR246" s="39" t="str">
        <f aca="false">IF($A246="","",IF($AC246="","",$AC246-$BD246-$BE246))</f>
        <v/>
      </c>
      <c r="BS246" s="45" t="str">
        <f aca="false">IF($A246="","",IF(AND(ISNUMBER($Z246),ISNUMBER($W246)),$Z246,0))</f>
        <v/>
      </c>
      <c r="BT246" s="45" t="str">
        <f aca="false">IF($A246="","",IF(ISNUMBER($W246),$W246,0))</f>
        <v/>
      </c>
      <c r="BU246" s="23" t="str">
        <f aca="false">IF($A246="","",IF(ISNUMBER($W246),ROUND(($W246-$B246)*24,4),""))</f>
        <v/>
      </c>
      <c r="BV246" s="23" t="str">
        <f aca="false">IF($A246="","",IF(ISNUMBER($X246),ROUND(($X246-$B246)*24,4),""))</f>
        <v/>
      </c>
      <c r="BW246" s="10" t="str">
        <f aca="false">IF($A246="","",IF(NOT(ISNUMBER($W246)),"Missing Calculated",IF(NOT(ISNUMBER($X246)),IF($E246="Client","Missing FA signed off","Missing Controlled"),IF($X246&lt;$W246,"End before start","OK"))))</f>
        <v/>
      </c>
      <c r="BX246" s="23" t="str">
        <f aca="false">IF($A246="","",IF(NOT(ISNUMBER($Z246)),"",ROUND((IF(ISNUMBER($U246),MIN($U246,$Z246),$Z246)-$B246)*24,4)))</f>
        <v/>
      </c>
      <c r="BY246" s="23" t="str">
        <f aca="false">IF($A246="","",IF(ISNUMBER($Z246),ROUND(($Z246-$B246)*24,4),""))</f>
        <v/>
      </c>
      <c r="BZ246" s="23" t="str">
        <f aca="false">IF($A246="","",IF(AND(ISNUMBER($W246),ISNUMBER($S246)),ROUND(($W246+$S246/1440-$B246)*24,4),""))</f>
        <v/>
      </c>
    </row>
    <row r="247" customFormat="false" ht="15" hidden="false" customHeight="true" outlineLevel="0" collapsed="false">
      <c r="A247" s="47"/>
      <c r="B247" s="47"/>
      <c r="D247" s="4" t="str">
        <f aca="false">IF($A247="","",$B247-$A247)</f>
        <v/>
      </c>
      <c r="E247" s="4" t="str">
        <f aca="false">IF($A247="","",IFERROR(VLOOKUP($C247,Dim_Fund!$A:$X,24,0),""))</f>
        <v/>
      </c>
      <c r="F247" s="37" t="str">
        <f aca="false">IF($A247="","",IF(COUNTIFS(Status_Log!$A:$A,$A247,Status_Log!$B:$B,$B247,Status_Log!$C:$C,$C247,Status_Log!$D:$D,"Changed to the status of Calculated")=0,"",_xlfn.MINIFS(Status_Log!$E:$E,Status_Log!$A:$A,$A247,Status_Log!$B:$B,$B247,Status_Log!$C:$C,$C247,Status_Log!$D:$D,"Changed to the status of Calculated")))</f>
        <v/>
      </c>
      <c r="G247" s="37" t="str">
        <f aca="false">IF($A247="","",IF(COUNTIFS(Status_Log!$A:$A,$A247,Status_Log!$B:$B,$B247,Status_Log!$C:$C,$C247,Status_Log!$D:$D,"Changed to the status of Controlled")=0,"",_xlfn.MAXIFS(Status_Log!$E:$E,Status_Log!$A:$A,$A247,Status_Log!$B:$B,$B247,Status_Log!$C:$C,$C247,Status_Log!$D:$D,"Changed to the status of Controlled")))</f>
        <v/>
      </c>
      <c r="H247" s="37" t="str">
        <f aca="false">IF($A247="","",IF(COUNTIFS(Status_Log!$A:$A,$A247,Status_Log!$B:$B,$B247,Status_Log!$C:$C,$C247,Status_Log!$D:$D,"Changed to the status of Fund accounting signed off")=0,"",_xlfn.MAXIFS(Status_Log!$E:$E,Status_Log!$A:$A,$A247,Status_Log!$B:$B,$B247,Status_Log!$C:$C,$C247,Status_Log!$D:$D,"Changed to the status of Fund accounting signed off")))</f>
        <v/>
      </c>
      <c r="I247" s="37" t="str">
        <f aca="false">IF($A247="","",IF(COUNTIFS(Status_Log!$A:$A,$A247,Status_Log!$B:$B,$B247,Status_Log!$C:$C,$C247,Status_Log!$D:$D,"Changed to the status of signed off")=0,"",_xlfn.MAXIFS(Status_Log!$E:$E,Status_Log!$A:$A,$A247,Status_Log!$B:$B,$B247,Status_Log!$C:$C,$C247,Status_Log!$D:$D,"Changed to the status of signed off")))</f>
        <v/>
      </c>
      <c r="J247" s="4" t="str">
        <f aca="false">IF($A247="","",COUNTIFS(Status_Log!$A:$A,$A247,Status_Log!$B:$B,$B247,Status_Log!$C:$C,$C247,Status_Log!$D:$D,"Changed to the status of Calculated"))</f>
        <v/>
      </c>
      <c r="K247" s="38" t="str">
        <f aca="false">IF($A247="","",IF(J247&lt;=1,0,ROUND((_xlfn.MAXIFS(Status_Log!$E:$E,Status_Log!$A:$A,$A247,Status_Log!$B:$B,$B247,Status_Log!$C:$C,$C247,Status_Log!$D:$D,"Changed to the status of Calculated")-F247)*1440,0)))</f>
        <v/>
      </c>
      <c r="L247" s="4" t="str">
        <f aca="false">IF($A247="","",IFERROR(INDEX(Status_Log!$F:$F,MATCH($A247&amp;"|"&amp;$B247&amp;"|"&amp;$C247&amp;"|Changed to the status of Calculated|"&amp;TEXT(_xlfn.MAXIFS(Status_Log!$E:$E,Status_Log!$A:$A,$A247,Status_Log!$B:$B,$B247,Status_Log!$C:$C,$C247,Status_Log!$D:$D,"Changed to the status of Calculated"),"0.000000"),Status_Log!$H:$H,0)),""))</f>
        <v/>
      </c>
      <c r="M247" s="4" t="str">
        <f aca="false">IF($A247="","",IF(E247="Client","n/a — no control step",IFERROR(INDEX(Status_Log!$F:$F,MATCH($A247&amp;"|"&amp;$B247&amp;"|"&amp;$C247&amp;"|Changed to the status of Controlled|"&amp;TEXT(_xlfn.MAXIFS(Status_Log!$E:$E,Status_Log!$A:$A,$A247,Status_Log!$B:$B,$B247,Status_Log!$C:$C,$C247,Status_Log!$D:$D,"Changed to the status of Controlled"),"0.000000"),Status_Log!$H:$H,0)),"")))</f>
        <v/>
      </c>
      <c r="N247" s="4" t="str">
        <f aca="false">IF($A247="","",IFERROR(VLOOKUP($C247,Dim_Fund!$A:$G,7,0),""))</f>
        <v/>
      </c>
      <c r="O247" s="4" t="str">
        <f aca="false">IF($A247="","",IF(L247=N247,"No","Yes"))</f>
        <v/>
      </c>
      <c r="P247" s="4" t="str">
        <f aca="false">IF($A247="","",IF(E247="Client","n/a",IF(L247=M247,"YES — four-eyes breach","No")))</f>
        <v/>
      </c>
      <c r="Q247" s="38" t="str">
        <f aca="false">IF($A247="","",IFERROR(VLOOKUP($C247,Dim_Fund!$A:$AB,28,0),""))</f>
        <v/>
      </c>
      <c r="R247" s="38" t="str">
        <f aca="false">IF($A247="","",IFERROR(VLOOKUP($C247,Dim_Fund!$A:$AC,29,0),""))</f>
        <v/>
      </c>
      <c r="S247" s="38" t="str">
        <f aca="false">IF($A247="","",IFERROR(VLOOKUP($C247,Dim_Fund!$A:$AD,30,0),""))</f>
        <v/>
      </c>
      <c r="T247" s="38" t="str">
        <f aca="false">IF($A247="","",IFERROR(VLOOKUP($C247,Dim_Fund!$A:$AL,38,0),""))</f>
        <v/>
      </c>
      <c r="U247" s="37" t="str">
        <f aca="false">IF($A247="","",IF(AL247="","",IFERROR(IF(COUNTIFS(Fact_Milestone!$A:$A,$B247,Fact_Milestone!$B:$B,AL247)=0,"",_xlfn.MAXIFS(Fact_Milestone!$C:$C,Fact_Milestone!$A:$A,$B247,Fact_Milestone!$B:$B,AL247)),"")))</f>
        <v/>
      </c>
      <c r="V247" s="37" t="str">
        <f aca="false">IF($A247="","",IFERROR(IF(VLOOKUP($C247,Dim_Fund!$A:$AI,35,0)&gt;0,$B247+VLOOKUP($C247,Dim_Fund!$A:$AI,35,0)/24,""),""))</f>
        <v/>
      </c>
      <c r="W247" s="37" t="str">
        <f aca="false">IF($A247="","",F247)</f>
        <v/>
      </c>
      <c r="X247" s="37" t="str">
        <f aca="false">IF($A247="","",IF(E247="Client",H247,G247))</f>
        <v/>
      </c>
      <c r="Y247" s="37" t="str">
        <f aca="false">IF($A247="","",I247)</f>
        <v/>
      </c>
      <c r="Z247" s="37" t="str">
        <f aca="false">IF($A247="","",IFERROR(W247-R247/1440,""))</f>
        <v/>
      </c>
      <c r="AA247" s="38" t="str">
        <f aca="false">IF($A247="","",IF(OR(U247="",V247=""),"",ROUND((V247-U247)*1440,0)))</f>
        <v/>
      </c>
      <c r="AB247" s="38" t="str">
        <f aca="false">IF($A247="","",IF(U247="","",ROUND((W247-U247)*1440,0)))</f>
        <v/>
      </c>
      <c r="AC247" s="38" t="str">
        <f aca="false">IF($A247="","",IF(AB247="","",MAX(0,AB247)))</f>
        <v/>
      </c>
      <c r="AD247" s="38" t="str">
        <f aca="false">IF($A247="","",IFERROR(ROUND((X247-W247)*1440,0),""))</f>
        <v/>
      </c>
      <c r="AE247" s="38" t="str">
        <f aca="false">IF($A247="","",IF(E247="Client","n/a",IFERROR(ROUND((H247-G247)*1440,0),"")))</f>
        <v/>
      </c>
      <c r="AF247" s="38" t="str">
        <f aca="false">IF($A247="","",IFERROR(ROUND((Y247-H247)*1440,0),""))</f>
        <v/>
      </c>
      <c r="AG247" s="38" t="str">
        <f aca="false">IF($A247="","",IFERROR(ROUND((H247-F247)*1440,0),""))</f>
        <v/>
      </c>
      <c r="AH247" s="38" t="str">
        <f aca="false">IF($A247="","",IFERROR(ROUND((Y247-V247)*1440,0),""))</f>
        <v/>
      </c>
      <c r="AI247" s="4" t="str">
        <f aca="false">IF($A247="","",IF(AH247="","",IF(AH247&gt;0,"Yes","No")))</f>
        <v/>
      </c>
      <c r="AJ247" s="4" t="str">
        <f aca="false">IF($A247="","",IF(AI247&lt;&gt;"Yes","On time",IF(N(AC247)&gt;=MAX(N(AF247),N(K247)),"Wait for analyst",IF(N(AF247)&gt;=N(K247),"External sign-off","Rework"))))</f>
        <v/>
      </c>
      <c r="AK247" s="4" t="str">
        <f aca="false">IF($A247="","",IF(OR(F247="",Y247="",ISNA(MATCH(L247,Dim_Analyst!$A:$A,0))),"CHECK","OK"))</f>
        <v/>
      </c>
      <c r="AL247" s="4" t="str">
        <f aca="false">IF($A247="","",IFERROR(VLOOKUP($C247,Dim_Fund!$A:$U,21,0),""))</f>
        <v/>
      </c>
      <c r="AM247" s="4" t="str">
        <f aca="false">IF($A247="","",IF($U247="","",IF($U247&gt;$B247+IFERROR(VLOOKUP($C247,Dim_Fund!$A:$AH,34,0),0)/24,"Yes","No")))</f>
        <v/>
      </c>
      <c r="AN247" s="22" t="str">
        <f aca="false">IF($A247="","",IFERROR(VLOOKUP($C247,Dim_Fund!$A:$AH,34,0),""))</f>
        <v/>
      </c>
      <c r="AO247" s="22" t="str">
        <f aca="false">IF($A247="","",IF($AL247="","",IFERROR(FLOOR(IF(COUNTIFS(Fact_Milestone!$A:$A,$B247,Fact_Milestone!$B:$B,$AL247,Fact_Milestone!$F:$F,"&gt;0")&gt;0,_xlfn.MINIFS(Fact_Milestone!$F:$F,Fact_Milestone!$A:$A,$B247,Fact_Milestone!$B:$B,$AL247,Fact_Milestone!$F:$F,"&gt;0"),VLOOKUP($AL247,Dim_TOP!$A:$E,5,0)),0.5),"")))</f>
        <v/>
      </c>
      <c r="AP247" s="22" t="str">
        <f aca="false">IF($A247="","",IF($U247="","",ROUND(($U247-INT($U247))*24,4)))</f>
        <v/>
      </c>
      <c r="AQ247" s="22" t="str">
        <f aca="false">IF($A247="","",IF($W247="","",ROUND(($W247-INT($W247))*24,4)))</f>
        <v/>
      </c>
      <c r="AR247" s="22" t="str">
        <f aca="false">IF($A247="","",IF($X247="","",ROUND(($X247-INT($X247))*24,4)))</f>
        <v/>
      </c>
      <c r="AS247" s="38" t="str">
        <f aca="false">IF($A247="","",IF(OR($AN247="",$V247="",$S247="",$T247=""),"",ROUND(($V247-($B247+$AN247/24))*1440-$S247-$T247,0)))</f>
        <v/>
      </c>
      <c r="AT247" s="38" t="str">
        <f aca="false">IF($A247="","",IF(OR($AN247="",$U247=""),"",ROUND(($U247-($B247+$AN247/24))*1440,0)))</f>
        <v/>
      </c>
      <c r="AU247" s="38" t="str">
        <f aca="false">IF($A247="","",IF(OR($AD247="",$S247=""),"",ROUND($AD247-$S247,0)))</f>
        <v/>
      </c>
      <c r="AV247" s="38" t="str">
        <f aca="false">IF($A247="","",N($AE247))</f>
        <v/>
      </c>
      <c r="AW247" s="38" t="str">
        <f aca="false">IF($A247="","",IF(OR($AF247="",$T247=""),"",$AF247-$T247))</f>
        <v/>
      </c>
      <c r="AX247" s="38" t="str">
        <f aca="false">IF($A247="","",IF(COUNT($AT247,$AB247,$AU247,$AW247,$AS247,$AH247)&lt;6,"",ROUND($AT247+$AB247+$AU247+$AV247+$AW247-$AS247-$AH247,0)))</f>
        <v/>
      </c>
      <c r="AY247" s="4" t="str">
        <f aca="false">IF($A247="","",IF($AX247="","No",IF(ABS($AX247)&lt;=2,"Yes","No")))</f>
        <v/>
      </c>
      <c r="AZ247" s="4" t="str">
        <f aca="false">IF($A247="","",IF($AI247&lt;&gt;"Yes","n/a",IF(OR($AA247="",$S247="",$T247=""),"Unknown",IF($AA247&lt;$S247+$T247,"Lost on arrival","Lost after arrival"))))</f>
        <v/>
      </c>
      <c r="BA247" s="10" t="str">
        <f aca="false">IF($A247="","",IFERROR(VLOOKUP($C247,Dim_Fund!$A:$D,4,0),""))</f>
        <v/>
      </c>
      <c r="BB247" s="10" t="str">
        <f aca="false">IF($A247="","",IF($AL247="","",IF(COUNTIFS(Fact_Milestone!$A:$A,$B247,Fact_Milestone!$B:$B,$AL247,Fact_Milestone!$I:$I,"No")&gt;0,"No",IF(COUNTIFS(Fact_Milestone!$A:$A,$B247,Fact_Milestone!$B:$B,$AL247,Fact_Milestone!$I:$I,"Yes")&gt;0,"Yes",""))))</f>
        <v/>
      </c>
      <c r="BC247" s="45" t="str">
        <f aca="false">IF($A247="","",IF(OR($L247="",$W247=""),"",IF(COUNTIFS($L:$L,$L247,$B:$B,$B247,$W:$W,"&lt;"&amp;$W247)=0,"",_xlfn.MAXIFS($W:$W,$L:$L,$L247,$B:$B,$B247,$W:$W,"&lt;"&amp;$W247))))</f>
        <v/>
      </c>
      <c r="BD247" s="39" t="str">
        <f aca="false">IF($A247="","",IF($AC247="","",IF(OR($L247="",$AC247=0),0,MIN($AC247,ROUND(ROUND(1440*SUMPRODUCT(($L$2:INDEX($L:$L,COUNTA($C:$C))=$L247)*($B$2:INDEX($B:$B,COUNTA($C:$C))=$B247)*(ROW($L$2:INDEX($L:$L,COUNTA($C:$C)))&lt;&gt;ROW())*((((($W247+$BT$2:INDEX($BT:$BT,COUNTA($C:$C))-ABS($W247-$BT$2:INDEX($BT:$BT,COUNTA($C:$C))))/2)-(($U247+$BS$2:INDEX($BS:$BS,COUNTA($C:$C))+ABS($U247-$BS$2:INDEX($BS:$BS,COUNTA($C:$C))))/2))+ABS(((($W247+$BT$2:INDEX($BT:$BT,COUNTA($C:$C))-ABS($W247-$BT$2:INDEX($BT:$BT,COUNTA($C:$C))))/2)-(($U247+$BS$2:INDEX($BS:$BS,COUNTA($C:$C))+ABS($U247-$BS$2:INDEX($BS:$BS,COUNTA($C:$C))))/2))))/2)),4),0)))))</f>
        <v/>
      </c>
      <c r="BE247" s="39" t="str">
        <f aca="false">IF($A247="","",IF($AC247="","",ROUND(MIN($AC247-$BD247,N($R247)),0)))</f>
        <v/>
      </c>
      <c r="BF247" s="10" t="str">
        <f aca="false">IF($A247="","",IFERROR(VLOOKUP($C247,Dim_Fund!$A:$BD,56,0),""))</f>
        <v/>
      </c>
      <c r="BG247" s="10" t="str">
        <f aca="false">IF($A247="","",IFERROR(VLOOKUP($C247,Dim_Fund!$A:$BH,60,0),""))</f>
        <v/>
      </c>
      <c r="BH247" s="10" t="str">
        <f aca="false">IF($A247="","",IF($AI247&lt;&gt;"Yes","Not breached",IF($AM247="Yes","Pricing late",IF($BG247="Thin custody slack","Thin custody slack",IF($BF247="Yes","Broker-dependent","None of these")))))</f>
        <v/>
      </c>
      <c r="BI247" s="23" t="str">
        <f aca="false">IF($A247="","",IFERROR(IF(VLOOKUP($C247,Dim_Fund!$A:$AI,35,0)&gt;0,VLOOKUP($C247,Dim_Fund!$A:$AI,35,0),""),""))</f>
        <v/>
      </c>
      <c r="BJ247" s="10" t="str">
        <f aca="false">IF($A247="","",$C247&amp;IF($E247="Client","*",""))</f>
        <v/>
      </c>
      <c r="BK247" s="39" t="str">
        <f aca="false">IF($A247="","",IFERROR(ROUND(($Y247-$X247)*1440,0),""))</f>
        <v/>
      </c>
      <c r="BL247" s="39" t="str">
        <f aca="false">IF($A247="","",IF($AH247="","",-$AH247))</f>
        <v/>
      </c>
      <c r="BM247" s="46" t="str">
        <f aca="false">IF($A247="","",IF($AQ247="","",IF($AP247="",$AQ247,MIN($AP247,$AQ247))))</f>
        <v/>
      </c>
      <c r="BN247" s="46" t="str">
        <f aca="false">IF($A247="","",IF($BM247="","",ROUND(N($AC247)/60,4)))</f>
        <v/>
      </c>
      <c r="BO247" s="46" t="str">
        <f aca="false">IF($A247="","",IF(OR($BM247="",$AD247=""),"",ROUND($AD247/60,4)))</f>
        <v/>
      </c>
      <c r="BP247" s="46" t="str">
        <f aca="false">IF($A247="","",IF($BM247="","",ROUND(N($AE247)/60,4)))</f>
        <v/>
      </c>
      <c r="BQ247" s="46" t="str">
        <f aca="false">IF($A247="","",IF(OR($BM247="",$AF247=""),"",ROUND($AF247/60,4)))</f>
        <v/>
      </c>
      <c r="BR247" s="39" t="str">
        <f aca="false">IF($A247="","",IF($AC247="","",$AC247-$BD247-$BE247))</f>
        <v/>
      </c>
      <c r="BS247" s="45" t="str">
        <f aca="false">IF($A247="","",IF(AND(ISNUMBER($Z247),ISNUMBER($W247)),$Z247,0))</f>
        <v/>
      </c>
      <c r="BT247" s="45" t="str">
        <f aca="false">IF($A247="","",IF(ISNUMBER($W247),$W247,0))</f>
        <v/>
      </c>
      <c r="BU247" s="23" t="str">
        <f aca="false">IF($A247="","",IF(ISNUMBER($W247),ROUND(($W247-$B247)*24,4),""))</f>
        <v/>
      </c>
      <c r="BV247" s="23" t="str">
        <f aca="false">IF($A247="","",IF(ISNUMBER($X247),ROUND(($X247-$B247)*24,4),""))</f>
        <v/>
      </c>
      <c r="BW247" s="10" t="str">
        <f aca="false">IF($A247="","",IF(NOT(ISNUMBER($W247)),"Missing Calculated",IF(NOT(ISNUMBER($X247)),IF($E247="Client","Missing FA signed off","Missing Controlled"),IF($X247&lt;$W247,"End before start","OK"))))</f>
        <v/>
      </c>
      <c r="BX247" s="23" t="str">
        <f aca="false">IF($A247="","",IF(NOT(ISNUMBER($Z247)),"",ROUND((IF(ISNUMBER($U247),MIN($U247,$Z247),$Z247)-$B247)*24,4)))</f>
        <v/>
      </c>
      <c r="BY247" s="23" t="str">
        <f aca="false">IF($A247="","",IF(ISNUMBER($Z247),ROUND(($Z247-$B247)*24,4),""))</f>
        <v/>
      </c>
      <c r="BZ247" s="23" t="str">
        <f aca="false">IF($A247="","",IF(AND(ISNUMBER($W247),ISNUMBER($S247)),ROUND(($W247+$S247/1440-$B247)*24,4),""))</f>
        <v/>
      </c>
    </row>
    <row r="248" customFormat="false" ht="15" hidden="false" customHeight="true" outlineLevel="0" collapsed="false">
      <c r="A248" s="47"/>
      <c r="B248" s="47"/>
      <c r="D248" s="4" t="str">
        <f aca="false">IF($A248="","",$B248-$A248)</f>
        <v/>
      </c>
      <c r="E248" s="4" t="str">
        <f aca="false">IF($A248="","",IFERROR(VLOOKUP($C248,Dim_Fund!$A:$X,24,0),""))</f>
        <v/>
      </c>
      <c r="F248" s="37" t="str">
        <f aca="false">IF($A248="","",IF(COUNTIFS(Status_Log!$A:$A,$A248,Status_Log!$B:$B,$B248,Status_Log!$C:$C,$C248,Status_Log!$D:$D,"Changed to the status of Calculated")=0,"",_xlfn.MINIFS(Status_Log!$E:$E,Status_Log!$A:$A,$A248,Status_Log!$B:$B,$B248,Status_Log!$C:$C,$C248,Status_Log!$D:$D,"Changed to the status of Calculated")))</f>
        <v/>
      </c>
      <c r="G248" s="37" t="str">
        <f aca="false">IF($A248="","",IF(COUNTIFS(Status_Log!$A:$A,$A248,Status_Log!$B:$B,$B248,Status_Log!$C:$C,$C248,Status_Log!$D:$D,"Changed to the status of Controlled")=0,"",_xlfn.MAXIFS(Status_Log!$E:$E,Status_Log!$A:$A,$A248,Status_Log!$B:$B,$B248,Status_Log!$C:$C,$C248,Status_Log!$D:$D,"Changed to the status of Controlled")))</f>
        <v/>
      </c>
      <c r="H248" s="37" t="str">
        <f aca="false">IF($A248="","",IF(COUNTIFS(Status_Log!$A:$A,$A248,Status_Log!$B:$B,$B248,Status_Log!$C:$C,$C248,Status_Log!$D:$D,"Changed to the status of Fund accounting signed off")=0,"",_xlfn.MAXIFS(Status_Log!$E:$E,Status_Log!$A:$A,$A248,Status_Log!$B:$B,$B248,Status_Log!$C:$C,$C248,Status_Log!$D:$D,"Changed to the status of Fund accounting signed off")))</f>
        <v/>
      </c>
      <c r="I248" s="37" t="str">
        <f aca="false">IF($A248="","",IF(COUNTIFS(Status_Log!$A:$A,$A248,Status_Log!$B:$B,$B248,Status_Log!$C:$C,$C248,Status_Log!$D:$D,"Changed to the status of signed off")=0,"",_xlfn.MAXIFS(Status_Log!$E:$E,Status_Log!$A:$A,$A248,Status_Log!$B:$B,$B248,Status_Log!$C:$C,$C248,Status_Log!$D:$D,"Changed to the status of signed off")))</f>
        <v/>
      </c>
      <c r="J248" s="4" t="str">
        <f aca="false">IF($A248="","",COUNTIFS(Status_Log!$A:$A,$A248,Status_Log!$B:$B,$B248,Status_Log!$C:$C,$C248,Status_Log!$D:$D,"Changed to the status of Calculated"))</f>
        <v/>
      </c>
      <c r="K248" s="38" t="str">
        <f aca="false">IF($A248="","",IF(J248&lt;=1,0,ROUND((_xlfn.MAXIFS(Status_Log!$E:$E,Status_Log!$A:$A,$A248,Status_Log!$B:$B,$B248,Status_Log!$C:$C,$C248,Status_Log!$D:$D,"Changed to the status of Calculated")-F248)*1440,0)))</f>
        <v/>
      </c>
      <c r="L248" s="4" t="str">
        <f aca="false">IF($A248="","",IFERROR(INDEX(Status_Log!$F:$F,MATCH($A248&amp;"|"&amp;$B248&amp;"|"&amp;$C248&amp;"|Changed to the status of Calculated|"&amp;TEXT(_xlfn.MAXIFS(Status_Log!$E:$E,Status_Log!$A:$A,$A248,Status_Log!$B:$B,$B248,Status_Log!$C:$C,$C248,Status_Log!$D:$D,"Changed to the status of Calculated"),"0.000000"),Status_Log!$H:$H,0)),""))</f>
        <v/>
      </c>
      <c r="M248" s="4" t="str">
        <f aca="false">IF($A248="","",IF(E248="Client","n/a — no control step",IFERROR(INDEX(Status_Log!$F:$F,MATCH($A248&amp;"|"&amp;$B248&amp;"|"&amp;$C248&amp;"|Changed to the status of Controlled|"&amp;TEXT(_xlfn.MAXIFS(Status_Log!$E:$E,Status_Log!$A:$A,$A248,Status_Log!$B:$B,$B248,Status_Log!$C:$C,$C248,Status_Log!$D:$D,"Changed to the status of Controlled"),"0.000000"),Status_Log!$H:$H,0)),"")))</f>
        <v/>
      </c>
      <c r="N248" s="4" t="str">
        <f aca="false">IF($A248="","",IFERROR(VLOOKUP($C248,Dim_Fund!$A:$G,7,0),""))</f>
        <v/>
      </c>
      <c r="O248" s="4" t="str">
        <f aca="false">IF($A248="","",IF(L248=N248,"No","Yes"))</f>
        <v/>
      </c>
      <c r="P248" s="4" t="str">
        <f aca="false">IF($A248="","",IF(E248="Client","n/a",IF(L248=M248,"YES — four-eyes breach","No")))</f>
        <v/>
      </c>
      <c r="Q248" s="38" t="str">
        <f aca="false">IF($A248="","",IFERROR(VLOOKUP($C248,Dim_Fund!$A:$AB,28,0),""))</f>
        <v/>
      </c>
      <c r="R248" s="38" t="str">
        <f aca="false">IF($A248="","",IFERROR(VLOOKUP($C248,Dim_Fund!$A:$AC,29,0),""))</f>
        <v/>
      </c>
      <c r="S248" s="38" t="str">
        <f aca="false">IF($A248="","",IFERROR(VLOOKUP($C248,Dim_Fund!$A:$AD,30,0),""))</f>
        <v/>
      </c>
      <c r="T248" s="38" t="str">
        <f aca="false">IF($A248="","",IFERROR(VLOOKUP($C248,Dim_Fund!$A:$AL,38,0),""))</f>
        <v/>
      </c>
      <c r="U248" s="37" t="str">
        <f aca="false">IF($A248="","",IF(AL248="","",IFERROR(IF(COUNTIFS(Fact_Milestone!$A:$A,$B248,Fact_Milestone!$B:$B,AL248)=0,"",_xlfn.MAXIFS(Fact_Milestone!$C:$C,Fact_Milestone!$A:$A,$B248,Fact_Milestone!$B:$B,AL248)),"")))</f>
        <v/>
      </c>
      <c r="V248" s="37" t="str">
        <f aca="false">IF($A248="","",IFERROR(IF(VLOOKUP($C248,Dim_Fund!$A:$AI,35,0)&gt;0,$B248+VLOOKUP($C248,Dim_Fund!$A:$AI,35,0)/24,""),""))</f>
        <v/>
      </c>
      <c r="W248" s="37" t="str">
        <f aca="false">IF($A248="","",F248)</f>
        <v/>
      </c>
      <c r="X248" s="37" t="str">
        <f aca="false">IF($A248="","",IF(E248="Client",H248,G248))</f>
        <v/>
      </c>
      <c r="Y248" s="37" t="str">
        <f aca="false">IF($A248="","",I248)</f>
        <v/>
      </c>
      <c r="Z248" s="37" t="str">
        <f aca="false">IF($A248="","",IFERROR(W248-R248/1440,""))</f>
        <v/>
      </c>
      <c r="AA248" s="38" t="str">
        <f aca="false">IF($A248="","",IF(OR(U248="",V248=""),"",ROUND((V248-U248)*1440,0)))</f>
        <v/>
      </c>
      <c r="AB248" s="38" t="str">
        <f aca="false">IF($A248="","",IF(U248="","",ROUND((W248-U248)*1440,0)))</f>
        <v/>
      </c>
      <c r="AC248" s="38" t="str">
        <f aca="false">IF($A248="","",IF(AB248="","",MAX(0,AB248)))</f>
        <v/>
      </c>
      <c r="AD248" s="38" t="str">
        <f aca="false">IF($A248="","",IFERROR(ROUND((X248-W248)*1440,0),""))</f>
        <v/>
      </c>
      <c r="AE248" s="38" t="str">
        <f aca="false">IF($A248="","",IF(E248="Client","n/a",IFERROR(ROUND((H248-G248)*1440,0),"")))</f>
        <v/>
      </c>
      <c r="AF248" s="38" t="str">
        <f aca="false">IF($A248="","",IFERROR(ROUND((Y248-H248)*1440,0),""))</f>
        <v/>
      </c>
      <c r="AG248" s="38" t="str">
        <f aca="false">IF($A248="","",IFERROR(ROUND((H248-F248)*1440,0),""))</f>
        <v/>
      </c>
      <c r="AH248" s="38" t="str">
        <f aca="false">IF($A248="","",IFERROR(ROUND((Y248-V248)*1440,0),""))</f>
        <v/>
      </c>
      <c r="AI248" s="4" t="str">
        <f aca="false">IF($A248="","",IF(AH248="","",IF(AH248&gt;0,"Yes","No")))</f>
        <v/>
      </c>
      <c r="AJ248" s="4" t="str">
        <f aca="false">IF($A248="","",IF(AI248&lt;&gt;"Yes","On time",IF(N(AC248)&gt;=MAX(N(AF248),N(K248)),"Wait for analyst",IF(N(AF248)&gt;=N(K248),"External sign-off","Rework"))))</f>
        <v/>
      </c>
      <c r="AK248" s="4" t="str">
        <f aca="false">IF($A248="","",IF(OR(F248="",Y248="",ISNA(MATCH(L248,Dim_Analyst!$A:$A,0))),"CHECK","OK"))</f>
        <v/>
      </c>
      <c r="AL248" s="4" t="str">
        <f aca="false">IF($A248="","",IFERROR(VLOOKUP($C248,Dim_Fund!$A:$U,21,0),""))</f>
        <v/>
      </c>
      <c r="AM248" s="4" t="str">
        <f aca="false">IF($A248="","",IF($U248="","",IF($U248&gt;$B248+IFERROR(VLOOKUP($C248,Dim_Fund!$A:$AH,34,0),0)/24,"Yes","No")))</f>
        <v/>
      </c>
      <c r="AN248" s="22" t="str">
        <f aca="false">IF($A248="","",IFERROR(VLOOKUP($C248,Dim_Fund!$A:$AH,34,0),""))</f>
        <v/>
      </c>
      <c r="AO248" s="22" t="str">
        <f aca="false">IF($A248="","",IF($AL248="","",IFERROR(FLOOR(IF(COUNTIFS(Fact_Milestone!$A:$A,$B248,Fact_Milestone!$B:$B,$AL248,Fact_Milestone!$F:$F,"&gt;0")&gt;0,_xlfn.MINIFS(Fact_Milestone!$F:$F,Fact_Milestone!$A:$A,$B248,Fact_Milestone!$B:$B,$AL248,Fact_Milestone!$F:$F,"&gt;0"),VLOOKUP($AL248,Dim_TOP!$A:$E,5,0)),0.5),"")))</f>
        <v/>
      </c>
      <c r="AP248" s="22" t="str">
        <f aca="false">IF($A248="","",IF($U248="","",ROUND(($U248-INT($U248))*24,4)))</f>
        <v/>
      </c>
      <c r="AQ248" s="22" t="str">
        <f aca="false">IF($A248="","",IF($W248="","",ROUND(($W248-INT($W248))*24,4)))</f>
        <v/>
      </c>
      <c r="AR248" s="22" t="str">
        <f aca="false">IF($A248="","",IF($X248="","",ROUND(($X248-INT($X248))*24,4)))</f>
        <v/>
      </c>
      <c r="AS248" s="38" t="str">
        <f aca="false">IF($A248="","",IF(OR($AN248="",$V248="",$S248="",$T248=""),"",ROUND(($V248-($B248+$AN248/24))*1440-$S248-$T248,0)))</f>
        <v/>
      </c>
      <c r="AT248" s="38" t="str">
        <f aca="false">IF($A248="","",IF(OR($AN248="",$U248=""),"",ROUND(($U248-($B248+$AN248/24))*1440,0)))</f>
        <v/>
      </c>
      <c r="AU248" s="38" t="str">
        <f aca="false">IF($A248="","",IF(OR($AD248="",$S248=""),"",ROUND($AD248-$S248,0)))</f>
        <v/>
      </c>
      <c r="AV248" s="38" t="str">
        <f aca="false">IF($A248="","",N($AE248))</f>
        <v/>
      </c>
      <c r="AW248" s="38" t="str">
        <f aca="false">IF($A248="","",IF(OR($AF248="",$T248=""),"",$AF248-$T248))</f>
        <v/>
      </c>
      <c r="AX248" s="38" t="str">
        <f aca="false">IF($A248="","",IF(COUNT($AT248,$AB248,$AU248,$AW248,$AS248,$AH248)&lt;6,"",ROUND($AT248+$AB248+$AU248+$AV248+$AW248-$AS248-$AH248,0)))</f>
        <v/>
      </c>
      <c r="AY248" s="4" t="str">
        <f aca="false">IF($A248="","",IF($AX248="","No",IF(ABS($AX248)&lt;=2,"Yes","No")))</f>
        <v/>
      </c>
      <c r="AZ248" s="4" t="str">
        <f aca="false">IF($A248="","",IF($AI248&lt;&gt;"Yes","n/a",IF(OR($AA248="",$S248="",$T248=""),"Unknown",IF($AA248&lt;$S248+$T248,"Lost on arrival","Lost after arrival"))))</f>
        <v/>
      </c>
      <c r="BA248" s="10" t="str">
        <f aca="false">IF($A248="","",IFERROR(VLOOKUP($C248,Dim_Fund!$A:$D,4,0),""))</f>
        <v/>
      </c>
      <c r="BB248" s="10" t="str">
        <f aca="false">IF($A248="","",IF($AL248="","",IF(COUNTIFS(Fact_Milestone!$A:$A,$B248,Fact_Milestone!$B:$B,$AL248,Fact_Milestone!$I:$I,"No")&gt;0,"No",IF(COUNTIFS(Fact_Milestone!$A:$A,$B248,Fact_Milestone!$B:$B,$AL248,Fact_Milestone!$I:$I,"Yes")&gt;0,"Yes",""))))</f>
        <v/>
      </c>
      <c r="BC248" s="45" t="str">
        <f aca="false">IF($A248="","",IF(OR($L248="",$W248=""),"",IF(COUNTIFS($L:$L,$L248,$B:$B,$B248,$W:$W,"&lt;"&amp;$W248)=0,"",_xlfn.MAXIFS($W:$W,$L:$L,$L248,$B:$B,$B248,$W:$W,"&lt;"&amp;$W248))))</f>
        <v/>
      </c>
      <c r="BD248" s="39" t="str">
        <f aca="false">IF($A248="","",IF($AC248="","",IF(OR($L248="",$AC248=0),0,MIN($AC248,ROUND(ROUND(1440*SUMPRODUCT(($L$2:INDEX($L:$L,COUNTA($C:$C))=$L248)*($B$2:INDEX($B:$B,COUNTA($C:$C))=$B248)*(ROW($L$2:INDEX($L:$L,COUNTA($C:$C)))&lt;&gt;ROW())*((((($W248+$BT$2:INDEX($BT:$BT,COUNTA($C:$C))-ABS($W248-$BT$2:INDEX($BT:$BT,COUNTA($C:$C))))/2)-(($U248+$BS$2:INDEX($BS:$BS,COUNTA($C:$C))+ABS($U248-$BS$2:INDEX($BS:$BS,COUNTA($C:$C))))/2))+ABS(((($W248+$BT$2:INDEX($BT:$BT,COUNTA($C:$C))-ABS($W248-$BT$2:INDEX($BT:$BT,COUNTA($C:$C))))/2)-(($U248+$BS$2:INDEX($BS:$BS,COUNTA($C:$C))+ABS($U248-$BS$2:INDEX($BS:$BS,COUNTA($C:$C))))/2))))/2)),4),0)))))</f>
        <v/>
      </c>
      <c r="BE248" s="39" t="str">
        <f aca="false">IF($A248="","",IF($AC248="","",ROUND(MIN($AC248-$BD248,N($R248)),0)))</f>
        <v/>
      </c>
      <c r="BF248" s="10" t="str">
        <f aca="false">IF($A248="","",IFERROR(VLOOKUP($C248,Dim_Fund!$A:$BD,56,0),""))</f>
        <v/>
      </c>
      <c r="BG248" s="10" t="str">
        <f aca="false">IF($A248="","",IFERROR(VLOOKUP($C248,Dim_Fund!$A:$BH,60,0),""))</f>
        <v/>
      </c>
      <c r="BH248" s="10" t="str">
        <f aca="false">IF($A248="","",IF($AI248&lt;&gt;"Yes","Not breached",IF($AM248="Yes","Pricing late",IF($BG248="Thin custody slack","Thin custody slack",IF($BF248="Yes","Broker-dependent","None of these")))))</f>
        <v/>
      </c>
      <c r="BI248" s="23" t="str">
        <f aca="false">IF($A248="","",IFERROR(IF(VLOOKUP($C248,Dim_Fund!$A:$AI,35,0)&gt;0,VLOOKUP($C248,Dim_Fund!$A:$AI,35,0),""),""))</f>
        <v/>
      </c>
      <c r="BJ248" s="10" t="str">
        <f aca="false">IF($A248="","",$C248&amp;IF($E248="Client","*",""))</f>
        <v/>
      </c>
      <c r="BK248" s="39" t="str">
        <f aca="false">IF($A248="","",IFERROR(ROUND(($Y248-$X248)*1440,0),""))</f>
        <v/>
      </c>
      <c r="BL248" s="39" t="str">
        <f aca="false">IF($A248="","",IF($AH248="","",-$AH248))</f>
        <v/>
      </c>
      <c r="BM248" s="46" t="str">
        <f aca="false">IF($A248="","",IF($AQ248="","",IF($AP248="",$AQ248,MIN($AP248,$AQ248))))</f>
        <v/>
      </c>
      <c r="BN248" s="46" t="str">
        <f aca="false">IF($A248="","",IF($BM248="","",ROUND(N($AC248)/60,4)))</f>
        <v/>
      </c>
      <c r="BO248" s="46" t="str">
        <f aca="false">IF($A248="","",IF(OR($BM248="",$AD248=""),"",ROUND($AD248/60,4)))</f>
        <v/>
      </c>
      <c r="BP248" s="46" t="str">
        <f aca="false">IF($A248="","",IF($BM248="","",ROUND(N($AE248)/60,4)))</f>
        <v/>
      </c>
      <c r="BQ248" s="46" t="str">
        <f aca="false">IF($A248="","",IF(OR($BM248="",$AF248=""),"",ROUND($AF248/60,4)))</f>
        <v/>
      </c>
      <c r="BR248" s="39" t="str">
        <f aca="false">IF($A248="","",IF($AC248="","",$AC248-$BD248-$BE248))</f>
        <v/>
      </c>
      <c r="BS248" s="45" t="str">
        <f aca="false">IF($A248="","",IF(AND(ISNUMBER($Z248),ISNUMBER($W248)),$Z248,0))</f>
        <v/>
      </c>
      <c r="BT248" s="45" t="str">
        <f aca="false">IF($A248="","",IF(ISNUMBER($W248),$W248,0))</f>
        <v/>
      </c>
      <c r="BU248" s="23" t="str">
        <f aca="false">IF($A248="","",IF(ISNUMBER($W248),ROUND(($W248-$B248)*24,4),""))</f>
        <v/>
      </c>
      <c r="BV248" s="23" t="str">
        <f aca="false">IF($A248="","",IF(ISNUMBER($X248),ROUND(($X248-$B248)*24,4),""))</f>
        <v/>
      </c>
      <c r="BW248" s="10" t="str">
        <f aca="false">IF($A248="","",IF(NOT(ISNUMBER($W248)),"Missing Calculated",IF(NOT(ISNUMBER($X248)),IF($E248="Client","Missing FA signed off","Missing Controlled"),IF($X248&lt;$W248,"End before start","OK"))))</f>
        <v/>
      </c>
      <c r="BX248" s="23" t="str">
        <f aca="false">IF($A248="","",IF(NOT(ISNUMBER($Z248)),"",ROUND((IF(ISNUMBER($U248),MIN($U248,$Z248),$Z248)-$B248)*24,4)))</f>
        <v/>
      </c>
      <c r="BY248" s="23" t="str">
        <f aca="false">IF($A248="","",IF(ISNUMBER($Z248),ROUND(($Z248-$B248)*24,4),""))</f>
        <v/>
      </c>
      <c r="BZ248" s="23" t="str">
        <f aca="false">IF($A248="","",IF(AND(ISNUMBER($W248),ISNUMBER($S248)),ROUND(($W248+$S248/1440-$B248)*24,4),""))</f>
        <v/>
      </c>
    </row>
    <row r="249" customFormat="false" ht="15" hidden="false" customHeight="true" outlineLevel="0" collapsed="false">
      <c r="A249" s="47"/>
      <c r="B249" s="47"/>
      <c r="D249" s="4" t="str">
        <f aca="false">IF($A249="","",$B249-$A249)</f>
        <v/>
      </c>
      <c r="E249" s="4" t="str">
        <f aca="false">IF($A249="","",IFERROR(VLOOKUP($C249,Dim_Fund!$A:$X,24,0),""))</f>
        <v/>
      </c>
      <c r="F249" s="37" t="str">
        <f aca="false">IF($A249="","",IF(COUNTIFS(Status_Log!$A:$A,$A249,Status_Log!$B:$B,$B249,Status_Log!$C:$C,$C249,Status_Log!$D:$D,"Changed to the status of Calculated")=0,"",_xlfn.MINIFS(Status_Log!$E:$E,Status_Log!$A:$A,$A249,Status_Log!$B:$B,$B249,Status_Log!$C:$C,$C249,Status_Log!$D:$D,"Changed to the status of Calculated")))</f>
        <v/>
      </c>
      <c r="G249" s="37" t="str">
        <f aca="false">IF($A249="","",IF(COUNTIFS(Status_Log!$A:$A,$A249,Status_Log!$B:$B,$B249,Status_Log!$C:$C,$C249,Status_Log!$D:$D,"Changed to the status of Controlled")=0,"",_xlfn.MAXIFS(Status_Log!$E:$E,Status_Log!$A:$A,$A249,Status_Log!$B:$B,$B249,Status_Log!$C:$C,$C249,Status_Log!$D:$D,"Changed to the status of Controlled")))</f>
        <v/>
      </c>
      <c r="H249" s="37" t="str">
        <f aca="false">IF($A249="","",IF(COUNTIFS(Status_Log!$A:$A,$A249,Status_Log!$B:$B,$B249,Status_Log!$C:$C,$C249,Status_Log!$D:$D,"Changed to the status of Fund accounting signed off")=0,"",_xlfn.MAXIFS(Status_Log!$E:$E,Status_Log!$A:$A,$A249,Status_Log!$B:$B,$B249,Status_Log!$C:$C,$C249,Status_Log!$D:$D,"Changed to the status of Fund accounting signed off")))</f>
        <v/>
      </c>
      <c r="I249" s="37" t="str">
        <f aca="false">IF($A249="","",IF(COUNTIFS(Status_Log!$A:$A,$A249,Status_Log!$B:$B,$B249,Status_Log!$C:$C,$C249,Status_Log!$D:$D,"Changed to the status of signed off")=0,"",_xlfn.MAXIFS(Status_Log!$E:$E,Status_Log!$A:$A,$A249,Status_Log!$B:$B,$B249,Status_Log!$C:$C,$C249,Status_Log!$D:$D,"Changed to the status of signed off")))</f>
        <v/>
      </c>
      <c r="J249" s="4" t="str">
        <f aca="false">IF($A249="","",COUNTIFS(Status_Log!$A:$A,$A249,Status_Log!$B:$B,$B249,Status_Log!$C:$C,$C249,Status_Log!$D:$D,"Changed to the status of Calculated"))</f>
        <v/>
      </c>
      <c r="K249" s="38" t="str">
        <f aca="false">IF($A249="","",IF(J249&lt;=1,0,ROUND((_xlfn.MAXIFS(Status_Log!$E:$E,Status_Log!$A:$A,$A249,Status_Log!$B:$B,$B249,Status_Log!$C:$C,$C249,Status_Log!$D:$D,"Changed to the status of Calculated")-F249)*1440,0)))</f>
        <v/>
      </c>
      <c r="L249" s="4" t="str">
        <f aca="false">IF($A249="","",IFERROR(INDEX(Status_Log!$F:$F,MATCH($A249&amp;"|"&amp;$B249&amp;"|"&amp;$C249&amp;"|Changed to the status of Calculated|"&amp;TEXT(_xlfn.MAXIFS(Status_Log!$E:$E,Status_Log!$A:$A,$A249,Status_Log!$B:$B,$B249,Status_Log!$C:$C,$C249,Status_Log!$D:$D,"Changed to the status of Calculated"),"0.000000"),Status_Log!$H:$H,0)),""))</f>
        <v/>
      </c>
      <c r="M249" s="4" t="str">
        <f aca="false">IF($A249="","",IF(E249="Client","n/a — no control step",IFERROR(INDEX(Status_Log!$F:$F,MATCH($A249&amp;"|"&amp;$B249&amp;"|"&amp;$C249&amp;"|Changed to the status of Controlled|"&amp;TEXT(_xlfn.MAXIFS(Status_Log!$E:$E,Status_Log!$A:$A,$A249,Status_Log!$B:$B,$B249,Status_Log!$C:$C,$C249,Status_Log!$D:$D,"Changed to the status of Controlled"),"0.000000"),Status_Log!$H:$H,0)),"")))</f>
        <v/>
      </c>
      <c r="N249" s="4" t="str">
        <f aca="false">IF($A249="","",IFERROR(VLOOKUP($C249,Dim_Fund!$A:$G,7,0),""))</f>
        <v/>
      </c>
      <c r="O249" s="4" t="str">
        <f aca="false">IF($A249="","",IF(L249=N249,"No","Yes"))</f>
        <v/>
      </c>
      <c r="P249" s="4" t="str">
        <f aca="false">IF($A249="","",IF(E249="Client","n/a",IF(L249=M249,"YES — four-eyes breach","No")))</f>
        <v/>
      </c>
      <c r="Q249" s="38" t="str">
        <f aca="false">IF($A249="","",IFERROR(VLOOKUP($C249,Dim_Fund!$A:$AB,28,0),""))</f>
        <v/>
      </c>
      <c r="R249" s="38" t="str">
        <f aca="false">IF($A249="","",IFERROR(VLOOKUP($C249,Dim_Fund!$A:$AC,29,0),""))</f>
        <v/>
      </c>
      <c r="S249" s="38" t="str">
        <f aca="false">IF($A249="","",IFERROR(VLOOKUP($C249,Dim_Fund!$A:$AD,30,0),""))</f>
        <v/>
      </c>
      <c r="T249" s="38" t="str">
        <f aca="false">IF($A249="","",IFERROR(VLOOKUP($C249,Dim_Fund!$A:$AL,38,0),""))</f>
        <v/>
      </c>
      <c r="U249" s="37" t="str">
        <f aca="false">IF($A249="","",IF(AL249="","",IFERROR(IF(COUNTIFS(Fact_Milestone!$A:$A,$B249,Fact_Milestone!$B:$B,AL249)=0,"",_xlfn.MAXIFS(Fact_Milestone!$C:$C,Fact_Milestone!$A:$A,$B249,Fact_Milestone!$B:$B,AL249)),"")))</f>
        <v/>
      </c>
      <c r="V249" s="37" t="str">
        <f aca="false">IF($A249="","",IFERROR(IF(VLOOKUP($C249,Dim_Fund!$A:$AI,35,0)&gt;0,$B249+VLOOKUP($C249,Dim_Fund!$A:$AI,35,0)/24,""),""))</f>
        <v/>
      </c>
      <c r="W249" s="37" t="str">
        <f aca="false">IF($A249="","",F249)</f>
        <v/>
      </c>
      <c r="X249" s="37" t="str">
        <f aca="false">IF($A249="","",IF(E249="Client",H249,G249))</f>
        <v/>
      </c>
      <c r="Y249" s="37" t="str">
        <f aca="false">IF($A249="","",I249)</f>
        <v/>
      </c>
      <c r="Z249" s="37" t="str">
        <f aca="false">IF($A249="","",IFERROR(W249-R249/1440,""))</f>
        <v/>
      </c>
      <c r="AA249" s="38" t="str">
        <f aca="false">IF($A249="","",IF(OR(U249="",V249=""),"",ROUND((V249-U249)*1440,0)))</f>
        <v/>
      </c>
      <c r="AB249" s="38" t="str">
        <f aca="false">IF($A249="","",IF(U249="","",ROUND((W249-U249)*1440,0)))</f>
        <v/>
      </c>
      <c r="AC249" s="38" t="str">
        <f aca="false">IF($A249="","",IF(AB249="","",MAX(0,AB249)))</f>
        <v/>
      </c>
      <c r="AD249" s="38" t="str">
        <f aca="false">IF($A249="","",IFERROR(ROUND((X249-W249)*1440,0),""))</f>
        <v/>
      </c>
      <c r="AE249" s="38" t="str">
        <f aca="false">IF($A249="","",IF(E249="Client","n/a",IFERROR(ROUND((H249-G249)*1440,0),"")))</f>
        <v/>
      </c>
      <c r="AF249" s="38" t="str">
        <f aca="false">IF($A249="","",IFERROR(ROUND((Y249-H249)*1440,0),""))</f>
        <v/>
      </c>
      <c r="AG249" s="38" t="str">
        <f aca="false">IF($A249="","",IFERROR(ROUND((H249-F249)*1440,0),""))</f>
        <v/>
      </c>
      <c r="AH249" s="38" t="str">
        <f aca="false">IF($A249="","",IFERROR(ROUND((Y249-V249)*1440,0),""))</f>
        <v/>
      </c>
      <c r="AI249" s="4" t="str">
        <f aca="false">IF($A249="","",IF(AH249="","",IF(AH249&gt;0,"Yes","No")))</f>
        <v/>
      </c>
      <c r="AJ249" s="4" t="str">
        <f aca="false">IF($A249="","",IF(AI249&lt;&gt;"Yes","On time",IF(N(AC249)&gt;=MAX(N(AF249),N(K249)),"Wait for analyst",IF(N(AF249)&gt;=N(K249),"External sign-off","Rework"))))</f>
        <v/>
      </c>
      <c r="AK249" s="4" t="str">
        <f aca="false">IF($A249="","",IF(OR(F249="",Y249="",ISNA(MATCH(L249,Dim_Analyst!$A:$A,0))),"CHECK","OK"))</f>
        <v/>
      </c>
      <c r="AL249" s="4" t="str">
        <f aca="false">IF($A249="","",IFERROR(VLOOKUP($C249,Dim_Fund!$A:$U,21,0),""))</f>
        <v/>
      </c>
      <c r="AM249" s="4" t="str">
        <f aca="false">IF($A249="","",IF($U249="","",IF($U249&gt;$B249+IFERROR(VLOOKUP($C249,Dim_Fund!$A:$AH,34,0),0)/24,"Yes","No")))</f>
        <v/>
      </c>
      <c r="AN249" s="22" t="str">
        <f aca="false">IF($A249="","",IFERROR(VLOOKUP($C249,Dim_Fund!$A:$AH,34,0),""))</f>
        <v/>
      </c>
      <c r="AO249" s="22" t="str">
        <f aca="false">IF($A249="","",IF($AL249="","",IFERROR(FLOOR(IF(COUNTIFS(Fact_Milestone!$A:$A,$B249,Fact_Milestone!$B:$B,$AL249,Fact_Milestone!$F:$F,"&gt;0")&gt;0,_xlfn.MINIFS(Fact_Milestone!$F:$F,Fact_Milestone!$A:$A,$B249,Fact_Milestone!$B:$B,$AL249,Fact_Milestone!$F:$F,"&gt;0"),VLOOKUP($AL249,Dim_TOP!$A:$E,5,0)),0.5),"")))</f>
        <v/>
      </c>
      <c r="AP249" s="22" t="str">
        <f aca="false">IF($A249="","",IF($U249="","",ROUND(($U249-INT($U249))*24,4)))</f>
        <v/>
      </c>
      <c r="AQ249" s="22" t="str">
        <f aca="false">IF($A249="","",IF($W249="","",ROUND(($W249-INT($W249))*24,4)))</f>
        <v/>
      </c>
      <c r="AR249" s="22" t="str">
        <f aca="false">IF($A249="","",IF($X249="","",ROUND(($X249-INT($X249))*24,4)))</f>
        <v/>
      </c>
      <c r="AS249" s="38" t="str">
        <f aca="false">IF($A249="","",IF(OR($AN249="",$V249="",$S249="",$T249=""),"",ROUND(($V249-($B249+$AN249/24))*1440-$S249-$T249,0)))</f>
        <v/>
      </c>
      <c r="AT249" s="38" t="str">
        <f aca="false">IF($A249="","",IF(OR($AN249="",$U249=""),"",ROUND(($U249-($B249+$AN249/24))*1440,0)))</f>
        <v/>
      </c>
      <c r="AU249" s="38" t="str">
        <f aca="false">IF($A249="","",IF(OR($AD249="",$S249=""),"",ROUND($AD249-$S249,0)))</f>
        <v/>
      </c>
      <c r="AV249" s="38" t="str">
        <f aca="false">IF($A249="","",N($AE249))</f>
        <v/>
      </c>
      <c r="AW249" s="38" t="str">
        <f aca="false">IF($A249="","",IF(OR($AF249="",$T249=""),"",$AF249-$T249))</f>
        <v/>
      </c>
      <c r="AX249" s="38" t="str">
        <f aca="false">IF($A249="","",IF(COUNT($AT249,$AB249,$AU249,$AW249,$AS249,$AH249)&lt;6,"",ROUND($AT249+$AB249+$AU249+$AV249+$AW249-$AS249-$AH249,0)))</f>
        <v/>
      </c>
      <c r="AY249" s="4" t="str">
        <f aca="false">IF($A249="","",IF($AX249="","No",IF(ABS($AX249)&lt;=2,"Yes","No")))</f>
        <v/>
      </c>
      <c r="AZ249" s="4" t="str">
        <f aca="false">IF($A249="","",IF($AI249&lt;&gt;"Yes","n/a",IF(OR($AA249="",$S249="",$T249=""),"Unknown",IF($AA249&lt;$S249+$T249,"Lost on arrival","Lost after arrival"))))</f>
        <v/>
      </c>
      <c r="BA249" s="10" t="str">
        <f aca="false">IF($A249="","",IFERROR(VLOOKUP($C249,Dim_Fund!$A:$D,4,0),""))</f>
        <v/>
      </c>
      <c r="BB249" s="10" t="str">
        <f aca="false">IF($A249="","",IF($AL249="","",IF(COUNTIFS(Fact_Milestone!$A:$A,$B249,Fact_Milestone!$B:$B,$AL249,Fact_Milestone!$I:$I,"No")&gt;0,"No",IF(COUNTIFS(Fact_Milestone!$A:$A,$B249,Fact_Milestone!$B:$B,$AL249,Fact_Milestone!$I:$I,"Yes")&gt;0,"Yes",""))))</f>
        <v/>
      </c>
      <c r="BC249" s="45" t="str">
        <f aca="false">IF($A249="","",IF(OR($L249="",$W249=""),"",IF(COUNTIFS($L:$L,$L249,$B:$B,$B249,$W:$W,"&lt;"&amp;$W249)=0,"",_xlfn.MAXIFS($W:$W,$L:$L,$L249,$B:$B,$B249,$W:$W,"&lt;"&amp;$W249))))</f>
        <v/>
      </c>
      <c r="BD249" s="39" t="str">
        <f aca="false">IF($A249="","",IF($AC249="","",IF(OR($L249="",$AC249=0),0,MIN($AC249,ROUND(ROUND(1440*SUMPRODUCT(($L$2:INDEX($L:$L,COUNTA($C:$C))=$L249)*($B$2:INDEX($B:$B,COUNTA($C:$C))=$B249)*(ROW($L$2:INDEX($L:$L,COUNTA($C:$C)))&lt;&gt;ROW())*((((($W249+$BT$2:INDEX($BT:$BT,COUNTA($C:$C))-ABS($W249-$BT$2:INDEX($BT:$BT,COUNTA($C:$C))))/2)-(($U249+$BS$2:INDEX($BS:$BS,COUNTA($C:$C))+ABS($U249-$BS$2:INDEX($BS:$BS,COUNTA($C:$C))))/2))+ABS(((($W249+$BT$2:INDEX($BT:$BT,COUNTA($C:$C))-ABS($W249-$BT$2:INDEX($BT:$BT,COUNTA($C:$C))))/2)-(($U249+$BS$2:INDEX($BS:$BS,COUNTA($C:$C))+ABS($U249-$BS$2:INDEX($BS:$BS,COUNTA($C:$C))))/2))))/2)),4),0)))))</f>
        <v/>
      </c>
      <c r="BE249" s="39" t="str">
        <f aca="false">IF($A249="","",IF($AC249="","",ROUND(MIN($AC249-$BD249,N($R249)),0)))</f>
        <v/>
      </c>
      <c r="BF249" s="10" t="str">
        <f aca="false">IF($A249="","",IFERROR(VLOOKUP($C249,Dim_Fund!$A:$BD,56,0),""))</f>
        <v/>
      </c>
      <c r="BG249" s="10" t="str">
        <f aca="false">IF($A249="","",IFERROR(VLOOKUP($C249,Dim_Fund!$A:$BH,60,0),""))</f>
        <v/>
      </c>
      <c r="BH249" s="10" t="str">
        <f aca="false">IF($A249="","",IF($AI249&lt;&gt;"Yes","Not breached",IF($AM249="Yes","Pricing late",IF($BG249="Thin custody slack","Thin custody slack",IF($BF249="Yes","Broker-dependent","None of these")))))</f>
        <v/>
      </c>
      <c r="BI249" s="23" t="str">
        <f aca="false">IF($A249="","",IFERROR(IF(VLOOKUP($C249,Dim_Fund!$A:$AI,35,0)&gt;0,VLOOKUP($C249,Dim_Fund!$A:$AI,35,0),""),""))</f>
        <v/>
      </c>
      <c r="BJ249" s="10" t="str">
        <f aca="false">IF($A249="","",$C249&amp;IF($E249="Client","*",""))</f>
        <v/>
      </c>
      <c r="BK249" s="39" t="str">
        <f aca="false">IF($A249="","",IFERROR(ROUND(($Y249-$X249)*1440,0),""))</f>
        <v/>
      </c>
      <c r="BL249" s="39" t="str">
        <f aca="false">IF($A249="","",IF($AH249="","",-$AH249))</f>
        <v/>
      </c>
      <c r="BM249" s="46" t="str">
        <f aca="false">IF($A249="","",IF($AQ249="","",IF($AP249="",$AQ249,MIN($AP249,$AQ249))))</f>
        <v/>
      </c>
      <c r="BN249" s="46" t="str">
        <f aca="false">IF($A249="","",IF($BM249="","",ROUND(N($AC249)/60,4)))</f>
        <v/>
      </c>
      <c r="BO249" s="46" t="str">
        <f aca="false">IF($A249="","",IF(OR($BM249="",$AD249=""),"",ROUND($AD249/60,4)))</f>
        <v/>
      </c>
      <c r="BP249" s="46" t="str">
        <f aca="false">IF($A249="","",IF($BM249="","",ROUND(N($AE249)/60,4)))</f>
        <v/>
      </c>
      <c r="BQ249" s="46" t="str">
        <f aca="false">IF($A249="","",IF(OR($BM249="",$AF249=""),"",ROUND($AF249/60,4)))</f>
        <v/>
      </c>
      <c r="BR249" s="39" t="str">
        <f aca="false">IF($A249="","",IF($AC249="","",$AC249-$BD249-$BE249))</f>
        <v/>
      </c>
      <c r="BS249" s="45" t="str">
        <f aca="false">IF($A249="","",IF(AND(ISNUMBER($Z249),ISNUMBER($W249)),$Z249,0))</f>
        <v/>
      </c>
      <c r="BT249" s="45" t="str">
        <f aca="false">IF($A249="","",IF(ISNUMBER($W249),$W249,0))</f>
        <v/>
      </c>
      <c r="BU249" s="23" t="str">
        <f aca="false">IF($A249="","",IF(ISNUMBER($W249),ROUND(($W249-$B249)*24,4),""))</f>
        <v/>
      </c>
      <c r="BV249" s="23" t="str">
        <f aca="false">IF($A249="","",IF(ISNUMBER($X249),ROUND(($X249-$B249)*24,4),""))</f>
        <v/>
      </c>
      <c r="BW249" s="10" t="str">
        <f aca="false">IF($A249="","",IF(NOT(ISNUMBER($W249)),"Missing Calculated",IF(NOT(ISNUMBER($X249)),IF($E249="Client","Missing FA signed off","Missing Controlled"),IF($X249&lt;$W249,"End before start","OK"))))</f>
        <v/>
      </c>
      <c r="BX249" s="23" t="str">
        <f aca="false">IF($A249="","",IF(NOT(ISNUMBER($Z249)),"",ROUND((IF(ISNUMBER($U249),MIN($U249,$Z249),$Z249)-$B249)*24,4)))</f>
        <v/>
      </c>
      <c r="BY249" s="23" t="str">
        <f aca="false">IF($A249="","",IF(ISNUMBER($Z249),ROUND(($Z249-$B249)*24,4),""))</f>
        <v/>
      </c>
      <c r="BZ249" s="23" t="str">
        <f aca="false">IF($A249="","",IF(AND(ISNUMBER($W249),ISNUMBER($S249)),ROUND(($W249+$S249/1440-$B249)*24,4),""))</f>
        <v/>
      </c>
    </row>
    <row r="250" customFormat="false" ht="15" hidden="false" customHeight="true" outlineLevel="0" collapsed="false">
      <c r="A250" s="47"/>
      <c r="B250" s="47"/>
      <c r="D250" s="4" t="str">
        <f aca="false">IF($A250="","",$B250-$A250)</f>
        <v/>
      </c>
      <c r="E250" s="4" t="str">
        <f aca="false">IF($A250="","",IFERROR(VLOOKUP($C250,Dim_Fund!$A:$X,24,0),""))</f>
        <v/>
      </c>
      <c r="F250" s="37" t="str">
        <f aca="false">IF($A250="","",IF(COUNTIFS(Status_Log!$A:$A,$A250,Status_Log!$B:$B,$B250,Status_Log!$C:$C,$C250,Status_Log!$D:$D,"Changed to the status of Calculated")=0,"",_xlfn.MINIFS(Status_Log!$E:$E,Status_Log!$A:$A,$A250,Status_Log!$B:$B,$B250,Status_Log!$C:$C,$C250,Status_Log!$D:$D,"Changed to the status of Calculated")))</f>
        <v/>
      </c>
      <c r="G250" s="37" t="str">
        <f aca="false">IF($A250="","",IF(COUNTIFS(Status_Log!$A:$A,$A250,Status_Log!$B:$B,$B250,Status_Log!$C:$C,$C250,Status_Log!$D:$D,"Changed to the status of Controlled")=0,"",_xlfn.MAXIFS(Status_Log!$E:$E,Status_Log!$A:$A,$A250,Status_Log!$B:$B,$B250,Status_Log!$C:$C,$C250,Status_Log!$D:$D,"Changed to the status of Controlled")))</f>
        <v/>
      </c>
      <c r="H250" s="37" t="str">
        <f aca="false">IF($A250="","",IF(COUNTIFS(Status_Log!$A:$A,$A250,Status_Log!$B:$B,$B250,Status_Log!$C:$C,$C250,Status_Log!$D:$D,"Changed to the status of Fund accounting signed off")=0,"",_xlfn.MAXIFS(Status_Log!$E:$E,Status_Log!$A:$A,$A250,Status_Log!$B:$B,$B250,Status_Log!$C:$C,$C250,Status_Log!$D:$D,"Changed to the status of Fund accounting signed off")))</f>
        <v/>
      </c>
      <c r="I250" s="37" t="str">
        <f aca="false">IF($A250="","",IF(COUNTIFS(Status_Log!$A:$A,$A250,Status_Log!$B:$B,$B250,Status_Log!$C:$C,$C250,Status_Log!$D:$D,"Changed to the status of signed off")=0,"",_xlfn.MAXIFS(Status_Log!$E:$E,Status_Log!$A:$A,$A250,Status_Log!$B:$B,$B250,Status_Log!$C:$C,$C250,Status_Log!$D:$D,"Changed to the status of signed off")))</f>
        <v/>
      </c>
      <c r="J250" s="4" t="str">
        <f aca="false">IF($A250="","",COUNTIFS(Status_Log!$A:$A,$A250,Status_Log!$B:$B,$B250,Status_Log!$C:$C,$C250,Status_Log!$D:$D,"Changed to the status of Calculated"))</f>
        <v/>
      </c>
      <c r="K250" s="38" t="str">
        <f aca="false">IF($A250="","",IF(J250&lt;=1,0,ROUND((_xlfn.MAXIFS(Status_Log!$E:$E,Status_Log!$A:$A,$A250,Status_Log!$B:$B,$B250,Status_Log!$C:$C,$C250,Status_Log!$D:$D,"Changed to the status of Calculated")-F250)*1440,0)))</f>
        <v/>
      </c>
      <c r="L250" s="4" t="str">
        <f aca="false">IF($A250="","",IFERROR(INDEX(Status_Log!$F:$F,MATCH($A250&amp;"|"&amp;$B250&amp;"|"&amp;$C250&amp;"|Changed to the status of Calculated|"&amp;TEXT(_xlfn.MAXIFS(Status_Log!$E:$E,Status_Log!$A:$A,$A250,Status_Log!$B:$B,$B250,Status_Log!$C:$C,$C250,Status_Log!$D:$D,"Changed to the status of Calculated"),"0.000000"),Status_Log!$H:$H,0)),""))</f>
        <v/>
      </c>
      <c r="M250" s="4" t="str">
        <f aca="false">IF($A250="","",IF(E250="Client","n/a — no control step",IFERROR(INDEX(Status_Log!$F:$F,MATCH($A250&amp;"|"&amp;$B250&amp;"|"&amp;$C250&amp;"|Changed to the status of Controlled|"&amp;TEXT(_xlfn.MAXIFS(Status_Log!$E:$E,Status_Log!$A:$A,$A250,Status_Log!$B:$B,$B250,Status_Log!$C:$C,$C250,Status_Log!$D:$D,"Changed to the status of Controlled"),"0.000000"),Status_Log!$H:$H,0)),"")))</f>
        <v/>
      </c>
      <c r="N250" s="4" t="str">
        <f aca="false">IF($A250="","",IFERROR(VLOOKUP($C250,Dim_Fund!$A:$G,7,0),""))</f>
        <v/>
      </c>
      <c r="O250" s="4" t="str">
        <f aca="false">IF($A250="","",IF(L250=N250,"No","Yes"))</f>
        <v/>
      </c>
      <c r="P250" s="4" t="str">
        <f aca="false">IF($A250="","",IF(E250="Client","n/a",IF(L250=M250,"YES — four-eyes breach","No")))</f>
        <v/>
      </c>
      <c r="Q250" s="38" t="str">
        <f aca="false">IF($A250="","",IFERROR(VLOOKUP($C250,Dim_Fund!$A:$AB,28,0),""))</f>
        <v/>
      </c>
      <c r="R250" s="38" t="str">
        <f aca="false">IF($A250="","",IFERROR(VLOOKUP($C250,Dim_Fund!$A:$AC,29,0),""))</f>
        <v/>
      </c>
      <c r="S250" s="38" t="str">
        <f aca="false">IF($A250="","",IFERROR(VLOOKUP($C250,Dim_Fund!$A:$AD,30,0),""))</f>
        <v/>
      </c>
      <c r="T250" s="38" t="str">
        <f aca="false">IF($A250="","",IFERROR(VLOOKUP($C250,Dim_Fund!$A:$AL,38,0),""))</f>
        <v/>
      </c>
      <c r="U250" s="37" t="str">
        <f aca="false">IF($A250="","",IF(AL250="","",IFERROR(IF(COUNTIFS(Fact_Milestone!$A:$A,$B250,Fact_Milestone!$B:$B,AL250)=0,"",_xlfn.MAXIFS(Fact_Milestone!$C:$C,Fact_Milestone!$A:$A,$B250,Fact_Milestone!$B:$B,AL250)),"")))</f>
        <v/>
      </c>
      <c r="V250" s="37" t="str">
        <f aca="false">IF($A250="","",IFERROR(IF(VLOOKUP($C250,Dim_Fund!$A:$AI,35,0)&gt;0,$B250+VLOOKUP($C250,Dim_Fund!$A:$AI,35,0)/24,""),""))</f>
        <v/>
      </c>
      <c r="W250" s="37" t="str">
        <f aca="false">IF($A250="","",F250)</f>
        <v/>
      </c>
      <c r="X250" s="37" t="str">
        <f aca="false">IF($A250="","",IF(E250="Client",H250,G250))</f>
        <v/>
      </c>
      <c r="Y250" s="37" t="str">
        <f aca="false">IF($A250="","",I250)</f>
        <v/>
      </c>
      <c r="Z250" s="37" t="str">
        <f aca="false">IF($A250="","",IFERROR(W250-R250/1440,""))</f>
        <v/>
      </c>
      <c r="AA250" s="38" t="str">
        <f aca="false">IF($A250="","",IF(OR(U250="",V250=""),"",ROUND((V250-U250)*1440,0)))</f>
        <v/>
      </c>
      <c r="AB250" s="38" t="str">
        <f aca="false">IF($A250="","",IF(U250="","",ROUND((W250-U250)*1440,0)))</f>
        <v/>
      </c>
      <c r="AC250" s="38" t="str">
        <f aca="false">IF($A250="","",IF(AB250="","",MAX(0,AB250)))</f>
        <v/>
      </c>
      <c r="AD250" s="38" t="str">
        <f aca="false">IF($A250="","",IFERROR(ROUND((X250-W250)*1440,0),""))</f>
        <v/>
      </c>
      <c r="AE250" s="38" t="str">
        <f aca="false">IF($A250="","",IF(E250="Client","n/a",IFERROR(ROUND((H250-G250)*1440,0),"")))</f>
        <v/>
      </c>
      <c r="AF250" s="38" t="str">
        <f aca="false">IF($A250="","",IFERROR(ROUND((Y250-H250)*1440,0),""))</f>
        <v/>
      </c>
      <c r="AG250" s="38" t="str">
        <f aca="false">IF($A250="","",IFERROR(ROUND((H250-F250)*1440,0),""))</f>
        <v/>
      </c>
      <c r="AH250" s="38" t="str">
        <f aca="false">IF($A250="","",IFERROR(ROUND((Y250-V250)*1440,0),""))</f>
        <v/>
      </c>
      <c r="AI250" s="4" t="str">
        <f aca="false">IF($A250="","",IF(AH250="","",IF(AH250&gt;0,"Yes","No")))</f>
        <v/>
      </c>
      <c r="AJ250" s="4" t="str">
        <f aca="false">IF($A250="","",IF(AI250&lt;&gt;"Yes","On time",IF(N(AC250)&gt;=MAX(N(AF250),N(K250)),"Wait for analyst",IF(N(AF250)&gt;=N(K250),"External sign-off","Rework"))))</f>
        <v/>
      </c>
      <c r="AK250" s="4" t="str">
        <f aca="false">IF($A250="","",IF(OR(F250="",Y250="",ISNA(MATCH(L250,Dim_Analyst!$A:$A,0))),"CHECK","OK"))</f>
        <v/>
      </c>
      <c r="AL250" s="4" t="str">
        <f aca="false">IF($A250="","",IFERROR(VLOOKUP($C250,Dim_Fund!$A:$U,21,0),""))</f>
        <v/>
      </c>
      <c r="AM250" s="4" t="str">
        <f aca="false">IF($A250="","",IF($U250="","",IF($U250&gt;$B250+IFERROR(VLOOKUP($C250,Dim_Fund!$A:$AH,34,0),0)/24,"Yes","No")))</f>
        <v/>
      </c>
      <c r="AN250" s="22" t="str">
        <f aca="false">IF($A250="","",IFERROR(VLOOKUP($C250,Dim_Fund!$A:$AH,34,0),""))</f>
        <v/>
      </c>
      <c r="AO250" s="22" t="str">
        <f aca="false">IF($A250="","",IF($AL250="","",IFERROR(FLOOR(IF(COUNTIFS(Fact_Milestone!$A:$A,$B250,Fact_Milestone!$B:$B,$AL250,Fact_Milestone!$F:$F,"&gt;0")&gt;0,_xlfn.MINIFS(Fact_Milestone!$F:$F,Fact_Milestone!$A:$A,$B250,Fact_Milestone!$B:$B,$AL250,Fact_Milestone!$F:$F,"&gt;0"),VLOOKUP($AL250,Dim_TOP!$A:$E,5,0)),0.5),"")))</f>
        <v/>
      </c>
      <c r="AP250" s="22" t="str">
        <f aca="false">IF($A250="","",IF($U250="","",ROUND(($U250-INT($U250))*24,4)))</f>
        <v/>
      </c>
      <c r="AQ250" s="22" t="str">
        <f aca="false">IF($A250="","",IF($W250="","",ROUND(($W250-INT($W250))*24,4)))</f>
        <v/>
      </c>
      <c r="AR250" s="22" t="str">
        <f aca="false">IF($A250="","",IF($X250="","",ROUND(($X250-INT($X250))*24,4)))</f>
        <v/>
      </c>
      <c r="AS250" s="38" t="str">
        <f aca="false">IF($A250="","",IF(OR($AN250="",$V250="",$S250="",$T250=""),"",ROUND(($V250-($B250+$AN250/24))*1440-$S250-$T250,0)))</f>
        <v/>
      </c>
      <c r="AT250" s="38" t="str">
        <f aca="false">IF($A250="","",IF(OR($AN250="",$U250=""),"",ROUND(($U250-($B250+$AN250/24))*1440,0)))</f>
        <v/>
      </c>
      <c r="AU250" s="38" t="str">
        <f aca="false">IF($A250="","",IF(OR($AD250="",$S250=""),"",ROUND($AD250-$S250,0)))</f>
        <v/>
      </c>
      <c r="AV250" s="38" t="str">
        <f aca="false">IF($A250="","",N($AE250))</f>
        <v/>
      </c>
      <c r="AW250" s="38" t="str">
        <f aca="false">IF($A250="","",IF(OR($AF250="",$T250=""),"",$AF250-$T250))</f>
        <v/>
      </c>
      <c r="AX250" s="38" t="str">
        <f aca="false">IF($A250="","",IF(COUNT($AT250,$AB250,$AU250,$AW250,$AS250,$AH250)&lt;6,"",ROUND($AT250+$AB250+$AU250+$AV250+$AW250-$AS250-$AH250,0)))</f>
        <v/>
      </c>
      <c r="AY250" s="4" t="str">
        <f aca="false">IF($A250="","",IF($AX250="","No",IF(ABS($AX250)&lt;=2,"Yes","No")))</f>
        <v/>
      </c>
      <c r="AZ250" s="4" t="str">
        <f aca="false">IF($A250="","",IF($AI250&lt;&gt;"Yes","n/a",IF(OR($AA250="",$S250="",$T250=""),"Unknown",IF($AA250&lt;$S250+$T250,"Lost on arrival","Lost after arrival"))))</f>
        <v/>
      </c>
      <c r="BA250" s="10" t="str">
        <f aca="false">IF($A250="","",IFERROR(VLOOKUP($C250,Dim_Fund!$A:$D,4,0),""))</f>
        <v/>
      </c>
      <c r="BB250" s="10" t="str">
        <f aca="false">IF($A250="","",IF($AL250="","",IF(COUNTIFS(Fact_Milestone!$A:$A,$B250,Fact_Milestone!$B:$B,$AL250,Fact_Milestone!$I:$I,"No")&gt;0,"No",IF(COUNTIFS(Fact_Milestone!$A:$A,$B250,Fact_Milestone!$B:$B,$AL250,Fact_Milestone!$I:$I,"Yes")&gt;0,"Yes",""))))</f>
        <v/>
      </c>
      <c r="BC250" s="45" t="str">
        <f aca="false">IF($A250="","",IF(OR($L250="",$W250=""),"",IF(COUNTIFS($L:$L,$L250,$B:$B,$B250,$W:$W,"&lt;"&amp;$W250)=0,"",_xlfn.MAXIFS($W:$W,$L:$L,$L250,$B:$B,$B250,$W:$W,"&lt;"&amp;$W250))))</f>
        <v/>
      </c>
      <c r="BD250" s="39" t="str">
        <f aca="false">IF($A250="","",IF($AC250="","",IF(OR($L250="",$AC250=0),0,MIN($AC250,ROUND(ROUND(1440*SUMPRODUCT(($L$2:INDEX($L:$L,COUNTA($C:$C))=$L250)*($B$2:INDEX($B:$B,COUNTA($C:$C))=$B250)*(ROW($L$2:INDEX($L:$L,COUNTA($C:$C)))&lt;&gt;ROW())*((((($W250+$BT$2:INDEX($BT:$BT,COUNTA($C:$C))-ABS($W250-$BT$2:INDEX($BT:$BT,COUNTA($C:$C))))/2)-(($U250+$BS$2:INDEX($BS:$BS,COUNTA($C:$C))+ABS($U250-$BS$2:INDEX($BS:$BS,COUNTA($C:$C))))/2))+ABS(((($W250+$BT$2:INDEX($BT:$BT,COUNTA($C:$C))-ABS($W250-$BT$2:INDEX($BT:$BT,COUNTA($C:$C))))/2)-(($U250+$BS$2:INDEX($BS:$BS,COUNTA($C:$C))+ABS($U250-$BS$2:INDEX($BS:$BS,COUNTA($C:$C))))/2))))/2)),4),0)))))</f>
        <v/>
      </c>
      <c r="BE250" s="39" t="str">
        <f aca="false">IF($A250="","",IF($AC250="","",ROUND(MIN($AC250-$BD250,N($R250)),0)))</f>
        <v/>
      </c>
      <c r="BF250" s="10" t="str">
        <f aca="false">IF($A250="","",IFERROR(VLOOKUP($C250,Dim_Fund!$A:$BD,56,0),""))</f>
        <v/>
      </c>
      <c r="BG250" s="10" t="str">
        <f aca="false">IF($A250="","",IFERROR(VLOOKUP($C250,Dim_Fund!$A:$BH,60,0),""))</f>
        <v/>
      </c>
      <c r="BH250" s="10" t="str">
        <f aca="false">IF($A250="","",IF($AI250&lt;&gt;"Yes","Not breached",IF($AM250="Yes","Pricing late",IF($BG250="Thin custody slack","Thin custody slack",IF($BF250="Yes","Broker-dependent","None of these")))))</f>
        <v/>
      </c>
      <c r="BI250" s="23" t="str">
        <f aca="false">IF($A250="","",IFERROR(IF(VLOOKUP($C250,Dim_Fund!$A:$AI,35,0)&gt;0,VLOOKUP($C250,Dim_Fund!$A:$AI,35,0),""),""))</f>
        <v/>
      </c>
      <c r="BJ250" s="10" t="str">
        <f aca="false">IF($A250="","",$C250&amp;IF($E250="Client","*",""))</f>
        <v/>
      </c>
      <c r="BK250" s="39" t="str">
        <f aca="false">IF($A250="","",IFERROR(ROUND(($Y250-$X250)*1440,0),""))</f>
        <v/>
      </c>
      <c r="BL250" s="39" t="str">
        <f aca="false">IF($A250="","",IF($AH250="","",-$AH250))</f>
        <v/>
      </c>
      <c r="BM250" s="46" t="str">
        <f aca="false">IF($A250="","",IF($AQ250="","",IF($AP250="",$AQ250,MIN($AP250,$AQ250))))</f>
        <v/>
      </c>
      <c r="BN250" s="46" t="str">
        <f aca="false">IF($A250="","",IF($BM250="","",ROUND(N($AC250)/60,4)))</f>
        <v/>
      </c>
      <c r="BO250" s="46" t="str">
        <f aca="false">IF($A250="","",IF(OR($BM250="",$AD250=""),"",ROUND($AD250/60,4)))</f>
        <v/>
      </c>
      <c r="BP250" s="46" t="str">
        <f aca="false">IF($A250="","",IF($BM250="","",ROUND(N($AE250)/60,4)))</f>
        <v/>
      </c>
      <c r="BQ250" s="46" t="str">
        <f aca="false">IF($A250="","",IF(OR($BM250="",$AF250=""),"",ROUND($AF250/60,4)))</f>
        <v/>
      </c>
      <c r="BR250" s="39" t="str">
        <f aca="false">IF($A250="","",IF($AC250="","",$AC250-$BD250-$BE250))</f>
        <v/>
      </c>
      <c r="BS250" s="45" t="str">
        <f aca="false">IF($A250="","",IF(AND(ISNUMBER($Z250),ISNUMBER($W250)),$Z250,0))</f>
        <v/>
      </c>
      <c r="BT250" s="45" t="str">
        <f aca="false">IF($A250="","",IF(ISNUMBER($W250),$W250,0))</f>
        <v/>
      </c>
      <c r="BU250" s="23" t="str">
        <f aca="false">IF($A250="","",IF(ISNUMBER($W250),ROUND(($W250-$B250)*24,4),""))</f>
        <v/>
      </c>
      <c r="BV250" s="23" t="str">
        <f aca="false">IF($A250="","",IF(ISNUMBER($X250),ROUND(($X250-$B250)*24,4),""))</f>
        <v/>
      </c>
      <c r="BW250" s="10" t="str">
        <f aca="false">IF($A250="","",IF(NOT(ISNUMBER($W250)),"Missing Calculated",IF(NOT(ISNUMBER($X250)),IF($E250="Client","Missing FA signed off","Missing Controlled"),IF($X250&lt;$W250,"End before start","OK"))))</f>
        <v/>
      </c>
      <c r="BX250" s="23" t="str">
        <f aca="false">IF($A250="","",IF(NOT(ISNUMBER($Z250)),"",ROUND((IF(ISNUMBER($U250),MIN($U250,$Z250),$Z250)-$B250)*24,4)))</f>
        <v/>
      </c>
      <c r="BY250" s="23" t="str">
        <f aca="false">IF($A250="","",IF(ISNUMBER($Z250),ROUND(($Z250-$B250)*24,4),""))</f>
        <v/>
      </c>
      <c r="BZ250" s="23" t="str">
        <f aca="false">IF($A250="","",IF(AND(ISNUMBER($W250),ISNUMBER($S250)),ROUND(($W250+$S250/1440-$B250)*24,4),""))</f>
        <v/>
      </c>
    </row>
    <row r="251" customFormat="false" ht="15" hidden="false" customHeight="true" outlineLevel="0" collapsed="false">
      <c r="A251" s="47"/>
      <c r="B251" s="47"/>
      <c r="D251" s="4" t="str">
        <f aca="false">IF($A251="","",$B251-$A251)</f>
        <v/>
      </c>
      <c r="E251" s="4" t="str">
        <f aca="false">IF($A251="","",IFERROR(VLOOKUP($C251,Dim_Fund!$A:$X,24,0),""))</f>
        <v/>
      </c>
      <c r="F251" s="37" t="str">
        <f aca="false">IF($A251="","",IF(COUNTIFS(Status_Log!$A:$A,$A251,Status_Log!$B:$B,$B251,Status_Log!$C:$C,$C251,Status_Log!$D:$D,"Changed to the status of Calculated")=0,"",_xlfn.MINIFS(Status_Log!$E:$E,Status_Log!$A:$A,$A251,Status_Log!$B:$B,$B251,Status_Log!$C:$C,$C251,Status_Log!$D:$D,"Changed to the status of Calculated")))</f>
        <v/>
      </c>
      <c r="G251" s="37" t="str">
        <f aca="false">IF($A251="","",IF(COUNTIFS(Status_Log!$A:$A,$A251,Status_Log!$B:$B,$B251,Status_Log!$C:$C,$C251,Status_Log!$D:$D,"Changed to the status of Controlled")=0,"",_xlfn.MAXIFS(Status_Log!$E:$E,Status_Log!$A:$A,$A251,Status_Log!$B:$B,$B251,Status_Log!$C:$C,$C251,Status_Log!$D:$D,"Changed to the status of Controlled")))</f>
        <v/>
      </c>
      <c r="H251" s="37" t="str">
        <f aca="false">IF($A251="","",IF(COUNTIFS(Status_Log!$A:$A,$A251,Status_Log!$B:$B,$B251,Status_Log!$C:$C,$C251,Status_Log!$D:$D,"Changed to the status of Fund accounting signed off")=0,"",_xlfn.MAXIFS(Status_Log!$E:$E,Status_Log!$A:$A,$A251,Status_Log!$B:$B,$B251,Status_Log!$C:$C,$C251,Status_Log!$D:$D,"Changed to the status of Fund accounting signed off")))</f>
        <v/>
      </c>
      <c r="I251" s="37" t="str">
        <f aca="false">IF($A251="","",IF(COUNTIFS(Status_Log!$A:$A,$A251,Status_Log!$B:$B,$B251,Status_Log!$C:$C,$C251,Status_Log!$D:$D,"Changed to the status of signed off")=0,"",_xlfn.MAXIFS(Status_Log!$E:$E,Status_Log!$A:$A,$A251,Status_Log!$B:$B,$B251,Status_Log!$C:$C,$C251,Status_Log!$D:$D,"Changed to the status of signed off")))</f>
        <v/>
      </c>
      <c r="J251" s="4" t="str">
        <f aca="false">IF($A251="","",COUNTIFS(Status_Log!$A:$A,$A251,Status_Log!$B:$B,$B251,Status_Log!$C:$C,$C251,Status_Log!$D:$D,"Changed to the status of Calculated"))</f>
        <v/>
      </c>
      <c r="K251" s="38" t="str">
        <f aca="false">IF($A251="","",IF(J251&lt;=1,0,ROUND((_xlfn.MAXIFS(Status_Log!$E:$E,Status_Log!$A:$A,$A251,Status_Log!$B:$B,$B251,Status_Log!$C:$C,$C251,Status_Log!$D:$D,"Changed to the status of Calculated")-F251)*1440,0)))</f>
        <v/>
      </c>
      <c r="L251" s="4" t="str">
        <f aca="false">IF($A251="","",IFERROR(INDEX(Status_Log!$F:$F,MATCH($A251&amp;"|"&amp;$B251&amp;"|"&amp;$C251&amp;"|Changed to the status of Calculated|"&amp;TEXT(_xlfn.MAXIFS(Status_Log!$E:$E,Status_Log!$A:$A,$A251,Status_Log!$B:$B,$B251,Status_Log!$C:$C,$C251,Status_Log!$D:$D,"Changed to the status of Calculated"),"0.000000"),Status_Log!$H:$H,0)),""))</f>
        <v/>
      </c>
      <c r="M251" s="4" t="str">
        <f aca="false">IF($A251="","",IF(E251="Client","n/a — no control step",IFERROR(INDEX(Status_Log!$F:$F,MATCH($A251&amp;"|"&amp;$B251&amp;"|"&amp;$C251&amp;"|Changed to the status of Controlled|"&amp;TEXT(_xlfn.MAXIFS(Status_Log!$E:$E,Status_Log!$A:$A,$A251,Status_Log!$B:$B,$B251,Status_Log!$C:$C,$C251,Status_Log!$D:$D,"Changed to the status of Controlled"),"0.000000"),Status_Log!$H:$H,0)),"")))</f>
        <v/>
      </c>
      <c r="N251" s="4" t="str">
        <f aca="false">IF($A251="","",IFERROR(VLOOKUP($C251,Dim_Fund!$A:$G,7,0),""))</f>
        <v/>
      </c>
      <c r="O251" s="4" t="str">
        <f aca="false">IF($A251="","",IF(L251=N251,"No","Yes"))</f>
        <v/>
      </c>
      <c r="P251" s="4" t="str">
        <f aca="false">IF($A251="","",IF(E251="Client","n/a",IF(L251=M251,"YES — four-eyes breach","No")))</f>
        <v/>
      </c>
      <c r="Q251" s="38" t="str">
        <f aca="false">IF($A251="","",IFERROR(VLOOKUP($C251,Dim_Fund!$A:$AB,28,0),""))</f>
        <v/>
      </c>
      <c r="R251" s="38" t="str">
        <f aca="false">IF($A251="","",IFERROR(VLOOKUP($C251,Dim_Fund!$A:$AC,29,0),""))</f>
        <v/>
      </c>
      <c r="S251" s="38" t="str">
        <f aca="false">IF($A251="","",IFERROR(VLOOKUP($C251,Dim_Fund!$A:$AD,30,0),""))</f>
        <v/>
      </c>
      <c r="T251" s="38" t="str">
        <f aca="false">IF($A251="","",IFERROR(VLOOKUP($C251,Dim_Fund!$A:$AL,38,0),""))</f>
        <v/>
      </c>
      <c r="U251" s="37" t="str">
        <f aca="false">IF($A251="","",IF(AL251="","",IFERROR(IF(COUNTIFS(Fact_Milestone!$A:$A,$B251,Fact_Milestone!$B:$B,AL251)=0,"",_xlfn.MAXIFS(Fact_Milestone!$C:$C,Fact_Milestone!$A:$A,$B251,Fact_Milestone!$B:$B,AL251)),"")))</f>
        <v/>
      </c>
      <c r="V251" s="37" t="str">
        <f aca="false">IF($A251="","",IFERROR(IF(VLOOKUP($C251,Dim_Fund!$A:$AI,35,0)&gt;0,$B251+VLOOKUP($C251,Dim_Fund!$A:$AI,35,0)/24,""),""))</f>
        <v/>
      </c>
      <c r="W251" s="37" t="str">
        <f aca="false">IF($A251="","",F251)</f>
        <v/>
      </c>
      <c r="X251" s="37" t="str">
        <f aca="false">IF($A251="","",IF(E251="Client",H251,G251))</f>
        <v/>
      </c>
      <c r="Y251" s="37" t="str">
        <f aca="false">IF($A251="","",I251)</f>
        <v/>
      </c>
      <c r="Z251" s="37" t="str">
        <f aca="false">IF($A251="","",IFERROR(W251-R251/1440,""))</f>
        <v/>
      </c>
      <c r="AA251" s="38" t="str">
        <f aca="false">IF($A251="","",IF(OR(U251="",V251=""),"",ROUND((V251-U251)*1440,0)))</f>
        <v/>
      </c>
      <c r="AB251" s="38" t="str">
        <f aca="false">IF($A251="","",IF(U251="","",ROUND((W251-U251)*1440,0)))</f>
        <v/>
      </c>
      <c r="AC251" s="38" t="str">
        <f aca="false">IF($A251="","",IF(AB251="","",MAX(0,AB251)))</f>
        <v/>
      </c>
      <c r="AD251" s="38" t="str">
        <f aca="false">IF($A251="","",IFERROR(ROUND((X251-W251)*1440,0),""))</f>
        <v/>
      </c>
      <c r="AE251" s="38" t="str">
        <f aca="false">IF($A251="","",IF(E251="Client","n/a",IFERROR(ROUND((H251-G251)*1440,0),"")))</f>
        <v/>
      </c>
      <c r="AF251" s="38" t="str">
        <f aca="false">IF($A251="","",IFERROR(ROUND((Y251-H251)*1440,0),""))</f>
        <v/>
      </c>
      <c r="AG251" s="38" t="str">
        <f aca="false">IF($A251="","",IFERROR(ROUND((H251-F251)*1440,0),""))</f>
        <v/>
      </c>
      <c r="AH251" s="38" t="str">
        <f aca="false">IF($A251="","",IFERROR(ROUND((Y251-V251)*1440,0),""))</f>
        <v/>
      </c>
      <c r="AI251" s="4" t="str">
        <f aca="false">IF($A251="","",IF(AH251="","",IF(AH251&gt;0,"Yes","No")))</f>
        <v/>
      </c>
      <c r="AJ251" s="4" t="str">
        <f aca="false">IF($A251="","",IF(AI251&lt;&gt;"Yes","On time",IF(N(AC251)&gt;=MAX(N(AF251),N(K251)),"Wait for analyst",IF(N(AF251)&gt;=N(K251),"External sign-off","Rework"))))</f>
        <v/>
      </c>
      <c r="AK251" s="4" t="str">
        <f aca="false">IF($A251="","",IF(OR(F251="",Y251="",ISNA(MATCH(L251,Dim_Analyst!$A:$A,0))),"CHECK","OK"))</f>
        <v/>
      </c>
      <c r="AL251" s="4" t="str">
        <f aca="false">IF($A251="","",IFERROR(VLOOKUP($C251,Dim_Fund!$A:$U,21,0),""))</f>
        <v/>
      </c>
      <c r="AM251" s="4" t="str">
        <f aca="false">IF($A251="","",IF($U251="","",IF($U251&gt;$B251+IFERROR(VLOOKUP($C251,Dim_Fund!$A:$AH,34,0),0)/24,"Yes","No")))</f>
        <v/>
      </c>
      <c r="AN251" s="22" t="str">
        <f aca="false">IF($A251="","",IFERROR(VLOOKUP($C251,Dim_Fund!$A:$AH,34,0),""))</f>
        <v/>
      </c>
      <c r="AO251" s="22" t="str">
        <f aca="false">IF($A251="","",IF($AL251="","",IFERROR(FLOOR(IF(COUNTIFS(Fact_Milestone!$A:$A,$B251,Fact_Milestone!$B:$B,$AL251,Fact_Milestone!$F:$F,"&gt;0")&gt;0,_xlfn.MINIFS(Fact_Milestone!$F:$F,Fact_Milestone!$A:$A,$B251,Fact_Milestone!$B:$B,$AL251,Fact_Milestone!$F:$F,"&gt;0"),VLOOKUP($AL251,Dim_TOP!$A:$E,5,0)),0.5),"")))</f>
        <v/>
      </c>
      <c r="AP251" s="22" t="str">
        <f aca="false">IF($A251="","",IF($U251="","",ROUND(($U251-INT($U251))*24,4)))</f>
        <v/>
      </c>
      <c r="AQ251" s="22" t="str">
        <f aca="false">IF($A251="","",IF($W251="","",ROUND(($W251-INT($W251))*24,4)))</f>
        <v/>
      </c>
      <c r="AR251" s="22" t="str">
        <f aca="false">IF($A251="","",IF($X251="","",ROUND(($X251-INT($X251))*24,4)))</f>
        <v/>
      </c>
      <c r="AS251" s="38" t="str">
        <f aca="false">IF($A251="","",IF(OR($AN251="",$V251="",$S251="",$T251=""),"",ROUND(($V251-($B251+$AN251/24))*1440-$S251-$T251,0)))</f>
        <v/>
      </c>
      <c r="AT251" s="38" t="str">
        <f aca="false">IF($A251="","",IF(OR($AN251="",$U251=""),"",ROUND(($U251-($B251+$AN251/24))*1440,0)))</f>
        <v/>
      </c>
      <c r="AU251" s="38" t="str">
        <f aca="false">IF($A251="","",IF(OR($AD251="",$S251=""),"",ROUND($AD251-$S251,0)))</f>
        <v/>
      </c>
      <c r="AV251" s="38" t="str">
        <f aca="false">IF($A251="","",N($AE251))</f>
        <v/>
      </c>
      <c r="AW251" s="38" t="str">
        <f aca="false">IF($A251="","",IF(OR($AF251="",$T251=""),"",$AF251-$T251))</f>
        <v/>
      </c>
      <c r="AX251" s="38" t="str">
        <f aca="false">IF($A251="","",IF(COUNT($AT251,$AB251,$AU251,$AW251,$AS251,$AH251)&lt;6,"",ROUND($AT251+$AB251+$AU251+$AV251+$AW251-$AS251-$AH251,0)))</f>
        <v/>
      </c>
      <c r="AY251" s="4" t="str">
        <f aca="false">IF($A251="","",IF($AX251="","No",IF(ABS($AX251)&lt;=2,"Yes","No")))</f>
        <v/>
      </c>
      <c r="AZ251" s="4" t="str">
        <f aca="false">IF($A251="","",IF($AI251&lt;&gt;"Yes","n/a",IF(OR($AA251="",$S251="",$T251=""),"Unknown",IF($AA251&lt;$S251+$T251,"Lost on arrival","Lost after arrival"))))</f>
        <v/>
      </c>
      <c r="BA251" s="10" t="str">
        <f aca="false">IF($A251="","",IFERROR(VLOOKUP($C251,Dim_Fund!$A:$D,4,0),""))</f>
        <v/>
      </c>
      <c r="BB251" s="10" t="str">
        <f aca="false">IF($A251="","",IF($AL251="","",IF(COUNTIFS(Fact_Milestone!$A:$A,$B251,Fact_Milestone!$B:$B,$AL251,Fact_Milestone!$I:$I,"No")&gt;0,"No",IF(COUNTIFS(Fact_Milestone!$A:$A,$B251,Fact_Milestone!$B:$B,$AL251,Fact_Milestone!$I:$I,"Yes")&gt;0,"Yes",""))))</f>
        <v/>
      </c>
      <c r="BC251" s="45" t="str">
        <f aca="false">IF($A251="","",IF(OR($L251="",$W251=""),"",IF(COUNTIFS($L:$L,$L251,$B:$B,$B251,$W:$W,"&lt;"&amp;$W251)=0,"",_xlfn.MAXIFS($W:$W,$L:$L,$L251,$B:$B,$B251,$W:$W,"&lt;"&amp;$W251))))</f>
        <v/>
      </c>
      <c r="BD251" s="39" t="str">
        <f aca="false">IF($A251="","",IF($AC251="","",IF(OR($L251="",$AC251=0),0,MIN($AC251,ROUND(ROUND(1440*SUMPRODUCT(($L$2:INDEX($L:$L,COUNTA($C:$C))=$L251)*($B$2:INDEX($B:$B,COUNTA($C:$C))=$B251)*(ROW($L$2:INDEX($L:$L,COUNTA($C:$C)))&lt;&gt;ROW())*((((($W251+$BT$2:INDEX($BT:$BT,COUNTA($C:$C))-ABS($W251-$BT$2:INDEX($BT:$BT,COUNTA($C:$C))))/2)-(($U251+$BS$2:INDEX($BS:$BS,COUNTA($C:$C))+ABS($U251-$BS$2:INDEX($BS:$BS,COUNTA($C:$C))))/2))+ABS(((($W251+$BT$2:INDEX($BT:$BT,COUNTA($C:$C))-ABS($W251-$BT$2:INDEX($BT:$BT,COUNTA($C:$C))))/2)-(($U251+$BS$2:INDEX($BS:$BS,COUNTA($C:$C))+ABS($U251-$BS$2:INDEX($BS:$BS,COUNTA($C:$C))))/2))))/2)),4),0)))))</f>
        <v/>
      </c>
      <c r="BE251" s="39" t="str">
        <f aca="false">IF($A251="","",IF($AC251="","",ROUND(MIN($AC251-$BD251,N($R251)),0)))</f>
        <v/>
      </c>
      <c r="BF251" s="10" t="str">
        <f aca="false">IF($A251="","",IFERROR(VLOOKUP($C251,Dim_Fund!$A:$BD,56,0),""))</f>
        <v/>
      </c>
      <c r="BG251" s="10" t="str">
        <f aca="false">IF($A251="","",IFERROR(VLOOKUP($C251,Dim_Fund!$A:$BH,60,0),""))</f>
        <v/>
      </c>
      <c r="BH251" s="10" t="str">
        <f aca="false">IF($A251="","",IF($AI251&lt;&gt;"Yes","Not breached",IF($AM251="Yes","Pricing late",IF($BG251="Thin custody slack","Thin custody slack",IF($BF251="Yes","Broker-dependent","None of these")))))</f>
        <v/>
      </c>
      <c r="BI251" s="23" t="str">
        <f aca="false">IF($A251="","",IFERROR(IF(VLOOKUP($C251,Dim_Fund!$A:$AI,35,0)&gt;0,VLOOKUP($C251,Dim_Fund!$A:$AI,35,0),""),""))</f>
        <v/>
      </c>
      <c r="BJ251" s="10" t="str">
        <f aca="false">IF($A251="","",$C251&amp;IF($E251="Client","*",""))</f>
        <v/>
      </c>
      <c r="BK251" s="39" t="str">
        <f aca="false">IF($A251="","",IFERROR(ROUND(($Y251-$X251)*1440,0),""))</f>
        <v/>
      </c>
      <c r="BL251" s="39" t="str">
        <f aca="false">IF($A251="","",IF($AH251="","",-$AH251))</f>
        <v/>
      </c>
      <c r="BM251" s="46" t="str">
        <f aca="false">IF($A251="","",IF($AQ251="","",IF($AP251="",$AQ251,MIN($AP251,$AQ251))))</f>
        <v/>
      </c>
      <c r="BN251" s="46" t="str">
        <f aca="false">IF($A251="","",IF($BM251="","",ROUND(N($AC251)/60,4)))</f>
        <v/>
      </c>
      <c r="BO251" s="46" t="str">
        <f aca="false">IF($A251="","",IF(OR($BM251="",$AD251=""),"",ROUND($AD251/60,4)))</f>
        <v/>
      </c>
      <c r="BP251" s="46" t="str">
        <f aca="false">IF($A251="","",IF($BM251="","",ROUND(N($AE251)/60,4)))</f>
        <v/>
      </c>
      <c r="BQ251" s="46" t="str">
        <f aca="false">IF($A251="","",IF(OR($BM251="",$AF251=""),"",ROUND($AF251/60,4)))</f>
        <v/>
      </c>
      <c r="BR251" s="39" t="str">
        <f aca="false">IF($A251="","",IF($AC251="","",$AC251-$BD251-$BE251))</f>
        <v/>
      </c>
      <c r="BS251" s="45" t="str">
        <f aca="false">IF($A251="","",IF(AND(ISNUMBER($Z251),ISNUMBER($W251)),$Z251,0))</f>
        <v/>
      </c>
      <c r="BT251" s="45" t="str">
        <f aca="false">IF($A251="","",IF(ISNUMBER($W251),$W251,0))</f>
        <v/>
      </c>
      <c r="BU251" s="23" t="str">
        <f aca="false">IF($A251="","",IF(ISNUMBER($W251),ROUND(($W251-$B251)*24,4),""))</f>
        <v/>
      </c>
      <c r="BV251" s="23" t="str">
        <f aca="false">IF($A251="","",IF(ISNUMBER($X251),ROUND(($X251-$B251)*24,4),""))</f>
        <v/>
      </c>
      <c r="BW251" s="10" t="str">
        <f aca="false">IF($A251="","",IF(NOT(ISNUMBER($W251)),"Missing Calculated",IF(NOT(ISNUMBER($X251)),IF($E251="Client","Missing FA signed off","Missing Controlled"),IF($X251&lt;$W251,"End before start","OK"))))</f>
        <v/>
      </c>
      <c r="BX251" s="23" t="str">
        <f aca="false">IF($A251="","",IF(NOT(ISNUMBER($Z251)),"",ROUND((IF(ISNUMBER($U251),MIN($U251,$Z251),$Z251)-$B251)*24,4)))</f>
        <v/>
      </c>
      <c r="BY251" s="23" t="str">
        <f aca="false">IF($A251="","",IF(ISNUMBER($Z251),ROUND(($Z251-$B251)*24,4),""))</f>
        <v/>
      </c>
      <c r="BZ251" s="23" t="str">
        <f aca="false">IF($A251="","",IF(AND(ISNUMBER($W251),ISNUMBER($S251)),ROUND(($W251+$S251/1440-$B251)*24,4),""))</f>
        <v/>
      </c>
    </row>
    <row r="252" customFormat="false" ht="15" hidden="false" customHeight="true" outlineLevel="0" collapsed="false">
      <c r="A252" s="47"/>
      <c r="B252" s="47"/>
      <c r="D252" s="4" t="str">
        <f aca="false">IF($A252="","",$B252-$A252)</f>
        <v/>
      </c>
      <c r="E252" s="4" t="str">
        <f aca="false">IF($A252="","",IFERROR(VLOOKUP($C252,Dim_Fund!$A:$X,24,0),""))</f>
        <v/>
      </c>
      <c r="F252" s="37" t="str">
        <f aca="false">IF($A252="","",IF(COUNTIFS(Status_Log!$A:$A,$A252,Status_Log!$B:$B,$B252,Status_Log!$C:$C,$C252,Status_Log!$D:$D,"Changed to the status of Calculated")=0,"",_xlfn.MINIFS(Status_Log!$E:$E,Status_Log!$A:$A,$A252,Status_Log!$B:$B,$B252,Status_Log!$C:$C,$C252,Status_Log!$D:$D,"Changed to the status of Calculated")))</f>
        <v/>
      </c>
      <c r="G252" s="37" t="str">
        <f aca="false">IF($A252="","",IF(COUNTIFS(Status_Log!$A:$A,$A252,Status_Log!$B:$B,$B252,Status_Log!$C:$C,$C252,Status_Log!$D:$D,"Changed to the status of Controlled")=0,"",_xlfn.MAXIFS(Status_Log!$E:$E,Status_Log!$A:$A,$A252,Status_Log!$B:$B,$B252,Status_Log!$C:$C,$C252,Status_Log!$D:$D,"Changed to the status of Controlled")))</f>
        <v/>
      </c>
      <c r="H252" s="37" t="str">
        <f aca="false">IF($A252="","",IF(COUNTIFS(Status_Log!$A:$A,$A252,Status_Log!$B:$B,$B252,Status_Log!$C:$C,$C252,Status_Log!$D:$D,"Changed to the status of Fund accounting signed off")=0,"",_xlfn.MAXIFS(Status_Log!$E:$E,Status_Log!$A:$A,$A252,Status_Log!$B:$B,$B252,Status_Log!$C:$C,$C252,Status_Log!$D:$D,"Changed to the status of Fund accounting signed off")))</f>
        <v/>
      </c>
      <c r="I252" s="37" t="str">
        <f aca="false">IF($A252="","",IF(COUNTIFS(Status_Log!$A:$A,$A252,Status_Log!$B:$B,$B252,Status_Log!$C:$C,$C252,Status_Log!$D:$D,"Changed to the status of signed off")=0,"",_xlfn.MAXIFS(Status_Log!$E:$E,Status_Log!$A:$A,$A252,Status_Log!$B:$B,$B252,Status_Log!$C:$C,$C252,Status_Log!$D:$D,"Changed to the status of signed off")))</f>
        <v/>
      </c>
      <c r="J252" s="4" t="str">
        <f aca="false">IF($A252="","",COUNTIFS(Status_Log!$A:$A,$A252,Status_Log!$B:$B,$B252,Status_Log!$C:$C,$C252,Status_Log!$D:$D,"Changed to the status of Calculated"))</f>
        <v/>
      </c>
      <c r="K252" s="38" t="str">
        <f aca="false">IF($A252="","",IF(J252&lt;=1,0,ROUND((_xlfn.MAXIFS(Status_Log!$E:$E,Status_Log!$A:$A,$A252,Status_Log!$B:$B,$B252,Status_Log!$C:$C,$C252,Status_Log!$D:$D,"Changed to the status of Calculated")-F252)*1440,0)))</f>
        <v/>
      </c>
      <c r="L252" s="4" t="str">
        <f aca="false">IF($A252="","",IFERROR(INDEX(Status_Log!$F:$F,MATCH($A252&amp;"|"&amp;$B252&amp;"|"&amp;$C252&amp;"|Changed to the status of Calculated|"&amp;TEXT(_xlfn.MAXIFS(Status_Log!$E:$E,Status_Log!$A:$A,$A252,Status_Log!$B:$B,$B252,Status_Log!$C:$C,$C252,Status_Log!$D:$D,"Changed to the status of Calculated"),"0.000000"),Status_Log!$H:$H,0)),""))</f>
        <v/>
      </c>
      <c r="M252" s="4" t="str">
        <f aca="false">IF($A252="","",IF(E252="Client","n/a — no control step",IFERROR(INDEX(Status_Log!$F:$F,MATCH($A252&amp;"|"&amp;$B252&amp;"|"&amp;$C252&amp;"|Changed to the status of Controlled|"&amp;TEXT(_xlfn.MAXIFS(Status_Log!$E:$E,Status_Log!$A:$A,$A252,Status_Log!$B:$B,$B252,Status_Log!$C:$C,$C252,Status_Log!$D:$D,"Changed to the status of Controlled"),"0.000000"),Status_Log!$H:$H,0)),"")))</f>
        <v/>
      </c>
      <c r="N252" s="4" t="str">
        <f aca="false">IF($A252="","",IFERROR(VLOOKUP($C252,Dim_Fund!$A:$G,7,0),""))</f>
        <v/>
      </c>
      <c r="O252" s="4" t="str">
        <f aca="false">IF($A252="","",IF(L252=N252,"No","Yes"))</f>
        <v/>
      </c>
      <c r="P252" s="4" t="str">
        <f aca="false">IF($A252="","",IF(E252="Client","n/a",IF(L252=M252,"YES — four-eyes breach","No")))</f>
        <v/>
      </c>
      <c r="Q252" s="38" t="str">
        <f aca="false">IF($A252="","",IFERROR(VLOOKUP($C252,Dim_Fund!$A:$AB,28,0),""))</f>
        <v/>
      </c>
      <c r="R252" s="38" t="str">
        <f aca="false">IF($A252="","",IFERROR(VLOOKUP($C252,Dim_Fund!$A:$AC,29,0),""))</f>
        <v/>
      </c>
      <c r="S252" s="38" t="str">
        <f aca="false">IF($A252="","",IFERROR(VLOOKUP($C252,Dim_Fund!$A:$AD,30,0),""))</f>
        <v/>
      </c>
      <c r="T252" s="38" t="str">
        <f aca="false">IF($A252="","",IFERROR(VLOOKUP($C252,Dim_Fund!$A:$AL,38,0),""))</f>
        <v/>
      </c>
      <c r="U252" s="37" t="str">
        <f aca="false">IF($A252="","",IF(AL252="","",IFERROR(IF(COUNTIFS(Fact_Milestone!$A:$A,$B252,Fact_Milestone!$B:$B,AL252)=0,"",_xlfn.MAXIFS(Fact_Milestone!$C:$C,Fact_Milestone!$A:$A,$B252,Fact_Milestone!$B:$B,AL252)),"")))</f>
        <v/>
      </c>
      <c r="V252" s="37" t="str">
        <f aca="false">IF($A252="","",IFERROR(IF(VLOOKUP($C252,Dim_Fund!$A:$AI,35,0)&gt;0,$B252+VLOOKUP($C252,Dim_Fund!$A:$AI,35,0)/24,""),""))</f>
        <v/>
      </c>
      <c r="W252" s="37" t="str">
        <f aca="false">IF($A252="","",F252)</f>
        <v/>
      </c>
      <c r="X252" s="37" t="str">
        <f aca="false">IF($A252="","",IF(E252="Client",H252,G252))</f>
        <v/>
      </c>
      <c r="Y252" s="37" t="str">
        <f aca="false">IF($A252="","",I252)</f>
        <v/>
      </c>
      <c r="Z252" s="37" t="str">
        <f aca="false">IF($A252="","",IFERROR(W252-R252/1440,""))</f>
        <v/>
      </c>
      <c r="AA252" s="38" t="str">
        <f aca="false">IF($A252="","",IF(OR(U252="",V252=""),"",ROUND((V252-U252)*1440,0)))</f>
        <v/>
      </c>
      <c r="AB252" s="38" t="str">
        <f aca="false">IF($A252="","",IF(U252="","",ROUND((W252-U252)*1440,0)))</f>
        <v/>
      </c>
      <c r="AC252" s="38" t="str">
        <f aca="false">IF($A252="","",IF(AB252="","",MAX(0,AB252)))</f>
        <v/>
      </c>
      <c r="AD252" s="38" t="str">
        <f aca="false">IF($A252="","",IFERROR(ROUND((X252-W252)*1440,0),""))</f>
        <v/>
      </c>
      <c r="AE252" s="38" t="str">
        <f aca="false">IF($A252="","",IF(E252="Client","n/a",IFERROR(ROUND((H252-G252)*1440,0),"")))</f>
        <v/>
      </c>
      <c r="AF252" s="38" t="str">
        <f aca="false">IF($A252="","",IFERROR(ROUND((Y252-H252)*1440,0),""))</f>
        <v/>
      </c>
      <c r="AG252" s="38" t="str">
        <f aca="false">IF($A252="","",IFERROR(ROUND((H252-F252)*1440,0),""))</f>
        <v/>
      </c>
      <c r="AH252" s="38" t="str">
        <f aca="false">IF($A252="","",IFERROR(ROUND((Y252-V252)*1440,0),""))</f>
        <v/>
      </c>
      <c r="AI252" s="4" t="str">
        <f aca="false">IF($A252="","",IF(AH252="","",IF(AH252&gt;0,"Yes","No")))</f>
        <v/>
      </c>
      <c r="AJ252" s="4" t="str">
        <f aca="false">IF($A252="","",IF(AI252&lt;&gt;"Yes","On time",IF(N(AC252)&gt;=MAX(N(AF252),N(K252)),"Wait for analyst",IF(N(AF252)&gt;=N(K252),"External sign-off","Rework"))))</f>
        <v/>
      </c>
      <c r="AK252" s="4" t="str">
        <f aca="false">IF($A252="","",IF(OR(F252="",Y252="",ISNA(MATCH(L252,Dim_Analyst!$A:$A,0))),"CHECK","OK"))</f>
        <v/>
      </c>
      <c r="AL252" s="4" t="str">
        <f aca="false">IF($A252="","",IFERROR(VLOOKUP($C252,Dim_Fund!$A:$U,21,0),""))</f>
        <v/>
      </c>
      <c r="AM252" s="4" t="str">
        <f aca="false">IF($A252="","",IF($U252="","",IF($U252&gt;$B252+IFERROR(VLOOKUP($C252,Dim_Fund!$A:$AH,34,0),0)/24,"Yes","No")))</f>
        <v/>
      </c>
      <c r="AN252" s="22" t="str">
        <f aca="false">IF($A252="","",IFERROR(VLOOKUP($C252,Dim_Fund!$A:$AH,34,0),""))</f>
        <v/>
      </c>
      <c r="AO252" s="22" t="str">
        <f aca="false">IF($A252="","",IF($AL252="","",IFERROR(FLOOR(IF(COUNTIFS(Fact_Milestone!$A:$A,$B252,Fact_Milestone!$B:$B,$AL252,Fact_Milestone!$F:$F,"&gt;0")&gt;0,_xlfn.MINIFS(Fact_Milestone!$F:$F,Fact_Milestone!$A:$A,$B252,Fact_Milestone!$B:$B,$AL252,Fact_Milestone!$F:$F,"&gt;0"),VLOOKUP($AL252,Dim_TOP!$A:$E,5,0)),0.5),"")))</f>
        <v/>
      </c>
      <c r="AP252" s="22" t="str">
        <f aca="false">IF($A252="","",IF($U252="","",ROUND(($U252-INT($U252))*24,4)))</f>
        <v/>
      </c>
      <c r="AQ252" s="22" t="str">
        <f aca="false">IF($A252="","",IF($W252="","",ROUND(($W252-INT($W252))*24,4)))</f>
        <v/>
      </c>
      <c r="AR252" s="22" t="str">
        <f aca="false">IF($A252="","",IF($X252="","",ROUND(($X252-INT($X252))*24,4)))</f>
        <v/>
      </c>
      <c r="AS252" s="38" t="str">
        <f aca="false">IF($A252="","",IF(OR($AN252="",$V252="",$S252="",$T252=""),"",ROUND(($V252-($B252+$AN252/24))*1440-$S252-$T252,0)))</f>
        <v/>
      </c>
      <c r="AT252" s="38" t="str">
        <f aca="false">IF($A252="","",IF(OR($AN252="",$U252=""),"",ROUND(($U252-($B252+$AN252/24))*1440,0)))</f>
        <v/>
      </c>
      <c r="AU252" s="38" t="str">
        <f aca="false">IF($A252="","",IF(OR($AD252="",$S252=""),"",ROUND($AD252-$S252,0)))</f>
        <v/>
      </c>
      <c r="AV252" s="38" t="str">
        <f aca="false">IF($A252="","",N($AE252))</f>
        <v/>
      </c>
      <c r="AW252" s="38" t="str">
        <f aca="false">IF($A252="","",IF(OR($AF252="",$T252=""),"",$AF252-$T252))</f>
        <v/>
      </c>
      <c r="AX252" s="38" t="str">
        <f aca="false">IF($A252="","",IF(COUNT($AT252,$AB252,$AU252,$AW252,$AS252,$AH252)&lt;6,"",ROUND($AT252+$AB252+$AU252+$AV252+$AW252-$AS252-$AH252,0)))</f>
        <v/>
      </c>
      <c r="AY252" s="4" t="str">
        <f aca="false">IF($A252="","",IF($AX252="","No",IF(ABS($AX252)&lt;=2,"Yes","No")))</f>
        <v/>
      </c>
      <c r="AZ252" s="4" t="str">
        <f aca="false">IF($A252="","",IF($AI252&lt;&gt;"Yes","n/a",IF(OR($AA252="",$S252="",$T252=""),"Unknown",IF($AA252&lt;$S252+$T252,"Lost on arrival","Lost after arrival"))))</f>
        <v/>
      </c>
      <c r="BA252" s="10" t="str">
        <f aca="false">IF($A252="","",IFERROR(VLOOKUP($C252,Dim_Fund!$A:$D,4,0),""))</f>
        <v/>
      </c>
      <c r="BB252" s="10" t="str">
        <f aca="false">IF($A252="","",IF($AL252="","",IF(COUNTIFS(Fact_Milestone!$A:$A,$B252,Fact_Milestone!$B:$B,$AL252,Fact_Milestone!$I:$I,"No")&gt;0,"No",IF(COUNTIFS(Fact_Milestone!$A:$A,$B252,Fact_Milestone!$B:$B,$AL252,Fact_Milestone!$I:$I,"Yes")&gt;0,"Yes",""))))</f>
        <v/>
      </c>
      <c r="BC252" s="45" t="str">
        <f aca="false">IF($A252="","",IF(OR($L252="",$W252=""),"",IF(COUNTIFS($L:$L,$L252,$B:$B,$B252,$W:$W,"&lt;"&amp;$W252)=0,"",_xlfn.MAXIFS($W:$W,$L:$L,$L252,$B:$B,$B252,$W:$W,"&lt;"&amp;$W252))))</f>
        <v/>
      </c>
      <c r="BD252" s="39" t="str">
        <f aca="false">IF($A252="","",IF($AC252="","",IF(OR($L252="",$AC252=0),0,MIN($AC252,ROUND(ROUND(1440*SUMPRODUCT(($L$2:INDEX($L:$L,COUNTA($C:$C))=$L252)*($B$2:INDEX($B:$B,COUNTA($C:$C))=$B252)*(ROW($L$2:INDEX($L:$L,COUNTA($C:$C)))&lt;&gt;ROW())*((((($W252+$BT$2:INDEX($BT:$BT,COUNTA($C:$C))-ABS($W252-$BT$2:INDEX($BT:$BT,COUNTA($C:$C))))/2)-(($U252+$BS$2:INDEX($BS:$BS,COUNTA($C:$C))+ABS($U252-$BS$2:INDEX($BS:$BS,COUNTA($C:$C))))/2))+ABS(((($W252+$BT$2:INDEX($BT:$BT,COUNTA($C:$C))-ABS($W252-$BT$2:INDEX($BT:$BT,COUNTA($C:$C))))/2)-(($U252+$BS$2:INDEX($BS:$BS,COUNTA($C:$C))+ABS($U252-$BS$2:INDEX($BS:$BS,COUNTA($C:$C))))/2))))/2)),4),0)))))</f>
        <v/>
      </c>
      <c r="BE252" s="39" t="str">
        <f aca="false">IF($A252="","",IF($AC252="","",ROUND(MIN($AC252-$BD252,N($R252)),0)))</f>
        <v/>
      </c>
      <c r="BF252" s="10" t="str">
        <f aca="false">IF($A252="","",IFERROR(VLOOKUP($C252,Dim_Fund!$A:$BD,56,0),""))</f>
        <v/>
      </c>
      <c r="BG252" s="10" t="str">
        <f aca="false">IF($A252="","",IFERROR(VLOOKUP($C252,Dim_Fund!$A:$BH,60,0),""))</f>
        <v/>
      </c>
      <c r="BH252" s="10" t="str">
        <f aca="false">IF($A252="","",IF($AI252&lt;&gt;"Yes","Not breached",IF($AM252="Yes","Pricing late",IF($BG252="Thin custody slack","Thin custody slack",IF($BF252="Yes","Broker-dependent","None of these")))))</f>
        <v/>
      </c>
      <c r="BI252" s="23" t="str">
        <f aca="false">IF($A252="","",IFERROR(IF(VLOOKUP($C252,Dim_Fund!$A:$AI,35,0)&gt;0,VLOOKUP($C252,Dim_Fund!$A:$AI,35,0),""),""))</f>
        <v/>
      </c>
      <c r="BJ252" s="10" t="str">
        <f aca="false">IF($A252="","",$C252&amp;IF($E252="Client","*",""))</f>
        <v/>
      </c>
      <c r="BK252" s="39" t="str">
        <f aca="false">IF($A252="","",IFERROR(ROUND(($Y252-$X252)*1440,0),""))</f>
        <v/>
      </c>
      <c r="BL252" s="39" t="str">
        <f aca="false">IF($A252="","",IF($AH252="","",-$AH252))</f>
        <v/>
      </c>
      <c r="BM252" s="46" t="str">
        <f aca="false">IF($A252="","",IF($AQ252="","",IF($AP252="",$AQ252,MIN($AP252,$AQ252))))</f>
        <v/>
      </c>
      <c r="BN252" s="46" t="str">
        <f aca="false">IF($A252="","",IF($BM252="","",ROUND(N($AC252)/60,4)))</f>
        <v/>
      </c>
      <c r="BO252" s="46" t="str">
        <f aca="false">IF($A252="","",IF(OR($BM252="",$AD252=""),"",ROUND($AD252/60,4)))</f>
        <v/>
      </c>
      <c r="BP252" s="46" t="str">
        <f aca="false">IF($A252="","",IF($BM252="","",ROUND(N($AE252)/60,4)))</f>
        <v/>
      </c>
      <c r="BQ252" s="46" t="str">
        <f aca="false">IF($A252="","",IF(OR($BM252="",$AF252=""),"",ROUND($AF252/60,4)))</f>
        <v/>
      </c>
      <c r="BR252" s="39" t="str">
        <f aca="false">IF($A252="","",IF($AC252="","",$AC252-$BD252-$BE252))</f>
        <v/>
      </c>
      <c r="BS252" s="45" t="str">
        <f aca="false">IF($A252="","",IF(AND(ISNUMBER($Z252),ISNUMBER($W252)),$Z252,0))</f>
        <v/>
      </c>
      <c r="BT252" s="45" t="str">
        <f aca="false">IF($A252="","",IF(ISNUMBER($W252),$W252,0))</f>
        <v/>
      </c>
      <c r="BU252" s="23" t="str">
        <f aca="false">IF($A252="","",IF(ISNUMBER($W252),ROUND(($W252-$B252)*24,4),""))</f>
        <v/>
      </c>
      <c r="BV252" s="23" t="str">
        <f aca="false">IF($A252="","",IF(ISNUMBER($X252),ROUND(($X252-$B252)*24,4),""))</f>
        <v/>
      </c>
      <c r="BW252" s="10" t="str">
        <f aca="false">IF($A252="","",IF(NOT(ISNUMBER($W252)),"Missing Calculated",IF(NOT(ISNUMBER($X252)),IF($E252="Client","Missing FA signed off","Missing Controlled"),IF($X252&lt;$W252,"End before start","OK"))))</f>
        <v/>
      </c>
      <c r="BX252" s="23" t="str">
        <f aca="false">IF($A252="","",IF(NOT(ISNUMBER($Z252)),"",ROUND((IF(ISNUMBER($U252),MIN($U252,$Z252),$Z252)-$B252)*24,4)))</f>
        <v/>
      </c>
      <c r="BY252" s="23" t="str">
        <f aca="false">IF($A252="","",IF(ISNUMBER($Z252),ROUND(($Z252-$B252)*24,4),""))</f>
        <v/>
      </c>
      <c r="BZ252" s="23" t="str">
        <f aca="false">IF($A252="","",IF(AND(ISNUMBER($W252),ISNUMBER($S252)),ROUND(($W252+$S252/1440-$B252)*24,4),""))</f>
        <v/>
      </c>
    </row>
    <row r="253" customFormat="false" ht="15" hidden="false" customHeight="true" outlineLevel="0" collapsed="false">
      <c r="A253" s="47"/>
      <c r="B253" s="47"/>
      <c r="D253" s="4" t="str">
        <f aca="false">IF($A253="","",$B253-$A253)</f>
        <v/>
      </c>
      <c r="E253" s="4" t="str">
        <f aca="false">IF($A253="","",IFERROR(VLOOKUP($C253,Dim_Fund!$A:$X,24,0),""))</f>
        <v/>
      </c>
      <c r="F253" s="37" t="str">
        <f aca="false">IF($A253="","",IF(COUNTIFS(Status_Log!$A:$A,$A253,Status_Log!$B:$B,$B253,Status_Log!$C:$C,$C253,Status_Log!$D:$D,"Changed to the status of Calculated")=0,"",_xlfn.MINIFS(Status_Log!$E:$E,Status_Log!$A:$A,$A253,Status_Log!$B:$B,$B253,Status_Log!$C:$C,$C253,Status_Log!$D:$D,"Changed to the status of Calculated")))</f>
        <v/>
      </c>
      <c r="G253" s="37" t="str">
        <f aca="false">IF($A253="","",IF(COUNTIFS(Status_Log!$A:$A,$A253,Status_Log!$B:$B,$B253,Status_Log!$C:$C,$C253,Status_Log!$D:$D,"Changed to the status of Controlled")=0,"",_xlfn.MAXIFS(Status_Log!$E:$E,Status_Log!$A:$A,$A253,Status_Log!$B:$B,$B253,Status_Log!$C:$C,$C253,Status_Log!$D:$D,"Changed to the status of Controlled")))</f>
        <v/>
      </c>
      <c r="H253" s="37" t="str">
        <f aca="false">IF($A253="","",IF(COUNTIFS(Status_Log!$A:$A,$A253,Status_Log!$B:$B,$B253,Status_Log!$C:$C,$C253,Status_Log!$D:$D,"Changed to the status of Fund accounting signed off")=0,"",_xlfn.MAXIFS(Status_Log!$E:$E,Status_Log!$A:$A,$A253,Status_Log!$B:$B,$B253,Status_Log!$C:$C,$C253,Status_Log!$D:$D,"Changed to the status of Fund accounting signed off")))</f>
        <v/>
      </c>
      <c r="I253" s="37" t="str">
        <f aca="false">IF($A253="","",IF(COUNTIFS(Status_Log!$A:$A,$A253,Status_Log!$B:$B,$B253,Status_Log!$C:$C,$C253,Status_Log!$D:$D,"Changed to the status of signed off")=0,"",_xlfn.MAXIFS(Status_Log!$E:$E,Status_Log!$A:$A,$A253,Status_Log!$B:$B,$B253,Status_Log!$C:$C,$C253,Status_Log!$D:$D,"Changed to the status of signed off")))</f>
        <v/>
      </c>
      <c r="J253" s="4" t="str">
        <f aca="false">IF($A253="","",COUNTIFS(Status_Log!$A:$A,$A253,Status_Log!$B:$B,$B253,Status_Log!$C:$C,$C253,Status_Log!$D:$D,"Changed to the status of Calculated"))</f>
        <v/>
      </c>
      <c r="K253" s="38" t="str">
        <f aca="false">IF($A253="","",IF(J253&lt;=1,0,ROUND((_xlfn.MAXIFS(Status_Log!$E:$E,Status_Log!$A:$A,$A253,Status_Log!$B:$B,$B253,Status_Log!$C:$C,$C253,Status_Log!$D:$D,"Changed to the status of Calculated")-F253)*1440,0)))</f>
        <v/>
      </c>
      <c r="L253" s="4" t="str">
        <f aca="false">IF($A253="","",IFERROR(INDEX(Status_Log!$F:$F,MATCH($A253&amp;"|"&amp;$B253&amp;"|"&amp;$C253&amp;"|Changed to the status of Calculated|"&amp;TEXT(_xlfn.MAXIFS(Status_Log!$E:$E,Status_Log!$A:$A,$A253,Status_Log!$B:$B,$B253,Status_Log!$C:$C,$C253,Status_Log!$D:$D,"Changed to the status of Calculated"),"0.000000"),Status_Log!$H:$H,0)),""))</f>
        <v/>
      </c>
      <c r="M253" s="4" t="str">
        <f aca="false">IF($A253="","",IF(E253="Client","n/a — no control step",IFERROR(INDEX(Status_Log!$F:$F,MATCH($A253&amp;"|"&amp;$B253&amp;"|"&amp;$C253&amp;"|Changed to the status of Controlled|"&amp;TEXT(_xlfn.MAXIFS(Status_Log!$E:$E,Status_Log!$A:$A,$A253,Status_Log!$B:$B,$B253,Status_Log!$C:$C,$C253,Status_Log!$D:$D,"Changed to the status of Controlled"),"0.000000"),Status_Log!$H:$H,0)),"")))</f>
        <v/>
      </c>
      <c r="N253" s="4" t="str">
        <f aca="false">IF($A253="","",IFERROR(VLOOKUP($C253,Dim_Fund!$A:$G,7,0),""))</f>
        <v/>
      </c>
      <c r="O253" s="4" t="str">
        <f aca="false">IF($A253="","",IF(L253=N253,"No","Yes"))</f>
        <v/>
      </c>
      <c r="P253" s="4" t="str">
        <f aca="false">IF($A253="","",IF(E253="Client","n/a",IF(L253=M253,"YES — four-eyes breach","No")))</f>
        <v/>
      </c>
      <c r="Q253" s="38" t="str">
        <f aca="false">IF($A253="","",IFERROR(VLOOKUP($C253,Dim_Fund!$A:$AB,28,0),""))</f>
        <v/>
      </c>
      <c r="R253" s="38" t="str">
        <f aca="false">IF($A253="","",IFERROR(VLOOKUP($C253,Dim_Fund!$A:$AC,29,0),""))</f>
        <v/>
      </c>
      <c r="S253" s="38" t="str">
        <f aca="false">IF($A253="","",IFERROR(VLOOKUP($C253,Dim_Fund!$A:$AD,30,0),""))</f>
        <v/>
      </c>
      <c r="T253" s="38" t="str">
        <f aca="false">IF($A253="","",IFERROR(VLOOKUP($C253,Dim_Fund!$A:$AL,38,0),""))</f>
        <v/>
      </c>
      <c r="U253" s="37" t="str">
        <f aca="false">IF($A253="","",IF(AL253="","",IFERROR(IF(COUNTIFS(Fact_Milestone!$A:$A,$B253,Fact_Milestone!$B:$B,AL253)=0,"",_xlfn.MAXIFS(Fact_Milestone!$C:$C,Fact_Milestone!$A:$A,$B253,Fact_Milestone!$B:$B,AL253)),"")))</f>
        <v/>
      </c>
      <c r="V253" s="37" t="str">
        <f aca="false">IF($A253="","",IFERROR(IF(VLOOKUP($C253,Dim_Fund!$A:$AI,35,0)&gt;0,$B253+VLOOKUP($C253,Dim_Fund!$A:$AI,35,0)/24,""),""))</f>
        <v/>
      </c>
      <c r="W253" s="37" t="str">
        <f aca="false">IF($A253="","",F253)</f>
        <v/>
      </c>
      <c r="X253" s="37" t="str">
        <f aca="false">IF($A253="","",IF(E253="Client",H253,G253))</f>
        <v/>
      </c>
      <c r="Y253" s="37" t="str">
        <f aca="false">IF($A253="","",I253)</f>
        <v/>
      </c>
      <c r="Z253" s="37" t="str">
        <f aca="false">IF($A253="","",IFERROR(W253-R253/1440,""))</f>
        <v/>
      </c>
      <c r="AA253" s="38" t="str">
        <f aca="false">IF($A253="","",IF(OR(U253="",V253=""),"",ROUND((V253-U253)*1440,0)))</f>
        <v/>
      </c>
      <c r="AB253" s="38" t="str">
        <f aca="false">IF($A253="","",IF(U253="","",ROUND((W253-U253)*1440,0)))</f>
        <v/>
      </c>
      <c r="AC253" s="38" t="str">
        <f aca="false">IF($A253="","",IF(AB253="","",MAX(0,AB253)))</f>
        <v/>
      </c>
      <c r="AD253" s="38" t="str">
        <f aca="false">IF($A253="","",IFERROR(ROUND((X253-W253)*1440,0),""))</f>
        <v/>
      </c>
      <c r="AE253" s="38" t="str">
        <f aca="false">IF($A253="","",IF(E253="Client","n/a",IFERROR(ROUND((H253-G253)*1440,0),"")))</f>
        <v/>
      </c>
      <c r="AF253" s="38" t="str">
        <f aca="false">IF($A253="","",IFERROR(ROUND((Y253-H253)*1440,0),""))</f>
        <v/>
      </c>
      <c r="AG253" s="38" t="str">
        <f aca="false">IF($A253="","",IFERROR(ROUND((H253-F253)*1440,0),""))</f>
        <v/>
      </c>
      <c r="AH253" s="38" t="str">
        <f aca="false">IF($A253="","",IFERROR(ROUND((Y253-V253)*1440,0),""))</f>
        <v/>
      </c>
      <c r="AI253" s="4" t="str">
        <f aca="false">IF($A253="","",IF(AH253="","",IF(AH253&gt;0,"Yes","No")))</f>
        <v/>
      </c>
      <c r="AJ253" s="4" t="str">
        <f aca="false">IF($A253="","",IF(AI253&lt;&gt;"Yes","On time",IF(N(AC253)&gt;=MAX(N(AF253),N(K253)),"Wait for analyst",IF(N(AF253)&gt;=N(K253),"External sign-off","Rework"))))</f>
        <v/>
      </c>
      <c r="AK253" s="4" t="str">
        <f aca="false">IF($A253="","",IF(OR(F253="",Y253="",ISNA(MATCH(L253,Dim_Analyst!$A:$A,0))),"CHECK","OK"))</f>
        <v/>
      </c>
      <c r="AL253" s="4" t="str">
        <f aca="false">IF($A253="","",IFERROR(VLOOKUP($C253,Dim_Fund!$A:$U,21,0),""))</f>
        <v/>
      </c>
      <c r="AM253" s="4" t="str">
        <f aca="false">IF($A253="","",IF($U253="","",IF($U253&gt;$B253+IFERROR(VLOOKUP($C253,Dim_Fund!$A:$AH,34,0),0)/24,"Yes","No")))</f>
        <v/>
      </c>
      <c r="AN253" s="22" t="str">
        <f aca="false">IF($A253="","",IFERROR(VLOOKUP($C253,Dim_Fund!$A:$AH,34,0),""))</f>
        <v/>
      </c>
      <c r="AO253" s="22" t="str">
        <f aca="false">IF($A253="","",IF($AL253="","",IFERROR(FLOOR(IF(COUNTIFS(Fact_Milestone!$A:$A,$B253,Fact_Milestone!$B:$B,$AL253,Fact_Milestone!$F:$F,"&gt;0")&gt;0,_xlfn.MINIFS(Fact_Milestone!$F:$F,Fact_Milestone!$A:$A,$B253,Fact_Milestone!$B:$B,$AL253,Fact_Milestone!$F:$F,"&gt;0"),VLOOKUP($AL253,Dim_TOP!$A:$E,5,0)),0.5),"")))</f>
        <v/>
      </c>
      <c r="AP253" s="22" t="str">
        <f aca="false">IF($A253="","",IF($U253="","",ROUND(($U253-INT($U253))*24,4)))</f>
        <v/>
      </c>
      <c r="AQ253" s="22" t="str">
        <f aca="false">IF($A253="","",IF($W253="","",ROUND(($W253-INT($W253))*24,4)))</f>
        <v/>
      </c>
      <c r="AR253" s="22" t="str">
        <f aca="false">IF($A253="","",IF($X253="","",ROUND(($X253-INT($X253))*24,4)))</f>
        <v/>
      </c>
      <c r="AS253" s="38" t="str">
        <f aca="false">IF($A253="","",IF(OR($AN253="",$V253="",$S253="",$T253=""),"",ROUND(($V253-($B253+$AN253/24))*1440-$S253-$T253,0)))</f>
        <v/>
      </c>
      <c r="AT253" s="38" t="str">
        <f aca="false">IF($A253="","",IF(OR($AN253="",$U253=""),"",ROUND(($U253-($B253+$AN253/24))*1440,0)))</f>
        <v/>
      </c>
      <c r="AU253" s="38" t="str">
        <f aca="false">IF($A253="","",IF(OR($AD253="",$S253=""),"",ROUND($AD253-$S253,0)))</f>
        <v/>
      </c>
      <c r="AV253" s="38" t="str">
        <f aca="false">IF($A253="","",N($AE253))</f>
        <v/>
      </c>
      <c r="AW253" s="38" t="str">
        <f aca="false">IF($A253="","",IF(OR($AF253="",$T253=""),"",$AF253-$T253))</f>
        <v/>
      </c>
      <c r="AX253" s="38" t="str">
        <f aca="false">IF($A253="","",IF(COUNT($AT253,$AB253,$AU253,$AW253,$AS253,$AH253)&lt;6,"",ROUND($AT253+$AB253+$AU253+$AV253+$AW253-$AS253-$AH253,0)))</f>
        <v/>
      </c>
      <c r="AY253" s="4" t="str">
        <f aca="false">IF($A253="","",IF($AX253="","No",IF(ABS($AX253)&lt;=2,"Yes","No")))</f>
        <v/>
      </c>
      <c r="AZ253" s="4" t="str">
        <f aca="false">IF($A253="","",IF($AI253&lt;&gt;"Yes","n/a",IF(OR($AA253="",$S253="",$T253=""),"Unknown",IF($AA253&lt;$S253+$T253,"Lost on arrival","Lost after arrival"))))</f>
        <v/>
      </c>
      <c r="BA253" s="10" t="str">
        <f aca="false">IF($A253="","",IFERROR(VLOOKUP($C253,Dim_Fund!$A:$D,4,0),""))</f>
        <v/>
      </c>
      <c r="BB253" s="10" t="str">
        <f aca="false">IF($A253="","",IF($AL253="","",IF(COUNTIFS(Fact_Milestone!$A:$A,$B253,Fact_Milestone!$B:$B,$AL253,Fact_Milestone!$I:$I,"No")&gt;0,"No",IF(COUNTIFS(Fact_Milestone!$A:$A,$B253,Fact_Milestone!$B:$B,$AL253,Fact_Milestone!$I:$I,"Yes")&gt;0,"Yes",""))))</f>
        <v/>
      </c>
      <c r="BC253" s="45" t="str">
        <f aca="false">IF($A253="","",IF(OR($L253="",$W253=""),"",IF(COUNTIFS($L:$L,$L253,$B:$B,$B253,$W:$W,"&lt;"&amp;$W253)=0,"",_xlfn.MAXIFS($W:$W,$L:$L,$L253,$B:$B,$B253,$W:$W,"&lt;"&amp;$W253))))</f>
        <v/>
      </c>
      <c r="BD253" s="39" t="str">
        <f aca="false">IF($A253="","",IF($AC253="","",IF(OR($L253="",$AC253=0),0,MIN($AC253,ROUND(ROUND(1440*SUMPRODUCT(($L$2:INDEX($L:$L,COUNTA($C:$C))=$L253)*($B$2:INDEX($B:$B,COUNTA($C:$C))=$B253)*(ROW($L$2:INDEX($L:$L,COUNTA($C:$C)))&lt;&gt;ROW())*((((($W253+$BT$2:INDEX($BT:$BT,COUNTA($C:$C))-ABS($W253-$BT$2:INDEX($BT:$BT,COUNTA($C:$C))))/2)-(($U253+$BS$2:INDEX($BS:$BS,COUNTA($C:$C))+ABS($U253-$BS$2:INDEX($BS:$BS,COUNTA($C:$C))))/2))+ABS(((($W253+$BT$2:INDEX($BT:$BT,COUNTA($C:$C))-ABS($W253-$BT$2:INDEX($BT:$BT,COUNTA($C:$C))))/2)-(($U253+$BS$2:INDEX($BS:$BS,COUNTA($C:$C))+ABS($U253-$BS$2:INDEX($BS:$BS,COUNTA($C:$C))))/2))))/2)),4),0)))))</f>
        <v/>
      </c>
      <c r="BE253" s="39" t="str">
        <f aca="false">IF($A253="","",IF($AC253="","",ROUND(MIN($AC253-$BD253,N($R253)),0)))</f>
        <v/>
      </c>
      <c r="BF253" s="10" t="str">
        <f aca="false">IF($A253="","",IFERROR(VLOOKUP($C253,Dim_Fund!$A:$BD,56,0),""))</f>
        <v/>
      </c>
      <c r="BG253" s="10" t="str">
        <f aca="false">IF($A253="","",IFERROR(VLOOKUP($C253,Dim_Fund!$A:$BH,60,0),""))</f>
        <v/>
      </c>
      <c r="BH253" s="10" t="str">
        <f aca="false">IF($A253="","",IF($AI253&lt;&gt;"Yes","Not breached",IF($AM253="Yes","Pricing late",IF($BG253="Thin custody slack","Thin custody slack",IF($BF253="Yes","Broker-dependent","None of these")))))</f>
        <v/>
      </c>
      <c r="BI253" s="23" t="str">
        <f aca="false">IF($A253="","",IFERROR(IF(VLOOKUP($C253,Dim_Fund!$A:$AI,35,0)&gt;0,VLOOKUP($C253,Dim_Fund!$A:$AI,35,0),""),""))</f>
        <v/>
      </c>
      <c r="BJ253" s="10" t="str">
        <f aca="false">IF($A253="","",$C253&amp;IF($E253="Client","*",""))</f>
        <v/>
      </c>
      <c r="BK253" s="39" t="str">
        <f aca="false">IF($A253="","",IFERROR(ROUND(($Y253-$X253)*1440,0),""))</f>
        <v/>
      </c>
      <c r="BL253" s="39" t="str">
        <f aca="false">IF($A253="","",IF($AH253="","",-$AH253))</f>
        <v/>
      </c>
      <c r="BM253" s="46" t="str">
        <f aca="false">IF($A253="","",IF($AQ253="","",IF($AP253="",$AQ253,MIN($AP253,$AQ253))))</f>
        <v/>
      </c>
      <c r="BN253" s="46" t="str">
        <f aca="false">IF($A253="","",IF($BM253="","",ROUND(N($AC253)/60,4)))</f>
        <v/>
      </c>
      <c r="BO253" s="46" t="str">
        <f aca="false">IF($A253="","",IF(OR($BM253="",$AD253=""),"",ROUND($AD253/60,4)))</f>
        <v/>
      </c>
      <c r="BP253" s="46" t="str">
        <f aca="false">IF($A253="","",IF($BM253="","",ROUND(N($AE253)/60,4)))</f>
        <v/>
      </c>
      <c r="BQ253" s="46" t="str">
        <f aca="false">IF($A253="","",IF(OR($BM253="",$AF253=""),"",ROUND($AF253/60,4)))</f>
        <v/>
      </c>
      <c r="BR253" s="39" t="str">
        <f aca="false">IF($A253="","",IF($AC253="","",$AC253-$BD253-$BE253))</f>
        <v/>
      </c>
      <c r="BS253" s="45" t="str">
        <f aca="false">IF($A253="","",IF(AND(ISNUMBER($Z253),ISNUMBER($W253)),$Z253,0))</f>
        <v/>
      </c>
      <c r="BT253" s="45" t="str">
        <f aca="false">IF($A253="","",IF(ISNUMBER($W253),$W253,0))</f>
        <v/>
      </c>
      <c r="BU253" s="23" t="str">
        <f aca="false">IF($A253="","",IF(ISNUMBER($W253),ROUND(($W253-$B253)*24,4),""))</f>
        <v/>
      </c>
      <c r="BV253" s="23" t="str">
        <f aca="false">IF($A253="","",IF(ISNUMBER($X253),ROUND(($X253-$B253)*24,4),""))</f>
        <v/>
      </c>
      <c r="BW253" s="10" t="str">
        <f aca="false">IF($A253="","",IF(NOT(ISNUMBER($W253)),"Missing Calculated",IF(NOT(ISNUMBER($X253)),IF($E253="Client","Missing FA signed off","Missing Controlled"),IF($X253&lt;$W253,"End before start","OK"))))</f>
        <v/>
      </c>
      <c r="BX253" s="23" t="str">
        <f aca="false">IF($A253="","",IF(NOT(ISNUMBER($Z253)),"",ROUND((IF(ISNUMBER($U253),MIN($U253,$Z253),$Z253)-$B253)*24,4)))</f>
        <v/>
      </c>
      <c r="BY253" s="23" t="str">
        <f aca="false">IF($A253="","",IF(ISNUMBER($Z253),ROUND(($Z253-$B253)*24,4),""))</f>
        <v/>
      </c>
      <c r="BZ253" s="23" t="str">
        <f aca="false">IF($A253="","",IF(AND(ISNUMBER($W253),ISNUMBER($S253)),ROUND(($W253+$S253/1440-$B253)*24,4),""))</f>
        <v/>
      </c>
    </row>
    <row r="254" customFormat="false" ht="15" hidden="false" customHeight="true" outlineLevel="0" collapsed="false">
      <c r="A254" s="47"/>
      <c r="B254" s="47"/>
      <c r="D254" s="4" t="str">
        <f aca="false">IF($A254="","",$B254-$A254)</f>
        <v/>
      </c>
      <c r="E254" s="4" t="str">
        <f aca="false">IF($A254="","",IFERROR(VLOOKUP($C254,Dim_Fund!$A:$X,24,0),""))</f>
        <v/>
      </c>
      <c r="F254" s="37" t="str">
        <f aca="false">IF($A254="","",IF(COUNTIFS(Status_Log!$A:$A,$A254,Status_Log!$B:$B,$B254,Status_Log!$C:$C,$C254,Status_Log!$D:$D,"Changed to the status of Calculated")=0,"",_xlfn.MINIFS(Status_Log!$E:$E,Status_Log!$A:$A,$A254,Status_Log!$B:$B,$B254,Status_Log!$C:$C,$C254,Status_Log!$D:$D,"Changed to the status of Calculated")))</f>
        <v/>
      </c>
      <c r="G254" s="37" t="str">
        <f aca="false">IF($A254="","",IF(COUNTIFS(Status_Log!$A:$A,$A254,Status_Log!$B:$B,$B254,Status_Log!$C:$C,$C254,Status_Log!$D:$D,"Changed to the status of Controlled")=0,"",_xlfn.MAXIFS(Status_Log!$E:$E,Status_Log!$A:$A,$A254,Status_Log!$B:$B,$B254,Status_Log!$C:$C,$C254,Status_Log!$D:$D,"Changed to the status of Controlled")))</f>
        <v/>
      </c>
      <c r="H254" s="37" t="str">
        <f aca="false">IF($A254="","",IF(COUNTIFS(Status_Log!$A:$A,$A254,Status_Log!$B:$B,$B254,Status_Log!$C:$C,$C254,Status_Log!$D:$D,"Changed to the status of Fund accounting signed off")=0,"",_xlfn.MAXIFS(Status_Log!$E:$E,Status_Log!$A:$A,$A254,Status_Log!$B:$B,$B254,Status_Log!$C:$C,$C254,Status_Log!$D:$D,"Changed to the status of Fund accounting signed off")))</f>
        <v/>
      </c>
      <c r="I254" s="37" t="str">
        <f aca="false">IF($A254="","",IF(COUNTIFS(Status_Log!$A:$A,$A254,Status_Log!$B:$B,$B254,Status_Log!$C:$C,$C254,Status_Log!$D:$D,"Changed to the status of signed off")=0,"",_xlfn.MAXIFS(Status_Log!$E:$E,Status_Log!$A:$A,$A254,Status_Log!$B:$B,$B254,Status_Log!$C:$C,$C254,Status_Log!$D:$D,"Changed to the status of signed off")))</f>
        <v/>
      </c>
      <c r="J254" s="4" t="str">
        <f aca="false">IF($A254="","",COUNTIFS(Status_Log!$A:$A,$A254,Status_Log!$B:$B,$B254,Status_Log!$C:$C,$C254,Status_Log!$D:$D,"Changed to the status of Calculated"))</f>
        <v/>
      </c>
      <c r="K254" s="38" t="str">
        <f aca="false">IF($A254="","",IF(J254&lt;=1,0,ROUND((_xlfn.MAXIFS(Status_Log!$E:$E,Status_Log!$A:$A,$A254,Status_Log!$B:$B,$B254,Status_Log!$C:$C,$C254,Status_Log!$D:$D,"Changed to the status of Calculated")-F254)*1440,0)))</f>
        <v/>
      </c>
      <c r="L254" s="4" t="str">
        <f aca="false">IF($A254="","",IFERROR(INDEX(Status_Log!$F:$F,MATCH($A254&amp;"|"&amp;$B254&amp;"|"&amp;$C254&amp;"|Changed to the status of Calculated|"&amp;TEXT(_xlfn.MAXIFS(Status_Log!$E:$E,Status_Log!$A:$A,$A254,Status_Log!$B:$B,$B254,Status_Log!$C:$C,$C254,Status_Log!$D:$D,"Changed to the status of Calculated"),"0.000000"),Status_Log!$H:$H,0)),""))</f>
        <v/>
      </c>
      <c r="M254" s="4" t="str">
        <f aca="false">IF($A254="","",IF(E254="Client","n/a — no control step",IFERROR(INDEX(Status_Log!$F:$F,MATCH($A254&amp;"|"&amp;$B254&amp;"|"&amp;$C254&amp;"|Changed to the status of Controlled|"&amp;TEXT(_xlfn.MAXIFS(Status_Log!$E:$E,Status_Log!$A:$A,$A254,Status_Log!$B:$B,$B254,Status_Log!$C:$C,$C254,Status_Log!$D:$D,"Changed to the status of Controlled"),"0.000000"),Status_Log!$H:$H,0)),"")))</f>
        <v/>
      </c>
      <c r="N254" s="4" t="str">
        <f aca="false">IF($A254="","",IFERROR(VLOOKUP($C254,Dim_Fund!$A:$G,7,0),""))</f>
        <v/>
      </c>
      <c r="O254" s="4" t="str">
        <f aca="false">IF($A254="","",IF(L254=N254,"No","Yes"))</f>
        <v/>
      </c>
      <c r="P254" s="4" t="str">
        <f aca="false">IF($A254="","",IF(E254="Client","n/a",IF(L254=M254,"YES — four-eyes breach","No")))</f>
        <v/>
      </c>
      <c r="Q254" s="38" t="str">
        <f aca="false">IF($A254="","",IFERROR(VLOOKUP($C254,Dim_Fund!$A:$AB,28,0),""))</f>
        <v/>
      </c>
      <c r="R254" s="38" t="str">
        <f aca="false">IF($A254="","",IFERROR(VLOOKUP($C254,Dim_Fund!$A:$AC,29,0),""))</f>
        <v/>
      </c>
      <c r="S254" s="38" t="str">
        <f aca="false">IF($A254="","",IFERROR(VLOOKUP($C254,Dim_Fund!$A:$AD,30,0),""))</f>
        <v/>
      </c>
      <c r="T254" s="38" t="str">
        <f aca="false">IF($A254="","",IFERROR(VLOOKUP($C254,Dim_Fund!$A:$AL,38,0),""))</f>
        <v/>
      </c>
      <c r="U254" s="37" t="str">
        <f aca="false">IF($A254="","",IF(AL254="","",IFERROR(IF(COUNTIFS(Fact_Milestone!$A:$A,$B254,Fact_Milestone!$B:$B,AL254)=0,"",_xlfn.MAXIFS(Fact_Milestone!$C:$C,Fact_Milestone!$A:$A,$B254,Fact_Milestone!$B:$B,AL254)),"")))</f>
        <v/>
      </c>
      <c r="V254" s="37" t="str">
        <f aca="false">IF($A254="","",IFERROR(IF(VLOOKUP($C254,Dim_Fund!$A:$AI,35,0)&gt;0,$B254+VLOOKUP($C254,Dim_Fund!$A:$AI,35,0)/24,""),""))</f>
        <v/>
      </c>
      <c r="W254" s="37" t="str">
        <f aca="false">IF($A254="","",F254)</f>
        <v/>
      </c>
      <c r="X254" s="37" t="str">
        <f aca="false">IF($A254="","",IF(E254="Client",H254,G254))</f>
        <v/>
      </c>
      <c r="Y254" s="37" t="str">
        <f aca="false">IF($A254="","",I254)</f>
        <v/>
      </c>
      <c r="Z254" s="37" t="str">
        <f aca="false">IF($A254="","",IFERROR(W254-R254/1440,""))</f>
        <v/>
      </c>
      <c r="AA254" s="38" t="str">
        <f aca="false">IF($A254="","",IF(OR(U254="",V254=""),"",ROUND((V254-U254)*1440,0)))</f>
        <v/>
      </c>
      <c r="AB254" s="38" t="str">
        <f aca="false">IF($A254="","",IF(U254="","",ROUND((W254-U254)*1440,0)))</f>
        <v/>
      </c>
      <c r="AC254" s="38" t="str">
        <f aca="false">IF($A254="","",IF(AB254="","",MAX(0,AB254)))</f>
        <v/>
      </c>
      <c r="AD254" s="38" t="str">
        <f aca="false">IF($A254="","",IFERROR(ROUND((X254-W254)*1440,0),""))</f>
        <v/>
      </c>
      <c r="AE254" s="38" t="str">
        <f aca="false">IF($A254="","",IF(E254="Client","n/a",IFERROR(ROUND((H254-G254)*1440,0),"")))</f>
        <v/>
      </c>
      <c r="AF254" s="38" t="str">
        <f aca="false">IF($A254="","",IFERROR(ROUND((Y254-H254)*1440,0),""))</f>
        <v/>
      </c>
      <c r="AG254" s="38" t="str">
        <f aca="false">IF($A254="","",IFERROR(ROUND((H254-F254)*1440,0),""))</f>
        <v/>
      </c>
      <c r="AH254" s="38" t="str">
        <f aca="false">IF($A254="","",IFERROR(ROUND((Y254-V254)*1440,0),""))</f>
        <v/>
      </c>
      <c r="AI254" s="4" t="str">
        <f aca="false">IF($A254="","",IF(AH254="","",IF(AH254&gt;0,"Yes","No")))</f>
        <v/>
      </c>
      <c r="AJ254" s="4" t="str">
        <f aca="false">IF($A254="","",IF(AI254&lt;&gt;"Yes","On time",IF(N(AC254)&gt;=MAX(N(AF254),N(K254)),"Wait for analyst",IF(N(AF254)&gt;=N(K254),"External sign-off","Rework"))))</f>
        <v/>
      </c>
      <c r="AK254" s="4" t="str">
        <f aca="false">IF($A254="","",IF(OR(F254="",Y254="",ISNA(MATCH(L254,Dim_Analyst!$A:$A,0))),"CHECK","OK"))</f>
        <v/>
      </c>
      <c r="AL254" s="4" t="str">
        <f aca="false">IF($A254="","",IFERROR(VLOOKUP($C254,Dim_Fund!$A:$U,21,0),""))</f>
        <v/>
      </c>
      <c r="AM254" s="4" t="str">
        <f aca="false">IF($A254="","",IF($U254="","",IF($U254&gt;$B254+IFERROR(VLOOKUP($C254,Dim_Fund!$A:$AH,34,0),0)/24,"Yes","No")))</f>
        <v/>
      </c>
      <c r="AN254" s="22" t="str">
        <f aca="false">IF($A254="","",IFERROR(VLOOKUP($C254,Dim_Fund!$A:$AH,34,0),""))</f>
        <v/>
      </c>
      <c r="AO254" s="22" t="str">
        <f aca="false">IF($A254="","",IF($AL254="","",IFERROR(FLOOR(IF(COUNTIFS(Fact_Milestone!$A:$A,$B254,Fact_Milestone!$B:$B,$AL254,Fact_Milestone!$F:$F,"&gt;0")&gt;0,_xlfn.MINIFS(Fact_Milestone!$F:$F,Fact_Milestone!$A:$A,$B254,Fact_Milestone!$B:$B,$AL254,Fact_Milestone!$F:$F,"&gt;0"),VLOOKUP($AL254,Dim_TOP!$A:$E,5,0)),0.5),"")))</f>
        <v/>
      </c>
      <c r="AP254" s="22" t="str">
        <f aca="false">IF($A254="","",IF($U254="","",ROUND(($U254-INT($U254))*24,4)))</f>
        <v/>
      </c>
      <c r="AQ254" s="22" t="str">
        <f aca="false">IF($A254="","",IF($W254="","",ROUND(($W254-INT($W254))*24,4)))</f>
        <v/>
      </c>
      <c r="AR254" s="22" t="str">
        <f aca="false">IF($A254="","",IF($X254="","",ROUND(($X254-INT($X254))*24,4)))</f>
        <v/>
      </c>
      <c r="AS254" s="38" t="str">
        <f aca="false">IF($A254="","",IF(OR($AN254="",$V254="",$S254="",$T254=""),"",ROUND(($V254-($B254+$AN254/24))*1440-$S254-$T254,0)))</f>
        <v/>
      </c>
      <c r="AT254" s="38" t="str">
        <f aca="false">IF($A254="","",IF(OR($AN254="",$U254=""),"",ROUND(($U254-($B254+$AN254/24))*1440,0)))</f>
        <v/>
      </c>
      <c r="AU254" s="38" t="str">
        <f aca="false">IF($A254="","",IF(OR($AD254="",$S254=""),"",ROUND($AD254-$S254,0)))</f>
        <v/>
      </c>
      <c r="AV254" s="38" t="str">
        <f aca="false">IF($A254="","",N($AE254))</f>
        <v/>
      </c>
      <c r="AW254" s="38" t="str">
        <f aca="false">IF($A254="","",IF(OR($AF254="",$T254=""),"",$AF254-$T254))</f>
        <v/>
      </c>
      <c r="AX254" s="38" t="str">
        <f aca="false">IF($A254="","",IF(COUNT($AT254,$AB254,$AU254,$AW254,$AS254,$AH254)&lt;6,"",ROUND($AT254+$AB254+$AU254+$AV254+$AW254-$AS254-$AH254,0)))</f>
        <v/>
      </c>
      <c r="AY254" s="4" t="str">
        <f aca="false">IF($A254="","",IF($AX254="","No",IF(ABS($AX254)&lt;=2,"Yes","No")))</f>
        <v/>
      </c>
      <c r="AZ254" s="4" t="str">
        <f aca="false">IF($A254="","",IF($AI254&lt;&gt;"Yes","n/a",IF(OR($AA254="",$S254="",$T254=""),"Unknown",IF($AA254&lt;$S254+$T254,"Lost on arrival","Lost after arrival"))))</f>
        <v/>
      </c>
      <c r="BA254" s="10" t="str">
        <f aca="false">IF($A254="","",IFERROR(VLOOKUP($C254,Dim_Fund!$A:$D,4,0),""))</f>
        <v/>
      </c>
      <c r="BB254" s="10" t="str">
        <f aca="false">IF($A254="","",IF($AL254="","",IF(COUNTIFS(Fact_Milestone!$A:$A,$B254,Fact_Milestone!$B:$B,$AL254,Fact_Milestone!$I:$I,"No")&gt;0,"No",IF(COUNTIFS(Fact_Milestone!$A:$A,$B254,Fact_Milestone!$B:$B,$AL254,Fact_Milestone!$I:$I,"Yes")&gt;0,"Yes",""))))</f>
        <v/>
      </c>
      <c r="BC254" s="45" t="str">
        <f aca="false">IF($A254="","",IF(OR($L254="",$W254=""),"",IF(COUNTIFS($L:$L,$L254,$B:$B,$B254,$W:$W,"&lt;"&amp;$W254)=0,"",_xlfn.MAXIFS($W:$W,$L:$L,$L254,$B:$B,$B254,$W:$W,"&lt;"&amp;$W254))))</f>
        <v/>
      </c>
      <c r="BD254" s="39" t="str">
        <f aca="false">IF($A254="","",IF($AC254="","",IF(OR($L254="",$AC254=0),0,MIN($AC254,ROUND(ROUND(1440*SUMPRODUCT(($L$2:INDEX($L:$L,COUNTA($C:$C))=$L254)*($B$2:INDEX($B:$B,COUNTA($C:$C))=$B254)*(ROW($L$2:INDEX($L:$L,COUNTA($C:$C)))&lt;&gt;ROW())*((((($W254+$BT$2:INDEX($BT:$BT,COUNTA($C:$C))-ABS($W254-$BT$2:INDEX($BT:$BT,COUNTA($C:$C))))/2)-(($U254+$BS$2:INDEX($BS:$BS,COUNTA($C:$C))+ABS($U254-$BS$2:INDEX($BS:$BS,COUNTA($C:$C))))/2))+ABS(((($W254+$BT$2:INDEX($BT:$BT,COUNTA($C:$C))-ABS($W254-$BT$2:INDEX($BT:$BT,COUNTA($C:$C))))/2)-(($U254+$BS$2:INDEX($BS:$BS,COUNTA($C:$C))+ABS($U254-$BS$2:INDEX($BS:$BS,COUNTA($C:$C))))/2))))/2)),4),0)))))</f>
        <v/>
      </c>
      <c r="BE254" s="39" t="str">
        <f aca="false">IF($A254="","",IF($AC254="","",ROUND(MIN($AC254-$BD254,N($R254)),0)))</f>
        <v/>
      </c>
      <c r="BF254" s="10" t="str">
        <f aca="false">IF($A254="","",IFERROR(VLOOKUP($C254,Dim_Fund!$A:$BD,56,0),""))</f>
        <v/>
      </c>
      <c r="BG254" s="10" t="str">
        <f aca="false">IF($A254="","",IFERROR(VLOOKUP($C254,Dim_Fund!$A:$BH,60,0),""))</f>
        <v/>
      </c>
      <c r="BH254" s="10" t="str">
        <f aca="false">IF($A254="","",IF($AI254&lt;&gt;"Yes","Not breached",IF($AM254="Yes","Pricing late",IF($BG254="Thin custody slack","Thin custody slack",IF($BF254="Yes","Broker-dependent","None of these")))))</f>
        <v/>
      </c>
      <c r="BI254" s="23" t="str">
        <f aca="false">IF($A254="","",IFERROR(IF(VLOOKUP($C254,Dim_Fund!$A:$AI,35,0)&gt;0,VLOOKUP($C254,Dim_Fund!$A:$AI,35,0),""),""))</f>
        <v/>
      </c>
      <c r="BJ254" s="10" t="str">
        <f aca="false">IF($A254="","",$C254&amp;IF($E254="Client","*",""))</f>
        <v/>
      </c>
      <c r="BK254" s="39" t="str">
        <f aca="false">IF($A254="","",IFERROR(ROUND(($Y254-$X254)*1440,0),""))</f>
        <v/>
      </c>
      <c r="BL254" s="39" t="str">
        <f aca="false">IF($A254="","",IF($AH254="","",-$AH254))</f>
        <v/>
      </c>
      <c r="BM254" s="46" t="str">
        <f aca="false">IF($A254="","",IF($AQ254="","",IF($AP254="",$AQ254,MIN($AP254,$AQ254))))</f>
        <v/>
      </c>
      <c r="BN254" s="46" t="str">
        <f aca="false">IF($A254="","",IF($BM254="","",ROUND(N($AC254)/60,4)))</f>
        <v/>
      </c>
      <c r="BO254" s="46" t="str">
        <f aca="false">IF($A254="","",IF(OR($BM254="",$AD254=""),"",ROUND($AD254/60,4)))</f>
        <v/>
      </c>
      <c r="BP254" s="46" t="str">
        <f aca="false">IF($A254="","",IF($BM254="","",ROUND(N($AE254)/60,4)))</f>
        <v/>
      </c>
      <c r="BQ254" s="46" t="str">
        <f aca="false">IF($A254="","",IF(OR($BM254="",$AF254=""),"",ROUND($AF254/60,4)))</f>
        <v/>
      </c>
      <c r="BR254" s="39" t="str">
        <f aca="false">IF($A254="","",IF($AC254="","",$AC254-$BD254-$BE254))</f>
        <v/>
      </c>
      <c r="BS254" s="45" t="str">
        <f aca="false">IF($A254="","",IF(AND(ISNUMBER($Z254),ISNUMBER($W254)),$Z254,0))</f>
        <v/>
      </c>
      <c r="BT254" s="45" t="str">
        <f aca="false">IF($A254="","",IF(ISNUMBER($W254),$W254,0))</f>
        <v/>
      </c>
      <c r="BU254" s="23" t="str">
        <f aca="false">IF($A254="","",IF(ISNUMBER($W254),ROUND(($W254-$B254)*24,4),""))</f>
        <v/>
      </c>
      <c r="BV254" s="23" t="str">
        <f aca="false">IF($A254="","",IF(ISNUMBER($X254),ROUND(($X254-$B254)*24,4),""))</f>
        <v/>
      </c>
      <c r="BW254" s="10" t="str">
        <f aca="false">IF($A254="","",IF(NOT(ISNUMBER($W254)),"Missing Calculated",IF(NOT(ISNUMBER($X254)),IF($E254="Client","Missing FA signed off","Missing Controlled"),IF($X254&lt;$W254,"End before start","OK"))))</f>
        <v/>
      </c>
      <c r="BX254" s="23" t="str">
        <f aca="false">IF($A254="","",IF(NOT(ISNUMBER($Z254)),"",ROUND((IF(ISNUMBER($U254),MIN($U254,$Z254),$Z254)-$B254)*24,4)))</f>
        <v/>
      </c>
      <c r="BY254" s="23" t="str">
        <f aca="false">IF($A254="","",IF(ISNUMBER($Z254),ROUND(($Z254-$B254)*24,4),""))</f>
        <v/>
      </c>
      <c r="BZ254" s="23" t="str">
        <f aca="false">IF($A254="","",IF(AND(ISNUMBER($W254),ISNUMBER($S254)),ROUND(($W254+$S254/1440-$B254)*24,4),""))</f>
        <v/>
      </c>
    </row>
    <row r="255" customFormat="false" ht="15" hidden="false" customHeight="true" outlineLevel="0" collapsed="false">
      <c r="A255" s="47"/>
      <c r="B255" s="47"/>
      <c r="D255" s="4" t="str">
        <f aca="false">IF($A255="","",$B255-$A255)</f>
        <v/>
      </c>
      <c r="E255" s="4" t="str">
        <f aca="false">IF($A255="","",IFERROR(VLOOKUP($C255,Dim_Fund!$A:$X,24,0),""))</f>
        <v/>
      </c>
      <c r="F255" s="37" t="str">
        <f aca="false">IF($A255="","",IF(COUNTIFS(Status_Log!$A:$A,$A255,Status_Log!$B:$B,$B255,Status_Log!$C:$C,$C255,Status_Log!$D:$D,"Changed to the status of Calculated")=0,"",_xlfn.MINIFS(Status_Log!$E:$E,Status_Log!$A:$A,$A255,Status_Log!$B:$B,$B255,Status_Log!$C:$C,$C255,Status_Log!$D:$D,"Changed to the status of Calculated")))</f>
        <v/>
      </c>
      <c r="G255" s="37" t="str">
        <f aca="false">IF($A255="","",IF(COUNTIFS(Status_Log!$A:$A,$A255,Status_Log!$B:$B,$B255,Status_Log!$C:$C,$C255,Status_Log!$D:$D,"Changed to the status of Controlled")=0,"",_xlfn.MAXIFS(Status_Log!$E:$E,Status_Log!$A:$A,$A255,Status_Log!$B:$B,$B255,Status_Log!$C:$C,$C255,Status_Log!$D:$D,"Changed to the status of Controlled")))</f>
        <v/>
      </c>
      <c r="H255" s="37" t="str">
        <f aca="false">IF($A255="","",IF(COUNTIFS(Status_Log!$A:$A,$A255,Status_Log!$B:$B,$B255,Status_Log!$C:$C,$C255,Status_Log!$D:$D,"Changed to the status of Fund accounting signed off")=0,"",_xlfn.MAXIFS(Status_Log!$E:$E,Status_Log!$A:$A,$A255,Status_Log!$B:$B,$B255,Status_Log!$C:$C,$C255,Status_Log!$D:$D,"Changed to the status of Fund accounting signed off")))</f>
        <v/>
      </c>
      <c r="I255" s="37" t="str">
        <f aca="false">IF($A255="","",IF(COUNTIFS(Status_Log!$A:$A,$A255,Status_Log!$B:$B,$B255,Status_Log!$C:$C,$C255,Status_Log!$D:$D,"Changed to the status of signed off")=0,"",_xlfn.MAXIFS(Status_Log!$E:$E,Status_Log!$A:$A,$A255,Status_Log!$B:$B,$B255,Status_Log!$C:$C,$C255,Status_Log!$D:$D,"Changed to the status of signed off")))</f>
        <v/>
      </c>
      <c r="J255" s="4" t="str">
        <f aca="false">IF($A255="","",COUNTIFS(Status_Log!$A:$A,$A255,Status_Log!$B:$B,$B255,Status_Log!$C:$C,$C255,Status_Log!$D:$D,"Changed to the status of Calculated"))</f>
        <v/>
      </c>
      <c r="K255" s="38" t="str">
        <f aca="false">IF($A255="","",IF(J255&lt;=1,0,ROUND((_xlfn.MAXIFS(Status_Log!$E:$E,Status_Log!$A:$A,$A255,Status_Log!$B:$B,$B255,Status_Log!$C:$C,$C255,Status_Log!$D:$D,"Changed to the status of Calculated")-F255)*1440,0)))</f>
        <v/>
      </c>
      <c r="L255" s="4" t="str">
        <f aca="false">IF($A255="","",IFERROR(INDEX(Status_Log!$F:$F,MATCH($A255&amp;"|"&amp;$B255&amp;"|"&amp;$C255&amp;"|Changed to the status of Calculated|"&amp;TEXT(_xlfn.MAXIFS(Status_Log!$E:$E,Status_Log!$A:$A,$A255,Status_Log!$B:$B,$B255,Status_Log!$C:$C,$C255,Status_Log!$D:$D,"Changed to the status of Calculated"),"0.000000"),Status_Log!$H:$H,0)),""))</f>
        <v/>
      </c>
      <c r="M255" s="4" t="str">
        <f aca="false">IF($A255="","",IF(E255="Client","n/a — no control step",IFERROR(INDEX(Status_Log!$F:$F,MATCH($A255&amp;"|"&amp;$B255&amp;"|"&amp;$C255&amp;"|Changed to the status of Controlled|"&amp;TEXT(_xlfn.MAXIFS(Status_Log!$E:$E,Status_Log!$A:$A,$A255,Status_Log!$B:$B,$B255,Status_Log!$C:$C,$C255,Status_Log!$D:$D,"Changed to the status of Controlled"),"0.000000"),Status_Log!$H:$H,0)),"")))</f>
        <v/>
      </c>
      <c r="N255" s="4" t="str">
        <f aca="false">IF($A255="","",IFERROR(VLOOKUP($C255,Dim_Fund!$A:$G,7,0),""))</f>
        <v/>
      </c>
      <c r="O255" s="4" t="str">
        <f aca="false">IF($A255="","",IF(L255=N255,"No","Yes"))</f>
        <v/>
      </c>
      <c r="P255" s="4" t="str">
        <f aca="false">IF($A255="","",IF(E255="Client","n/a",IF(L255=M255,"YES — four-eyes breach","No")))</f>
        <v/>
      </c>
      <c r="Q255" s="38" t="str">
        <f aca="false">IF($A255="","",IFERROR(VLOOKUP($C255,Dim_Fund!$A:$AB,28,0),""))</f>
        <v/>
      </c>
      <c r="R255" s="38" t="str">
        <f aca="false">IF($A255="","",IFERROR(VLOOKUP($C255,Dim_Fund!$A:$AC,29,0),""))</f>
        <v/>
      </c>
      <c r="S255" s="38" t="str">
        <f aca="false">IF($A255="","",IFERROR(VLOOKUP($C255,Dim_Fund!$A:$AD,30,0),""))</f>
        <v/>
      </c>
      <c r="T255" s="38" t="str">
        <f aca="false">IF($A255="","",IFERROR(VLOOKUP($C255,Dim_Fund!$A:$AL,38,0),""))</f>
        <v/>
      </c>
      <c r="U255" s="37" t="str">
        <f aca="false">IF($A255="","",IF(AL255="","",IFERROR(IF(COUNTIFS(Fact_Milestone!$A:$A,$B255,Fact_Milestone!$B:$B,AL255)=0,"",_xlfn.MAXIFS(Fact_Milestone!$C:$C,Fact_Milestone!$A:$A,$B255,Fact_Milestone!$B:$B,AL255)),"")))</f>
        <v/>
      </c>
      <c r="V255" s="37" t="str">
        <f aca="false">IF($A255="","",IFERROR(IF(VLOOKUP($C255,Dim_Fund!$A:$AI,35,0)&gt;0,$B255+VLOOKUP($C255,Dim_Fund!$A:$AI,35,0)/24,""),""))</f>
        <v/>
      </c>
      <c r="W255" s="37" t="str">
        <f aca="false">IF($A255="","",F255)</f>
        <v/>
      </c>
      <c r="X255" s="37" t="str">
        <f aca="false">IF($A255="","",IF(E255="Client",H255,G255))</f>
        <v/>
      </c>
      <c r="Y255" s="37" t="str">
        <f aca="false">IF($A255="","",I255)</f>
        <v/>
      </c>
      <c r="Z255" s="37" t="str">
        <f aca="false">IF($A255="","",IFERROR(W255-R255/1440,""))</f>
        <v/>
      </c>
      <c r="AA255" s="38" t="str">
        <f aca="false">IF($A255="","",IF(OR(U255="",V255=""),"",ROUND((V255-U255)*1440,0)))</f>
        <v/>
      </c>
      <c r="AB255" s="38" t="str">
        <f aca="false">IF($A255="","",IF(U255="","",ROUND((W255-U255)*1440,0)))</f>
        <v/>
      </c>
      <c r="AC255" s="38" t="str">
        <f aca="false">IF($A255="","",IF(AB255="","",MAX(0,AB255)))</f>
        <v/>
      </c>
      <c r="AD255" s="38" t="str">
        <f aca="false">IF($A255="","",IFERROR(ROUND((X255-W255)*1440,0),""))</f>
        <v/>
      </c>
      <c r="AE255" s="38" t="str">
        <f aca="false">IF($A255="","",IF(E255="Client","n/a",IFERROR(ROUND((H255-G255)*1440,0),"")))</f>
        <v/>
      </c>
      <c r="AF255" s="38" t="str">
        <f aca="false">IF($A255="","",IFERROR(ROUND((Y255-H255)*1440,0),""))</f>
        <v/>
      </c>
      <c r="AG255" s="38" t="str">
        <f aca="false">IF($A255="","",IFERROR(ROUND((H255-F255)*1440,0),""))</f>
        <v/>
      </c>
      <c r="AH255" s="38" t="str">
        <f aca="false">IF($A255="","",IFERROR(ROUND((Y255-V255)*1440,0),""))</f>
        <v/>
      </c>
      <c r="AI255" s="4" t="str">
        <f aca="false">IF($A255="","",IF(AH255="","",IF(AH255&gt;0,"Yes","No")))</f>
        <v/>
      </c>
      <c r="AJ255" s="4" t="str">
        <f aca="false">IF($A255="","",IF(AI255&lt;&gt;"Yes","On time",IF(N(AC255)&gt;=MAX(N(AF255),N(K255)),"Wait for analyst",IF(N(AF255)&gt;=N(K255),"External sign-off","Rework"))))</f>
        <v/>
      </c>
      <c r="AK255" s="4" t="str">
        <f aca="false">IF($A255="","",IF(OR(F255="",Y255="",ISNA(MATCH(L255,Dim_Analyst!$A:$A,0))),"CHECK","OK"))</f>
        <v/>
      </c>
      <c r="AL255" s="4" t="str">
        <f aca="false">IF($A255="","",IFERROR(VLOOKUP($C255,Dim_Fund!$A:$U,21,0),""))</f>
        <v/>
      </c>
      <c r="AM255" s="4" t="str">
        <f aca="false">IF($A255="","",IF($U255="","",IF($U255&gt;$B255+IFERROR(VLOOKUP($C255,Dim_Fund!$A:$AH,34,0),0)/24,"Yes","No")))</f>
        <v/>
      </c>
      <c r="AN255" s="22" t="str">
        <f aca="false">IF($A255="","",IFERROR(VLOOKUP($C255,Dim_Fund!$A:$AH,34,0),""))</f>
        <v/>
      </c>
      <c r="AO255" s="22" t="str">
        <f aca="false">IF($A255="","",IF($AL255="","",IFERROR(FLOOR(IF(COUNTIFS(Fact_Milestone!$A:$A,$B255,Fact_Milestone!$B:$B,$AL255,Fact_Milestone!$F:$F,"&gt;0")&gt;0,_xlfn.MINIFS(Fact_Milestone!$F:$F,Fact_Milestone!$A:$A,$B255,Fact_Milestone!$B:$B,$AL255,Fact_Milestone!$F:$F,"&gt;0"),VLOOKUP($AL255,Dim_TOP!$A:$E,5,0)),0.5),"")))</f>
        <v/>
      </c>
      <c r="AP255" s="22" t="str">
        <f aca="false">IF($A255="","",IF($U255="","",ROUND(($U255-INT($U255))*24,4)))</f>
        <v/>
      </c>
      <c r="AQ255" s="22" t="str">
        <f aca="false">IF($A255="","",IF($W255="","",ROUND(($W255-INT($W255))*24,4)))</f>
        <v/>
      </c>
      <c r="AR255" s="22" t="str">
        <f aca="false">IF($A255="","",IF($X255="","",ROUND(($X255-INT($X255))*24,4)))</f>
        <v/>
      </c>
      <c r="AS255" s="38" t="str">
        <f aca="false">IF($A255="","",IF(OR($AN255="",$V255="",$S255="",$T255=""),"",ROUND(($V255-($B255+$AN255/24))*1440-$S255-$T255,0)))</f>
        <v/>
      </c>
      <c r="AT255" s="38" t="str">
        <f aca="false">IF($A255="","",IF(OR($AN255="",$U255=""),"",ROUND(($U255-($B255+$AN255/24))*1440,0)))</f>
        <v/>
      </c>
      <c r="AU255" s="38" t="str">
        <f aca="false">IF($A255="","",IF(OR($AD255="",$S255=""),"",ROUND($AD255-$S255,0)))</f>
        <v/>
      </c>
      <c r="AV255" s="38" t="str">
        <f aca="false">IF($A255="","",N($AE255))</f>
        <v/>
      </c>
      <c r="AW255" s="38" t="str">
        <f aca="false">IF($A255="","",IF(OR($AF255="",$T255=""),"",$AF255-$T255))</f>
        <v/>
      </c>
      <c r="AX255" s="38" t="str">
        <f aca="false">IF($A255="","",IF(COUNT($AT255,$AB255,$AU255,$AW255,$AS255,$AH255)&lt;6,"",ROUND($AT255+$AB255+$AU255+$AV255+$AW255-$AS255-$AH255,0)))</f>
        <v/>
      </c>
      <c r="AY255" s="4" t="str">
        <f aca="false">IF($A255="","",IF($AX255="","No",IF(ABS($AX255)&lt;=2,"Yes","No")))</f>
        <v/>
      </c>
      <c r="AZ255" s="4" t="str">
        <f aca="false">IF($A255="","",IF($AI255&lt;&gt;"Yes","n/a",IF(OR($AA255="",$S255="",$T255=""),"Unknown",IF($AA255&lt;$S255+$T255,"Lost on arrival","Lost after arrival"))))</f>
        <v/>
      </c>
      <c r="BA255" s="10" t="str">
        <f aca="false">IF($A255="","",IFERROR(VLOOKUP($C255,Dim_Fund!$A:$D,4,0),""))</f>
        <v/>
      </c>
      <c r="BB255" s="10" t="str">
        <f aca="false">IF($A255="","",IF($AL255="","",IF(COUNTIFS(Fact_Milestone!$A:$A,$B255,Fact_Milestone!$B:$B,$AL255,Fact_Milestone!$I:$I,"No")&gt;0,"No",IF(COUNTIFS(Fact_Milestone!$A:$A,$B255,Fact_Milestone!$B:$B,$AL255,Fact_Milestone!$I:$I,"Yes")&gt;0,"Yes",""))))</f>
        <v/>
      </c>
      <c r="BC255" s="45" t="str">
        <f aca="false">IF($A255="","",IF(OR($L255="",$W255=""),"",IF(COUNTIFS($L:$L,$L255,$B:$B,$B255,$W:$W,"&lt;"&amp;$W255)=0,"",_xlfn.MAXIFS($W:$W,$L:$L,$L255,$B:$B,$B255,$W:$W,"&lt;"&amp;$W255))))</f>
        <v/>
      </c>
      <c r="BD255" s="39" t="str">
        <f aca="false">IF($A255="","",IF($AC255="","",IF(OR($L255="",$AC255=0),0,MIN($AC255,ROUND(ROUND(1440*SUMPRODUCT(($L$2:INDEX($L:$L,COUNTA($C:$C))=$L255)*($B$2:INDEX($B:$B,COUNTA($C:$C))=$B255)*(ROW($L$2:INDEX($L:$L,COUNTA($C:$C)))&lt;&gt;ROW())*((((($W255+$BT$2:INDEX($BT:$BT,COUNTA($C:$C))-ABS($W255-$BT$2:INDEX($BT:$BT,COUNTA($C:$C))))/2)-(($U255+$BS$2:INDEX($BS:$BS,COUNTA($C:$C))+ABS($U255-$BS$2:INDEX($BS:$BS,COUNTA($C:$C))))/2))+ABS(((($W255+$BT$2:INDEX($BT:$BT,COUNTA($C:$C))-ABS($W255-$BT$2:INDEX($BT:$BT,COUNTA($C:$C))))/2)-(($U255+$BS$2:INDEX($BS:$BS,COUNTA($C:$C))+ABS($U255-$BS$2:INDEX($BS:$BS,COUNTA($C:$C))))/2))))/2)),4),0)))))</f>
        <v/>
      </c>
      <c r="BE255" s="39" t="str">
        <f aca="false">IF($A255="","",IF($AC255="","",ROUND(MIN($AC255-$BD255,N($R255)),0)))</f>
        <v/>
      </c>
      <c r="BF255" s="10" t="str">
        <f aca="false">IF($A255="","",IFERROR(VLOOKUP($C255,Dim_Fund!$A:$BD,56,0),""))</f>
        <v/>
      </c>
      <c r="BG255" s="10" t="str">
        <f aca="false">IF($A255="","",IFERROR(VLOOKUP($C255,Dim_Fund!$A:$BH,60,0),""))</f>
        <v/>
      </c>
      <c r="BH255" s="10" t="str">
        <f aca="false">IF($A255="","",IF($AI255&lt;&gt;"Yes","Not breached",IF($AM255="Yes","Pricing late",IF($BG255="Thin custody slack","Thin custody slack",IF($BF255="Yes","Broker-dependent","None of these")))))</f>
        <v/>
      </c>
      <c r="BI255" s="23" t="str">
        <f aca="false">IF($A255="","",IFERROR(IF(VLOOKUP($C255,Dim_Fund!$A:$AI,35,0)&gt;0,VLOOKUP($C255,Dim_Fund!$A:$AI,35,0),""),""))</f>
        <v/>
      </c>
      <c r="BJ255" s="10" t="str">
        <f aca="false">IF($A255="","",$C255&amp;IF($E255="Client","*",""))</f>
        <v/>
      </c>
      <c r="BK255" s="39" t="str">
        <f aca="false">IF($A255="","",IFERROR(ROUND(($Y255-$X255)*1440,0),""))</f>
        <v/>
      </c>
      <c r="BL255" s="39" t="str">
        <f aca="false">IF($A255="","",IF($AH255="","",-$AH255))</f>
        <v/>
      </c>
      <c r="BM255" s="46" t="str">
        <f aca="false">IF($A255="","",IF($AQ255="","",IF($AP255="",$AQ255,MIN($AP255,$AQ255))))</f>
        <v/>
      </c>
      <c r="BN255" s="46" t="str">
        <f aca="false">IF($A255="","",IF($BM255="","",ROUND(N($AC255)/60,4)))</f>
        <v/>
      </c>
      <c r="BO255" s="46" t="str">
        <f aca="false">IF($A255="","",IF(OR($BM255="",$AD255=""),"",ROUND($AD255/60,4)))</f>
        <v/>
      </c>
      <c r="BP255" s="46" t="str">
        <f aca="false">IF($A255="","",IF($BM255="","",ROUND(N($AE255)/60,4)))</f>
        <v/>
      </c>
      <c r="BQ255" s="46" t="str">
        <f aca="false">IF($A255="","",IF(OR($BM255="",$AF255=""),"",ROUND($AF255/60,4)))</f>
        <v/>
      </c>
      <c r="BR255" s="39" t="str">
        <f aca="false">IF($A255="","",IF($AC255="","",$AC255-$BD255-$BE255))</f>
        <v/>
      </c>
      <c r="BS255" s="45" t="str">
        <f aca="false">IF($A255="","",IF(AND(ISNUMBER($Z255),ISNUMBER($W255)),$Z255,0))</f>
        <v/>
      </c>
      <c r="BT255" s="45" t="str">
        <f aca="false">IF($A255="","",IF(ISNUMBER($W255),$W255,0))</f>
        <v/>
      </c>
      <c r="BU255" s="23" t="str">
        <f aca="false">IF($A255="","",IF(ISNUMBER($W255),ROUND(($W255-$B255)*24,4),""))</f>
        <v/>
      </c>
      <c r="BV255" s="23" t="str">
        <f aca="false">IF($A255="","",IF(ISNUMBER($X255),ROUND(($X255-$B255)*24,4),""))</f>
        <v/>
      </c>
      <c r="BW255" s="10" t="str">
        <f aca="false">IF($A255="","",IF(NOT(ISNUMBER($W255)),"Missing Calculated",IF(NOT(ISNUMBER($X255)),IF($E255="Client","Missing FA signed off","Missing Controlled"),IF($X255&lt;$W255,"End before start","OK"))))</f>
        <v/>
      </c>
      <c r="BX255" s="23" t="str">
        <f aca="false">IF($A255="","",IF(NOT(ISNUMBER($Z255)),"",ROUND((IF(ISNUMBER($U255),MIN($U255,$Z255),$Z255)-$B255)*24,4)))</f>
        <v/>
      </c>
      <c r="BY255" s="23" t="str">
        <f aca="false">IF($A255="","",IF(ISNUMBER($Z255),ROUND(($Z255-$B255)*24,4),""))</f>
        <v/>
      </c>
      <c r="BZ255" s="23" t="str">
        <f aca="false">IF($A255="","",IF(AND(ISNUMBER($W255),ISNUMBER($S255)),ROUND(($W255+$S255/1440-$B255)*24,4),""))</f>
        <v/>
      </c>
    </row>
    <row r="256" customFormat="false" ht="15" hidden="false" customHeight="true" outlineLevel="0" collapsed="false">
      <c r="A256" s="47"/>
      <c r="B256" s="47"/>
      <c r="D256" s="4" t="str">
        <f aca="false">IF($A256="","",$B256-$A256)</f>
        <v/>
      </c>
      <c r="E256" s="4" t="str">
        <f aca="false">IF($A256="","",IFERROR(VLOOKUP($C256,Dim_Fund!$A:$X,24,0),""))</f>
        <v/>
      </c>
      <c r="F256" s="37" t="str">
        <f aca="false">IF($A256="","",IF(COUNTIFS(Status_Log!$A:$A,$A256,Status_Log!$B:$B,$B256,Status_Log!$C:$C,$C256,Status_Log!$D:$D,"Changed to the status of Calculated")=0,"",_xlfn.MINIFS(Status_Log!$E:$E,Status_Log!$A:$A,$A256,Status_Log!$B:$B,$B256,Status_Log!$C:$C,$C256,Status_Log!$D:$D,"Changed to the status of Calculated")))</f>
        <v/>
      </c>
      <c r="G256" s="37" t="str">
        <f aca="false">IF($A256="","",IF(COUNTIFS(Status_Log!$A:$A,$A256,Status_Log!$B:$B,$B256,Status_Log!$C:$C,$C256,Status_Log!$D:$D,"Changed to the status of Controlled")=0,"",_xlfn.MAXIFS(Status_Log!$E:$E,Status_Log!$A:$A,$A256,Status_Log!$B:$B,$B256,Status_Log!$C:$C,$C256,Status_Log!$D:$D,"Changed to the status of Controlled")))</f>
        <v/>
      </c>
      <c r="H256" s="37" t="str">
        <f aca="false">IF($A256="","",IF(COUNTIFS(Status_Log!$A:$A,$A256,Status_Log!$B:$B,$B256,Status_Log!$C:$C,$C256,Status_Log!$D:$D,"Changed to the status of Fund accounting signed off")=0,"",_xlfn.MAXIFS(Status_Log!$E:$E,Status_Log!$A:$A,$A256,Status_Log!$B:$B,$B256,Status_Log!$C:$C,$C256,Status_Log!$D:$D,"Changed to the status of Fund accounting signed off")))</f>
        <v/>
      </c>
      <c r="I256" s="37" t="str">
        <f aca="false">IF($A256="","",IF(COUNTIFS(Status_Log!$A:$A,$A256,Status_Log!$B:$B,$B256,Status_Log!$C:$C,$C256,Status_Log!$D:$D,"Changed to the status of signed off")=0,"",_xlfn.MAXIFS(Status_Log!$E:$E,Status_Log!$A:$A,$A256,Status_Log!$B:$B,$B256,Status_Log!$C:$C,$C256,Status_Log!$D:$D,"Changed to the status of signed off")))</f>
        <v/>
      </c>
      <c r="J256" s="4" t="str">
        <f aca="false">IF($A256="","",COUNTIFS(Status_Log!$A:$A,$A256,Status_Log!$B:$B,$B256,Status_Log!$C:$C,$C256,Status_Log!$D:$D,"Changed to the status of Calculated"))</f>
        <v/>
      </c>
      <c r="K256" s="38" t="str">
        <f aca="false">IF($A256="","",IF(J256&lt;=1,0,ROUND((_xlfn.MAXIFS(Status_Log!$E:$E,Status_Log!$A:$A,$A256,Status_Log!$B:$B,$B256,Status_Log!$C:$C,$C256,Status_Log!$D:$D,"Changed to the status of Calculated")-F256)*1440,0)))</f>
        <v/>
      </c>
      <c r="L256" s="4" t="str">
        <f aca="false">IF($A256="","",IFERROR(INDEX(Status_Log!$F:$F,MATCH($A256&amp;"|"&amp;$B256&amp;"|"&amp;$C256&amp;"|Changed to the status of Calculated|"&amp;TEXT(_xlfn.MAXIFS(Status_Log!$E:$E,Status_Log!$A:$A,$A256,Status_Log!$B:$B,$B256,Status_Log!$C:$C,$C256,Status_Log!$D:$D,"Changed to the status of Calculated"),"0.000000"),Status_Log!$H:$H,0)),""))</f>
        <v/>
      </c>
      <c r="M256" s="4" t="str">
        <f aca="false">IF($A256="","",IF(E256="Client","n/a — no control step",IFERROR(INDEX(Status_Log!$F:$F,MATCH($A256&amp;"|"&amp;$B256&amp;"|"&amp;$C256&amp;"|Changed to the status of Controlled|"&amp;TEXT(_xlfn.MAXIFS(Status_Log!$E:$E,Status_Log!$A:$A,$A256,Status_Log!$B:$B,$B256,Status_Log!$C:$C,$C256,Status_Log!$D:$D,"Changed to the status of Controlled"),"0.000000"),Status_Log!$H:$H,0)),"")))</f>
        <v/>
      </c>
      <c r="N256" s="4" t="str">
        <f aca="false">IF($A256="","",IFERROR(VLOOKUP($C256,Dim_Fund!$A:$G,7,0),""))</f>
        <v/>
      </c>
      <c r="O256" s="4" t="str">
        <f aca="false">IF($A256="","",IF(L256=N256,"No","Yes"))</f>
        <v/>
      </c>
      <c r="P256" s="4" t="str">
        <f aca="false">IF($A256="","",IF(E256="Client","n/a",IF(L256=M256,"YES — four-eyes breach","No")))</f>
        <v/>
      </c>
      <c r="Q256" s="38" t="str">
        <f aca="false">IF($A256="","",IFERROR(VLOOKUP($C256,Dim_Fund!$A:$AB,28,0),""))</f>
        <v/>
      </c>
      <c r="R256" s="38" t="str">
        <f aca="false">IF($A256="","",IFERROR(VLOOKUP($C256,Dim_Fund!$A:$AC,29,0),""))</f>
        <v/>
      </c>
      <c r="S256" s="38" t="str">
        <f aca="false">IF($A256="","",IFERROR(VLOOKUP($C256,Dim_Fund!$A:$AD,30,0),""))</f>
        <v/>
      </c>
      <c r="T256" s="38" t="str">
        <f aca="false">IF($A256="","",IFERROR(VLOOKUP($C256,Dim_Fund!$A:$AL,38,0),""))</f>
        <v/>
      </c>
      <c r="U256" s="37" t="str">
        <f aca="false">IF($A256="","",IF(AL256="","",IFERROR(IF(COUNTIFS(Fact_Milestone!$A:$A,$B256,Fact_Milestone!$B:$B,AL256)=0,"",_xlfn.MAXIFS(Fact_Milestone!$C:$C,Fact_Milestone!$A:$A,$B256,Fact_Milestone!$B:$B,AL256)),"")))</f>
        <v/>
      </c>
      <c r="V256" s="37" t="str">
        <f aca="false">IF($A256="","",IFERROR(IF(VLOOKUP($C256,Dim_Fund!$A:$AI,35,0)&gt;0,$B256+VLOOKUP($C256,Dim_Fund!$A:$AI,35,0)/24,""),""))</f>
        <v/>
      </c>
      <c r="W256" s="37" t="str">
        <f aca="false">IF($A256="","",F256)</f>
        <v/>
      </c>
      <c r="X256" s="37" t="str">
        <f aca="false">IF($A256="","",IF(E256="Client",H256,G256))</f>
        <v/>
      </c>
      <c r="Y256" s="37" t="str">
        <f aca="false">IF($A256="","",I256)</f>
        <v/>
      </c>
      <c r="Z256" s="37" t="str">
        <f aca="false">IF($A256="","",IFERROR(W256-R256/1440,""))</f>
        <v/>
      </c>
      <c r="AA256" s="38" t="str">
        <f aca="false">IF($A256="","",IF(OR(U256="",V256=""),"",ROUND((V256-U256)*1440,0)))</f>
        <v/>
      </c>
      <c r="AB256" s="38" t="str">
        <f aca="false">IF($A256="","",IF(U256="","",ROUND((W256-U256)*1440,0)))</f>
        <v/>
      </c>
      <c r="AC256" s="38" t="str">
        <f aca="false">IF($A256="","",IF(AB256="","",MAX(0,AB256)))</f>
        <v/>
      </c>
      <c r="AD256" s="38" t="str">
        <f aca="false">IF($A256="","",IFERROR(ROUND((X256-W256)*1440,0),""))</f>
        <v/>
      </c>
      <c r="AE256" s="38" t="str">
        <f aca="false">IF($A256="","",IF(E256="Client","n/a",IFERROR(ROUND((H256-G256)*1440,0),"")))</f>
        <v/>
      </c>
      <c r="AF256" s="38" t="str">
        <f aca="false">IF($A256="","",IFERROR(ROUND((Y256-H256)*1440,0),""))</f>
        <v/>
      </c>
      <c r="AG256" s="38" t="str">
        <f aca="false">IF($A256="","",IFERROR(ROUND((H256-F256)*1440,0),""))</f>
        <v/>
      </c>
      <c r="AH256" s="38" t="str">
        <f aca="false">IF($A256="","",IFERROR(ROUND((Y256-V256)*1440,0),""))</f>
        <v/>
      </c>
      <c r="AI256" s="4" t="str">
        <f aca="false">IF($A256="","",IF(AH256="","",IF(AH256&gt;0,"Yes","No")))</f>
        <v/>
      </c>
      <c r="AJ256" s="4" t="str">
        <f aca="false">IF($A256="","",IF(AI256&lt;&gt;"Yes","On time",IF(N(AC256)&gt;=MAX(N(AF256),N(K256)),"Wait for analyst",IF(N(AF256)&gt;=N(K256),"External sign-off","Rework"))))</f>
        <v/>
      </c>
      <c r="AK256" s="4" t="str">
        <f aca="false">IF($A256="","",IF(OR(F256="",Y256="",ISNA(MATCH(L256,Dim_Analyst!$A:$A,0))),"CHECK","OK"))</f>
        <v/>
      </c>
      <c r="AL256" s="4" t="str">
        <f aca="false">IF($A256="","",IFERROR(VLOOKUP($C256,Dim_Fund!$A:$U,21,0),""))</f>
        <v/>
      </c>
      <c r="AM256" s="4" t="str">
        <f aca="false">IF($A256="","",IF($U256="","",IF($U256&gt;$B256+IFERROR(VLOOKUP($C256,Dim_Fund!$A:$AH,34,0),0)/24,"Yes","No")))</f>
        <v/>
      </c>
      <c r="AN256" s="22" t="str">
        <f aca="false">IF($A256="","",IFERROR(VLOOKUP($C256,Dim_Fund!$A:$AH,34,0),""))</f>
        <v/>
      </c>
      <c r="AO256" s="22" t="str">
        <f aca="false">IF($A256="","",IF($AL256="","",IFERROR(FLOOR(IF(COUNTIFS(Fact_Milestone!$A:$A,$B256,Fact_Milestone!$B:$B,$AL256,Fact_Milestone!$F:$F,"&gt;0")&gt;0,_xlfn.MINIFS(Fact_Milestone!$F:$F,Fact_Milestone!$A:$A,$B256,Fact_Milestone!$B:$B,$AL256,Fact_Milestone!$F:$F,"&gt;0"),VLOOKUP($AL256,Dim_TOP!$A:$E,5,0)),0.5),"")))</f>
        <v/>
      </c>
      <c r="AP256" s="22" t="str">
        <f aca="false">IF($A256="","",IF($U256="","",ROUND(($U256-INT($U256))*24,4)))</f>
        <v/>
      </c>
      <c r="AQ256" s="22" t="str">
        <f aca="false">IF($A256="","",IF($W256="","",ROUND(($W256-INT($W256))*24,4)))</f>
        <v/>
      </c>
      <c r="AR256" s="22" t="str">
        <f aca="false">IF($A256="","",IF($X256="","",ROUND(($X256-INT($X256))*24,4)))</f>
        <v/>
      </c>
      <c r="AS256" s="38" t="str">
        <f aca="false">IF($A256="","",IF(OR($AN256="",$V256="",$S256="",$T256=""),"",ROUND(($V256-($B256+$AN256/24))*1440-$S256-$T256,0)))</f>
        <v/>
      </c>
      <c r="AT256" s="38" t="str">
        <f aca="false">IF($A256="","",IF(OR($AN256="",$U256=""),"",ROUND(($U256-($B256+$AN256/24))*1440,0)))</f>
        <v/>
      </c>
      <c r="AU256" s="38" t="str">
        <f aca="false">IF($A256="","",IF(OR($AD256="",$S256=""),"",ROUND($AD256-$S256,0)))</f>
        <v/>
      </c>
      <c r="AV256" s="38" t="str">
        <f aca="false">IF($A256="","",N($AE256))</f>
        <v/>
      </c>
      <c r="AW256" s="38" t="str">
        <f aca="false">IF($A256="","",IF(OR($AF256="",$T256=""),"",$AF256-$T256))</f>
        <v/>
      </c>
      <c r="AX256" s="38" t="str">
        <f aca="false">IF($A256="","",IF(COUNT($AT256,$AB256,$AU256,$AW256,$AS256,$AH256)&lt;6,"",ROUND($AT256+$AB256+$AU256+$AV256+$AW256-$AS256-$AH256,0)))</f>
        <v/>
      </c>
      <c r="AY256" s="4" t="str">
        <f aca="false">IF($A256="","",IF($AX256="","No",IF(ABS($AX256)&lt;=2,"Yes","No")))</f>
        <v/>
      </c>
      <c r="AZ256" s="4" t="str">
        <f aca="false">IF($A256="","",IF($AI256&lt;&gt;"Yes","n/a",IF(OR($AA256="",$S256="",$T256=""),"Unknown",IF($AA256&lt;$S256+$T256,"Lost on arrival","Lost after arrival"))))</f>
        <v/>
      </c>
      <c r="BA256" s="10" t="str">
        <f aca="false">IF($A256="","",IFERROR(VLOOKUP($C256,Dim_Fund!$A:$D,4,0),""))</f>
        <v/>
      </c>
      <c r="BB256" s="10" t="str">
        <f aca="false">IF($A256="","",IF($AL256="","",IF(COUNTIFS(Fact_Milestone!$A:$A,$B256,Fact_Milestone!$B:$B,$AL256,Fact_Milestone!$I:$I,"No")&gt;0,"No",IF(COUNTIFS(Fact_Milestone!$A:$A,$B256,Fact_Milestone!$B:$B,$AL256,Fact_Milestone!$I:$I,"Yes")&gt;0,"Yes",""))))</f>
        <v/>
      </c>
      <c r="BC256" s="45" t="str">
        <f aca="false">IF($A256="","",IF(OR($L256="",$W256=""),"",IF(COUNTIFS($L:$L,$L256,$B:$B,$B256,$W:$W,"&lt;"&amp;$W256)=0,"",_xlfn.MAXIFS($W:$W,$L:$L,$L256,$B:$B,$B256,$W:$W,"&lt;"&amp;$W256))))</f>
        <v/>
      </c>
      <c r="BD256" s="39" t="str">
        <f aca="false">IF($A256="","",IF($AC256="","",IF(OR($L256="",$AC256=0),0,MIN($AC256,ROUND(ROUND(1440*SUMPRODUCT(($L$2:INDEX($L:$L,COUNTA($C:$C))=$L256)*($B$2:INDEX($B:$B,COUNTA($C:$C))=$B256)*(ROW($L$2:INDEX($L:$L,COUNTA($C:$C)))&lt;&gt;ROW())*((((($W256+$BT$2:INDEX($BT:$BT,COUNTA($C:$C))-ABS($W256-$BT$2:INDEX($BT:$BT,COUNTA($C:$C))))/2)-(($U256+$BS$2:INDEX($BS:$BS,COUNTA($C:$C))+ABS($U256-$BS$2:INDEX($BS:$BS,COUNTA($C:$C))))/2))+ABS(((($W256+$BT$2:INDEX($BT:$BT,COUNTA($C:$C))-ABS($W256-$BT$2:INDEX($BT:$BT,COUNTA($C:$C))))/2)-(($U256+$BS$2:INDEX($BS:$BS,COUNTA($C:$C))+ABS($U256-$BS$2:INDEX($BS:$BS,COUNTA($C:$C))))/2))))/2)),4),0)))))</f>
        <v/>
      </c>
      <c r="BE256" s="39" t="str">
        <f aca="false">IF($A256="","",IF($AC256="","",ROUND(MIN($AC256-$BD256,N($R256)),0)))</f>
        <v/>
      </c>
      <c r="BF256" s="10" t="str">
        <f aca="false">IF($A256="","",IFERROR(VLOOKUP($C256,Dim_Fund!$A:$BD,56,0),""))</f>
        <v/>
      </c>
      <c r="BG256" s="10" t="str">
        <f aca="false">IF($A256="","",IFERROR(VLOOKUP($C256,Dim_Fund!$A:$BH,60,0),""))</f>
        <v/>
      </c>
      <c r="BH256" s="10" t="str">
        <f aca="false">IF($A256="","",IF($AI256&lt;&gt;"Yes","Not breached",IF($AM256="Yes","Pricing late",IF($BG256="Thin custody slack","Thin custody slack",IF($BF256="Yes","Broker-dependent","None of these")))))</f>
        <v/>
      </c>
      <c r="BI256" s="23" t="str">
        <f aca="false">IF($A256="","",IFERROR(IF(VLOOKUP($C256,Dim_Fund!$A:$AI,35,0)&gt;0,VLOOKUP($C256,Dim_Fund!$A:$AI,35,0),""),""))</f>
        <v/>
      </c>
      <c r="BJ256" s="10" t="str">
        <f aca="false">IF($A256="","",$C256&amp;IF($E256="Client","*",""))</f>
        <v/>
      </c>
      <c r="BK256" s="39" t="str">
        <f aca="false">IF($A256="","",IFERROR(ROUND(($Y256-$X256)*1440,0),""))</f>
        <v/>
      </c>
      <c r="BL256" s="39" t="str">
        <f aca="false">IF($A256="","",IF($AH256="","",-$AH256))</f>
        <v/>
      </c>
      <c r="BM256" s="46" t="str">
        <f aca="false">IF($A256="","",IF($AQ256="","",IF($AP256="",$AQ256,MIN($AP256,$AQ256))))</f>
        <v/>
      </c>
      <c r="BN256" s="46" t="str">
        <f aca="false">IF($A256="","",IF($BM256="","",ROUND(N($AC256)/60,4)))</f>
        <v/>
      </c>
      <c r="BO256" s="46" t="str">
        <f aca="false">IF($A256="","",IF(OR($BM256="",$AD256=""),"",ROUND($AD256/60,4)))</f>
        <v/>
      </c>
      <c r="BP256" s="46" t="str">
        <f aca="false">IF($A256="","",IF($BM256="","",ROUND(N($AE256)/60,4)))</f>
        <v/>
      </c>
      <c r="BQ256" s="46" t="str">
        <f aca="false">IF($A256="","",IF(OR($BM256="",$AF256=""),"",ROUND($AF256/60,4)))</f>
        <v/>
      </c>
      <c r="BR256" s="39" t="str">
        <f aca="false">IF($A256="","",IF($AC256="","",$AC256-$BD256-$BE256))</f>
        <v/>
      </c>
      <c r="BS256" s="45" t="str">
        <f aca="false">IF($A256="","",IF(AND(ISNUMBER($Z256),ISNUMBER($W256)),$Z256,0))</f>
        <v/>
      </c>
      <c r="BT256" s="45" t="str">
        <f aca="false">IF($A256="","",IF(ISNUMBER($W256),$W256,0))</f>
        <v/>
      </c>
      <c r="BU256" s="23" t="str">
        <f aca="false">IF($A256="","",IF(ISNUMBER($W256),ROUND(($W256-$B256)*24,4),""))</f>
        <v/>
      </c>
      <c r="BV256" s="23" t="str">
        <f aca="false">IF($A256="","",IF(ISNUMBER($X256),ROUND(($X256-$B256)*24,4),""))</f>
        <v/>
      </c>
      <c r="BW256" s="10" t="str">
        <f aca="false">IF($A256="","",IF(NOT(ISNUMBER($W256)),"Missing Calculated",IF(NOT(ISNUMBER($X256)),IF($E256="Client","Missing FA signed off","Missing Controlled"),IF($X256&lt;$W256,"End before start","OK"))))</f>
        <v/>
      </c>
      <c r="BX256" s="23" t="str">
        <f aca="false">IF($A256="","",IF(NOT(ISNUMBER($Z256)),"",ROUND((IF(ISNUMBER($U256),MIN($U256,$Z256),$Z256)-$B256)*24,4)))</f>
        <v/>
      </c>
      <c r="BY256" s="23" t="str">
        <f aca="false">IF($A256="","",IF(ISNUMBER($Z256),ROUND(($Z256-$B256)*24,4),""))</f>
        <v/>
      </c>
      <c r="BZ256" s="23" t="str">
        <f aca="false">IF($A256="","",IF(AND(ISNUMBER($W256),ISNUMBER($S256)),ROUND(($W256+$S256/1440-$B256)*24,4),""))</f>
        <v/>
      </c>
    </row>
    <row r="257" customFormat="false" ht="15" hidden="false" customHeight="true" outlineLevel="0" collapsed="false">
      <c r="A257" s="47"/>
      <c r="B257" s="47"/>
      <c r="D257" s="4" t="str">
        <f aca="false">IF($A257="","",$B257-$A257)</f>
        <v/>
      </c>
      <c r="E257" s="4" t="str">
        <f aca="false">IF($A257="","",IFERROR(VLOOKUP($C257,Dim_Fund!$A:$X,24,0),""))</f>
        <v/>
      </c>
      <c r="F257" s="37" t="str">
        <f aca="false">IF($A257="","",IF(COUNTIFS(Status_Log!$A:$A,$A257,Status_Log!$B:$B,$B257,Status_Log!$C:$C,$C257,Status_Log!$D:$D,"Changed to the status of Calculated")=0,"",_xlfn.MINIFS(Status_Log!$E:$E,Status_Log!$A:$A,$A257,Status_Log!$B:$B,$B257,Status_Log!$C:$C,$C257,Status_Log!$D:$D,"Changed to the status of Calculated")))</f>
        <v/>
      </c>
      <c r="G257" s="37" t="str">
        <f aca="false">IF($A257="","",IF(COUNTIFS(Status_Log!$A:$A,$A257,Status_Log!$B:$B,$B257,Status_Log!$C:$C,$C257,Status_Log!$D:$D,"Changed to the status of Controlled")=0,"",_xlfn.MAXIFS(Status_Log!$E:$E,Status_Log!$A:$A,$A257,Status_Log!$B:$B,$B257,Status_Log!$C:$C,$C257,Status_Log!$D:$D,"Changed to the status of Controlled")))</f>
        <v/>
      </c>
      <c r="H257" s="37" t="str">
        <f aca="false">IF($A257="","",IF(COUNTIFS(Status_Log!$A:$A,$A257,Status_Log!$B:$B,$B257,Status_Log!$C:$C,$C257,Status_Log!$D:$D,"Changed to the status of Fund accounting signed off")=0,"",_xlfn.MAXIFS(Status_Log!$E:$E,Status_Log!$A:$A,$A257,Status_Log!$B:$B,$B257,Status_Log!$C:$C,$C257,Status_Log!$D:$D,"Changed to the status of Fund accounting signed off")))</f>
        <v/>
      </c>
      <c r="I257" s="37" t="str">
        <f aca="false">IF($A257="","",IF(COUNTIFS(Status_Log!$A:$A,$A257,Status_Log!$B:$B,$B257,Status_Log!$C:$C,$C257,Status_Log!$D:$D,"Changed to the status of signed off")=0,"",_xlfn.MAXIFS(Status_Log!$E:$E,Status_Log!$A:$A,$A257,Status_Log!$B:$B,$B257,Status_Log!$C:$C,$C257,Status_Log!$D:$D,"Changed to the status of signed off")))</f>
        <v/>
      </c>
      <c r="J257" s="4" t="str">
        <f aca="false">IF($A257="","",COUNTIFS(Status_Log!$A:$A,$A257,Status_Log!$B:$B,$B257,Status_Log!$C:$C,$C257,Status_Log!$D:$D,"Changed to the status of Calculated"))</f>
        <v/>
      </c>
      <c r="K257" s="38" t="str">
        <f aca="false">IF($A257="","",IF(J257&lt;=1,0,ROUND((_xlfn.MAXIFS(Status_Log!$E:$E,Status_Log!$A:$A,$A257,Status_Log!$B:$B,$B257,Status_Log!$C:$C,$C257,Status_Log!$D:$D,"Changed to the status of Calculated")-F257)*1440,0)))</f>
        <v/>
      </c>
      <c r="L257" s="4" t="str">
        <f aca="false">IF($A257="","",IFERROR(INDEX(Status_Log!$F:$F,MATCH($A257&amp;"|"&amp;$B257&amp;"|"&amp;$C257&amp;"|Changed to the status of Calculated|"&amp;TEXT(_xlfn.MAXIFS(Status_Log!$E:$E,Status_Log!$A:$A,$A257,Status_Log!$B:$B,$B257,Status_Log!$C:$C,$C257,Status_Log!$D:$D,"Changed to the status of Calculated"),"0.000000"),Status_Log!$H:$H,0)),""))</f>
        <v/>
      </c>
      <c r="M257" s="4" t="str">
        <f aca="false">IF($A257="","",IF(E257="Client","n/a — no control step",IFERROR(INDEX(Status_Log!$F:$F,MATCH($A257&amp;"|"&amp;$B257&amp;"|"&amp;$C257&amp;"|Changed to the status of Controlled|"&amp;TEXT(_xlfn.MAXIFS(Status_Log!$E:$E,Status_Log!$A:$A,$A257,Status_Log!$B:$B,$B257,Status_Log!$C:$C,$C257,Status_Log!$D:$D,"Changed to the status of Controlled"),"0.000000"),Status_Log!$H:$H,0)),"")))</f>
        <v/>
      </c>
      <c r="N257" s="4" t="str">
        <f aca="false">IF($A257="","",IFERROR(VLOOKUP($C257,Dim_Fund!$A:$G,7,0),""))</f>
        <v/>
      </c>
      <c r="O257" s="4" t="str">
        <f aca="false">IF($A257="","",IF(L257=N257,"No","Yes"))</f>
        <v/>
      </c>
      <c r="P257" s="4" t="str">
        <f aca="false">IF($A257="","",IF(E257="Client","n/a",IF(L257=M257,"YES — four-eyes breach","No")))</f>
        <v/>
      </c>
      <c r="Q257" s="38" t="str">
        <f aca="false">IF($A257="","",IFERROR(VLOOKUP($C257,Dim_Fund!$A:$AB,28,0),""))</f>
        <v/>
      </c>
      <c r="R257" s="38" t="str">
        <f aca="false">IF($A257="","",IFERROR(VLOOKUP($C257,Dim_Fund!$A:$AC,29,0),""))</f>
        <v/>
      </c>
      <c r="S257" s="38" t="str">
        <f aca="false">IF($A257="","",IFERROR(VLOOKUP($C257,Dim_Fund!$A:$AD,30,0),""))</f>
        <v/>
      </c>
      <c r="T257" s="38" t="str">
        <f aca="false">IF($A257="","",IFERROR(VLOOKUP($C257,Dim_Fund!$A:$AL,38,0),""))</f>
        <v/>
      </c>
      <c r="U257" s="37" t="str">
        <f aca="false">IF($A257="","",IF(AL257="","",IFERROR(IF(COUNTIFS(Fact_Milestone!$A:$A,$B257,Fact_Milestone!$B:$B,AL257)=0,"",_xlfn.MAXIFS(Fact_Milestone!$C:$C,Fact_Milestone!$A:$A,$B257,Fact_Milestone!$B:$B,AL257)),"")))</f>
        <v/>
      </c>
      <c r="V257" s="37" t="str">
        <f aca="false">IF($A257="","",IFERROR(IF(VLOOKUP($C257,Dim_Fund!$A:$AI,35,0)&gt;0,$B257+VLOOKUP($C257,Dim_Fund!$A:$AI,35,0)/24,""),""))</f>
        <v/>
      </c>
      <c r="W257" s="37" t="str">
        <f aca="false">IF($A257="","",F257)</f>
        <v/>
      </c>
      <c r="X257" s="37" t="str">
        <f aca="false">IF($A257="","",IF(E257="Client",H257,G257))</f>
        <v/>
      </c>
      <c r="Y257" s="37" t="str">
        <f aca="false">IF($A257="","",I257)</f>
        <v/>
      </c>
      <c r="Z257" s="37" t="str">
        <f aca="false">IF($A257="","",IFERROR(W257-R257/1440,""))</f>
        <v/>
      </c>
      <c r="AA257" s="38" t="str">
        <f aca="false">IF($A257="","",IF(OR(U257="",V257=""),"",ROUND((V257-U257)*1440,0)))</f>
        <v/>
      </c>
      <c r="AB257" s="38" t="str">
        <f aca="false">IF($A257="","",IF(U257="","",ROUND((W257-U257)*1440,0)))</f>
        <v/>
      </c>
      <c r="AC257" s="38" t="str">
        <f aca="false">IF($A257="","",IF(AB257="","",MAX(0,AB257)))</f>
        <v/>
      </c>
      <c r="AD257" s="38" t="str">
        <f aca="false">IF($A257="","",IFERROR(ROUND((X257-W257)*1440,0),""))</f>
        <v/>
      </c>
      <c r="AE257" s="38" t="str">
        <f aca="false">IF($A257="","",IF(E257="Client","n/a",IFERROR(ROUND((H257-G257)*1440,0),"")))</f>
        <v/>
      </c>
      <c r="AF257" s="38" t="str">
        <f aca="false">IF($A257="","",IFERROR(ROUND((Y257-H257)*1440,0),""))</f>
        <v/>
      </c>
      <c r="AG257" s="38" t="str">
        <f aca="false">IF($A257="","",IFERROR(ROUND((H257-F257)*1440,0),""))</f>
        <v/>
      </c>
      <c r="AH257" s="38" t="str">
        <f aca="false">IF($A257="","",IFERROR(ROUND((Y257-V257)*1440,0),""))</f>
        <v/>
      </c>
      <c r="AI257" s="4" t="str">
        <f aca="false">IF($A257="","",IF(AH257="","",IF(AH257&gt;0,"Yes","No")))</f>
        <v/>
      </c>
      <c r="AJ257" s="4" t="str">
        <f aca="false">IF($A257="","",IF(AI257&lt;&gt;"Yes","On time",IF(N(AC257)&gt;=MAX(N(AF257),N(K257)),"Wait for analyst",IF(N(AF257)&gt;=N(K257),"External sign-off","Rework"))))</f>
        <v/>
      </c>
      <c r="AK257" s="4" t="str">
        <f aca="false">IF($A257="","",IF(OR(F257="",Y257="",ISNA(MATCH(L257,Dim_Analyst!$A:$A,0))),"CHECK","OK"))</f>
        <v/>
      </c>
      <c r="AL257" s="4" t="str">
        <f aca="false">IF($A257="","",IFERROR(VLOOKUP($C257,Dim_Fund!$A:$U,21,0),""))</f>
        <v/>
      </c>
      <c r="AM257" s="4" t="str">
        <f aca="false">IF($A257="","",IF($U257="","",IF($U257&gt;$B257+IFERROR(VLOOKUP($C257,Dim_Fund!$A:$AH,34,0),0)/24,"Yes","No")))</f>
        <v/>
      </c>
      <c r="AN257" s="22" t="str">
        <f aca="false">IF($A257="","",IFERROR(VLOOKUP($C257,Dim_Fund!$A:$AH,34,0),""))</f>
        <v/>
      </c>
      <c r="AO257" s="22" t="str">
        <f aca="false">IF($A257="","",IF($AL257="","",IFERROR(FLOOR(IF(COUNTIFS(Fact_Milestone!$A:$A,$B257,Fact_Milestone!$B:$B,$AL257,Fact_Milestone!$F:$F,"&gt;0")&gt;0,_xlfn.MINIFS(Fact_Milestone!$F:$F,Fact_Milestone!$A:$A,$B257,Fact_Milestone!$B:$B,$AL257,Fact_Milestone!$F:$F,"&gt;0"),VLOOKUP($AL257,Dim_TOP!$A:$E,5,0)),0.5),"")))</f>
        <v/>
      </c>
      <c r="AP257" s="22" t="str">
        <f aca="false">IF($A257="","",IF($U257="","",ROUND(($U257-INT($U257))*24,4)))</f>
        <v/>
      </c>
      <c r="AQ257" s="22" t="str">
        <f aca="false">IF($A257="","",IF($W257="","",ROUND(($W257-INT($W257))*24,4)))</f>
        <v/>
      </c>
      <c r="AR257" s="22" t="str">
        <f aca="false">IF($A257="","",IF($X257="","",ROUND(($X257-INT($X257))*24,4)))</f>
        <v/>
      </c>
      <c r="AS257" s="38" t="str">
        <f aca="false">IF($A257="","",IF(OR($AN257="",$V257="",$S257="",$T257=""),"",ROUND(($V257-($B257+$AN257/24))*1440-$S257-$T257,0)))</f>
        <v/>
      </c>
      <c r="AT257" s="38" t="str">
        <f aca="false">IF($A257="","",IF(OR($AN257="",$U257=""),"",ROUND(($U257-($B257+$AN257/24))*1440,0)))</f>
        <v/>
      </c>
      <c r="AU257" s="38" t="str">
        <f aca="false">IF($A257="","",IF(OR($AD257="",$S257=""),"",ROUND($AD257-$S257,0)))</f>
        <v/>
      </c>
      <c r="AV257" s="38" t="str">
        <f aca="false">IF($A257="","",N($AE257))</f>
        <v/>
      </c>
      <c r="AW257" s="38" t="str">
        <f aca="false">IF($A257="","",IF(OR($AF257="",$T257=""),"",$AF257-$T257))</f>
        <v/>
      </c>
      <c r="AX257" s="38" t="str">
        <f aca="false">IF($A257="","",IF(COUNT($AT257,$AB257,$AU257,$AW257,$AS257,$AH257)&lt;6,"",ROUND($AT257+$AB257+$AU257+$AV257+$AW257-$AS257-$AH257,0)))</f>
        <v/>
      </c>
      <c r="AY257" s="4" t="str">
        <f aca="false">IF($A257="","",IF($AX257="","No",IF(ABS($AX257)&lt;=2,"Yes","No")))</f>
        <v/>
      </c>
      <c r="AZ257" s="4" t="str">
        <f aca="false">IF($A257="","",IF($AI257&lt;&gt;"Yes","n/a",IF(OR($AA257="",$S257="",$T257=""),"Unknown",IF($AA257&lt;$S257+$T257,"Lost on arrival","Lost after arrival"))))</f>
        <v/>
      </c>
      <c r="BA257" s="10" t="str">
        <f aca="false">IF($A257="","",IFERROR(VLOOKUP($C257,Dim_Fund!$A:$D,4,0),""))</f>
        <v/>
      </c>
      <c r="BB257" s="10" t="str">
        <f aca="false">IF($A257="","",IF($AL257="","",IF(COUNTIFS(Fact_Milestone!$A:$A,$B257,Fact_Milestone!$B:$B,$AL257,Fact_Milestone!$I:$I,"No")&gt;0,"No",IF(COUNTIFS(Fact_Milestone!$A:$A,$B257,Fact_Milestone!$B:$B,$AL257,Fact_Milestone!$I:$I,"Yes")&gt;0,"Yes",""))))</f>
        <v/>
      </c>
      <c r="BC257" s="45" t="str">
        <f aca="false">IF($A257="","",IF(OR($L257="",$W257=""),"",IF(COUNTIFS($L:$L,$L257,$B:$B,$B257,$W:$W,"&lt;"&amp;$W257)=0,"",_xlfn.MAXIFS($W:$W,$L:$L,$L257,$B:$B,$B257,$W:$W,"&lt;"&amp;$W257))))</f>
        <v/>
      </c>
      <c r="BD257" s="39" t="str">
        <f aca="false">IF($A257="","",IF($AC257="","",IF(OR($L257="",$AC257=0),0,MIN($AC257,ROUND(ROUND(1440*SUMPRODUCT(($L$2:INDEX($L:$L,COUNTA($C:$C))=$L257)*($B$2:INDEX($B:$B,COUNTA($C:$C))=$B257)*(ROW($L$2:INDEX($L:$L,COUNTA($C:$C)))&lt;&gt;ROW())*((((($W257+$BT$2:INDEX($BT:$BT,COUNTA($C:$C))-ABS($W257-$BT$2:INDEX($BT:$BT,COUNTA($C:$C))))/2)-(($U257+$BS$2:INDEX($BS:$BS,COUNTA($C:$C))+ABS($U257-$BS$2:INDEX($BS:$BS,COUNTA($C:$C))))/2))+ABS(((($W257+$BT$2:INDEX($BT:$BT,COUNTA($C:$C))-ABS($W257-$BT$2:INDEX($BT:$BT,COUNTA($C:$C))))/2)-(($U257+$BS$2:INDEX($BS:$BS,COUNTA($C:$C))+ABS($U257-$BS$2:INDEX($BS:$BS,COUNTA($C:$C))))/2))))/2)),4),0)))))</f>
        <v/>
      </c>
      <c r="BE257" s="39" t="str">
        <f aca="false">IF($A257="","",IF($AC257="","",ROUND(MIN($AC257-$BD257,N($R257)),0)))</f>
        <v/>
      </c>
      <c r="BF257" s="10" t="str">
        <f aca="false">IF($A257="","",IFERROR(VLOOKUP($C257,Dim_Fund!$A:$BD,56,0),""))</f>
        <v/>
      </c>
      <c r="BG257" s="10" t="str">
        <f aca="false">IF($A257="","",IFERROR(VLOOKUP($C257,Dim_Fund!$A:$BH,60,0),""))</f>
        <v/>
      </c>
      <c r="BH257" s="10" t="str">
        <f aca="false">IF($A257="","",IF($AI257&lt;&gt;"Yes","Not breached",IF($AM257="Yes","Pricing late",IF($BG257="Thin custody slack","Thin custody slack",IF($BF257="Yes","Broker-dependent","None of these")))))</f>
        <v/>
      </c>
      <c r="BI257" s="23" t="str">
        <f aca="false">IF($A257="","",IFERROR(IF(VLOOKUP($C257,Dim_Fund!$A:$AI,35,0)&gt;0,VLOOKUP($C257,Dim_Fund!$A:$AI,35,0),""),""))</f>
        <v/>
      </c>
      <c r="BJ257" s="10" t="str">
        <f aca="false">IF($A257="","",$C257&amp;IF($E257="Client","*",""))</f>
        <v/>
      </c>
      <c r="BK257" s="39" t="str">
        <f aca="false">IF($A257="","",IFERROR(ROUND(($Y257-$X257)*1440,0),""))</f>
        <v/>
      </c>
      <c r="BL257" s="39" t="str">
        <f aca="false">IF($A257="","",IF($AH257="","",-$AH257))</f>
        <v/>
      </c>
      <c r="BM257" s="46" t="str">
        <f aca="false">IF($A257="","",IF($AQ257="","",IF($AP257="",$AQ257,MIN($AP257,$AQ257))))</f>
        <v/>
      </c>
      <c r="BN257" s="46" t="str">
        <f aca="false">IF($A257="","",IF($BM257="","",ROUND(N($AC257)/60,4)))</f>
        <v/>
      </c>
      <c r="BO257" s="46" t="str">
        <f aca="false">IF($A257="","",IF(OR($BM257="",$AD257=""),"",ROUND($AD257/60,4)))</f>
        <v/>
      </c>
      <c r="BP257" s="46" t="str">
        <f aca="false">IF($A257="","",IF($BM257="","",ROUND(N($AE257)/60,4)))</f>
        <v/>
      </c>
      <c r="BQ257" s="46" t="str">
        <f aca="false">IF($A257="","",IF(OR($BM257="",$AF257=""),"",ROUND($AF257/60,4)))</f>
        <v/>
      </c>
      <c r="BR257" s="39" t="str">
        <f aca="false">IF($A257="","",IF($AC257="","",$AC257-$BD257-$BE257))</f>
        <v/>
      </c>
      <c r="BS257" s="45" t="str">
        <f aca="false">IF($A257="","",IF(AND(ISNUMBER($Z257),ISNUMBER($W257)),$Z257,0))</f>
        <v/>
      </c>
      <c r="BT257" s="45" t="str">
        <f aca="false">IF($A257="","",IF(ISNUMBER($W257),$W257,0))</f>
        <v/>
      </c>
      <c r="BU257" s="23" t="str">
        <f aca="false">IF($A257="","",IF(ISNUMBER($W257),ROUND(($W257-$B257)*24,4),""))</f>
        <v/>
      </c>
      <c r="BV257" s="23" t="str">
        <f aca="false">IF($A257="","",IF(ISNUMBER($X257),ROUND(($X257-$B257)*24,4),""))</f>
        <v/>
      </c>
      <c r="BW257" s="10" t="str">
        <f aca="false">IF($A257="","",IF(NOT(ISNUMBER($W257)),"Missing Calculated",IF(NOT(ISNUMBER($X257)),IF($E257="Client","Missing FA signed off","Missing Controlled"),IF($X257&lt;$W257,"End before start","OK"))))</f>
        <v/>
      </c>
      <c r="BX257" s="23" t="str">
        <f aca="false">IF($A257="","",IF(NOT(ISNUMBER($Z257)),"",ROUND((IF(ISNUMBER($U257),MIN($U257,$Z257),$Z257)-$B257)*24,4)))</f>
        <v/>
      </c>
      <c r="BY257" s="23" t="str">
        <f aca="false">IF($A257="","",IF(ISNUMBER($Z257),ROUND(($Z257-$B257)*24,4),""))</f>
        <v/>
      </c>
      <c r="BZ257" s="23" t="str">
        <f aca="false">IF($A257="","",IF(AND(ISNUMBER($W257),ISNUMBER($S257)),ROUND(($W257+$S257/1440-$B257)*24,4),""))</f>
        <v/>
      </c>
    </row>
    <row r="258" customFormat="false" ht="15" hidden="false" customHeight="true" outlineLevel="0" collapsed="false">
      <c r="A258" s="47"/>
      <c r="B258" s="47"/>
      <c r="D258" s="4" t="str">
        <f aca="false">IF($A258="","",$B258-$A258)</f>
        <v/>
      </c>
      <c r="E258" s="4" t="str">
        <f aca="false">IF($A258="","",IFERROR(VLOOKUP($C258,Dim_Fund!$A:$X,24,0),""))</f>
        <v/>
      </c>
      <c r="F258" s="37" t="str">
        <f aca="false">IF($A258="","",IF(COUNTIFS(Status_Log!$A:$A,$A258,Status_Log!$B:$B,$B258,Status_Log!$C:$C,$C258,Status_Log!$D:$D,"Changed to the status of Calculated")=0,"",_xlfn.MINIFS(Status_Log!$E:$E,Status_Log!$A:$A,$A258,Status_Log!$B:$B,$B258,Status_Log!$C:$C,$C258,Status_Log!$D:$D,"Changed to the status of Calculated")))</f>
        <v/>
      </c>
      <c r="G258" s="37" t="str">
        <f aca="false">IF($A258="","",IF(COUNTIFS(Status_Log!$A:$A,$A258,Status_Log!$B:$B,$B258,Status_Log!$C:$C,$C258,Status_Log!$D:$D,"Changed to the status of Controlled")=0,"",_xlfn.MAXIFS(Status_Log!$E:$E,Status_Log!$A:$A,$A258,Status_Log!$B:$B,$B258,Status_Log!$C:$C,$C258,Status_Log!$D:$D,"Changed to the status of Controlled")))</f>
        <v/>
      </c>
      <c r="H258" s="37" t="str">
        <f aca="false">IF($A258="","",IF(COUNTIFS(Status_Log!$A:$A,$A258,Status_Log!$B:$B,$B258,Status_Log!$C:$C,$C258,Status_Log!$D:$D,"Changed to the status of Fund accounting signed off")=0,"",_xlfn.MAXIFS(Status_Log!$E:$E,Status_Log!$A:$A,$A258,Status_Log!$B:$B,$B258,Status_Log!$C:$C,$C258,Status_Log!$D:$D,"Changed to the status of Fund accounting signed off")))</f>
        <v/>
      </c>
      <c r="I258" s="37" t="str">
        <f aca="false">IF($A258="","",IF(COUNTIFS(Status_Log!$A:$A,$A258,Status_Log!$B:$B,$B258,Status_Log!$C:$C,$C258,Status_Log!$D:$D,"Changed to the status of signed off")=0,"",_xlfn.MAXIFS(Status_Log!$E:$E,Status_Log!$A:$A,$A258,Status_Log!$B:$B,$B258,Status_Log!$C:$C,$C258,Status_Log!$D:$D,"Changed to the status of signed off")))</f>
        <v/>
      </c>
      <c r="J258" s="4" t="str">
        <f aca="false">IF($A258="","",COUNTIFS(Status_Log!$A:$A,$A258,Status_Log!$B:$B,$B258,Status_Log!$C:$C,$C258,Status_Log!$D:$D,"Changed to the status of Calculated"))</f>
        <v/>
      </c>
      <c r="K258" s="38" t="str">
        <f aca="false">IF($A258="","",IF(J258&lt;=1,0,ROUND((_xlfn.MAXIFS(Status_Log!$E:$E,Status_Log!$A:$A,$A258,Status_Log!$B:$B,$B258,Status_Log!$C:$C,$C258,Status_Log!$D:$D,"Changed to the status of Calculated")-F258)*1440,0)))</f>
        <v/>
      </c>
      <c r="L258" s="4" t="str">
        <f aca="false">IF($A258="","",IFERROR(INDEX(Status_Log!$F:$F,MATCH($A258&amp;"|"&amp;$B258&amp;"|"&amp;$C258&amp;"|Changed to the status of Calculated|"&amp;TEXT(_xlfn.MAXIFS(Status_Log!$E:$E,Status_Log!$A:$A,$A258,Status_Log!$B:$B,$B258,Status_Log!$C:$C,$C258,Status_Log!$D:$D,"Changed to the status of Calculated"),"0.000000"),Status_Log!$H:$H,0)),""))</f>
        <v/>
      </c>
      <c r="M258" s="4" t="str">
        <f aca="false">IF($A258="","",IF(E258="Client","n/a — no control step",IFERROR(INDEX(Status_Log!$F:$F,MATCH($A258&amp;"|"&amp;$B258&amp;"|"&amp;$C258&amp;"|Changed to the status of Controlled|"&amp;TEXT(_xlfn.MAXIFS(Status_Log!$E:$E,Status_Log!$A:$A,$A258,Status_Log!$B:$B,$B258,Status_Log!$C:$C,$C258,Status_Log!$D:$D,"Changed to the status of Controlled"),"0.000000"),Status_Log!$H:$H,0)),"")))</f>
        <v/>
      </c>
      <c r="N258" s="4" t="str">
        <f aca="false">IF($A258="","",IFERROR(VLOOKUP($C258,Dim_Fund!$A:$G,7,0),""))</f>
        <v/>
      </c>
      <c r="O258" s="4" t="str">
        <f aca="false">IF($A258="","",IF(L258=N258,"No","Yes"))</f>
        <v/>
      </c>
      <c r="P258" s="4" t="str">
        <f aca="false">IF($A258="","",IF(E258="Client","n/a",IF(L258=M258,"YES — four-eyes breach","No")))</f>
        <v/>
      </c>
      <c r="Q258" s="38" t="str">
        <f aca="false">IF($A258="","",IFERROR(VLOOKUP($C258,Dim_Fund!$A:$AB,28,0),""))</f>
        <v/>
      </c>
      <c r="R258" s="38" t="str">
        <f aca="false">IF($A258="","",IFERROR(VLOOKUP($C258,Dim_Fund!$A:$AC,29,0),""))</f>
        <v/>
      </c>
      <c r="S258" s="38" t="str">
        <f aca="false">IF($A258="","",IFERROR(VLOOKUP($C258,Dim_Fund!$A:$AD,30,0),""))</f>
        <v/>
      </c>
      <c r="T258" s="38" t="str">
        <f aca="false">IF($A258="","",IFERROR(VLOOKUP($C258,Dim_Fund!$A:$AL,38,0),""))</f>
        <v/>
      </c>
      <c r="U258" s="37" t="str">
        <f aca="false">IF($A258="","",IF(AL258="","",IFERROR(IF(COUNTIFS(Fact_Milestone!$A:$A,$B258,Fact_Milestone!$B:$B,AL258)=0,"",_xlfn.MAXIFS(Fact_Milestone!$C:$C,Fact_Milestone!$A:$A,$B258,Fact_Milestone!$B:$B,AL258)),"")))</f>
        <v/>
      </c>
      <c r="V258" s="37" t="str">
        <f aca="false">IF($A258="","",IFERROR(IF(VLOOKUP($C258,Dim_Fund!$A:$AI,35,0)&gt;0,$B258+VLOOKUP($C258,Dim_Fund!$A:$AI,35,0)/24,""),""))</f>
        <v/>
      </c>
      <c r="W258" s="37" t="str">
        <f aca="false">IF($A258="","",F258)</f>
        <v/>
      </c>
      <c r="X258" s="37" t="str">
        <f aca="false">IF($A258="","",IF(E258="Client",H258,G258))</f>
        <v/>
      </c>
      <c r="Y258" s="37" t="str">
        <f aca="false">IF($A258="","",I258)</f>
        <v/>
      </c>
      <c r="Z258" s="37" t="str">
        <f aca="false">IF($A258="","",IFERROR(W258-R258/1440,""))</f>
        <v/>
      </c>
      <c r="AA258" s="38" t="str">
        <f aca="false">IF($A258="","",IF(OR(U258="",V258=""),"",ROUND((V258-U258)*1440,0)))</f>
        <v/>
      </c>
      <c r="AB258" s="38" t="str">
        <f aca="false">IF($A258="","",IF(U258="","",ROUND((W258-U258)*1440,0)))</f>
        <v/>
      </c>
      <c r="AC258" s="38" t="str">
        <f aca="false">IF($A258="","",IF(AB258="","",MAX(0,AB258)))</f>
        <v/>
      </c>
      <c r="AD258" s="38" t="str">
        <f aca="false">IF($A258="","",IFERROR(ROUND((X258-W258)*1440,0),""))</f>
        <v/>
      </c>
      <c r="AE258" s="38" t="str">
        <f aca="false">IF($A258="","",IF(E258="Client","n/a",IFERROR(ROUND((H258-G258)*1440,0),"")))</f>
        <v/>
      </c>
      <c r="AF258" s="38" t="str">
        <f aca="false">IF($A258="","",IFERROR(ROUND((Y258-H258)*1440,0),""))</f>
        <v/>
      </c>
      <c r="AG258" s="38" t="str">
        <f aca="false">IF($A258="","",IFERROR(ROUND((H258-F258)*1440,0),""))</f>
        <v/>
      </c>
      <c r="AH258" s="38" t="str">
        <f aca="false">IF($A258="","",IFERROR(ROUND((Y258-V258)*1440,0),""))</f>
        <v/>
      </c>
      <c r="AI258" s="4" t="str">
        <f aca="false">IF($A258="","",IF(AH258="","",IF(AH258&gt;0,"Yes","No")))</f>
        <v/>
      </c>
      <c r="AJ258" s="4" t="str">
        <f aca="false">IF($A258="","",IF(AI258&lt;&gt;"Yes","On time",IF(N(AC258)&gt;=MAX(N(AF258),N(K258)),"Wait for analyst",IF(N(AF258)&gt;=N(K258),"External sign-off","Rework"))))</f>
        <v/>
      </c>
      <c r="AK258" s="4" t="str">
        <f aca="false">IF($A258="","",IF(OR(F258="",Y258="",ISNA(MATCH(L258,Dim_Analyst!$A:$A,0))),"CHECK","OK"))</f>
        <v/>
      </c>
      <c r="AL258" s="4" t="str">
        <f aca="false">IF($A258="","",IFERROR(VLOOKUP($C258,Dim_Fund!$A:$U,21,0),""))</f>
        <v/>
      </c>
      <c r="AM258" s="4" t="str">
        <f aca="false">IF($A258="","",IF($U258="","",IF($U258&gt;$B258+IFERROR(VLOOKUP($C258,Dim_Fund!$A:$AH,34,0),0)/24,"Yes","No")))</f>
        <v/>
      </c>
      <c r="AN258" s="22" t="str">
        <f aca="false">IF($A258="","",IFERROR(VLOOKUP($C258,Dim_Fund!$A:$AH,34,0),""))</f>
        <v/>
      </c>
      <c r="AO258" s="22" t="str">
        <f aca="false">IF($A258="","",IF($AL258="","",IFERROR(FLOOR(IF(COUNTIFS(Fact_Milestone!$A:$A,$B258,Fact_Milestone!$B:$B,$AL258,Fact_Milestone!$F:$F,"&gt;0")&gt;0,_xlfn.MINIFS(Fact_Milestone!$F:$F,Fact_Milestone!$A:$A,$B258,Fact_Milestone!$B:$B,$AL258,Fact_Milestone!$F:$F,"&gt;0"),VLOOKUP($AL258,Dim_TOP!$A:$E,5,0)),0.5),"")))</f>
        <v/>
      </c>
      <c r="AP258" s="22" t="str">
        <f aca="false">IF($A258="","",IF($U258="","",ROUND(($U258-INT($U258))*24,4)))</f>
        <v/>
      </c>
      <c r="AQ258" s="22" t="str">
        <f aca="false">IF($A258="","",IF($W258="","",ROUND(($W258-INT($W258))*24,4)))</f>
        <v/>
      </c>
      <c r="AR258" s="22" t="str">
        <f aca="false">IF($A258="","",IF($X258="","",ROUND(($X258-INT($X258))*24,4)))</f>
        <v/>
      </c>
      <c r="AS258" s="38" t="str">
        <f aca="false">IF($A258="","",IF(OR($AN258="",$V258="",$S258="",$T258=""),"",ROUND(($V258-($B258+$AN258/24))*1440-$S258-$T258,0)))</f>
        <v/>
      </c>
      <c r="AT258" s="38" t="str">
        <f aca="false">IF($A258="","",IF(OR($AN258="",$U258=""),"",ROUND(($U258-($B258+$AN258/24))*1440,0)))</f>
        <v/>
      </c>
      <c r="AU258" s="38" t="str">
        <f aca="false">IF($A258="","",IF(OR($AD258="",$S258=""),"",ROUND($AD258-$S258,0)))</f>
        <v/>
      </c>
      <c r="AV258" s="38" t="str">
        <f aca="false">IF($A258="","",N($AE258))</f>
        <v/>
      </c>
      <c r="AW258" s="38" t="str">
        <f aca="false">IF($A258="","",IF(OR($AF258="",$T258=""),"",$AF258-$T258))</f>
        <v/>
      </c>
      <c r="AX258" s="38" t="str">
        <f aca="false">IF($A258="","",IF(COUNT($AT258,$AB258,$AU258,$AW258,$AS258,$AH258)&lt;6,"",ROUND($AT258+$AB258+$AU258+$AV258+$AW258-$AS258-$AH258,0)))</f>
        <v/>
      </c>
      <c r="AY258" s="4" t="str">
        <f aca="false">IF($A258="","",IF($AX258="","No",IF(ABS($AX258)&lt;=2,"Yes","No")))</f>
        <v/>
      </c>
      <c r="AZ258" s="4" t="str">
        <f aca="false">IF($A258="","",IF($AI258&lt;&gt;"Yes","n/a",IF(OR($AA258="",$S258="",$T258=""),"Unknown",IF($AA258&lt;$S258+$T258,"Lost on arrival","Lost after arrival"))))</f>
        <v/>
      </c>
      <c r="BA258" s="10" t="str">
        <f aca="false">IF($A258="","",IFERROR(VLOOKUP($C258,Dim_Fund!$A:$D,4,0),""))</f>
        <v/>
      </c>
      <c r="BB258" s="10" t="str">
        <f aca="false">IF($A258="","",IF($AL258="","",IF(COUNTIFS(Fact_Milestone!$A:$A,$B258,Fact_Milestone!$B:$B,$AL258,Fact_Milestone!$I:$I,"No")&gt;0,"No",IF(COUNTIFS(Fact_Milestone!$A:$A,$B258,Fact_Milestone!$B:$B,$AL258,Fact_Milestone!$I:$I,"Yes")&gt;0,"Yes",""))))</f>
        <v/>
      </c>
      <c r="BC258" s="45" t="str">
        <f aca="false">IF($A258="","",IF(OR($L258="",$W258=""),"",IF(COUNTIFS($L:$L,$L258,$B:$B,$B258,$W:$W,"&lt;"&amp;$W258)=0,"",_xlfn.MAXIFS($W:$W,$L:$L,$L258,$B:$B,$B258,$W:$W,"&lt;"&amp;$W258))))</f>
        <v/>
      </c>
      <c r="BD258" s="39" t="str">
        <f aca="false">IF($A258="","",IF($AC258="","",IF(OR($L258="",$AC258=0),0,MIN($AC258,ROUND(ROUND(1440*SUMPRODUCT(($L$2:INDEX($L:$L,COUNTA($C:$C))=$L258)*($B$2:INDEX($B:$B,COUNTA($C:$C))=$B258)*(ROW($L$2:INDEX($L:$L,COUNTA($C:$C)))&lt;&gt;ROW())*((((($W258+$BT$2:INDEX($BT:$BT,COUNTA($C:$C))-ABS($W258-$BT$2:INDEX($BT:$BT,COUNTA($C:$C))))/2)-(($U258+$BS$2:INDEX($BS:$BS,COUNTA($C:$C))+ABS($U258-$BS$2:INDEX($BS:$BS,COUNTA($C:$C))))/2))+ABS(((($W258+$BT$2:INDEX($BT:$BT,COUNTA($C:$C))-ABS($W258-$BT$2:INDEX($BT:$BT,COUNTA($C:$C))))/2)-(($U258+$BS$2:INDEX($BS:$BS,COUNTA($C:$C))+ABS($U258-$BS$2:INDEX($BS:$BS,COUNTA($C:$C))))/2))))/2)),4),0)))))</f>
        <v/>
      </c>
      <c r="BE258" s="39" t="str">
        <f aca="false">IF($A258="","",IF($AC258="","",ROUND(MIN($AC258-$BD258,N($R258)),0)))</f>
        <v/>
      </c>
      <c r="BF258" s="10" t="str">
        <f aca="false">IF($A258="","",IFERROR(VLOOKUP($C258,Dim_Fund!$A:$BD,56,0),""))</f>
        <v/>
      </c>
      <c r="BG258" s="10" t="str">
        <f aca="false">IF($A258="","",IFERROR(VLOOKUP($C258,Dim_Fund!$A:$BH,60,0),""))</f>
        <v/>
      </c>
      <c r="BH258" s="10" t="str">
        <f aca="false">IF($A258="","",IF($AI258&lt;&gt;"Yes","Not breached",IF($AM258="Yes","Pricing late",IF($BG258="Thin custody slack","Thin custody slack",IF($BF258="Yes","Broker-dependent","None of these")))))</f>
        <v/>
      </c>
      <c r="BI258" s="23" t="str">
        <f aca="false">IF($A258="","",IFERROR(IF(VLOOKUP($C258,Dim_Fund!$A:$AI,35,0)&gt;0,VLOOKUP($C258,Dim_Fund!$A:$AI,35,0),""),""))</f>
        <v/>
      </c>
      <c r="BJ258" s="10" t="str">
        <f aca="false">IF($A258="","",$C258&amp;IF($E258="Client","*",""))</f>
        <v/>
      </c>
      <c r="BK258" s="39" t="str">
        <f aca="false">IF($A258="","",IFERROR(ROUND(($Y258-$X258)*1440,0),""))</f>
        <v/>
      </c>
      <c r="BL258" s="39" t="str">
        <f aca="false">IF($A258="","",IF($AH258="","",-$AH258))</f>
        <v/>
      </c>
      <c r="BM258" s="46" t="str">
        <f aca="false">IF($A258="","",IF($AQ258="","",IF($AP258="",$AQ258,MIN($AP258,$AQ258))))</f>
        <v/>
      </c>
      <c r="BN258" s="46" t="str">
        <f aca="false">IF($A258="","",IF($BM258="","",ROUND(N($AC258)/60,4)))</f>
        <v/>
      </c>
      <c r="BO258" s="46" t="str">
        <f aca="false">IF($A258="","",IF(OR($BM258="",$AD258=""),"",ROUND($AD258/60,4)))</f>
        <v/>
      </c>
      <c r="BP258" s="46" t="str">
        <f aca="false">IF($A258="","",IF($BM258="","",ROUND(N($AE258)/60,4)))</f>
        <v/>
      </c>
      <c r="BQ258" s="46" t="str">
        <f aca="false">IF($A258="","",IF(OR($BM258="",$AF258=""),"",ROUND($AF258/60,4)))</f>
        <v/>
      </c>
      <c r="BR258" s="39" t="str">
        <f aca="false">IF($A258="","",IF($AC258="","",$AC258-$BD258-$BE258))</f>
        <v/>
      </c>
      <c r="BS258" s="45" t="str">
        <f aca="false">IF($A258="","",IF(AND(ISNUMBER($Z258),ISNUMBER($W258)),$Z258,0))</f>
        <v/>
      </c>
      <c r="BT258" s="45" t="str">
        <f aca="false">IF($A258="","",IF(ISNUMBER($W258),$W258,0))</f>
        <v/>
      </c>
      <c r="BU258" s="23" t="str">
        <f aca="false">IF($A258="","",IF(ISNUMBER($W258),ROUND(($W258-$B258)*24,4),""))</f>
        <v/>
      </c>
      <c r="BV258" s="23" t="str">
        <f aca="false">IF($A258="","",IF(ISNUMBER($X258),ROUND(($X258-$B258)*24,4),""))</f>
        <v/>
      </c>
      <c r="BW258" s="10" t="str">
        <f aca="false">IF($A258="","",IF(NOT(ISNUMBER($W258)),"Missing Calculated",IF(NOT(ISNUMBER($X258)),IF($E258="Client","Missing FA signed off","Missing Controlled"),IF($X258&lt;$W258,"End before start","OK"))))</f>
        <v/>
      </c>
      <c r="BX258" s="23" t="str">
        <f aca="false">IF($A258="","",IF(NOT(ISNUMBER($Z258)),"",ROUND((IF(ISNUMBER($U258),MIN($U258,$Z258),$Z258)-$B258)*24,4)))</f>
        <v/>
      </c>
      <c r="BY258" s="23" t="str">
        <f aca="false">IF($A258="","",IF(ISNUMBER($Z258),ROUND(($Z258-$B258)*24,4),""))</f>
        <v/>
      </c>
      <c r="BZ258" s="23" t="str">
        <f aca="false">IF($A258="","",IF(AND(ISNUMBER($W258),ISNUMBER($S258)),ROUND(($W258+$S258/1440-$B258)*24,4),""))</f>
        <v/>
      </c>
    </row>
    <row r="259" customFormat="false" ht="15" hidden="false" customHeight="true" outlineLevel="0" collapsed="false">
      <c r="A259" s="47"/>
      <c r="B259" s="47"/>
      <c r="D259" s="4" t="str">
        <f aca="false">IF($A259="","",$B259-$A259)</f>
        <v/>
      </c>
      <c r="E259" s="4" t="str">
        <f aca="false">IF($A259="","",IFERROR(VLOOKUP($C259,Dim_Fund!$A:$X,24,0),""))</f>
        <v/>
      </c>
      <c r="F259" s="37" t="str">
        <f aca="false">IF($A259="","",IF(COUNTIFS(Status_Log!$A:$A,$A259,Status_Log!$B:$B,$B259,Status_Log!$C:$C,$C259,Status_Log!$D:$D,"Changed to the status of Calculated")=0,"",_xlfn.MINIFS(Status_Log!$E:$E,Status_Log!$A:$A,$A259,Status_Log!$B:$B,$B259,Status_Log!$C:$C,$C259,Status_Log!$D:$D,"Changed to the status of Calculated")))</f>
        <v/>
      </c>
      <c r="G259" s="37" t="str">
        <f aca="false">IF($A259="","",IF(COUNTIFS(Status_Log!$A:$A,$A259,Status_Log!$B:$B,$B259,Status_Log!$C:$C,$C259,Status_Log!$D:$D,"Changed to the status of Controlled")=0,"",_xlfn.MAXIFS(Status_Log!$E:$E,Status_Log!$A:$A,$A259,Status_Log!$B:$B,$B259,Status_Log!$C:$C,$C259,Status_Log!$D:$D,"Changed to the status of Controlled")))</f>
        <v/>
      </c>
      <c r="H259" s="37" t="str">
        <f aca="false">IF($A259="","",IF(COUNTIFS(Status_Log!$A:$A,$A259,Status_Log!$B:$B,$B259,Status_Log!$C:$C,$C259,Status_Log!$D:$D,"Changed to the status of Fund accounting signed off")=0,"",_xlfn.MAXIFS(Status_Log!$E:$E,Status_Log!$A:$A,$A259,Status_Log!$B:$B,$B259,Status_Log!$C:$C,$C259,Status_Log!$D:$D,"Changed to the status of Fund accounting signed off")))</f>
        <v/>
      </c>
      <c r="I259" s="37" t="str">
        <f aca="false">IF($A259="","",IF(COUNTIFS(Status_Log!$A:$A,$A259,Status_Log!$B:$B,$B259,Status_Log!$C:$C,$C259,Status_Log!$D:$D,"Changed to the status of signed off")=0,"",_xlfn.MAXIFS(Status_Log!$E:$E,Status_Log!$A:$A,$A259,Status_Log!$B:$B,$B259,Status_Log!$C:$C,$C259,Status_Log!$D:$D,"Changed to the status of signed off")))</f>
        <v/>
      </c>
      <c r="J259" s="4" t="str">
        <f aca="false">IF($A259="","",COUNTIFS(Status_Log!$A:$A,$A259,Status_Log!$B:$B,$B259,Status_Log!$C:$C,$C259,Status_Log!$D:$D,"Changed to the status of Calculated"))</f>
        <v/>
      </c>
      <c r="K259" s="38" t="str">
        <f aca="false">IF($A259="","",IF(J259&lt;=1,0,ROUND((_xlfn.MAXIFS(Status_Log!$E:$E,Status_Log!$A:$A,$A259,Status_Log!$B:$B,$B259,Status_Log!$C:$C,$C259,Status_Log!$D:$D,"Changed to the status of Calculated")-F259)*1440,0)))</f>
        <v/>
      </c>
      <c r="L259" s="4" t="str">
        <f aca="false">IF($A259="","",IFERROR(INDEX(Status_Log!$F:$F,MATCH($A259&amp;"|"&amp;$B259&amp;"|"&amp;$C259&amp;"|Changed to the status of Calculated|"&amp;TEXT(_xlfn.MAXIFS(Status_Log!$E:$E,Status_Log!$A:$A,$A259,Status_Log!$B:$B,$B259,Status_Log!$C:$C,$C259,Status_Log!$D:$D,"Changed to the status of Calculated"),"0.000000"),Status_Log!$H:$H,0)),""))</f>
        <v/>
      </c>
      <c r="M259" s="4" t="str">
        <f aca="false">IF($A259="","",IF(E259="Client","n/a — no control step",IFERROR(INDEX(Status_Log!$F:$F,MATCH($A259&amp;"|"&amp;$B259&amp;"|"&amp;$C259&amp;"|Changed to the status of Controlled|"&amp;TEXT(_xlfn.MAXIFS(Status_Log!$E:$E,Status_Log!$A:$A,$A259,Status_Log!$B:$B,$B259,Status_Log!$C:$C,$C259,Status_Log!$D:$D,"Changed to the status of Controlled"),"0.000000"),Status_Log!$H:$H,0)),"")))</f>
        <v/>
      </c>
      <c r="N259" s="4" t="str">
        <f aca="false">IF($A259="","",IFERROR(VLOOKUP($C259,Dim_Fund!$A:$G,7,0),""))</f>
        <v/>
      </c>
      <c r="O259" s="4" t="str">
        <f aca="false">IF($A259="","",IF(L259=N259,"No","Yes"))</f>
        <v/>
      </c>
      <c r="P259" s="4" t="str">
        <f aca="false">IF($A259="","",IF(E259="Client","n/a",IF(L259=M259,"YES — four-eyes breach","No")))</f>
        <v/>
      </c>
      <c r="Q259" s="38" t="str">
        <f aca="false">IF($A259="","",IFERROR(VLOOKUP($C259,Dim_Fund!$A:$AB,28,0),""))</f>
        <v/>
      </c>
      <c r="R259" s="38" t="str">
        <f aca="false">IF($A259="","",IFERROR(VLOOKUP($C259,Dim_Fund!$A:$AC,29,0),""))</f>
        <v/>
      </c>
      <c r="S259" s="38" t="str">
        <f aca="false">IF($A259="","",IFERROR(VLOOKUP($C259,Dim_Fund!$A:$AD,30,0),""))</f>
        <v/>
      </c>
      <c r="T259" s="38" t="str">
        <f aca="false">IF($A259="","",IFERROR(VLOOKUP($C259,Dim_Fund!$A:$AL,38,0),""))</f>
        <v/>
      </c>
      <c r="U259" s="37" t="str">
        <f aca="false">IF($A259="","",IF(AL259="","",IFERROR(IF(COUNTIFS(Fact_Milestone!$A:$A,$B259,Fact_Milestone!$B:$B,AL259)=0,"",_xlfn.MAXIFS(Fact_Milestone!$C:$C,Fact_Milestone!$A:$A,$B259,Fact_Milestone!$B:$B,AL259)),"")))</f>
        <v/>
      </c>
      <c r="V259" s="37" t="str">
        <f aca="false">IF($A259="","",IFERROR(IF(VLOOKUP($C259,Dim_Fund!$A:$AI,35,0)&gt;0,$B259+VLOOKUP($C259,Dim_Fund!$A:$AI,35,0)/24,""),""))</f>
        <v/>
      </c>
      <c r="W259" s="37" t="str">
        <f aca="false">IF($A259="","",F259)</f>
        <v/>
      </c>
      <c r="X259" s="37" t="str">
        <f aca="false">IF($A259="","",IF(E259="Client",H259,G259))</f>
        <v/>
      </c>
      <c r="Y259" s="37" t="str">
        <f aca="false">IF($A259="","",I259)</f>
        <v/>
      </c>
      <c r="Z259" s="37" t="str">
        <f aca="false">IF($A259="","",IFERROR(W259-R259/1440,""))</f>
        <v/>
      </c>
      <c r="AA259" s="38" t="str">
        <f aca="false">IF($A259="","",IF(OR(U259="",V259=""),"",ROUND((V259-U259)*1440,0)))</f>
        <v/>
      </c>
      <c r="AB259" s="38" t="str">
        <f aca="false">IF($A259="","",IF(U259="","",ROUND((W259-U259)*1440,0)))</f>
        <v/>
      </c>
      <c r="AC259" s="38" t="str">
        <f aca="false">IF($A259="","",IF(AB259="","",MAX(0,AB259)))</f>
        <v/>
      </c>
      <c r="AD259" s="38" t="str">
        <f aca="false">IF($A259="","",IFERROR(ROUND((X259-W259)*1440,0),""))</f>
        <v/>
      </c>
      <c r="AE259" s="38" t="str">
        <f aca="false">IF($A259="","",IF(E259="Client","n/a",IFERROR(ROUND((H259-G259)*1440,0),"")))</f>
        <v/>
      </c>
      <c r="AF259" s="38" t="str">
        <f aca="false">IF($A259="","",IFERROR(ROUND((Y259-H259)*1440,0),""))</f>
        <v/>
      </c>
      <c r="AG259" s="38" t="str">
        <f aca="false">IF($A259="","",IFERROR(ROUND((H259-F259)*1440,0),""))</f>
        <v/>
      </c>
      <c r="AH259" s="38" t="str">
        <f aca="false">IF($A259="","",IFERROR(ROUND((Y259-V259)*1440,0),""))</f>
        <v/>
      </c>
      <c r="AI259" s="4" t="str">
        <f aca="false">IF($A259="","",IF(AH259="","",IF(AH259&gt;0,"Yes","No")))</f>
        <v/>
      </c>
      <c r="AJ259" s="4" t="str">
        <f aca="false">IF($A259="","",IF(AI259&lt;&gt;"Yes","On time",IF(N(AC259)&gt;=MAX(N(AF259),N(K259)),"Wait for analyst",IF(N(AF259)&gt;=N(K259),"External sign-off","Rework"))))</f>
        <v/>
      </c>
      <c r="AK259" s="4" t="str">
        <f aca="false">IF($A259="","",IF(OR(F259="",Y259="",ISNA(MATCH(L259,Dim_Analyst!$A:$A,0))),"CHECK","OK"))</f>
        <v/>
      </c>
      <c r="AL259" s="4" t="str">
        <f aca="false">IF($A259="","",IFERROR(VLOOKUP($C259,Dim_Fund!$A:$U,21,0),""))</f>
        <v/>
      </c>
      <c r="AM259" s="4" t="str">
        <f aca="false">IF($A259="","",IF($U259="","",IF($U259&gt;$B259+IFERROR(VLOOKUP($C259,Dim_Fund!$A:$AH,34,0),0)/24,"Yes","No")))</f>
        <v/>
      </c>
      <c r="AN259" s="22" t="str">
        <f aca="false">IF($A259="","",IFERROR(VLOOKUP($C259,Dim_Fund!$A:$AH,34,0),""))</f>
        <v/>
      </c>
      <c r="AO259" s="22" t="str">
        <f aca="false">IF($A259="","",IF($AL259="","",IFERROR(FLOOR(IF(COUNTIFS(Fact_Milestone!$A:$A,$B259,Fact_Milestone!$B:$B,$AL259,Fact_Milestone!$F:$F,"&gt;0")&gt;0,_xlfn.MINIFS(Fact_Milestone!$F:$F,Fact_Milestone!$A:$A,$B259,Fact_Milestone!$B:$B,$AL259,Fact_Milestone!$F:$F,"&gt;0"),VLOOKUP($AL259,Dim_TOP!$A:$E,5,0)),0.5),"")))</f>
        <v/>
      </c>
      <c r="AP259" s="22" t="str">
        <f aca="false">IF($A259="","",IF($U259="","",ROUND(($U259-INT($U259))*24,4)))</f>
        <v/>
      </c>
      <c r="AQ259" s="22" t="str">
        <f aca="false">IF($A259="","",IF($W259="","",ROUND(($W259-INT($W259))*24,4)))</f>
        <v/>
      </c>
      <c r="AR259" s="22" t="str">
        <f aca="false">IF($A259="","",IF($X259="","",ROUND(($X259-INT($X259))*24,4)))</f>
        <v/>
      </c>
      <c r="AS259" s="38" t="str">
        <f aca="false">IF($A259="","",IF(OR($AN259="",$V259="",$S259="",$T259=""),"",ROUND(($V259-($B259+$AN259/24))*1440-$S259-$T259,0)))</f>
        <v/>
      </c>
      <c r="AT259" s="38" t="str">
        <f aca="false">IF($A259="","",IF(OR($AN259="",$U259=""),"",ROUND(($U259-($B259+$AN259/24))*1440,0)))</f>
        <v/>
      </c>
      <c r="AU259" s="38" t="str">
        <f aca="false">IF($A259="","",IF(OR($AD259="",$S259=""),"",ROUND($AD259-$S259,0)))</f>
        <v/>
      </c>
      <c r="AV259" s="38" t="str">
        <f aca="false">IF($A259="","",N($AE259))</f>
        <v/>
      </c>
      <c r="AW259" s="38" t="str">
        <f aca="false">IF($A259="","",IF(OR($AF259="",$T259=""),"",$AF259-$T259))</f>
        <v/>
      </c>
      <c r="AX259" s="38" t="str">
        <f aca="false">IF($A259="","",IF(COUNT($AT259,$AB259,$AU259,$AW259,$AS259,$AH259)&lt;6,"",ROUND($AT259+$AB259+$AU259+$AV259+$AW259-$AS259-$AH259,0)))</f>
        <v/>
      </c>
      <c r="AY259" s="4" t="str">
        <f aca="false">IF($A259="","",IF($AX259="","No",IF(ABS($AX259)&lt;=2,"Yes","No")))</f>
        <v/>
      </c>
      <c r="AZ259" s="4" t="str">
        <f aca="false">IF($A259="","",IF($AI259&lt;&gt;"Yes","n/a",IF(OR($AA259="",$S259="",$T259=""),"Unknown",IF($AA259&lt;$S259+$T259,"Lost on arrival","Lost after arrival"))))</f>
        <v/>
      </c>
      <c r="BA259" s="10" t="str">
        <f aca="false">IF($A259="","",IFERROR(VLOOKUP($C259,Dim_Fund!$A:$D,4,0),""))</f>
        <v/>
      </c>
      <c r="BB259" s="10" t="str">
        <f aca="false">IF($A259="","",IF($AL259="","",IF(COUNTIFS(Fact_Milestone!$A:$A,$B259,Fact_Milestone!$B:$B,$AL259,Fact_Milestone!$I:$I,"No")&gt;0,"No",IF(COUNTIFS(Fact_Milestone!$A:$A,$B259,Fact_Milestone!$B:$B,$AL259,Fact_Milestone!$I:$I,"Yes")&gt;0,"Yes",""))))</f>
        <v/>
      </c>
      <c r="BC259" s="45" t="str">
        <f aca="false">IF($A259="","",IF(OR($L259="",$W259=""),"",IF(COUNTIFS($L:$L,$L259,$B:$B,$B259,$W:$W,"&lt;"&amp;$W259)=0,"",_xlfn.MAXIFS($W:$W,$L:$L,$L259,$B:$B,$B259,$W:$W,"&lt;"&amp;$W259))))</f>
        <v/>
      </c>
      <c r="BD259" s="39" t="str">
        <f aca="false">IF($A259="","",IF($AC259="","",IF(OR($L259="",$AC259=0),0,MIN($AC259,ROUND(ROUND(1440*SUMPRODUCT(($L$2:INDEX($L:$L,COUNTA($C:$C))=$L259)*($B$2:INDEX($B:$B,COUNTA($C:$C))=$B259)*(ROW($L$2:INDEX($L:$L,COUNTA($C:$C)))&lt;&gt;ROW())*((((($W259+$BT$2:INDEX($BT:$BT,COUNTA($C:$C))-ABS($W259-$BT$2:INDEX($BT:$BT,COUNTA($C:$C))))/2)-(($U259+$BS$2:INDEX($BS:$BS,COUNTA($C:$C))+ABS($U259-$BS$2:INDEX($BS:$BS,COUNTA($C:$C))))/2))+ABS(((($W259+$BT$2:INDEX($BT:$BT,COUNTA($C:$C))-ABS($W259-$BT$2:INDEX($BT:$BT,COUNTA($C:$C))))/2)-(($U259+$BS$2:INDEX($BS:$BS,COUNTA($C:$C))+ABS($U259-$BS$2:INDEX($BS:$BS,COUNTA($C:$C))))/2))))/2)),4),0)))))</f>
        <v/>
      </c>
      <c r="BE259" s="39" t="str">
        <f aca="false">IF($A259="","",IF($AC259="","",ROUND(MIN($AC259-$BD259,N($R259)),0)))</f>
        <v/>
      </c>
      <c r="BF259" s="10" t="str">
        <f aca="false">IF($A259="","",IFERROR(VLOOKUP($C259,Dim_Fund!$A:$BD,56,0),""))</f>
        <v/>
      </c>
      <c r="BG259" s="10" t="str">
        <f aca="false">IF($A259="","",IFERROR(VLOOKUP($C259,Dim_Fund!$A:$BH,60,0),""))</f>
        <v/>
      </c>
      <c r="BH259" s="10" t="str">
        <f aca="false">IF($A259="","",IF($AI259&lt;&gt;"Yes","Not breached",IF($AM259="Yes","Pricing late",IF($BG259="Thin custody slack","Thin custody slack",IF($BF259="Yes","Broker-dependent","None of these")))))</f>
        <v/>
      </c>
      <c r="BI259" s="23" t="str">
        <f aca="false">IF($A259="","",IFERROR(IF(VLOOKUP($C259,Dim_Fund!$A:$AI,35,0)&gt;0,VLOOKUP($C259,Dim_Fund!$A:$AI,35,0),""),""))</f>
        <v/>
      </c>
      <c r="BJ259" s="10" t="str">
        <f aca="false">IF($A259="","",$C259&amp;IF($E259="Client","*",""))</f>
        <v/>
      </c>
      <c r="BK259" s="39" t="str">
        <f aca="false">IF($A259="","",IFERROR(ROUND(($Y259-$X259)*1440,0),""))</f>
        <v/>
      </c>
      <c r="BL259" s="39" t="str">
        <f aca="false">IF($A259="","",IF($AH259="","",-$AH259))</f>
        <v/>
      </c>
      <c r="BM259" s="46" t="str">
        <f aca="false">IF($A259="","",IF($AQ259="","",IF($AP259="",$AQ259,MIN($AP259,$AQ259))))</f>
        <v/>
      </c>
      <c r="BN259" s="46" t="str">
        <f aca="false">IF($A259="","",IF($BM259="","",ROUND(N($AC259)/60,4)))</f>
        <v/>
      </c>
      <c r="BO259" s="46" t="str">
        <f aca="false">IF($A259="","",IF(OR($BM259="",$AD259=""),"",ROUND($AD259/60,4)))</f>
        <v/>
      </c>
      <c r="BP259" s="46" t="str">
        <f aca="false">IF($A259="","",IF($BM259="","",ROUND(N($AE259)/60,4)))</f>
        <v/>
      </c>
      <c r="BQ259" s="46" t="str">
        <f aca="false">IF($A259="","",IF(OR($BM259="",$AF259=""),"",ROUND($AF259/60,4)))</f>
        <v/>
      </c>
      <c r="BR259" s="39" t="str">
        <f aca="false">IF($A259="","",IF($AC259="","",$AC259-$BD259-$BE259))</f>
        <v/>
      </c>
      <c r="BS259" s="45" t="str">
        <f aca="false">IF($A259="","",IF(AND(ISNUMBER($Z259),ISNUMBER($W259)),$Z259,0))</f>
        <v/>
      </c>
      <c r="BT259" s="45" t="str">
        <f aca="false">IF($A259="","",IF(ISNUMBER($W259),$W259,0))</f>
        <v/>
      </c>
      <c r="BU259" s="23" t="str">
        <f aca="false">IF($A259="","",IF(ISNUMBER($W259),ROUND(($W259-$B259)*24,4),""))</f>
        <v/>
      </c>
      <c r="BV259" s="23" t="str">
        <f aca="false">IF($A259="","",IF(ISNUMBER($X259),ROUND(($X259-$B259)*24,4),""))</f>
        <v/>
      </c>
      <c r="BW259" s="10" t="str">
        <f aca="false">IF($A259="","",IF(NOT(ISNUMBER($W259)),"Missing Calculated",IF(NOT(ISNUMBER($X259)),IF($E259="Client","Missing FA signed off","Missing Controlled"),IF($X259&lt;$W259,"End before start","OK"))))</f>
        <v/>
      </c>
      <c r="BX259" s="23" t="str">
        <f aca="false">IF($A259="","",IF(NOT(ISNUMBER($Z259)),"",ROUND((IF(ISNUMBER($U259),MIN($U259,$Z259),$Z259)-$B259)*24,4)))</f>
        <v/>
      </c>
      <c r="BY259" s="23" t="str">
        <f aca="false">IF($A259="","",IF(ISNUMBER($Z259),ROUND(($Z259-$B259)*24,4),""))</f>
        <v/>
      </c>
      <c r="BZ259" s="23" t="str">
        <f aca="false">IF($A259="","",IF(AND(ISNUMBER($W259),ISNUMBER($S259)),ROUND(($W259+$S259/1440-$B259)*24,4),""))</f>
        <v/>
      </c>
    </row>
    <row r="260" customFormat="false" ht="15" hidden="false" customHeight="true" outlineLevel="0" collapsed="false">
      <c r="A260" s="47"/>
      <c r="B260" s="47"/>
      <c r="D260" s="4" t="str">
        <f aca="false">IF($A260="","",$B260-$A260)</f>
        <v/>
      </c>
      <c r="E260" s="4" t="str">
        <f aca="false">IF($A260="","",IFERROR(VLOOKUP($C260,Dim_Fund!$A:$X,24,0),""))</f>
        <v/>
      </c>
      <c r="F260" s="37" t="str">
        <f aca="false">IF($A260="","",IF(COUNTIFS(Status_Log!$A:$A,$A260,Status_Log!$B:$B,$B260,Status_Log!$C:$C,$C260,Status_Log!$D:$D,"Changed to the status of Calculated")=0,"",_xlfn.MINIFS(Status_Log!$E:$E,Status_Log!$A:$A,$A260,Status_Log!$B:$B,$B260,Status_Log!$C:$C,$C260,Status_Log!$D:$D,"Changed to the status of Calculated")))</f>
        <v/>
      </c>
      <c r="G260" s="37" t="str">
        <f aca="false">IF($A260="","",IF(COUNTIFS(Status_Log!$A:$A,$A260,Status_Log!$B:$B,$B260,Status_Log!$C:$C,$C260,Status_Log!$D:$D,"Changed to the status of Controlled")=0,"",_xlfn.MAXIFS(Status_Log!$E:$E,Status_Log!$A:$A,$A260,Status_Log!$B:$B,$B260,Status_Log!$C:$C,$C260,Status_Log!$D:$D,"Changed to the status of Controlled")))</f>
        <v/>
      </c>
      <c r="H260" s="37" t="str">
        <f aca="false">IF($A260="","",IF(COUNTIFS(Status_Log!$A:$A,$A260,Status_Log!$B:$B,$B260,Status_Log!$C:$C,$C260,Status_Log!$D:$D,"Changed to the status of Fund accounting signed off")=0,"",_xlfn.MAXIFS(Status_Log!$E:$E,Status_Log!$A:$A,$A260,Status_Log!$B:$B,$B260,Status_Log!$C:$C,$C260,Status_Log!$D:$D,"Changed to the status of Fund accounting signed off")))</f>
        <v/>
      </c>
      <c r="I260" s="37" t="str">
        <f aca="false">IF($A260="","",IF(COUNTIFS(Status_Log!$A:$A,$A260,Status_Log!$B:$B,$B260,Status_Log!$C:$C,$C260,Status_Log!$D:$D,"Changed to the status of signed off")=0,"",_xlfn.MAXIFS(Status_Log!$E:$E,Status_Log!$A:$A,$A260,Status_Log!$B:$B,$B260,Status_Log!$C:$C,$C260,Status_Log!$D:$D,"Changed to the status of signed off")))</f>
        <v/>
      </c>
      <c r="J260" s="4" t="str">
        <f aca="false">IF($A260="","",COUNTIFS(Status_Log!$A:$A,$A260,Status_Log!$B:$B,$B260,Status_Log!$C:$C,$C260,Status_Log!$D:$D,"Changed to the status of Calculated"))</f>
        <v/>
      </c>
      <c r="K260" s="38" t="str">
        <f aca="false">IF($A260="","",IF(J260&lt;=1,0,ROUND((_xlfn.MAXIFS(Status_Log!$E:$E,Status_Log!$A:$A,$A260,Status_Log!$B:$B,$B260,Status_Log!$C:$C,$C260,Status_Log!$D:$D,"Changed to the status of Calculated")-F260)*1440,0)))</f>
        <v/>
      </c>
      <c r="L260" s="4" t="str">
        <f aca="false">IF($A260="","",IFERROR(INDEX(Status_Log!$F:$F,MATCH($A260&amp;"|"&amp;$B260&amp;"|"&amp;$C260&amp;"|Changed to the status of Calculated|"&amp;TEXT(_xlfn.MAXIFS(Status_Log!$E:$E,Status_Log!$A:$A,$A260,Status_Log!$B:$B,$B260,Status_Log!$C:$C,$C260,Status_Log!$D:$D,"Changed to the status of Calculated"),"0.000000"),Status_Log!$H:$H,0)),""))</f>
        <v/>
      </c>
      <c r="M260" s="4" t="str">
        <f aca="false">IF($A260="","",IF(E260="Client","n/a — no control step",IFERROR(INDEX(Status_Log!$F:$F,MATCH($A260&amp;"|"&amp;$B260&amp;"|"&amp;$C260&amp;"|Changed to the status of Controlled|"&amp;TEXT(_xlfn.MAXIFS(Status_Log!$E:$E,Status_Log!$A:$A,$A260,Status_Log!$B:$B,$B260,Status_Log!$C:$C,$C260,Status_Log!$D:$D,"Changed to the status of Controlled"),"0.000000"),Status_Log!$H:$H,0)),"")))</f>
        <v/>
      </c>
      <c r="N260" s="4" t="str">
        <f aca="false">IF($A260="","",IFERROR(VLOOKUP($C260,Dim_Fund!$A:$G,7,0),""))</f>
        <v/>
      </c>
      <c r="O260" s="4" t="str">
        <f aca="false">IF($A260="","",IF(L260=N260,"No","Yes"))</f>
        <v/>
      </c>
      <c r="P260" s="4" t="str">
        <f aca="false">IF($A260="","",IF(E260="Client","n/a",IF(L260=M260,"YES — four-eyes breach","No")))</f>
        <v/>
      </c>
      <c r="Q260" s="38" t="str">
        <f aca="false">IF($A260="","",IFERROR(VLOOKUP($C260,Dim_Fund!$A:$AB,28,0),""))</f>
        <v/>
      </c>
      <c r="R260" s="38" t="str">
        <f aca="false">IF($A260="","",IFERROR(VLOOKUP($C260,Dim_Fund!$A:$AC,29,0),""))</f>
        <v/>
      </c>
      <c r="S260" s="38" t="str">
        <f aca="false">IF($A260="","",IFERROR(VLOOKUP($C260,Dim_Fund!$A:$AD,30,0),""))</f>
        <v/>
      </c>
      <c r="T260" s="38" t="str">
        <f aca="false">IF($A260="","",IFERROR(VLOOKUP($C260,Dim_Fund!$A:$AL,38,0),""))</f>
        <v/>
      </c>
      <c r="U260" s="37" t="str">
        <f aca="false">IF($A260="","",IF(AL260="","",IFERROR(IF(COUNTIFS(Fact_Milestone!$A:$A,$B260,Fact_Milestone!$B:$B,AL260)=0,"",_xlfn.MAXIFS(Fact_Milestone!$C:$C,Fact_Milestone!$A:$A,$B260,Fact_Milestone!$B:$B,AL260)),"")))</f>
        <v/>
      </c>
      <c r="V260" s="37" t="str">
        <f aca="false">IF($A260="","",IFERROR(IF(VLOOKUP($C260,Dim_Fund!$A:$AI,35,0)&gt;0,$B260+VLOOKUP($C260,Dim_Fund!$A:$AI,35,0)/24,""),""))</f>
        <v/>
      </c>
      <c r="W260" s="37" t="str">
        <f aca="false">IF($A260="","",F260)</f>
        <v/>
      </c>
      <c r="X260" s="37" t="str">
        <f aca="false">IF($A260="","",IF(E260="Client",H260,G260))</f>
        <v/>
      </c>
      <c r="Y260" s="37" t="str">
        <f aca="false">IF($A260="","",I260)</f>
        <v/>
      </c>
      <c r="Z260" s="37" t="str">
        <f aca="false">IF($A260="","",IFERROR(W260-R260/1440,""))</f>
        <v/>
      </c>
      <c r="AA260" s="38" t="str">
        <f aca="false">IF($A260="","",IF(OR(U260="",V260=""),"",ROUND((V260-U260)*1440,0)))</f>
        <v/>
      </c>
      <c r="AB260" s="38" t="str">
        <f aca="false">IF($A260="","",IF(U260="","",ROUND((W260-U260)*1440,0)))</f>
        <v/>
      </c>
      <c r="AC260" s="38" t="str">
        <f aca="false">IF($A260="","",IF(AB260="","",MAX(0,AB260)))</f>
        <v/>
      </c>
      <c r="AD260" s="38" t="str">
        <f aca="false">IF($A260="","",IFERROR(ROUND((X260-W260)*1440,0),""))</f>
        <v/>
      </c>
      <c r="AE260" s="38" t="str">
        <f aca="false">IF($A260="","",IF(E260="Client","n/a",IFERROR(ROUND((H260-G260)*1440,0),"")))</f>
        <v/>
      </c>
      <c r="AF260" s="38" t="str">
        <f aca="false">IF($A260="","",IFERROR(ROUND((Y260-H260)*1440,0),""))</f>
        <v/>
      </c>
      <c r="AG260" s="38" t="str">
        <f aca="false">IF($A260="","",IFERROR(ROUND((H260-F260)*1440,0),""))</f>
        <v/>
      </c>
      <c r="AH260" s="38" t="str">
        <f aca="false">IF($A260="","",IFERROR(ROUND((Y260-V260)*1440,0),""))</f>
        <v/>
      </c>
      <c r="AI260" s="4" t="str">
        <f aca="false">IF($A260="","",IF(AH260="","",IF(AH260&gt;0,"Yes","No")))</f>
        <v/>
      </c>
      <c r="AJ260" s="4" t="str">
        <f aca="false">IF($A260="","",IF(AI260&lt;&gt;"Yes","On time",IF(N(AC260)&gt;=MAX(N(AF260),N(K260)),"Wait for analyst",IF(N(AF260)&gt;=N(K260),"External sign-off","Rework"))))</f>
        <v/>
      </c>
      <c r="AK260" s="4" t="str">
        <f aca="false">IF($A260="","",IF(OR(F260="",Y260="",ISNA(MATCH(L260,Dim_Analyst!$A:$A,0))),"CHECK","OK"))</f>
        <v/>
      </c>
      <c r="AL260" s="4" t="str">
        <f aca="false">IF($A260="","",IFERROR(VLOOKUP($C260,Dim_Fund!$A:$U,21,0),""))</f>
        <v/>
      </c>
      <c r="AM260" s="4" t="str">
        <f aca="false">IF($A260="","",IF($U260="","",IF($U260&gt;$B260+IFERROR(VLOOKUP($C260,Dim_Fund!$A:$AH,34,0),0)/24,"Yes","No")))</f>
        <v/>
      </c>
      <c r="AN260" s="22" t="str">
        <f aca="false">IF($A260="","",IFERROR(VLOOKUP($C260,Dim_Fund!$A:$AH,34,0),""))</f>
        <v/>
      </c>
      <c r="AO260" s="22" t="str">
        <f aca="false">IF($A260="","",IF($AL260="","",IFERROR(FLOOR(IF(COUNTIFS(Fact_Milestone!$A:$A,$B260,Fact_Milestone!$B:$B,$AL260,Fact_Milestone!$F:$F,"&gt;0")&gt;0,_xlfn.MINIFS(Fact_Milestone!$F:$F,Fact_Milestone!$A:$A,$B260,Fact_Milestone!$B:$B,$AL260,Fact_Milestone!$F:$F,"&gt;0"),VLOOKUP($AL260,Dim_TOP!$A:$E,5,0)),0.5),"")))</f>
        <v/>
      </c>
      <c r="AP260" s="22" t="str">
        <f aca="false">IF($A260="","",IF($U260="","",ROUND(($U260-INT($U260))*24,4)))</f>
        <v/>
      </c>
      <c r="AQ260" s="22" t="str">
        <f aca="false">IF($A260="","",IF($W260="","",ROUND(($W260-INT($W260))*24,4)))</f>
        <v/>
      </c>
      <c r="AR260" s="22" t="str">
        <f aca="false">IF($A260="","",IF($X260="","",ROUND(($X260-INT($X260))*24,4)))</f>
        <v/>
      </c>
      <c r="AS260" s="38" t="str">
        <f aca="false">IF($A260="","",IF(OR($AN260="",$V260="",$S260="",$T260=""),"",ROUND(($V260-($B260+$AN260/24))*1440-$S260-$T260,0)))</f>
        <v/>
      </c>
      <c r="AT260" s="38" t="str">
        <f aca="false">IF($A260="","",IF(OR($AN260="",$U260=""),"",ROUND(($U260-($B260+$AN260/24))*1440,0)))</f>
        <v/>
      </c>
      <c r="AU260" s="38" t="str">
        <f aca="false">IF($A260="","",IF(OR($AD260="",$S260=""),"",ROUND($AD260-$S260,0)))</f>
        <v/>
      </c>
      <c r="AV260" s="38" t="str">
        <f aca="false">IF($A260="","",N($AE260))</f>
        <v/>
      </c>
      <c r="AW260" s="38" t="str">
        <f aca="false">IF($A260="","",IF(OR($AF260="",$T260=""),"",$AF260-$T260))</f>
        <v/>
      </c>
      <c r="AX260" s="38" t="str">
        <f aca="false">IF($A260="","",IF(COUNT($AT260,$AB260,$AU260,$AW260,$AS260,$AH260)&lt;6,"",ROUND($AT260+$AB260+$AU260+$AV260+$AW260-$AS260-$AH260,0)))</f>
        <v/>
      </c>
      <c r="AY260" s="4" t="str">
        <f aca="false">IF($A260="","",IF($AX260="","No",IF(ABS($AX260)&lt;=2,"Yes","No")))</f>
        <v/>
      </c>
      <c r="AZ260" s="4" t="str">
        <f aca="false">IF($A260="","",IF($AI260&lt;&gt;"Yes","n/a",IF(OR($AA260="",$S260="",$T260=""),"Unknown",IF($AA260&lt;$S260+$T260,"Lost on arrival","Lost after arrival"))))</f>
        <v/>
      </c>
      <c r="BA260" s="10" t="str">
        <f aca="false">IF($A260="","",IFERROR(VLOOKUP($C260,Dim_Fund!$A:$D,4,0),""))</f>
        <v/>
      </c>
      <c r="BB260" s="10" t="str">
        <f aca="false">IF($A260="","",IF($AL260="","",IF(COUNTIFS(Fact_Milestone!$A:$A,$B260,Fact_Milestone!$B:$B,$AL260,Fact_Milestone!$I:$I,"No")&gt;0,"No",IF(COUNTIFS(Fact_Milestone!$A:$A,$B260,Fact_Milestone!$B:$B,$AL260,Fact_Milestone!$I:$I,"Yes")&gt;0,"Yes",""))))</f>
        <v/>
      </c>
      <c r="BC260" s="45" t="str">
        <f aca="false">IF($A260="","",IF(OR($L260="",$W260=""),"",IF(COUNTIFS($L:$L,$L260,$B:$B,$B260,$W:$W,"&lt;"&amp;$W260)=0,"",_xlfn.MAXIFS($W:$W,$L:$L,$L260,$B:$B,$B260,$W:$W,"&lt;"&amp;$W260))))</f>
        <v/>
      </c>
      <c r="BD260" s="39" t="str">
        <f aca="false">IF($A260="","",IF($AC260="","",IF(OR($L260="",$AC260=0),0,MIN($AC260,ROUND(ROUND(1440*SUMPRODUCT(($L$2:INDEX($L:$L,COUNTA($C:$C))=$L260)*($B$2:INDEX($B:$B,COUNTA($C:$C))=$B260)*(ROW($L$2:INDEX($L:$L,COUNTA($C:$C)))&lt;&gt;ROW())*((((($W260+$BT$2:INDEX($BT:$BT,COUNTA($C:$C))-ABS($W260-$BT$2:INDEX($BT:$BT,COUNTA($C:$C))))/2)-(($U260+$BS$2:INDEX($BS:$BS,COUNTA($C:$C))+ABS($U260-$BS$2:INDEX($BS:$BS,COUNTA($C:$C))))/2))+ABS(((($W260+$BT$2:INDEX($BT:$BT,COUNTA($C:$C))-ABS($W260-$BT$2:INDEX($BT:$BT,COUNTA($C:$C))))/2)-(($U260+$BS$2:INDEX($BS:$BS,COUNTA($C:$C))+ABS($U260-$BS$2:INDEX($BS:$BS,COUNTA($C:$C))))/2))))/2)),4),0)))))</f>
        <v/>
      </c>
      <c r="BE260" s="39" t="str">
        <f aca="false">IF($A260="","",IF($AC260="","",ROUND(MIN($AC260-$BD260,N($R260)),0)))</f>
        <v/>
      </c>
      <c r="BF260" s="10" t="str">
        <f aca="false">IF($A260="","",IFERROR(VLOOKUP($C260,Dim_Fund!$A:$BD,56,0),""))</f>
        <v/>
      </c>
      <c r="BG260" s="10" t="str">
        <f aca="false">IF($A260="","",IFERROR(VLOOKUP($C260,Dim_Fund!$A:$BH,60,0),""))</f>
        <v/>
      </c>
      <c r="BH260" s="10" t="str">
        <f aca="false">IF($A260="","",IF($AI260&lt;&gt;"Yes","Not breached",IF($AM260="Yes","Pricing late",IF($BG260="Thin custody slack","Thin custody slack",IF($BF260="Yes","Broker-dependent","None of these")))))</f>
        <v/>
      </c>
      <c r="BI260" s="23" t="str">
        <f aca="false">IF($A260="","",IFERROR(IF(VLOOKUP($C260,Dim_Fund!$A:$AI,35,0)&gt;0,VLOOKUP($C260,Dim_Fund!$A:$AI,35,0),""),""))</f>
        <v/>
      </c>
      <c r="BJ260" s="10" t="str">
        <f aca="false">IF($A260="","",$C260&amp;IF($E260="Client","*",""))</f>
        <v/>
      </c>
      <c r="BK260" s="39" t="str">
        <f aca="false">IF($A260="","",IFERROR(ROUND(($Y260-$X260)*1440,0),""))</f>
        <v/>
      </c>
      <c r="BL260" s="39" t="str">
        <f aca="false">IF($A260="","",IF($AH260="","",-$AH260))</f>
        <v/>
      </c>
      <c r="BM260" s="46" t="str">
        <f aca="false">IF($A260="","",IF($AQ260="","",IF($AP260="",$AQ260,MIN($AP260,$AQ260))))</f>
        <v/>
      </c>
      <c r="BN260" s="46" t="str">
        <f aca="false">IF($A260="","",IF($BM260="","",ROUND(N($AC260)/60,4)))</f>
        <v/>
      </c>
      <c r="BO260" s="46" t="str">
        <f aca="false">IF($A260="","",IF(OR($BM260="",$AD260=""),"",ROUND($AD260/60,4)))</f>
        <v/>
      </c>
      <c r="BP260" s="46" t="str">
        <f aca="false">IF($A260="","",IF($BM260="","",ROUND(N($AE260)/60,4)))</f>
        <v/>
      </c>
      <c r="BQ260" s="46" t="str">
        <f aca="false">IF($A260="","",IF(OR($BM260="",$AF260=""),"",ROUND($AF260/60,4)))</f>
        <v/>
      </c>
      <c r="BR260" s="39" t="str">
        <f aca="false">IF($A260="","",IF($AC260="","",$AC260-$BD260-$BE260))</f>
        <v/>
      </c>
      <c r="BS260" s="45" t="str">
        <f aca="false">IF($A260="","",IF(AND(ISNUMBER($Z260),ISNUMBER($W260)),$Z260,0))</f>
        <v/>
      </c>
      <c r="BT260" s="45" t="str">
        <f aca="false">IF($A260="","",IF(ISNUMBER($W260),$W260,0))</f>
        <v/>
      </c>
      <c r="BU260" s="23" t="str">
        <f aca="false">IF($A260="","",IF(ISNUMBER($W260),ROUND(($W260-$B260)*24,4),""))</f>
        <v/>
      </c>
      <c r="BV260" s="23" t="str">
        <f aca="false">IF($A260="","",IF(ISNUMBER($X260),ROUND(($X260-$B260)*24,4),""))</f>
        <v/>
      </c>
      <c r="BW260" s="10" t="str">
        <f aca="false">IF($A260="","",IF(NOT(ISNUMBER($W260)),"Missing Calculated",IF(NOT(ISNUMBER($X260)),IF($E260="Client","Missing FA signed off","Missing Controlled"),IF($X260&lt;$W260,"End before start","OK"))))</f>
        <v/>
      </c>
      <c r="BX260" s="23" t="str">
        <f aca="false">IF($A260="","",IF(NOT(ISNUMBER($Z260)),"",ROUND((IF(ISNUMBER($U260),MIN($U260,$Z260),$Z260)-$B260)*24,4)))</f>
        <v/>
      </c>
      <c r="BY260" s="23" t="str">
        <f aca="false">IF($A260="","",IF(ISNUMBER($Z260),ROUND(($Z260-$B260)*24,4),""))</f>
        <v/>
      </c>
      <c r="BZ260" s="23" t="str">
        <f aca="false">IF($A260="","",IF(AND(ISNUMBER($W260),ISNUMBER($S260)),ROUND(($W260+$S260/1440-$B260)*24,4),""))</f>
        <v/>
      </c>
    </row>
    <row r="261" customFormat="false" ht="15" hidden="false" customHeight="true" outlineLevel="0" collapsed="false">
      <c r="A261" s="47"/>
      <c r="B261" s="47"/>
      <c r="D261" s="4" t="str">
        <f aca="false">IF($A261="","",$B261-$A261)</f>
        <v/>
      </c>
      <c r="E261" s="4" t="str">
        <f aca="false">IF($A261="","",IFERROR(VLOOKUP($C261,Dim_Fund!$A:$X,24,0),""))</f>
        <v/>
      </c>
      <c r="F261" s="37" t="str">
        <f aca="false">IF($A261="","",IF(COUNTIFS(Status_Log!$A:$A,$A261,Status_Log!$B:$B,$B261,Status_Log!$C:$C,$C261,Status_Log!$D:$D,"Changed to the status of Calculated")=0,"",_xlfn.MINIFS(Status_Log!$E:$E,Status_Log!$A:$A,$A261,Status_Log!$B:$B,$B261,Status_Log!$C:$C,$C261,Status_Log!$D:$D,"Changed to the status of Calculated")))</f>
        <v/>
      </c>
      <c r="G261" s="37" t="str">
        <f aca="false">IF($A261="","",IF(COUNTIFS(Status_Log!$A:$A,$A261,Status_Log!$B:$B,$B261,Status_Log!$C:$C,$C261,Status_Log!$D:$D,"Changed to the status of Controlled")=0,"",_xlfn.MAXIFS(Status_Log!$E:$E,Status_Log!$A:$A,$A261,Status_Log!$B:$B,$B261,Status_Log!$C:$C,$C261,Status_Log!$D:$D,"Changed to the status of Controlled")))</f>
        <v/>
      </c>
      <c r="H261" s="37" t="str">
        <f aca="false">IF($A261="","",IF(COUNTIFS(Status_Log!$A:$A,$A261,Status_Log!$B:$B,$B261,Status_Log!$C:$C,$C261,Status_Log!$D:$D,"Changed to the status of Fund accounting signed off")=0,"",_xlfn.MAXIFS(Status_Log!$E:$E,Status_Log!$A:$A,$A261,Status_Log!$B:$B,$B261,Status_Log!$C:$C,$C261,Status_Log!$D:$D,"Changed to the status of Fund accounting signed off")))</f>
        <v/>
      </c>
      <c r="I261" s="37" t="str">
        <f aca="false">IF($A261="","",IF(COUNTIFS(Status_Log!$A:$A,$A261,Status_Log!$B:$B,$B261,Status_Log!$C:$C,$C261,Status_Log!$D:$D,"Changed to the status of signed off")=0,"",_xlfn.MAXIFS(Status_Log!$E:$E,Status_Log!$A:$A,$A261,Status_Log!$B:$B,$B261,Status_Log!$C:$C,$C261,Status_Log!$D:$D,"Changed to the status of signed off")))</f>
        <v/>
      </c>
      <c r="J261" s="4" t="str">
        <f aca="false">IF($A261="","",COUNTIFS(Status_Log!$A:$A,$A261,Status_Log!$B:$B,$B261,Status_Log!$C:$C,$C261,Status_Log!$D:$D,"Changed to the status of Calculated"))</f>
        <v/>
      </c>
      <c r="K261" s="38" t="str">
        <f aca="false">IF($A261="","",IF(J261&lt;=1,0,ROUND((_xlfn.MAXIFS(Status_Log!$E:$E,Status_Log!$A:$A,$A261,Status_Log!$B:$B,$B261,Status_Log!$C:$C,$C261,Status_Log!$D:$D,"Changed to the status of Calculated")-F261)*1440,0)))</f>
        <v/>
      </c>
      <c r="L261" s="4" t="str">
        <f aca="false">IF($A261="","",IFERROR(INDEX(Status_Log!$F:$F,MATCH($A261&amp;"|"&amp;$B261&amp;"|"&amp;$C261&amp;"|Changed to the status of Calculated|"&amp;TEXT(_xlfn.MAXIFS(Status_Log!$E:$E,Status_Log!$A:$A,$A261,Status_Log!$B:$B,$B261,Status_Log!$C:$C,$C261,Status_Log!$D:$D,"Changed to the status of Calculated"),"0.000000"),Status_Log!$H:$H,0)),""))</f>
        <v/>
      </c>
      <c r="M261" s="4" t="str">
        <f aca="false">IF($A261="","",IF(E261="Client","n/a — no control step",IFERROR(INDEX(Status_Log!$F:$F,MATCH($A261&amp;"|"&amp;$B261&amp;"|"&amp;$C261&amp;"|Changed to the status of Controlled|"&amp;TEXT(_xlfn.MAXIFS(Status_Log!$E:$E,Status_Log!$A:$A,$A261,Status_Log!$B:$B,$B261,Status_Log!$C:$C,$C261,Status_Log!$D:$D,"Changed to the status of Controlled"),"0.000000"),Status_Log!$H:$H,0)),"")))</f>
        <v/>
      </c>
      <c r="N261" s="4" t="str">
        <f aca="false">IF($A261="","",IFERROR(VLOOKUP($C261,Dim_Fund!$A:$G,7,0),""))</f>
        <v/>
      </c>
      <c r="O261" s="4" t="str">
        <f aca="false">IF($A261="","",IF(L261=N261,"No","Yes"))</f>
        <v/>
      </c>
      <c r="P261" s="4" t="str">
        <f aca="false">IF($A261="","",IF(E261="Client","n/a",IF(L261=M261,"YES — four-eyes breach","No")))</f>
        <v/>
      </c>
      <c r="Q261" s="38" t="str">
        <f aca="false">IF($A261="","",IFERROR(VLOOKUP($C261,Dim_Fund!$A:$AB,28,0),""))</f>
        <v/>
      </c>
      <c r="R261" s="38" t="str">
        <f aca="false">IF($A261="","",IFERROR(VLOOKUP($C261,Dim_Fund!$A:$AC,29,0),""))</f>
        <v/>
      </c>
      <c r="S261" s="38" t="str">
        <f aca="false">IF($A261="","",IFERROR(VLOOKUP($C261,Dim_Fund!$A:$AD,30,0),""))</f>
        <v/>
      </c>
      <c r="T261" s="38" t="str">
        <f aca="false">IF($A261="","",IFERROR(VLOOKUP($C261,Dim_Fund!$A:$AL,38,0),""))</f>
        <v/>
      </c>
      <c r="U261" s="37" t="str">
        <f aca="false">IF($A261="","",IF(AL261="","",IFERROR(IF(COUNTIFS(Fact_Milestone!$A:$A,$B261,Fact_Milestone!$B:$B,AL261)=0,"",_xlfn.MAXIFS(Fact_Milestone!$C:$C,Fact_Milestone!$A:$A,$B261,Fact_Milestone!$B:$B,AL261)),"")))</f>
        <v/>
      </c>
      <c r="V261" s="37" t="str">
        <f aca="false">IF($A261="","",IFERROR(IF(VLOOKUP($C261,Dim_Fund!$A:$AI,35,0)&gt;0,$B261+VLOOKUP($C261,Dim_Fund!$A:$AI,35,0)/24,""),""))</f>
        <v/>
      </c>
      <c r="W261" s="37" t="str">
        <f aca="false">IF($A261="","",F261)</f>
        <v/>
      </c>
      <c r="X261" s="37" t="str">
        <f aca="false">IF($A261="","",IF(E261="Client",H261,G261))</f>
        <v/>
      </c>
      <c r="Y261" s="37" t="str">
        <f aca="false">IF($A261="","",I261)</f>
        <v/>
      </c>
      <c r="Z261" s="37" t="str">
        <f aca="false">IF($A261="","",IFERROR(W261-R261/1440,""))</f>
        <v/>
      </c>
      <c r="AA261" s="38" t="str">
        <f aca="false">IF($A261="","",IF(OR(U261="",V261=""),"",ROUND((V261-U261)*1440,0)))</f>
        <v/>
      </c>
      <c r="AB261" s="38" t="str">
        <f aca="false">IF($A261="","",IF(U261="","",ROUND((W261-U261)*1440,0)))</f>
        <v/>
      </c>
      <c r="AC261" s="38" t="str">
        <f aca="false">IF($A261="","",IF(AB261="","",MAX(0,AB261)))</f>
        <v/>
      </c>
      <c r="AD261" s="38" t="str">
        <f aca="false">IF($A261="","",IFERROR(ROUND((X261-W261)*1440,0),""))</f>
        <v/>
      </c>
      <c r="AE261" s="38" t="str">
        <f aca="false">IF($A261="","",IF(E261="Client","n/a",IFERROR(ROUND((H261-G261)*1440,0),"")))</f>
        <v/>
      </c>
      <c r="AF261" s="38" t="str">
        <f aca="false">IF($A261="","",IFERROR(ROUND((Y261-H261)*1440,0),""))</f>
        <v/>
      </c>
      <c r="AG261" s="38" t="str">
        <f aca="false">IF($A261="","",IFERROR(ROUND((H261-F261)*1440,0),""))</f>
        <v/>
      </c>
      <c r="AH261" s="38" t="str">
        <f aca="false">IF($A261="","",IFERROR(ROUND((Y261-V261)*1440,0),""))</f>
        <v/>
      </c>
      <c r="AI261" s="4" t="str">
        <f aca="false">IF($A261="","",IF(AH261="","",IF(AH261&gt;0,"Yes","No")))</f>
        <v/>
      </c>
      <c r="AJ261" s="4" t="str">
        <f aca="false">IF($A261="","",IF(AI261&lt;&gt;"Yes","On time",IF(N(AC261)&gt;=MAX(N(AF261),N(K261)),"Wait for analyst",IF(N(AF261)&gt;=N(K261),"External sign-off","Rework"))))</f>
        <v/>
      </c>
      <c r="AK261" s="4" t="str">
        <f aca="false">IF($A261="","",IF(OR(F261="",Y261="",ISNA(MATCH(L261,Dim_Analyst!$A:$A,0))),"CHECK","OK"))</f>
        <v/>
      </c>
      <c r="AL261" s="4" t="str">
        <f aca="false">IF($A261="","",IFERROR(VLOOKUP($C261,Dim_Fund!$A:$U,21,0),""))</f>
        <v/>
      </c>
      <c r="AM261" s="4" t="str">
        <f aca="false">IF($A261="","",IF($U261="","",IF($U261&gt;$B261+IFERROR(VLOOKUP($C261,Dim_Fund!$A:$AH,34,0),0)/24,"Yes","No")))</f>
        <v/>
      </c>
      <c r="AN261" s="22" t="str">
        <f aca="false">IF($A261="","",IFERROR(VLOOKUP($C261,Dim_Fund!$A:$AH,34,0),""))</f>
        <v/>
      </c>
      <c r="AO261" s="22" t="str">
        <f aca="false">IF($A261="","",IF($AL261="","",IFERROR(FLOOR(IF(COUNTIFS(Fact_Milestone!$A:$A,$B261,Fact_Milestone!$B:$B,$AL261,Fact_Milestone!$F:$F,"&gt;0")&gt;0,_xlfn.MINIFS(Fact_Milestone!$F:$F,Fact_Milestone!$A:$A,$B261,Fact_Milestone!$B:$B,$AL261,Fact_Milestone!$F:$F,"&gt;0"),VLOOKUP($AL261,Dim_TOP!$A:$E,5,0)),0.5),"")))</f>
        <v/>
      </c>
      <c r="AP261" s="22" t="str">
        <f aca="false">IF($A261="","",IF($U261="","",ROUND(($U261-INT($U261))*24,4)))</f>
        <v/>
      </c>
      <c r="AQ261" s="22" t="str">
        <f aca="false">IF($A261="","",IF($W261="","",ROUND(($W261-INT($W261))*24,4)))</f>
        <v/>
      </c>
      <c r="AR261" s="22" t="str">
        <f aca="false">IF($A261="","",IF($X261="","",ROUND(($X261-INT($X261))*24,4)))</f>
        <v/>
      </c>
      <c r="AS261" s="38" t="str">
        <f aca="false">IF($A261="","",IF(OR($AN261="",$V261="",$S261="",$T261=""),"",ROUND(($V261-($B261+$AN261/24))*1440-$S261-$T261,0)))</f>
        <v/>
      </c>
      <c r="AT261" s="38" t="str">
        <f aca="false">IF($A261="","",IF(OR($AN261="",$U261=""),"",ROUND(($U261-($B261+$AN261/24))*1440,0)))</f>
        <v/>
      </c>
      <c r="AU261" s="38" t="str">
        <f aca="false">IF($A261="","",IF(OR($AD261="",$S261=""),"",ROUND($AD261-$S261,0)))</f>
        <v/>
      </c>
      <c r="AV261" s="38" t="str">
        <f aca="false">IF($A261="","",N($AE261))</f>
        <v/>
      </c>
      <c r="AW261" s="38" t="str">
        <f aca="false">IF($A261="","",IF(OR($AF261="",$T261=""),"",$AF261-$T261))</f>
        <v/>
      </c>
      <c r="AX261" s="38" t="str">
        <f aca="false">IF($A261="","",IF(COUNT($AT261,$AB261,$AU261,$AW261,$AS261,$AH261)&lt;6,"",ROUND($AT261+$AB261+$AU261+$AV261+$AW261-$AS261-$AH261,0)))</f>
        <v/>
      </c>
      <c r="AY261" s="4" t="str">
        <f aca="false">IF($A261="","",IF($AX261="","No",IF(ABS($AX261)&lt;=2,"Yes","No")))</f>
        <v/>
      </c>
      <c r="AZ261" s="4" t="str">
        <f aca="false">IF($A261="","",IF($AI261&lt;&gt;"Yes","n/a",IF(OR($AA261="",$S261="",$T261=""),"Unknown",IF($AA261&lt;$S261+$T261,"Lost on arrival","Lost after arrival"))))</f>
        <v/>
      </c>
      <c r="BA261" s="10" t="str">
        <f aca="false">IF($A261="","",IFERROR(VLOOKUP($C261,Dim_Fund!$A:$D,4,0),""))</f>
        <v/>
      </c>
      <c r="BB261" s="10" t="str">
        <f aca="false">IF($A261="","",IF($AL261="","",IF(COUNTIFS(Fact_Milestone!$A:$A,$B261,Fact_Milestone!$B:$B,$AL261,Fact_Milestone!$I:$I,"No")&gt;0,"No",IF(COUNTIFS(Fact_Milestone!$A:$A,$B261,Fact_Milestone!$B:$B,$AL261,Fact_Milestone!$I:$I,"Yes")&gt;0,"Yes",""))))</f>
        <v/>
      </c>
      <c r="BC261" s="45" t="str">
        <f aca="false">IF($A261="","",IF(OR($L261="",$W261=""),"",IF(COUNTIFS($L:$L,$L261,$B:$B,$B261,$W:$W,"&lt;"&amp;$W261)=0,"",_xlfn.MAXIFS($W:$W,$L:$L,$L261,$B:$B,$B261,$W:$W,"&lt;"&amp;$W261))))</f>
        <v/>
      </c>
      <c r="BD261" s="39" t="str">
        <f aca="false">IF($A261="","",IF($AC261="","",IF(OR($L261="",$AC261=0),0,MIN($AC261,ROUND(ROUND(1440*SUMPRODUCT(($L$2:INDEX($L:$L,COUNTA($C:$C))=$L261)*($B$2:INDEX($B:$B,COUNTA($C:$C))=$B261)*(ROW($L$2:INDEX($L:$L,COUNTA($C:$C)))&lt;&gt;ROW())*((((($W261+$BT$2:INDEX($BT:$BT,COUNTA($C:$C))-ABS($W261-$BT$2:INDEX($BT:$BT,COUNTA($C:$C))))/2)-(($U261+$BS$2:INDEX($BS:$BS,COUNTA($C:$C))+ABS($U261-$BS$2:INDEX($BS:$BS,COUNTA($C:$C))))/2))+ABS(((($W261+$BT$2:INDEX($BT:$BT,COUNTA($C:$C))-ABS($W261-$BT$2:INDEX($BT:$BT,COUNTA($C:$C))))/2)-(($U261+$BS$2:INDEX($BS:$BS,COUNTA($C:$C))+ABS($U261-$BS$2:INDEX($BS:$BS,COUNTA($C:$C))))/2))))/2)),4),0)))))</f>
        <v/>
      </c>
      <c r="BE261" s="39" t="str">
        <f aca="false">IF($A261="","",IF($AC261="","",ROUND(MIN($AC261-$BD261,N($R261)),0)))</f>
        <v/>
      </c>
      <c r="BF261" s="10" t="str">
        <f aca="false">IF($A261="","",IFERROR(VLOOKUP($C261,Dim_Fund!$A:$BD,56,0),""))</f>
        <v/>
      </c>
      <c r="BG261" s="10" t="str">
        <f aca="false">IF($A261="","",IFERROR(VLOOKUP($C261,Dim_Fund!$A:$BH,60,0),""))</f>
        <v/>
      </c>
      <c r="BH261" s="10" t="str">
        <f aca="false">IF($A261="","",IF($AI261&lt;&gt;"Yes","Not breached",IF($AM261="Yes","Pricing late",IF($BG261="Thin custody slack","Thin custody slack",IF($BF261="Yes","Broker-dependent","None of these")))))</f>
        <v/>
      </c>
      <c r="BI261" s="23" t="str">
        <f aca="false">IF($A261="","",IFERROR(IF(VLOOKUP($C261,Dim_Fund!$A:$AI,35,0)&gt;0,VLOOKUP($C261,Dim_Fund!$A:$AI,35,0),""),""))</f>
        <v/>
      </c>
      <c r="BJ261" s="10" t="str">
        <f aca="false">IF($A261="","",$C261&amp;IF($E261="Client","*",""))</f>
        <v/>
      </c>
      <c r="BK261" s="39" t="str">
        <f aca="false">IF($A261="","",IFERROR(ROUND(($Y261-$X261)*1440,0),""))</f>
        <v/>
      </c>
      <c r="BL261" s="39" t="str">
        <f aca="false">IF($A261="","",IF($AH261="","",-$AH261))</f>
        <v/>
      </c>
      <c r="BM261" s="46" t="str">
        <f aca="false">IF($A261="","",IF($AQ261="","",IF($AP261="",$AQ261,MIN($AP261,$AQ261))))</f>
        <v/>
      </c>
      <c r="BN261" s="46" t="str">
        <f aca="false">IF($A261="","",IF($BM261="","",ROUND(N($AC261)/60,4)))</f>
        <v/>
      </c>
      <c r="BO261" s="46" t="str">
        <f aca="false">IF($A261="","",IF(OR($BM261="",$AD261=""),"",ROUND($AD261/60,4)))</f>
        <v/>
      </c>
      <c r="BP261" s="46" t="str">
        <f aca="false">IF($A261="","",IF($BM261="","",ROUND(N($AE261)/60,4)))</f>
        <v/>
      </c>
      <c r="BQ261" s="46" t="str">
        <f aca="false">IF($A261="","",IF(OR($BM261="",$AF261=""),"",ROUND($AF261/60,4)))</f>
        <v/>
      </c>
      <c r="BR261" s="39" t="str">
        <f aca="false">IF($A261="","",IF($AC261="","",$AC261-$BD261-$BE261))</f>
        <v/>
      </c>
      <c r="BS261" s="45" t="str">
        <f aca="false">IF($A261="","",IF(AND(ISNUMBER($Z261),ISNUMBER($W261)),$Z261,0))</f>
        <v/>
      </c>
      <c r="BT261" s="45" t="str">
        <f aca="false">IF($A261="","",IF(ISNUMBER($W261),$W261,0))</f>
        <v/>
      </c>
      <c r="BU261" s="23" t="str">
        <f aca="false">IF($A261="","",IF(ISNUMBER($W261),ROUND(($W261-$B261)*24,4),""))</f>
        <v/>
      </c>
      <c r="BV261" s="23" t="str">
        <f aca="false">IF($A261="","",IF(ISNUMBER($X261),ROUND(($X261-$B261)*24,4),""))</f>
        <v/>
      </c>
      <c r="BW261" s="10" t="str">
        <f aca="false">IF($A261="","",IF(NOT(ISNUMBER($W261)),"Missing Calculated",IF(NOT(ISNUMBER($X261)),IF($E261="Client","Missing FA signed off","Missing Controlled"),IF($X261&lt;$W261,"End before start","OK"))))</f>
        <v/>
      </c>
      <c r="BX261" s="23" t="str">
        <f aca="false">IF($A261="","",IF(NOT(ISNUMBER($Z261)),"",ROUND((IF(ISNUMBER($U261),MIN($U261,$Z261),$Z261)-$B261)*24,4)))</f>
        <v/>
      </c>
      <c r="BY261" s="23" t="str">
        <f aca="false">IF($A261="","",IF(ISNUMBER($Z261),ROUND(($Z261-$B261)*24,4),""))</f>
        <v/>
      </c>
      <c r="BZ261" s="23" t="str">
        <f aca="false">IF($A261="","",IF(AND(ISNUMBER($W261),ISNUMBER($S261)),ROUND(($W261+$S261/1440-$B261)*24,4),""))</f>
        <v/>
      </c>
    </row>
    <row r="262" customFormat="false" ht="15" hidden="false" customHeight="true" outlineLevel="0" collapsed="false">
      <c r="A262" s="47"/>
      <c r="B262" s="47"/>
      <c r="D262" s="4" t="str">
        <f aca="false">IF($A262="","",$B262-$A262)</f>
        <v/>
      </c>
      <c r="E262" s="4" t="str">
        <f aca="false">IF($A262="","",IFERROR(VLOOKUP($C262,Dim_Fund!$A:$X,24,0),""))</f>
        <v/>
      </c>
      <c r="F262" s="37" t="str">
        <f aca="false">IF($A262="","",IF(COUNTIFS(Status_Log!$A:$A,$A262,Status_Log!$B:$B,$B262,Status_Log!$C:$C,$C262,Status_Log!$D:$D,"Changed to the status of Calculated")=0,"",_xlfn.MINIFS(Status_Log!$E:$E,Status_Log!$A:$A,$A262,Status_Log!$B:$B,$B262,Status_Log!$C:$C,$C262,Status_Log!$D:$D,"Changed to the status of Calculated")))</f>
        <v/>
      </c>
      <c r="G262" s="37" t="str">
        <f aca="false">IF($A262="","",IF(COUNTIFS(Status_Log!$A:$A,$A262,Status_Log!$B:$B,$B262,Status_Log!$C:$C,$C262,Status_Log!$D:$D,"Changed to the status of Controlled")=0,"",_xlfn.MAXIFS(Status_Log!$E:$E,Status_Log!$A:$A,$A262,Status_Log!$B:$B,$B262,Status_Log!$C:$C,$C262,Status_Log!$D:$D,"Changed to the status of Controlled")))</f>
        <v/>
      </c>
      <c r="H262" s="37" t="str">
        <f aca="false">IF($A262="","",IF(COUNTIFS(Status_Log!$A:$A,$A262,Status_Log!$B:$B,$B262,Status_Log!$C:$C,$C262,Status_Log!$D:$D,"Changed to the status of Fund accounting signed off")=0,"",_xlfn.MAXIFS(Status_Log!$E:$E,Status_Log!$A:$A,$A262,Status_Log!$B:$B,$B262,Status_Log!$C:$C,$C262,Status_Log!$D:$D,"Changed to the status of Fund accounting signed off")))</f>
        <v/>
      </c>
      <c r="I262" s="37" t="str">
        <f aca="false">IF($A262="","",IF(COUNTIFS(Status_Log!$A:$A,$A262,Status_Log!$B:$B,$B262,Status_Log!$C:$C,$C262,Status_Log!$D:$D,"Changed to the status of signed off")=0,"",_xlfn.MAXIFS(Status_Log!$E:$E,Status_Log!$A:$A,$A262,Status_Log!$B:$B,$B262,Status_Log!$C:$C,$C262,Status_Log!$D:$D,"Changed to the status of signed off")))</f>
        <v/>
      </c>
      <c r="J262" s="4" t="str">
        <f aca="false">IF($A262="","",COUNTIFS(Status_Log!$A:$A,$A262,Status_Log!$B:$B,$B262,Status_Log!$C:$C,$C262,Status_Log!$D:$D,"Changed to the status of Calculated"))</f>
        <v/>
      </c>
      <c r="K262" s="38" t="str">
        <f aca="false">IF($A262="","",IF(J262&lt;=1,0,ROUND((_xlfn.MAXIFS(Status_Log!$E:$E,Status_Log!$A:$A,$A262,Status_Log!$B:$B,$B262,Status_Log!$C:$C,$C262,Status_Log!$D:$D,"Changed to the status of Calculated")-F262)*1440,0)))</f>
        <v/>
      </c>
      <c r="L262" s="4" t="str">
        <f aca="false">IF($A262="","",IFERROR(INDEX(Status_Log!$F:$F,MATCH($A262&amp;"|"&amp;$B262&amp;"|"&amp;$C262&amp;"|Changed to the status of Calculated|"&amp;TEXT(_xlfn.MAXIFS(Status_Log!$E:$E,Status_Log!$A:$A,$A262,Status_Log!$B:$B,$B262,Status_Log!$C:$C,$C262,Status_Log!$D:$D,"Changed to the status of Calculated"),"0.000000"),Status_Log!$H:$H,0)),""))</f>
        <v/>
      </c>
      <c r="M262" s="4" t="str">
        <f aca="false">IF($A262="","",IF(E262="Client","n/a — no control step",IFERROR(INDEX(Status_Log!$F:$F,MATCH($A262&amp;"|"&amp;$B262&amp;"|"&amp;$C262&amp;"|Changed to the status of Controlled|"&amp;TEXT(_xlfn.MAXIFS(Status_Log!$E:$E,Status_Log!$A:$A,$A262,Status_Log!$B:$B,$B262,Status_Log!$C:$C,$C262,Status_Log!$D:$D,"Changed to the status of Controlled"),"0.000000"),Status_Log!$H:$H,0)),"")))</f>
        <v/>
      </c>
      <c r="N262" s="4" t="str">
        <f aca="false">IF($A262="","",IFERROR(VLOOKUP($C262,Dim_Fund!$A:$G,7,0),""))</f>
        <v/>
      </c>
      <c r="O262" s="4" t="str">
        <f aca="false">IF($A262="","",IF(L262=N262,"No","Yes"))</f>
        <v/>
      </c>
      <c r="P262" s="4" t="str">
        <f aca="false">IF($A262="","",IF(E262="Client","n/a",IF(L262=M262,"YES — four-eyes breach","No")))</f>
        <v/>
      </c>
      <c r="Q262" s="38" t="str">
        <f aca="false">IF($A262="","",IFERROR(VLOOKUP($C262,Dim_Fund!$A:$AB,28,0),""))</f>
        <v/>
      </c>
      <c r="R262" s="38" t="str">
        <f aca="false">IF($A262="","",IFERROR(VLOOKUP($C262,Dim_Fund!$A:$AC,29,0),""))</f>
        <v/>
      </c>
      <c r="S262" s="38" t="str">
        <f aca="false">IF($A262="","",IFERROR(VLOOKUP($C262,Dim_Fund!$A:$AD,30,0),""))</f>
        <v/>
      </c>
      <c r="T262" s="38" t="str">
        <f aca="false">IF($A262="","",IFERROR(VLOOKUP($C262,Dim_Fund!$A:$AL,38,0),""))</f>
        <v/>
      </c>
      <c r="U262" s="37" t="str">
        <f aca="false">IF($A262="","",IF(AL262="","",IFERROR(IF(COUNTIFS(Fact_Milestone!$A:$A,$B262,Fact_Milestone!$B:$B,AL262)=0,"",_xlfn.MAXIFS(Fact_Milestone!$C:$C,Fact_Milestone!$A:$A,$B262,Fact_Milestone!$B:$B,AL262)),"")))</f>
        <v/>
      </c>
      <c r="V262" s="37" t="str">
        <f aca="false">IF($A262="","",IFERROR(IF(VLOOKUP($C262,Dim_Fund!$A:$AI,35,0)&gt;0,$B262+VLOOKUP($C262,Dim_Fund!$A:$AI,35,0)/24,""),""))</f>
        <v/>
      </c>
      <c r="W262" s="37" t="str">
        <f aca="false">IF($A262="","",F262)</f>
        <v/>
      </c>
      <c r="X262" s="37" t="str">
        <f aca="false">IF($A262="","",IF(E262="Client",H262,G262))</f>
        <v/>
      </c>
      <c r="Y262" s="37" t="str">
        <f aca="false">IF($A262="","",I262)</f>
        <v/>
      </c>
      <c r="Z262" s="37" t="str">
        <f aca="false">IF($A262="","",IFERROR(W262-R262/1440,""))</f>
        <v/>
      </c>
      <c r="AA262" s="38" t="str">
        <f aca="false">IF($A262="","",IF(OR(U262="",V262=""),"",ROUND((V262-U262)*1440,0)))</f>
        <v/>
      </c>
      <c r="AB262" s="38" t="str">
        <f aca="false">IF($A262="","",IF(U262="","",ROUND((W262-U262)*1440,0)))</f>
        <v/>
      </c>
      <c r="AC262" s="38" t="str">
        <f aca="false">IF($A262="","",IF(AB262="","",MAX(0,AB262)))</f>
        <v/>
      </c>
      <c r="AD262" s="38" t="str">
        <f aca="false">IF($A262="","",IFERROR(ROUND((X262-W262)*1440,0),""))</f>
        <v/>
      </c>
      <c r="AE262" s="38" t="str">
        <f aca="false">IF($A262="","",IF(E262="Client","n/a",IFERROR(ROUND((H262-G262)*1440,0),"")))</f>
        <v/>
      </c>
      <c r="AF262" s="38" t="str">
        <f aca="false">IF($A262="","",IFERROR(ROUND((Y262-H262)*1440,0),""))</f>
        <v/>
      </c>
      <c r="AG262" s="38" t="str">
        <f aca="false">IF($A262="","",IFERROR(ROUND((H262-F262)*1440,0),""))</f>
        <v/>
      </c>
      <c r="AH262" s="38" t="str">
        <f aca="false">IF($A262="","",IFERROR(ROUND((Y262-V262)*1440,0),""))</f>
        <v/>
      </c>
      <c r="AI262" s="4" t="str">
        <f aca="false">IF($A262="","",IF(AH262="","",IF(AH262&gt;0,"Yes","No")))</f>
        <v/>
      </c>
      <c r="AJ262" s="4" t="str">
        <f aca="false">IF($A262="","",IF(AI262&lt;&gt;"Yes","On time",IF(N(AC262)&gt;=MAX(N(AF262),N(K262)),"Wait for analyst",IF(N(AF262)&gt;=N(K262),"External sign-off","Rework"))))</f>
        <v/>
      </c>
      <c r="AK262" s="4" t="str">
        <f aca="false">IF($A262="","",IF(OR(F262="",Y262="",ISNA(MATCH(L262,Dim_Analyst!$A:$A,0))),"CHECK","OK"))</f>
        <v/>
      </c>
      <c r="AL262" s="4" t="str">
        <f aca="false">IF($A262="","",IFERROR(VLOOKUP($C262,Dim_Fund!$A:$U,21,0),""))</f>
        <v/>
      </c>
      <c r="AM262" s="4" t="str">
        <f aca="false">IF($A262="","",IF($U262="","",IF($U262&gt;$B262+IFERROR(VLOOKUP($C262,Dim_Fund!$A:$AH,34,0),0)/24,"Yes","No")))</f>
        <v/>
      </c>
      <c r="AN262" s="22" t="str">
        <f aca="false">IF($A262="","",IFERROR(VLOOKUP($C262,Dim_Fund!$A:$AH,34,0),""))</f>
        <v/>
      </c>
      <c r="AO262" s="22" t="str">
        <f aca="false">IF($A262="","",IF($AL262="","",IFERROR(FLOOR(IF(COUNTIFS(Fact_Milestone!$A:$A,$B262,Fact_Milestone!$B:$B,$AL262,Fact_Milestone!$F:$F,"&gt;0")&gt;0,_xlfn.MINIFS(Fact_Milestone!$F:$F,Fact_Milestone!$A:$A,$B262,Fact_Milestone!$B:$B,$AL262,Fact_Milestone!$F:$F,"&gt;0"),VLOOKUP($AL262,Dim_TOP!$A:$E,5,0)),0.5),"")))</f>
        <v/>
      </c>
      <c r="AP262" s="22" t="str">
        <f aca="false">IF($A262="","",IF($U262="","",ROUND(($U262-INT($U262))*24,4)))</f>
        <v/>
      </c>
      <c r="AQ262" s="22" t="str">
        <f aca="false">IF($A262="","",IF($W262="","",ROUND(($W262-INT($W262))*24,4)))</f>
        <v/>
      </c>
      <c r="AR262" s="22" t="str">
        <f aca="false">IF($A262="","",IF($X262="","",ROUND(($X262-INT($X262))*24,4)))</f>
        <v/>
      </c>
      <c r="AS262" s="38" t="str">
        <f aca="false">IF($A262="","",IF(OR($AN262="",$V262="",$S262="",$T262=""),"",ROUND(($V262-($B262+$AN262/24))*1440-$S262-$T262,0)))</f>
        <v/>
      </c>
      <c r="AT262" s="38" t="str">
        <f aca="false">IF($A262="","",IF(OR($AN262="",$U262=""),"",ROUND(($U262-($B262+$AN262/24))*1440,0)))</f>
        <v/>
      </c>
      <c r="AU262" s="38" t="str">
        <f aca="false">IF($A262="","",IF(OR($AD262="",$S262=""),"",ROUND($AD262-$S262,0)))</f>
        <v/>
      </c>
      <c r="AV262" s="38" t="str">
        <f aca="false">IF($A262="","",N($AE262))</f>
        <v/>
      </c>
      <c r="AW262" s="38" t="str">
        <f aca="false">IF($A262="","",IF(OR($AF262="",$T262=""),"",$AF262-$T262))</f>
        <v/>
      </c>
      <c r="AX262" s="38" t="str">
        <f aca="false">IF($A262="","",IF(COUNT($AT262,$AB262,$AU262,$AW262,$AS262,$AH262)&lt;6,"",ROUND($AT262+$AB262+$AU262+$AV262+$AW262-$AS262-$AH262,0)))</f>
        <v/>
      </c>
      <c r="AY262" s="4" t="str">
        <f aca="false">IF($A262="","",IF($AX262="","No",IF(ABS($AX262)&lt;=2,"Yes","No")))</f>
        <v/>
      </c>
      <c r="AZ262" s="4" t="str">
        <f aca="false">IF($A262="","",IF($AI262&lt;&gt;"Yes","n/a",IF(OR($AA262="",$S262="",$T262=""),"Unknown",IF($AA262&lt;$S262+$T262,"Lost on arrival","Lost after arrival"))))</f>
        <v/>
      </c>
      <c r="BA262" s="10" t="str">
        <f aca="false">IF($A262="","",IFERROR(VLOOKUP($C262,Dim_Fund!$A:$D,4,0),""))</f>
        <v/>
      </c>
      <c r="BB262" s="10" t="str">
        <f aca="false">IF($A262="","",IF($AL262="","",IF(COUNTIFS(Fact_Milestone!$A:$A,$B262,Fact_Milestone!$B:$B,$AL262,Fact_Milestone!$I:$I,"No")&gt;0,"No",IF(COUNTIFS(Fact_Milestone!$A:$A,$B262,Fact_Milestone!$B:$B,$AL262,Fact_Milestone!$I:$I,"Yes")&gt;0,"Yes",""))))</f>
        <v/>
      </c>
      <c r="BC262" s="45" t="str">
        <f aca="false">IF($A262="","",IF(OR($L262="",$W262=""),"",IF(COUNTIFS($L:$L,$L262,$B:$B,$B262,$W:$W,"&lt;"&amp;$W262)=0,"",_xlfn.MAXIFS($W:$W,$L:$L,$L262,$B:$B,$B262,$W:$W,"&lt;"&amp;$W262))))</f>
        <v/>
      </c>
      <c r="BD262" s="39" t="str">
        <f aca="false">IF($A262="","",IF($AC262="","",IF(OR($L262="",$AC262=0),0,MIN($AC262,ROUND(ROUND(1440*SUMPRODUCT(($L$2:INDEX($L:$L,COUNTA($C:$C))=$L262)*($B$2:INDEX($B:$B,COUNTA($C:$C))=$B262)*(ROW($L$2:INDEX($L:$L,COUNTA($C:$C)))&lt;&gt;ROW())*((((($W262+$BT$2:INDEX($BT:$BT,COUNTA($C:$C))-ABS($W262-$BT$2:INDEX($BT:$BT,COUNTA($C:$C))))/2)-(($U262+$BS$2:INDEX($BS:$BS,COUNTA($C:$C))+ABS($U262-$BS$2:INDEX($BS:$BS,COUNTA($C:$C))))/2))+ABS(((($W262+$BT$2:INDEX($BT:$BT,COUNTA($C:$C))-ABS($W262-$BT$2:INDEX($BT:$BT,COUNTA($C:$C))))/2)-(($U262+$BS$2:INDEX($BS:$BS,COUNTA($C:$C))+ABS($U262-$BS$2:INDEX($BS:$BS,COUNTA($C:$C))))/2))))/2)),4),0)))))</f>
        <v/>
      </c>
      <c r="BE262" s="39" t="str">
        <f aca="false">IF($A262="","",IF($AC262="","",ROUND(MIN($AC262-$BD262,N($R262)),0)))</f>
        <v/>
      </c>
      <c r="BF262" s="10" t="str">
        <f aca="false">IF($A262="","",IFERROR(VLOOKUP($C262,Dim_Fund!$A:$BD,56,0),""))</f>
        <v/>
      </c>
      <c r="BG262" s="10" t="str">
        <f aca="false">IF($A262="","",IFERROR(VLOOKUP($C262,Dim_Fund!$A:$BH,60,0),""))</f>
        <v/>
      </c>
      <c r="BH262" s="10" t="str">
        <f aca="false">IF($A262="","",IF($AI262&lt;&gt;"Yes","Not breached",IF($AM262="Yes","Pricing late",IF($BG262="Thin custody slack","Thin custody slack",IF($BF262="Yes","Broker-dependent","None of these")))))</f>
        <v/>
      </c>
      <c r="BI262" s="23" t="str">
        <f aca="false">IF($A262="","",IFERROR(IF(VLOOKUP($C262,Dim_Fund!$A:$AI,35,0)&gt;0,VLOOKUP($C262,Dim_Fund!$A:$AI,35,0),""),""))</f>
        <v/>
      </c>
      <c r="BJ262" s="10" t="str">
        <f aca="false">IF($A262="","",$C262&amp;IF($E262="Client","*",""))</f>
        <v/>
      </c>
      <c r="BK262" s="39" t="str">
        <f aca="false">IF($A262="","",IFERROR(ROUND(($Y262-$X262)*1440,0),""))</f>
        <v/>
      </c>
      <c r="BL262" s="39" t="str">
        <f aca="false">IF($A262="","",IF($AH262="","",-$AH262))</f>
        <v/>
      </c>
      <c r="BM262" s="46" t="str">
        <f aca="false">IF($A262="","",IF($AQ262="","",IF($AP262="",$AQ262,MIN($AP262,$AQ262))))</f>
        <v/>
      </c>
      <c r="BN262" s="46" t="str">
        <f aca="false">IF($A262="","",IF($BM262="","",ROUND(N($AC262)/60,4)))</f>
        <v/>
      </c>
      <c r="BO262" s="46" t="str">
        <f aca="false">IF($A262="","",IF(OR($BM262="",$AD262=""),"",ROUND($AD262/60,4)))</f>
        <v/>
      </c>
      <c r="BP262" s="46" t="str">
        <f aca="false">IF($A262="","",IF($BM262="","",ROUND(N($AE262)/60,4)))</f>
        <v/>
      </c>
      <c r="BQ262" s="46" t="str">
        <f aca="false">IF($A262="","",IF(OR($BM262="",$AF262=""),"",ROUND($AF262/60,4)))</f>
        <v/>
      </c>
      <c r="BR262" s="39" t="str">
        <f aca="false">IF($A262="","",IF($AC262="","",$AC262-$BD262-$BE262))</f>
        <v/>
      </c>
      <c r="BS262" s="45" t="str">
        <f aca="false">IF($A262="","",IF(AND(ISNUMBER($Z262),ISNUMBER($W262)),$Z262,0))</f>
        <v/>
      </c>
      <c r="BT262" s="45" t="str">
        <f aca="false">IF($A262="","",IF(ISNUMBER($W262),$W262,0))</f>
        <v/>
      </c>
      <c r="BU262" s="23" t="str">
        <f aca="false">IF($A262="","",IF(ISNUMBER($W262),ROUND(($W262-$B262)*24,4),""))</f>
        <v/>
      </c>
      <c r="BV262" s="23" t="str">
        <f aca="false">IF($A262="","",IF(ISNUMBER($X262),ROUND(($X262-$B262)*24,4),""))</f>
        <v/>
      </c>
      <c r="BW262" s="10" t="str">
        <f aca="false">IF($A262="","",IF(NOT(ISNUMBER($W262)),"Missing Calculated",IF(NOT(ISNUMBER($X262)),IF($E262="Client","Missing FA signed off","Missing Controlled"),IF($X262&lt;$W262,"End before start","OK"))))</f>
        <v/>
      </c>
      <c r="BX262" s="23" t="str">
        <f aca="false">IF($A262="","",IF(NOT(ISNUMBER($Z262)),"",ROUND((IF(ISNUMBER($U262),MIN($U262,$Z262),$Z262)-$B262)*24,4)))</f>
        <v/>
      </c>
      <c r="BY262" s="23" t="str">
        <f aca="false">IF($A262="","",IF(ISNUMBER($Z262),ROUND(($Z262-$B262)*24,4),""))</f>
        <v/>
      </c>
      <c r="BZ262" s="23" t="str">
        <f aca="false">IF($A262="","",IF(AND(ISNUMBER($W262),ISNUMBER($S262)),ROUND(($W262+$S262/1440-$B262)*24,4),""))</f>
        <v/>
      </c>
    </row>
    <row r="263" customFormat="false" ht="15" hidden="false" customHeight="true" outlineLevel="0" collapsed="false">
      <c r="A263" s="47"/>
      <c r="B263" s="47"/>
      <c r="D263" s="4" t="str">
        <f aca="false">IF($A263="","",$B263-$A263)</f>
        <v/>
      </c>
      <c r="E263" s="4" t="str">
        <f aca="false">IF($A263="","",IFERROR(VLOOKUP($C263,Dim_Fund!$A:$X,24,0),""))</f>
        <v/>
      </c>
      <c r="F263" s="37" t="str">
        <f aca="false">IF($A263="","",IF(COUNTIFS(Status_Log!$A:$A,$A263,Status_Log!$B:$B,$B263,Status_Log!$C:$C,$C263,Status_Log!$D:$D,"Changed to the status of Calculated")=0,"",_xlfn.MINIFS(Status_Log!$E:$E,Status_Log!$A:$A,$A263,Status_Log!$B:$B,$B263,Status_Log!$C:$C,$C263,Status_Log!$D:$D,"Changed to the status of Calculated")))</f>
        <v/>
      </c>
      <c r="G263" s="37" t="str">
        <f aca="false">IF($A263="","",IF(COUNTIFS(Status_Log!$A:$A,$A263,Status_Log!$B:$B,$B263,Status_Log!$C:$C,$C263,Status_Log!$D:$D,"Changed to the status of Controlled")=0,"",_xlfn.MAXIFS(Status_Log!$E:$E,Status_Log!$A:$A,$A263,Status_Log!$B:$B,$B263,Status_Log!$C:$C,$C263,Status_Log!$D:$D,"Changed to the status of Controlled")))</f>
        <v/>
      </c>
      <c r="H263" s="37" t="str">
        <f aca="false">IF($A263="","",IF(COUNTIFS(Status_Log!$A:$A,$A263,Status_Log!$B:$B,$B263,Status_Log!$C:$C,$C263,Status_Log!$D:$D,"Changed to the status of Fund accounting signed off")=0,"",_xlfn.MAXIFS(Status_Log!$E:$E,Status_Log!$A:$A,$A263,Status_Log!$B:$B,$B263,Status_Log!$C:$C,$C263,Status_Log!$D:$D,"Changed to the status of Fund accounting signed off")))</f>
        <v/>
      </c>
      <c r="I263" s="37" t="str">
        <f aca="false">IF($A263="","",IF(COUNTIFS(Status_Log!$A:$A,$A263,Status_Log!$B:$B,$B263,Status_Log!$C:$C,$C263,Status_Log!$D:$D,"Changed to the status of signed off")=0,"",_xlfn.MAXIFS(Status_Log!$E:$E,Status_Log!$A:$A,$A263,Status_Log!$B:$B,$B263,Status_Log!$C:$C,$C263,Status_Log!$D:$D,"Changed to the status of signed off")))</f>
        <v/>
      </c>
      <c r="J263" s="4" t="str">
        <f aca="false">IF($A263="","",COUNTIFS(Status_Log!$A:$A,$A263,Status_Log!$B:$B,$B263,Status_Log!$C:$C,$C263,Status_Log!$D:$D,"Changed to the status of Calculated"))</f>
        <v/>
      </c>
      <c r="K263" s="38" t="str">
        <f aca="false">IF($A263="","",IF(J263&lt;=1,0,ROUND((_xlfn.MAXIFS(Status_Log!$E:$E,Status_Log!$A:$A,$A263,Status_Log!$B:$B,$B263,Status_Log!$C:$C,$C263,Status_Log!$D:$D,"Changed to the status of Calculated")-F263)*1440,0)))</f>
        <v/>
      </c>
      <c r="L263" s="4" t="str">
        <f aca="false">IF($A263="","",IFERROR(INDEX(Status_Log!$F:$F,MATCH($A263&amp;"|"&amp;$B263&amp;"|"&amp;$C263&amp;"|Changed to the status of Calculated|"&amp;TEXT(_xlfn.MAXIFS(Status_Log!$E:$E,Status_Log!$A:$A,$A263,Status_Log!$B:$B,$B263,Status_Log!$C:$C,$C263,Status_Log!$D:$D,"Changed to the status of Calculated"),"0.000000"),Status_Log!$H:$H,0)),""))</f>
        <v/>
      </c>
      <c r="M263" s="4" t="str">
        <f aca="false">IF($A263="","",IF(E263="Client","n/a — no control step",IFERROR(INDEX(Status_Log!$F:$F,MATCH($A263&amp;"|"&amp;$B263&amp;"|"&amp;$C263&amp;"|Changed to the status of Controlled|"&amp;TEXT(_xlfn.MAXIFS(Status_Log!$E:$E,Status_Log!$A:$A,$A263,Status_Log!$B:$B,$B263,Status_Log!$C:$C,$C263,Status_Log!$D:$D,"Changed to the status of Controlled"),"0.000000"),Status_Log!$H:$H,0)),"")))</f>
        <v/>
      </c>
      <c r="N263" s="4" t="str">
        <f aca="false">IF($A263="","",IFERROR(VLOOKUP($C263,Dim_Fund!$A:$G,7,0),""))</f>
        <v/>
      </c>
      <c r="O263" s="4" t="str">
        <f aca="false">IF($A263="","",IF(L263=N263,"No","Yes"))</f>
        <v/>
      </c>
      <c r="P263" s="4" t="str">
        <f aca="false">IF($A263="","",IF(E263="Client","n/a",IF(L263=M263,"YES — four-eyes breach","No")))</f>
        <v/>
      </c>
      <c r="Q263" s="38" t="str">
        <f aca="false">IF($A263="","",IFERROR(VLOOKUP($C263,Dim_Fund!$A:$AB,28,0),""))</f>
        <v/>
      </c>
      <c r="R263" s="38" t="str">
        <f aca="false">IF($A263="","",IFERROR(VLOOKUP($C263,Dim_Fund!$A:$AC,29,0),""))</f>
        <v/>
      </c>
      <c r="S263" s="38" t="str">
        <f aca="false">IF($A263="","",IFERROR(VLOOKUP($C263,Dim_Fund!$A:$AD,30,0),""))</f>
        <v/>
      </c>
      <c r="T263" s="38" t="str">
        <f aca="false">IF($A263="","",IFERROR(VLOOKUP($C263,Dim_Fund!$A:$AL,38,0),""))</f>
        <v/>
      </c>
      <c r="U263" s="37" t="str">
        <f aca="false">IF($A263="","",IF(AL263="","",IFERROR(IF(COUNTIFS(Fact_Milestone!$A:$A,$B263,Fact_Milestone!$B:$B,AL263)=0,"",_xlfn.MAXIFS(Fact_Milestone!$C:$C,Fact_Milestone!$A:$A,$B263,Fact_Milestone!$B:$B,AL263)),"")))</f>
        <v/>
      </c>
      <c r="V263" s="37" t="str">
        <f aca="false">IF($A263="","",IFERROR(IF(VLOOKUP($C263,Dim_Fund!$A:$AI,35,0)&gt;0,$B263+VLOOKUP($C263,Dim_Fund!$A:$AI,35,0)/24,""),""))</f>
        <v/>
      </c>
      <c r="W263" s="37" t="str">
        <f aca="false">IF($A263="","",F263)</f>
        <v/>
      </c>
      <c r="X263" s="37" t="str">
        <f aca="false">IF($A263="","",IF(E263="Client",H263,G263))</f>
        <v/>
      </c>
      <c r="Y263" s="37" t="str">
        <f aca="false">IF($A263="","",I263)</f>
        <v/>
      </c>
      <c r="Z263" s="37" t="str">
        <f aca="false">IF($A263="","",IFERROR(W263-R263/1440,""))</f>
        <v/>
      </c>
      <c r="AA263" s="38" t="str">
        <f aca="false">IF($A263="","",IF(OR(U263="",V263=""),"",ROUND((V263-U263)*1440,0)))</f>
        <v/>
      </c>
      <c r="AB263" s="38" t="str">
        <f aca="false">IF($A263="","",IF(U263="","",ROUND((W263-U263)*1440,0)))</f>
        <v/>
      </c>
      <c r="AC263" s="38" t="str">
        <f aca="false">IF($A263="","",IF(AB263="","",MAX(0,AB263)))</f>
        <v/>
      </c>
      <c r="AD263" s="38" t="str">
        <f aca="false">IF($A263="","",IFERROR(ROUND((X263-W263)*1440,0),""))</f>
        <v/>
      </c>
      <c r="AE263" s="38" t="str">
        <f aca="false">IF($A263="","",IF(E263="Client","n/a",IFERROR(ROUND((H263-G263)*1440,0),"")))</f>
        <v/>
      </c>
      <c r="AF263" s="38" t="str">
        <f aca="false">IF($A263="","",IFERROR(ROUND((Y263-H263)*1440,0),""))</f>
        <v/>
      </c>
      <c r="AG263" s="38" t="str">
        <f aca="false">IF($A263="","",IFERROR(ROUND((H263-F263)*1440,0),""))</f>
        <v/>
      </c>
      <c r="AH263" s="38" t="str">
        <f aca="false">IF($A263="","",IFERROR(ROUND((Y263-V263)*1440,0),""))</f>
        <v/>
      </c>
      <c r="AI263" s="4" t="str">
        <f aca="false">IF($A263="","",IF(AH263="","",IF(AH263&gt;0,"Yes","No")))</f>
        <v/>
      </c>
      <c r="AJ263" s="4" t="str">
        <f aca="false">IF($A263="","",IF(AI263&lt;&gt;"Yes","On time",IF(N(AC263)&gt;=MAX(N(AF263),N(K263)),"Wait for analyst",IF(N(AF263)&gt;=N(K263),"External sign-off","Rework"))))</f>
        <v/>
      </c>
      <c r="AK263" s="4" t="str">
        <f aca="false">IF($A263="","",IF(OR(F263="",Y263="",ISNA(MATCH(L263,Dim_Analyst!$A:$A,0))),"CHECK","OK"))</f>
        <v/>
      </c>
      <c r="AL263" s="4" t="str">
        <f aca="false">IF($A263="","",IFERROR(VLOOKUP($C263,Dim_Fund!$A:$U,21,0),""))</f>
        <v/>
      </c>
      <c r="AM263" s="4" t="str">
        <f aca="false">IF($A263="","",IF($U263="","",IF($U263&gt;$B263+IFERROR(VLOOKUP($C263,Dim_Fund!$A:$AH,34,0),0)/24,"Yes","No")))</f>
        <v/>
      </c>
      <c r="AN263" s="22" t="str">
        <f aca="false">IF($A263="","",IFERROR(VLOOKUP($C263,Dim_Fund!$A:$AH,34,0),""))</f>
        <v/>
      </c>
      <c r="AO263" s="22" t="str">
        <f aca="false">IF($A263="","",IF($AL263="","",IFERROR(FLOOR(IF(COUNTIFS(Fact_Milestone!$A:$A,$B263,Fact_Milestone!$B:$B,$AL263,Fact_Milestone!$F:$F,"&gt;0")&gt;0,_xlfn.MINIFS(Fact_Milestone!$F:$F,Fact_Milestone!$A:$A,$B263,Fact_Milestone!$B:$B,$AL263,Fact_Milestone!$F:$F,"&gt;0"),VLOOKUP($AL263,Dim_TOP!$A:$E,5,0)),0.5),"")))</f>
        <v/>
      </c>
      <c r="AP263" s="22" t="str">
        <f aca="false">IF($A263="","",IF($U263="","",ROUND(($U263-INT($U263))*24,4)))</f>
        <v/>
      </c>
      <c r="AQ263" s="22" t="str">
        <f aca="false">IF($A263="","",IF($W263="","",ROUND(($W263-INT($W263))*24,4)))</f>
        <v/>
      </c>
      <c r="AR263" s="22" t="str">
        <f aca="false">IF($A263="","",IF($X263="","",ROUND(($X263-INT($X263))*24,4)))</f>
        <v/>
      </c>
      <c r="AS263" s="38" t="str">
        <f aca="false">IF($A263="","",IF(OR($AN263="",$V263="",$S263="",$T263=""),"",ROUND(($V263-($B263+$AN263/24))*1440-$S263-$T263,0)))</f>
        <v/>
      </c>
      <c r="AT263" s="38" t="str">
        <f aca="false">IF($A263="","",IF(OR($AN263="",$U263=""),"",ROUND(($U263-($B263+$AN263/24))*1440,0)))</f>
        <v/>
      </c>
      <c r="AU263" s="38" t="str">
        <f aca="false">IF($A263="","",IF(OR($AD263="",$S263=""),"",ROUND($AD263-$S263,0)))</f>
        <v/>
      </c>
      <c r="AV263" s="38" t="str">
        <f aca="false">IF($A263="","",N($AE263))</f>
        <v/>
      </c>
      <c r="AW263" s="38" t="str">
        <f aca="false">IF($A263="","",IF(OR($AF263="",$T263=""),"",$AF263-$T263))</f>
        <v/>
      </c>
      <c r="AX263" s="38" t="str">
        <f aca="false">IF($A263="","",IF(COUNT($AT263,$AB263,$AU263,$AW263,$AS263,$AH263)&lt;6,"",ROUND($AT263+$AB263+$AU263+$AV263+$AW263-$AS263-$AH263,0)))</f>
        <v/>
      </c>
      <c r="AY263" s="4" t="str">
        <f aca="false">IF($A263="","",IF($AX263="","No",IF(ABS($AX263)&lt;=2,"Yes","No")))</f>
        <v/>
      </c>
      <c r="AZ263" s="4" t="str">
        <f aca="false">IF($A263="","",IF($AI263&lt;&gt;"Yes","n/a",IF(OR($AA263="",$S263="",$T263=""),"Unknown",IF($AA263&lt;$S263+$T263,"Lost on arrival","Lost after arrival"))))</f>
        <v/>
      </c>
      <c r="BA263" s="10" t="str">
        <f aca="false">IF($A263="","",IFERROR(VLOOKUP($C263,Dim_Fund!$A:$D,4,0),""))</f>
        <v/>
      </c>
      <c r="BB263" s="10" t="str">
        <f aca="false">IF($A263="","",IF($AL263="","",IF(COUNTIFS(Fact_Milestone!$A:$A,$B263,Fact_Milestone!$B:$B,$AL263,Fact_Milestone!$I:$I,"No")&gt;0,"No",IF(COUNTIFS(Fact_Milestone!$A:$A,$B263,Fact_Milestone!$B:$B,$AL263,Fact_Milestone!$I:$I,"Yes")&gt;0,"Yes",""))))</f>
        <v/>
      </c>
      <c r="BC263" s="45" t="str">
        <f aca="false">IF($A263="","",IF(OR($L263="",$W263=""),"",IF(COUNTIFS($L:$L,$L263,$B:$B,$B263,$W:$W,"&lt;"&amp;$W263)=0,"",_xlfn.MAXIFS($W:$W,$L:$L,$L263,$B:$B,$B263,$W:$W,"&lt;"&amp;$W263))))</f>
        <v/>
      </c>
      <c r="BD263" s="39" t="str">
        <f aca="false">IF($A263="","",IF($AC263="","",IF(OR($L263="",$AC263=0),0,MIN($AC263,ROUND(ROUND(1440*SUMPRODUCT(($L$2:INDEX($L:$L,COUNTA($C:$C))=$L263)*($B$2:INDEX($B:$B,COUNTA($C:$C))=$B263)*(ROW($L$2:INDEX($L:$L,COUNTA($C:$C)))&lt;&gt;ROW())*((((($W263+$BT$2:INDEX($BT:$BT,COUNTA($C:$C))-ABS($W263-$BT$2:INDEX($BT:$BT,COUNTA($C:$C))))/2)-(($U263+$BS$2:INDEX($BS:$BS,COUNTA($C:$C))+ABS($U263-$BS$2:INDEX($BS:$BS,COUNTA($C:$C))))/2))+ABS(((($W263+$BT$2:INDEX($BT:$BT,COUNTA($C:$C))-ABS($W263-$BT$2:INDEX($BT:$BT,COUNTA($C:$C))))/2)-(($U263+$BS$2:INDEX($BS:$BS,COUNTA($C:$C))+ABS($U263-$BS$2:INDEX($BS:$BS,COUNTA($C:$C))))/2))))/2)),4),0)))))</f>
        <v/>
      </c>
      <c r="BE263" s="39" t="str">
        <f aca="false">IF($A263="","",IF($AC263="","",ROUND(MIN($AC263-$BD263,N($R263)),0)))</f>
        <v/>
      </c>
      <c r="BF263" s="10" t="str">
        <f aca="false">IF($A263="","",IFERROR(VLOOKUP($C263,Dim_Fund!$A:$BD,56,0),""))</f>
        <v/>
      </c>
      <c r="BG263" s="10" t="str">
        <f aca="false">IF($A263="","",IFERROR(VLOOKUP($C263,Dim_Fund!$A:$BH,60,0),""))</f>
        <v/>
      </c>
      <c r="BH263" s="10" t="str">
        <f aca="false">IF($A263="","",IF($AI263&lt;&gt;"Yes","Not breached",IF($AM263="Yes","Pricing late",IF($BG263="Thin custody slack","Thin custody slack",IF($BF263="Yes","Broker-dependent","None of these")))))</f>
        <v/>
      </c>
      <c r="BI263" s="23" t="str">
        <f aca="false">IF($A263="","",IFERROR(IF(VLOOKUP($C263,Dim_Fund!$A:$AI,35,0)&gt;0,VLOOKUP($C263,Dim_Fund!$A:$AI,35,0),""),""))</f>
        <v/>
      </c>
      <c r="BJ263" s="10" t="str">
        <f aca="false">IF($A263="","",$C263&amp;IF($E263="Client","*",""))</f>
        <v/>
      </c>
      <c r="BK263" s="39" t="str">
        <f aca="false">IF($A263="","",IFERROR(ROUND(($Y263-$X263)*1440,0),""))</f>
        <v/>
      </c>
      <c r="BL263" s="39" t="str">
        <f aca="false">IF($A263="","",IF($AH263="","",-$AH263))</f>
        <v/>
      </c>
      <c r="BM263" s="46" t="str">
        <f aca="false">IF($A263="","",IF($AQ263="","",IF($AP263="",$AQ263,MIN($AP263,$AQ263))))</f>
        <v/>
      </c>
      <c r="BN263" s="46" t="str">
        <f aca="false">IF($A263="","",IF($BM263="","",ROUND(N($AC263)/60,4)))</f>
        <v/>
      </c>
      <c r="BO263" s="46" t="str">
        <f aca="false">IF($A263="","",IF(OR($BM263="",$AD263=""),"",ROUND($AD263/60,4)))</f>
        <v/>
      </c>
      <c r="BP263" s="46" t="str">
        <f aca="false">IF($A263="","",IF($BM263="","",ROUND(N($AE263)/60,4)))</f>
        <v/>
      </c>
      <c r="BQ263" s="46" t="str">
        <f aca="false">IF($A263="","",IF(OR($BM263="",$AF263=""),"",ROUND($AF263/60,4)))</f>
        <v/>
      </c>
      <c r="BR263" s="39" t="str">
        <f aca="false">IF($A263="","",IF($AC263="","",$AC263-$BD263-$BE263))</f>
        <v/>
      </c>
      <c r="BS263" s="45" t="str">
        <f aca="false">IF($A263="","",IF(AND(ISNUMBER($Z263),ISNUMBER($W263)),$Z263,0))</f>
        <v/>
      </c>
      <c r="BT263" s="45" t="str">
        <f aca="false">IF($A263="","",IF(ISNUMBER($W263),$W263,0))</f>
        <v/>
      </c>
      <c r="BU263" s="23" t="str">
        <f aca="false">IF($A263="","",IF(ISNUMBER($W263),ROUND(($W263-$B263)*24,4),""))</f>
        <v/>
      </c>
      <c r="BV263" s="23" t="str">
        <f aca="false">IF($A263="","",IF(ISNUMBER($X263),ROUND(($X263-$B263)*24,4),""))</f>
        <v/>
      </c>
      <c r="BW263" s="10" t="str">
        <f aca="false">IF($A263="","",IF(NOT(ISNUMBER($W263)),"Missing Calculated",IF(NOT(ISNUMBER($X263)),IF($E263="Client","Missing FA signed off","Missing Controlled"),IF($X263&lt;$W263,"End before start","OK"))))</f>
        <v/>
      </c>
      <c r="BX263" s="23" t="str">
        <f aca="false">IF($A263="","",IF(NOT(ISNUMBER($Z263)),"",ROUND((IF(ISNUMBER($U263),MIN($U263,$Z263),$Z263)-$B263)*24,4)))</f>
        <v/>
      </c>
      <c r="BY263" s="23" t="str">
        <f aca="false">IF($A263="","",IF(ISNUMBER($Z263),ROUND(($Z263-$B263)*24,4),""))</f>
        <v/>
      </c>
      <c r="BZ263" s="23" t="str">
        <f aca="false">IF($A263="","",IF(AND(ISNUMBER($W263),ISNUMBER($S263)),ROUND(($W263+$S263/1440-$B263)*24,4),""))</f>
        <v/>
      </c>
    </row>
    <row r="264" customFormat="false" ht="15" hidden="false" customHeight="true" outlineLevel="0" collapsed="false">
      <c r="A264" s="47"/>
      <c r="B264" s="47"/>
      <c r="D264" s="4" t="str">
        <f aca="false">IF($A264="","",$B264-$A264)</f>
        <v/>
      </c>
      <c r="E264" s="4" t="str">
        <f aca="false">IF($A264="","",IFERROR(VLOOKUP($C264,Dim_Fund!$A:$X,24,0),""))</f>
        <v/>
      </c>
      <c r="F264" s="37" t="str">
        <f aca="false">IF($A264="","",IF(COUNTIFS(Status_Log!$A:$A,$A264,Status_Log!$B:$B,$B264,Status_Log!$C:$C,$C264,Status_Log!$D:$D,"Changed to the status of Calculated")=0,"",_xlfn.MINIFS(Status_Log!$E:$E,Status_Log!$A:$A,$A264,Status_Log!$B:$B,$B264,Status_Log!$C:$C,$C264,Status_Log!$D:$D,"Changed to the status of Calculated")))</f>
        <v/>
      </c>
      <c r="G264" s="37" t="str">
        <f aca="false">IF($A264="","",IF(COUNTIFS(Status_Log!$A:$A,$A264,Status_Log!$B:$B,$B264,Status_Log!$C:$C,$C264,Status_Log!$D:$D,"Changed to the status of Controlled")=0,"",_xlfn.MAXIFS(Status_Log!$E:$E,Status_Log!$A:$A,$A264,Status_Log!$B:$B,$B264,Status_Log!$C:$C,$C264,Status_Log!$D:$D,"Changed to the status of Controlled")))</f>
        <v/>
      </c>
      <c r="H264" s="37" t="str">
        <f aca="false">IF($A264="","",IF(COUNTIFS(Status_Log!$A:$A,$A264,Status_Log!$B:$B,$B264,Status_Log!$C:$C,$C264,Status_Log!$D:$D,"Changed to the status of Fund accounting signed off")=0,"",_xlfn.MAXIFS(Status_Log!$E:$E,Status_Log!$A:$A,$A264,Status_Log!$B:$B,$B264,Status_Log!$C:$C,$C264,Status_Log!$D:$D,"Changed to the status of Fund accounting signed off")))</f>
        <v/>
      </c>
      <c r="I264" s="37" t="str">
        <f aca="false">IF($A264="","",IF(COUNTIFS(Status_Log!$A:$A,$A264,Status_Log!$B:$B,$B264,Status_Log!$C:$C,$C264,Status_Log!$D:$D,"Changed to the status of signed off")=0,"",_xlfn.MAXIFS(Status_Log!$E:$E,Status_Log!$A:$A,$A264,Status_Log!$B:$B,$B264,Status_Log!$C:$C,$C264,Status_Log!$D:$D,"Changed to the status of signed off")))</f>
        <v/>
      </c>
      <c r="J264" s="4" t="str">
        <f aca="false">IF($A264="","",COUNTIFS(Status_Log!$A:$A,$A264,Status_Log!$B:$B,$B264,Status_Log!$C:$C,$C264,Status_Log!$D:$D,"Changed to the status of Calculated"))</f>
        <v/>
      </c>
      <c r="K264" s="38" t="str">
        <f aca="false">IF($A264="","",IF(J264&lt;=1,0,ROUND((_xlfn.MAXIFS(Status_Log!$E:$E,Status_Log!$A:$A,$A264,Status_Log!$B:$B,$B264,Status_Log!$C:$C,$C264,Status_Log!$D:$D,"Changed to the status of Calculated")-F264)*1440,0)))</f>
        <v/>
      </c>
      <c r="L264" s="4" t="str">
        <f aca="false">IF($A264="","",IFERROR(INDEX(Status_Log!$F:$F,MATCH($A264&amp;"|"&amp;$B264&amp;"|"&amp;$C264&amp;"|Changed to the status of Calculated|"&amp;TEXT(_xlfn.MAXIFS(Status_Log!$E:$E,Status_Log!$A:$A,$A264,Status_Log!$B:$B,$B264,Status_Log!$C:$C,$C264,Status_Log!$D:$D,"Changed to the status of Calculated"),"0.000000"),Status_Log!$H:$H,0)),""))</f>
        <v/>
      </c>
      <c r="M264" s="4" t="str">
        <f aca="false">IF($A264="","",IF(E264="Client","n/a — no control step",IFERROR(INDEX(Status_Log!$F:$F,MATCH($A264&amp;"|"&amp;$B264&amp;"|"&amp;$C264&amp;"|Changed to the status of Controlled|"&amp;TEXT(_xlfn.MAXIFS(Status_Log!$E:$E,Status_Log!$A:$A,$A264,Status_Log!$B:$B,$B264,Status_Log!$C:$C,$C264,Status_Log!$D:$D,"Changed to the status of Controlled"),"0.000000"),Status_Log!$H:$H,0)),"")))</f>
        <v/>
      </c>
      <c r="N264" s="4" t="str">
        <f aca="false">IF($A264="","",IFERROR(VLOOKUP($C264,Dim_Fund!$A:$G,7,0),""))</f>
        <v/>
      </c>
      <c r="O264" s="4" t="str">
        <f aca="false">IF($A264="","",IF(L264=N264,"No","Yes"))</f>
        <v/>
      </c>
      <c r="P264" s="4" t="str">
        <f aca="false">IF($A264="","",IF(E264="Client","n/a",IF(L264=M264,"YES — four-eyes breach","No")))</f>
        <v/>
      </c>
      <c r="Q264" s="38" t="str">
        <f aca="false">IF($A264="","",IFERROR(VLOOKUP($C264,Dim_Fund!$A:$AB,28,0),""))</f>
        <v/>
      </c>
      <c r="R264" s="38" t="str">
        <f aca="false">IF($A264="","",IFERROR(VLOOKUP($C264,Dim_Fund!$A:$AC,29,0),""))</f>
        <v/>
      </c>
      <c r="S264" s="38" t="str">
        <f aca="false">IF($A264="","",IFERROR(VLOOKUP($C264,Dim_Fund!$A:$AD,30,0),""))</f>
        <v/>
      </c>
      <c r="T264" s="38" t="str">
        <f aca="false">IF($A264="","",IFERROR(VLOOKUP($C264,Dim_Fund!$A:$AL,38,0),""))</f>
        <v/>
      </c>
      <c r="U264" s="37" t="str">
        <f aca="false">IF($A264="","",IF(AL264="","",IFERROR(IF(COUNTIFS(Fact_Milestone!$A:$A,$B264,Fact_Milestone!$B:$B,AL264)=0,"",_xlfn.MAXIFS(Fact_Milestone!$C:$C,Fact_Milestone!$A:$A,$B264,Fact_Milestone!$B:$B,AL264)),"")))</f>
        <v/>
      </c>
      <c r="V264" s="37" t="str">
        <f aca="false">IF($A264="","",IFERROR(IF(VLOOKUP($C264,Dim_Fund!$A:$AI,35,0)&gt;0,$B264+VLOOKUP($C264,Dim_Fund!$A:$AI,35,0)/24,""),""))</f>
        <v/>
      </c>
      <c r="W264" s="37" t="str">
        <f aca="false">IF($A264="","",F264)</f>
        <v/>
      </c>
      <c r="X264" s="37" t="str">
        <f aca="false">IF($A264="","",IF(E264="Client",H264,G264))</f>
        <v/>
      </c>
      <c r="Y264" s="37" t="str">
        <f aca="false">IF($A264="","",I264)</f>
        <v/>
      </c>
      <c r="Z264" s="37" t="str">
        <f aca="false">IF($A264="","",IFERROR(W264-R264/1440,""))</f>
        <v/>
      </c>
      <c r="AA264" s="38" t="str">
        <f aca="false">IF($A264="","",IF(OR(U264="",V264=""),"",ROUND((V264-U264)*1440,0)))</f>
        <v/>
      </c>
      <c r="AB264" s="38" t="str">
        <f aca="false">IF($A264="","",IF(U264="","",ROUND((W264-U264)*1440,0)))</f>
        <v/>
      </c>
      <c r="AC264" s="38" t="str">
        <f aca="false">IF($A264="","",IF(AB264="","",MAX(0,AB264)))</f>
        <v/>
      </c>
      <c r="AD264" s="38" t="str">
        <f aca="false">IF($A264="","",IFERROR(ROUND((X264-W264)*1440,0),""))</f>
        <v/>
      </c>
      <c r="AE264" s="38" t="str">
        <f aca="false">IF($A264="","",IF(E264="Client","n/a",IFERROR(ROUND((H264-G264)*1440,0),"")))</f>
        <v/>
      </c>
      <c r="AF264" s="38" t="str">
        <f aca="false">IF($A264="","",IFERROR(ROUND((Y264-H264)*1440,0),""))</f>
        <v/>
      </c>
      <c r="AG264" s="38" t="str">
        <f aca="false">IF($A264="","",IFERROR(ROUND((H264-F264)*1440,0),""))</f>
        <v/>
      </c>
      <c r="AH264" s="38" t="str">
        <f aca="false">IF($A264="","",IFERROR(ROUND((Y264-V264)*1440,0),""))</f>
        <v/>
      </c>
      <c r="AI264" s="4" t="str">
        <f aca="false">IF($A264="","",IF(AH264="","",IF(AH264&gt;0,"Yes","No")))</f>
        <v/>
      </c>
      <c r="AJ264" s="4" t="str">
        <f aca="false">IF($A264="","",IF(AI264&lt;&gt;"Yes","On time",IF(N(AC264)&gt;=MAX(N(AF264),N(K264)),"Wait for analyst",IF(N(AF264)&gt;=N(K264),"External sign-off","Rework"))))</f>
        <v/>
      </c>
      <c r="AK264" s="4" t="str">
        <f aca="false">IF($A264="","",IF(OR(F264="",Y264="",ISNA(MATCH(L264,Dim_Analyst!$A:$A,0))),"CHECK","OK"))</f>
        <v/>
      </c>
      <c r="AL264" s="4" t="str">
        <f aca="false">IF($A264="","",IFERROR(VLOOKUP($C264,Dim_Fund!$A:$U,21,0),""))</f>
        <v/>
      </c>
      <c r="AM264" s="4" t="str">
        <f aca="false">IF($A264="","",IF($U264="","",IF($U264&gt;$B264+IFERROR(VLOOKUP($C264,Dim_Fund!$A:$AH,34,0),0)/24,"Yes","No")))</f>
        <v/>
      </c>
      <c r="AN264" s="22" t="str">
        <f aca="false">IF($A264="","",IFERROR(VLOOKUP($C264,Dim_Fund!$A:$AH,34,0),""))</f>
        <v/>
      </c>
      <c r="AO264" s="22" t="str">
        <f aca="false">IF($A264="","",IF($AL264="","",IFERROR(FLOOR(IF(COUNTIFS(Fact_Milestone!$A:$A,$B264,Fact_Milestone!$B:$B,$AL264,Fact_Milestone!$F:$F,"&gt;0")&gt;0,_xlfn.MINIFS(Fact_Milestone!$F:$F,Fact_Milestone!$A:$A,$B264,Fact_Milestone!$B:$B,$AL264,Fact_Milestone!$F:$F,"&gt;0"),VLOOKUP($AL264,Dim_TOP!$A:$E,5,0)),0.5),"")))</f>
        <v/>
      </c>
      <c r="AP264" s="22" t="str">
        <f aca="false">IF($A264="","",IF($U264="","",ROUND(($U264-INT($U264))*24,4)))</f>
        <v/>
      </c>
      <c r="AQ264" s="22" t="str">
        <f aca="false">IF($A264="","",IF($W264="","",ROUND(($W264-INT($W264))*24,4)))</f>
        <v/>
      </c>
      <c r="AR264" s="22" t="str">
        <f aca="false">IF($A264="","",IF($X264="","",ROUND(($X264-INT($X264))*24,4)))</f>
        <v/>
      </c>
      <c r="AS264" s="38" t="str">
        <f aca="false">IF($A264="","",IF(OR($AN264="",$V264="",$S264="",$T264=""),"",ROUND(($V264-($B264+$AN264/24))*1440-$S264-$T264,0)))</f>
        <v/>
      </c>
      <c r="AT264" s="38" t="str">
        <f aca="false">IF($A264="","",IF(OR($AN264="",$U264=""),"",ROUND(($U264-($B264+$AN264/24))*1440,0)))</f>
        <v/>
      </c>
      <c r="AU264" s="38" t="str">
        <f aca="false">IF($A264="","",IF(OR($AD264="",$S264=""),"",ROUND($AD264-$S264,0)))</f>
        <v/>
      </c>
      <c r="AV264" s="38" t="str">
        <f aca="false">IF($A264="","",N($AE264))</f>
        <v/>
      </c>
      <c r="AW264" s="38" t="str">
        <f aca="false">IF($A264="","",IF(OR($AF264="",$T264=""),"",$AF264-$T264))</f>
        <v/>
      </c>
      <c r="AX264" s="38" t="str">
        <f aca="false">IF($A264="","",IF(COUNT($AT264,$AB264,$AU264,$AW264,$AS264,$AH264)&lt;6,"",ROUND($AT264+$AB264+$AU264+$AV264+$AW264-$AS264-$AH264,0)))</f>
        <v/>
      </c>
      <c r="AY264" s="4" t="str">
        <f aca="false">IF($A264="","",IF($AX264="","No",IF(ABS($AX264)&lt;=2,"Yes","No")))</f>
        <v/>
      </c>
      <c r="AZ264" s="4" t="str">
        <f aca="false">IF($A264="","",IF($AI264&lt;&gt;"Yes","n/a",IF(OR($AA264="",$S264="",$T264=""),"Unknown",IF($AA264&lt;$S264+$T264,"Lost on arrival","Lost after arrival"))))</f>
        <v/>
      </c>
      <c r="BA264" s="10" t="str">
        <f aca="false">IF($A264="","",IFERROR(VLOOKUP($C264,Dim_Fund!$A:$D,4,0),""))</f>
        <v/>
      </c>
      <c r="BB264" s="10" t="str">
        <f aca="false">IF($A264="","",IF($AL264="","",IF(COUNTIFS(Fact_Milestone!$A:$A,$B264,Fact_Milestone!$B:$B,$AL264,Fact_Milestone!$I:$I,"No")&gt;0,"No",IF(COUNTIFS(Fact_Milestone!$A:$A,$B264,Fact_Milestone!$B:$B,$AL264,Fact_Milestone!$I:$I,"Yes")&gt;0,"Yes",""))))</f>
        <v/>
      </c>
      <c r="BC264" s="45" t="str">
        <f aca="false">IF($A264="","",IF(OR($L264="",$W264=""),"",IF(COUNTIFS($L:$L,$L264,$B:$B,$B264,$W:$W,"&lt;"&amp;$W264)=0,"",_xlfn.MAXIFS($W:$W,$L:$L,$L264,$B:$B,$B264,$W:$W,"&lt;"&amp;$W264))))</f>
        <v/>
      </c>
      <c r="BD264" s="39" t="str">
        <f aca="false">IF($A264="","",IF($AC264="","",IF(OR($L264="",$AC264=0),0,MIN($AC264,ROUND(ROUND(1440*SUMPRODUCT(($L$2:INDEX($L:$L,COUNTA($C:$C))=$L264)*($B$2:INDEX($B:$B,COUNTA($C:$C))=$B264)*(ROW($L$2:INDEX($L:$L,COUNTA($C:$C)))&lt;&gt;ROW())*((((($W264+$BT$2:INDEX($BT:$BT,COUNTA($C:$C))-ABS($W264-$BT$2:INDEX($BT:$BT,COUNTA($C:$C))))/2)-(($U264+$BS$2:INDEX($BS:$BS,COUNTA($C:$C))+ABS($U264-$BS$2:INDEX($BS:$BS,COUNTA($C:$C))))/2))+ABS(((($W264+$BT$2:INDEX($BT:$BT,COUNTA($C:$C))-ABS($W264-$BT$2:INDEX($BT:$BT,COUNTA($C:$C))))/2)-(($U264+$BS$2:INDEX($BS:$BS,COUNTA($C:$C))+ABS($U264-$BS$2:INDEX($BS:$BS,COUNTA($C:$C))))/2))))/2)),4),0)))))</f>
        <v/>
      </c>
      <c r="BE264" s="39" t="str">
        <f aca="false">IF($A264="","",IF($AC264="","",ROUND(MIN($AC264-$BD264,N($R264)),0)))</f>
        <v/>
      </c>
      <c r="BF264" s="10" t="str">
        <f aca="false">IF($A264="","",IFERROR(VLOOKUP($C264,Dim_Fund!$A:$BD,56,0),""))</f>
        <v/>
      </c>
      <c r="BG264" s="10" t="str">
        <f aca="false">IF($A264="","",IFERROR(VLOOKUP($C264,Dim_Fund!$A:$BH,60,0),""))</f>
        <v/>
      </c>
      <c r="BH264" s="10" t="str">
        <f aca="false">IF($A264="","",IF($AI264&lt;&gt;"Yes","Not breached",IF($AM264="Yes","Pricing late",IF($BG264="Thin custody slack","Thin custody slack",IF($BF264="Yes","Broker-dependent","None of these")))))</f>
        <v/>
      </c>
      <c r="BI264" s="23" t="str">
        <f aca="false">IF($A264="","",IFERROR(IF(VLOOKUP($C264,Dim_Fund!$A:$AI,35,0)&gt;0,VLOOKUP($C264,Dim_Fund!$A:$AI,35,0),""),""))</f>
        <v/>
      </c>
      <c r="BJ264" s="10" t="str">
        <f aca="false">IF($A264="","",$C264&amp;IF($E264="Client","*",""))</f>
        <v/>
      </c>
      <c r="BK264" s="39" t="str">
        <f aca="false">IF($A264="","",IFERROR(ROUND(($Y264-$X264)*1440,0),""))</f>
        <v/>
      </c>
      <c r="BL264" s="39" t="str">
        <f aca="false">IF($A264="","",IF($AH264="","",-$AH264))</f>
        <v/>
      </c>
      <c r="BM264" s="46" t="str">
        <f aca="false">IF($A264="","",IF($AQ264="","",IF($AP264="",$AQ264,MIN($AP264,$AQ264))))</f>
        <v/>
      </c>
      <c r="BN264" s="46" t="str">
        <f aca="false">IF($A264="","",IF($BM264="","",ROUND(N($AC264)/60,4)))</f>
        <v/>
      </c>
      <c r="BO264" s="46" t="str">
        <f aca="false">IF($A264="","",IF(OR($BM264="",$AD264=""),"",ROUND($AD264/60,4)))</f>
        <v/>
      </c>
      <c r="BP264" s="46" t="str">
        <f aca="false">IF($A264="","",IF($BM264="","",ROUND(N($AE264)/60,4)))</f>
        <v/>
      </c>
      <c r="BQ264" s="46" t="str">
        <f aca="false">IF($A264="","",IF(OR($BM264="",$AF264=""),"",ROUND($AF264/60,4)))</f>
        <v/>
      </c>
      <c r="BR264" s="39" t="str">
        <f aca="false">IF($A264="","",IF($AC264="","",$AC264-$BD264-$BE264))</f>
        <v/>
      </c>
      <c r="BS264" s="45" t="str">
        <f aca="false">IF($A264="","",IF(AND(ISNUMBER($Z264),ISNUMBER($W264)),$Z264,0))</f>
        <v/>
      </c>
      <c r="BT264" s="45" t="str">
        <f aca="false">IF($A264="","",IF(ISNUMBER($W264),$W264,0))</f>
        <v/>
      </c>
      <c r="BU264" s="23" t="str">
        <f aca="false">IF($A264="","",IF(ISNUMBER($W264),ROUND(($W264-$B264)*24,4),""))</f>
        <v/>
      </c>
      <c r="BV264" s="23" t="str">
        <f aca="false">IF($A264="","",IF(ISNUMBER($X264),ROUND(($X264-$B264)*24,4),""))</f>
        <v/>
      </c>
      <c r="BW264" s="10" t="str">
        <f aca="false">IF($A264="","",IF(NOT(ISNUMBER($W264)),"Missing Calculated",IF(NOT(ISNUMBER($X264)),IF($E264="Client","Missing FA signed off","Missing Controlled"),IF($X264&lt;$W264,"End before start","OK"))))</f>
        <v/>
      </c>
      <c r="BX264" s="23" t="str">
        <f aca="false">IF($A264="","",IF(NOT(ISNUMBER($Z264)),"",ROUND((IF(ISNUMBER($U264),MIN($U264,$Z264),$Z264)-$B264)*24,4)))</f>
        <v/>
      </c>
      <c r="BY264" s="23" t="str">
        <f aca="false">IF($A264="","",IF(ISNUMBER($Z264),ROUND(($Z264-$B264)*24,4),""))</f>
        <v/>
      </c>
      <c r="BZ264" s="23" t="str">
        <f aca="false">IF($A264="","",IF(AND(ISNUMBER($W264),ISNUMBER($S264)),ROUND(($W264+$S264/1440-$B264)*24,4),""))</f>
        <v/>
      </c>
    </row>
    <row r="265" customFormat="false" ht="15" hidden="false" customHeight="true" outlineLevel="0" collapsed="false">
      <c r="A265" s="47"/>
      <c r="B265" s="47"/>
      <c r="D265" s="4" t="str">
        <f aca="false">IF($A265="","",$B265-$A265)</f>
        <v/>
      </c>
      <c r="E265" s="4" t="str">
        <f aca="false">IF($A265="","",IFERROR(VLOOKUP($C265,Dim_Fund!$A:$X,24,0),""))</f>
        <v/>
      </c>
      <c r="F265" s="37" t="str">
        <f aca="false">IF($A265="","",IF(COUNTIFS(Status_Log!$A:$A,$A265,Status_Log!$B:$B,$B265,Status_Log!$C:$C,$C265,Status_Log!$D:$D,"Changed to the status of Calculated")=0,"",_xlfn.MINIFS(Status_Log!$E:$E,Status_Log!$A:$A,$A265,Status_Log!$B:$B,$B265,Status_Log!$C:$C,$C265,Status_Log!$D:$D,"Changed to the status of Calculated")))</f>
        <v/>
      </c>
      <c r="G265" s="37" t="str">
        <f aca="false">IF($A265="","",IF(COUNTIFS(Status_Log!$A:$A,$A265,Status_Log!$B:$B,$B265,Status_Log!$C:$C,$C265,Status_Log!$D:$D,"Changed to the status of Controlled")=0,"",_xlfn.MAXIFS(Status_Log!$E:$E,Status_Log!$A:$A,$A265,Status_Log!$B:$B,$B265,Status_Log!$C:$C,$C265,Status_Log!$D:$D,"Changed to the status of Controlled")))</f>
        <v/>
      </c>
      <c r="H265" s="37" t="str">
        <f aca="false">IF($A265="","",IF(COUNTIFS(Status_Log!$A:$A,$A265,Status_Log!$B:$B,$B265,Status_Log!$C:$C,$C265,Status_Log!$D:$D,"Changed to the status of Fund accounting signed off")=0,"",_xlfn.MAXIFS(Status_Log!$E:$E,Status_Log!$A:$A,$A265,Status_Log!$B:$B,$B265,Status_Log!$C:$C,$C265,Status_Log!$D:$D,"Changed to the status of Fund accounting signed off")))</f>
        <v/>
      </c>
      <c r="I265" s="37" t="str">
        <f aca="false">IF($A265="","",IF(COUNTIFS(Status_Log!$A:$A,$A265,Status_Log!$B:$B,$B265,Status_Log!$C:$C,$C265,Status_Log!$D:$D,"Changed to the status of signed off")=0,"",_xlfn.MAXIFS(Status_Log!$E:$E,Status_Log!$A:$A,$A265,Status_Log!$B:$B,$B265,Status_Log!$C:$C,$C265,Status_Log!$D:$D,"Changed to the status of signed off")))</f>
        <v/>
      </c>
      <c r="J265" s="4" t="str">
        <f aca="false">IF($A265="","",COUNTIFS(Status_Log!$A:$A,$A265,Status_Log!$B:$B,$B265,Status_Log!$C:$C,$C265,Status_Log!$D:$D,"Changed to the status of Calculated"))</f>
        <v/>
      </c>
      <c r="K265" s="38" t="str">
        <f aca="false">IF($A265="","",IF(J265&lt;=1,0,ROUND((_xlfn.MAXIFS(Status_Log!$E:$E,Status_Log!$A:$A,$A265,Status_Log!$B:$B,$B265,Status_Log!$C:$C,$C265,Status_Log!$D:$D,"Changed to the status of Calculated")-F265)*1440,0)))</f>
        <v/>
      </c>
      <c r="L265" s="4" t="str">
        <f aca="false">IF($A265="","",IFERROR(INDEX(Status_Log!$F:$F,MATCH($A265&amp;"|"&amp;$B265&amp;"|"&amp;$C265&amp;"|Changed to the status of Calculated|"&amp;TEXT(_xlfn.MAXIFS(Status_Log!$E:$E,Status_Log!$A:$A,$A265,Status_Log!$B:$B,$B265,Status_Log!$C:$C,$C265,Status_Log!$D:$D,"Changed to the status of Calculated"),"0.000000"),Status_Log!$H:$H,0)),""))</f>
        <v/>
      </c>
      <c r="M265" s="4" t="str">
        <f aca="false">IF($A265="","",IF(E265="Client","n/a — no control step",IFERROR(INDEX(Status_Log!$F:$F,MATCH($A265&amp;"|"&amp;$B265&amp;"|"&amp;$C265&amp;"|Changed to the status of Controlled|"&amp;TEXT(_xlfn.MAXIFS(Status_Log!$E:$E,Status_Log!$A:$A,$A265,Status_Log!$B:$B,$B265,Status_Log!$C:$C,$C265,Status_Log!$D:$D,"Changed to the status of Controlled"),"0.000000"),Status_Log!$H:$H,0)),"")))</f>
        <v/>
      </c>
      <c r="N265" s="4" t="str">
        <f aca="false">IF($A265="","",IFERROR(VLOOKUP($C265,Dim_Fund!$A:$G,7,0),""))</f>
        <v/>
      </c>
      <c r="O265" s="4" t="str">
        <f aca="false">IF($A265="","",IF(L265=N265,"No","Yes"))</f>
        <v/>
      </c>
      <c r="P265" s="4" t="str">
        <f aca="false">IF($A265="","",IF(E265="Client","n/a",IF(L265=M265,"YES — four-eyes breach","No")))</f>
        <v/>
      </c>
      <c r="Q265" s="38" t="str">
        <f aca="false">IF($A265="","",IFERROR(VLOOKUP($C265,Dim_Fund!$A:$AB,28,0),""))</f>
        <v/>
      </c>
      <c r="R265" s="38" t="str">
        <f aca="false">IF($A265="","",IFERROR(VLOOKUP($C265,Dim_Fund!$A:$AC,29,0),""))</f>
        <v/>
      </c>
      <c r="S265" s="38" t="str">
        <f aca="false">IF($A265="","",IFERROR(VLOOKUP($C265,Dim_Fund!$A:$AD,30,0),""))</f>
        <v/>
      </c>
      <c r="T265" s="38" t="str">
        <f aca="false">IF($A265="","",IFERROR(VLOOKUP($C265,Dim_Fund!$A:$AL,38,0),""))</f>
        <v/>
      </c>
      <c r="U265" s="37" t="str">
        <f aca="false">IF($A265="","",IF(AL265="","",IFERROR(IF(COUNTIFS(Fact_Milestone!$A:$A,$B265,Fact_Milestone!$B:$B,AL265)=0,"",_xlfn.MAXIFS(Fact_Milestone!$C:$C,Fact_Milestone!$A:$A,$B265,Fact_Milestone!$B:$B,AL265)),"")))</f>
        <v/>
      </c>
      <c r="V265" s="37" t="str">
        <f aca="false">IF($A265="","",IFERROR(IF(VLOOKUP($C265,Dim_Fund!$A:$AI,35,0)&gt;0,$B265+VLOOKUP($C265,Dim_Fund!$A:$AI,35,0)/24,""),""))</f>
        <v/>
      </c>
      <c r="W265" s="37" t="str">
        <f aca="false">IF($A265="","",F265)</f>
        <v/>
      </c>
      <c r="X265" s="37" t="str">
        <f aca="false">IF($A265="","",IF(E265="Client",H265,G265))</f>
        <v/>
      </c>
      <c r="Y265" s="37" t="str">
        <f aca="false">IF($A265="","",I265)</f>
        <v/>
      </c>
      <c r="Z265" s="37" t="str">
        <f aca="false">IF($A265="","",IFERROR(W265-R265/1440,""))</f>
        <v/>
      </c>
      <c r="AA265" s="38" t="str">
        <f aca="false">IF($A265="","",IF(OR(U265="",V265=""),"",ROUND((V265-U265)*1440,0)))</f>
        <v/>
      </c>
      <c r="AB265" s="38" t="str">
        <f aca="false">IF($A265="","",IF(U265="","",ROUND((W265-U265)*1440,0)))</f>
        <v/>
      </c>
      <c r="AC265" s="38" t="str">
        <f aca="false">IF($A265="","",IF(AB265="","",MAX(0,AB265)))</f>
        <v/>
      </c>
      <c r="AD265" s="38" t="str">
        <f aca="false">IF($A265="","",IFERROR(ROUND((X265-W265)*1440,0),""))</f>
        <v/>
      </c>
      <c r="AE265" s="38" t="str">
        <f aca="false">IF($A265="","",IF(E265="Client","n/a",IFERROR(ROUND((H265-G265)*1440,0),"")))</f>
        <v/>
      </c>
      <c r="AF265" s="38" t="str">
        <f aca="false">IF($A265="","",IFERROR(ROUND((Y265-H265)*1440,0),""))</f>
        <v/>
      </c>
      <c r="AG265" s="38" t="str">
        <f aca="false">IF($A265="","",IFERROR(ROUND((H265-F265)*1440,0),""))</f>
        <v/>
      </c>
      <c r="AH265" s="38" t="str">
        <f aca="false">IF($A265="","",IFERROR(ROUND((Y265-V265)*1440,0),""))</f>
        <v/>
      </c>
      <c r="AI265" s="4" t="str">
        <f aca="false">IF($A265="","",IF(AH265="","",IF(AH265&gt;0,"Yes","No")))</f>
        <v/>
      </c>
      <c r="AJ265" s="4" t="str">
        <f aca="false">IF($A265="","",IF(AI265&lt;&gt;"Yes","On time",IF(N(AC265)&gt;=MAX(N(AF265),N(K265)),"Wait for analyst",IF(N(AF265)&gt;=N(K265),"External sign-off","Rework"))))</f>
        <v/>
      </c>
      <c r="AK265" s="4" t="str">
        <f aca="false">IF($A265="","",IF(OR(F265="",Y265="",ISNA(MATCH(L265,Dim_Analyst!$A:$A,0))),"CHECK","OK"))</f>
        <v/>
      </c>
      <c r="AL265" s="4" t="str">
        <f aca="false">IF($A265="","",IFERROR(VLOOKUP($C265,Dim_Fund!$A:$U,21,0),""))</f>
        <v/>
      </c>
      <c r="AM265" s="4" t="str">
        <f aca="false">IF($A265="","",IF($U265="","",IF($U265&gt;$B265+IFERROR(VLOOKUP($C265,Dim_Fund!$A:$AH,34,0),0)/24,"Yes","No")))</f>
        <v/>
      </c>
      <c r="AN265" s="22" t="str">
        <f aca="false">IF($A265="","",IFERROR(VLOOKUP($C265,Dim_Fund!$A:$AH,34,0),""))</f>
        <v/>
      </c>
      <c r="AO265" s="22" t="str">
        <f aca="false">IF($A265="","",IF($AL265="","",IFERROR(FLOOR(IF(COUNTIFS(Fact_Milestone!$A:$A,$B265,Fact_Milestone!$B:$B,$AL265,Fact_Milestone!$F:$F,"&gt;0")&gt;0,_xlfn.MINIFS(Fact_Milestone!$F:$F,Fact_Milestone!$A:$A,$B265,Fact_Milestone!$B:$B,$AL265,Fact_Milestone!$F:$F,"&gt;0"),VLOOKUP($AL265,Dim_TOP!$A:$E,5,0)),0.5),"")))</f>
        <v/>
      </c>
      <c r="AP265" s="22" t="str">
        <f aca="false">IF($A265="","",IF($U265="","",ROUND(($U265-INT($U265))*24,4)))</f>
        <v/>
      </c>
      <c r="AQ265" s="22" t="str">
        <f aca="false">IF($A265="","",IF($W265="","",ROUND(($W265-INT($W265))*24,4)))</f>
        <v/>
      </c>
      <c r="AR265" s="22" t="str">
        <f aca="false">IF($A265="","",IF($X265="","",ROUND(($X265-INT($X265))*24,4)))</f>
        <v/>
      </c>
      <c r="AS265" s="38" t="str">
        <f aca="false">IF($A265="","",IF(OR($AN265="",$V265="",$S265="",$T265=""),"",ROUND(($V265-($B265+$AN265/24))*1440-$S265-$T265,0)))</f>
        <v/>
      </c>
      <c r="AT265" s="38" t="str">
        <f aca="false">IF($A265="","",IF(OR($AN265="",$U265=""),"",ROUND(($U265-($B265+$AN265/24))*1440,0)))</f>
        <v/>
      </c>
      <c r="AU265" s="38" t="str">
        <f aca="false">IF($A265="","",IF(OR($AD265="",$S265=""),"",ROUND($AD265-$S265,0)))</f>
        <v/>
      </c>
      <c r="AV265" s="38" t="str">
        <f aca="false">IF($A265="","",N($AE265))</f>
        <v/>
      </c>
      <c r="AW265" s="38" t="str">
        <f aca="false">IF($A265="","",IF(OR($AF265="",$T265=""),"",$AF265-$T265))</f>
        <v/>
      </c>
      <c r="AX265" s="38" t="str">
        <f aca="false">IF($A265="","",IF(COUNT($AT265,$AB265,$AU265,$AW265,$AS265,$AH265)&lt;6,"",ROUND($AT265+$AB265+$AU265+$AV265+$AW265-$AS265-$AH265,0)))</f>
        <v/>
      </c>
      <c r="AY265" s="4" t="str">
        <f aca="false">IF($A265="","",IF($AX265="","No",IF(ABS($AX265)&lt;=2,"Yes","No")))</f>
        <v/>
      </c>
      <c r="AZ265" s="4" t="str">
        <f aca="false">IF($A265="","",IF($AI265&lt;&gt;"Yes","n/a",IF(OR($AA265="",$S265="",$T265=""),"Unknown",IF($AA265&lt;$S265+$T265,"Lost on arrival","Lost after arrival"))))</f>
        <v/>
      </c>
      <c r="BA265" s="10" t="str">
        <f aca="false">IF($A265="","",IFERROR(VLOOKUP($C265,Dim_Fund!$A:$D,4,0),""))</f>
        <v/>
      </c>
      <c r="BB265" s="10" t="str">
        <f aca="false">IF($A265="","",IF($AL265="","",IF(COUNTIFS(Fact_Milestone!$A:$A,$B265,Fact_Milestone!$B:$B,$AL265,Fact_Milestone!$I:$I,"No")&gt;0,"No",IF(COUNTIFS(Fact_Milestone!$A:$A,$B265,Fact_Milestone!$B:$B,$AL265,Fact_Milestone!$I:$I,"Yes")&gt;0,"Yes",""))))</f>
        <v/>
      </c>
      <c r="BC265" s="45" t="str">
        <f aca="false">IF($A265="","",IF(OR($L265="",$W265=""),"",IF(COUNTIFS($L:$L,$L265,$B:$B,$B265,$W:$W,"&lt;"&amp;$W265)=0,"",_xlfn.MAXIFS($W:$W,$L:$L,$L265,$B:$B,$B265,$W:$W,"&lt;"&amp;$W265))))</f>
        <v/>
      </c>
      <c r="BD265" s="39" t="str">
        <f aca="false">IF($A265="","",IF($AC265="","",IF(OR($L265="",$AC265=0),0,MIN($AC265,ROUND(ROUND(1440*SUMPRODUCT(($L$2:INDEX($L:$L,COUNTA($C:$C))=$L265)*($B$2:INDEX($B:$B,COUNTA($C:$C))=$B265)*(ROW($L$2:INDEX($L:$L,COUNTA($C:$C)))&lt;&gt;ROW())*((((($W265+$BT$2:INDEX($BT:$BT,COUNTA($C:$C))-ABS($W265-$BT$2:INDEX($BT:$BT,COUNTA($C:$C))))/2)-(($U265+$BS$2:INDEX($BS:$BS,COUNTA($C:$C))+ABS($U265-$BS$2:INDEX($BS:$BS,COUNTA($C:$C))))/2))+ABS(((($W265+$BT$2:INDEX($BT:$BT,COUNTA($C:$C))-ABS($W265-$BT$2:INDEX($BT:$BT,COUNTA($C:$C))))/2)-(($U265+$BS$2:INDEX($BS:$BS,COUNTA($C:$C))+ABS($U265-$BS$2:INDEX($BS:$BS,COUNTA($C:$C))))/2))))/2)),4),0)))))</f>
        <v/>
      </c>
      <c r="BE265" s="39" t="str">
        <f aca="false">IF($A265="","",IF($AC265="","",ROUND(MIN($AC265-$BD265,N($R265)),0)))</f>
        <v/>
      </c>
      <c r="BF265" s="10" t="str">
        <f aca="false">IF($A265="","",IFERROR(VLOOKUP($C265,Dim_Fund!$A:$BD,56,0),""))</f>
        <v/>
      </c>
      <c r="BG265" s="10" t="str">
        <f aca="false">IF($A265="","",IFERROR(VLOOKUP($C265,Dim_Fund!$A:$BH,60,0),""))</f>
        <v/>
      </c>
      <c r="BH265" s="10" t="str">
        <f aca="false">IF($A265="","",IF($AI265&lt;&gt;"Yes","Not breached",IF($AM265="Yes","Pricing late",IF($BG265="Thin custody slack","Thin custody slack",IF($BF265="Yes","Broker-dependent","None of these")))))</f>
        <v/>
      </c>
      <c r="BI265" s="23" t="str">
        <f aca="false">IF($A265="","",IFERROR(IF(VLOOKUP($C265,Dim_Fund!$A:$AI,35,0)&gt;0,VLOOKUP($C265,Dim_Fund!$A:$AI,35,0),""),""))</f>
        <v/>
      </c>
      <c r="BJ265" s="10" t="str">
        <f aca="false">IF($A265="","",$C265&amp;IF($E265="Client","*",""))</f>
        <v/>
      </c>
      <c r="BK265" s="39" t="str">
        <f aca="false">IF($A265="","",IFERROR(ROUND(($Y265-$X265)*1440,0),""))</f>
        <v/>
      </c>
      <c r="BL265" s="39" t="str">
        <f aca="false">IF($A265="","",IF($AH265="","",-$AH265))</f>
        <v/>
      </c>
      <c r="BM265" s="46" t="str">
        <f aca="false">IF($A265="","",IF($AQ265="","",IF($AP265="",$AQ265,MIN($AP265,$AQ265))))</f>
        <v/>
      </c>
      <c r="BN265" s="46" t="str">
        <f aca="false">IF($A265="","",IF($BM265="","",ROUND(N($AC265)/60,4)))</f>
        <v/>
      </c>
      <c r="BO265" s="46" t="str">
        <f aca="false">IF($A265="","",IF(OR($BM265="",$AD265=""),"",ROUND($AD265/60,4)))</f>
        <v/>
      </c>
      <c r="BP265" s="46" t="str">
        <f aca="false">IF($A265="","",IF($BM265="","",ROUND(N($AE265)/60,4)))</f>
        <v/>
      </c>
      <c r="BQ265" s="46" t="str">
        <f aca="false">IF($A265="","",IF(OR($BM265="",$AF265=""),"",ROUND($AF265/60,4)))</f>
        <v/>
      </c>
      <c r="BR265" s="39" t="str">
        <f aca="false">IF($A265="","",IF($AC265="","",$AC265-$BD265-$BE265))</f>
        <v/>
      </c>
      <c r="BS265" s="45" t="str">
        <f aca="false">IF($A265="","",IF(AND(ISNUMBER($Z265),ISNUMBER($W265)),$Z265,0))</f>
        <v/>
      </c>
      <c r="BT265" s="45" t="str">
        <f aca="false">IF($A265="","",IF(ISNUMBER($W265),$W265,0))</f>
        <v/>
      </c>
      <c r="BU265" s="23" t="str">
        <f aca="false">IF($A265="","",IF(ISNUMBER($W265),ROUND(($W265-$B265)*24,4),""))</f>
        <v/>
      </c>
      <c r="BV265" s="23" t="str">
        <f aca="false">IF($A265="","",IF(ISNUMBER($X265),ROUND(($X265-$B265)*24,4),""))</f>
        <v/>
      </c>
      <c r="BW265" s="10" t="str">
        <f aca="false">IF($A265="","",IF(NOT(ISNUMBER($W265)),"Missing Calculated",IF(NOT(ISNUMBER($X265)),IF($E265="Client","Missing FA signed off","Missing Controlled"),IF($X265&lt;$W265,"End before start","OK"))))</f>
        <v/>
      </c>
      <c r="BX265" s="23" t="str">
        <f aca="false">IF($A265="","",IF(NOT(ISNUMBER($Z265)),"",ROUND((IF(ISNUMBER($U265),MIN($U265,$Z265),$Z265)-$B265)*24,4)))</f>
        <v/>
      </c>
      <c r="BY265" s="23" t="str">
        <f aca="false">IF($A265="","",IF(ISNUMBER($Z265),ROUND(($Z265-$B265)*24,4),""))</f>
        <v/>
      </c>
      <c r="BZ265" s="23" t="str">
        <f aca="false">IF($A265="","",IF(AND(ISNUMBER($W265),ISNUMBER($S265)),ROUND(($W265+$S265/1440-$B265)*24,4),""))</f>
        <v/>
      </c>
    </row>
    <row r="266" customFormat="false" ht="15" hidden="false" customHeight="true" outlineLevel="0" collapsed="false">
      <c r="A266" s="47"/>
      <c r="B266" s="47"/>
      <c r="D266" s="4" t="str">
        <f aca="false">IF($A266="","",$B266-$A266)</f>
        <v/>
      </c>
      <c r="E266" s="4" t="str">
        <f aca="false">IF($A266="","",IFERROR(VLOOKUP($C266,Dim_Fund!$A:$X,24,0),""))</f>
        <v/>
      </c>
      <c r="F266" s="37" t="str">
        <f aca="false">IF($A266="","",IF(COUNTIFS(Status_Log!$A:$A,$A266,Status_Log!$B:$B,$B266,Status_Log!$C:$C,$C266,Status_Log!$D:$D,"Changed to the status of Calculated")=0,"",_xlfn.MINIFS(Status_Log!$E:$E,Status_Log!$A:$A,$A266,Status_Log!$B:$B,$B266,Status_Log!$C:$C,$C266,Status_Log!$D:$D,"Changed to the status of Calculated")))</f>
        <v/>
      </c>
      <c r="G266" s="37" t="str">
        <f aca="false">IF($A266="","",IF(COUNTIFS(Status_Log!$A:$A,$A266,Status_Log!$B:$B,$B266,Status_Log!$C:$C,$C266,Status_Log!$D:$D,"Changed to the status of Controlled")=0,"",_xlfn.MAXIFS(Status_Log!$E:$E,Status_Log!$A:$A,$A266,Status_Log!$B:$B,$B266,Status_Log!$C:$C,$C266,Status_Log!$D:$D,"Changed to the status of Controlled")))</f>
        <v/>
      </c>
      <c r="H266" s="37" t="str">
        <f aca="false">IF($A266="","",IF(COUNTIFS(Status_Log!$A:$A,$A266,Status_Log!$B:$B,$B266,Status_Log!$C:$C,$C266,Status_Log!$D:$D,"Changed to the status of Fund accounting signed off")=0,"",_xlfn.MAXIFS(Status_Log!$E:$E,Status_Log!$A:$A,$A266,Status_Log!$B:$B,$B266,Status_Log!$C:$C,$C266,Status_Log!$D:$D,"Changed to the status of Fund accounting signed off")))</f>
        <v/>
      </c>
      <c r="I266" s="37" t="str">
        <f aca="false">IF($A266="","",IF(COUNTIFS(Status_Log!$A:$A,$A266,Status_Log!$B:$B,$B266,Status_Log!$C:$C,$C266,Status_Log!$D:$D,"Changed to the status of signed off")=0,"",_xlfn.MAXIFS(Status_Log!$E:$E,Status_Log!$A:$A,$A266,Status_Log!$B:$B,$B266,Status_Log!$C:$C,$C266,Status_Log!$D:$D,"Changed to the status of signed off")))</f>
        <v/>
      </c>
      <c r="J266" s="4" t="str">
        <f aca="false">IF($A266="","",COUNTIFS(Status_Log!$A:$A,$A266,Status_Log!$B:$B,$B266,Status_Log!$C:$C,$C266,Status_Log!$D:$D,"Changed to the status of Calculated"))</f>
        <v/>
      </c>
      <c r="K266" s="38" t="str">
        <f aca="false">IF($A266="","",IF(J266&lt;=1,0,ROUND((_xlfn.MAXIFS(Status_Log!$E:$E,Status_Log!$A:$A,$A266,Status_Log!$B:$B,$B266,Status_Log!$C:$C,$C266,Status_Log!$D:$D,"Changed to the status of Calculated")-F266)*1440,0)))</f>
        <v/>
      </c>
      <c r="L266" s="4" t="str">
        <f aca="false">IF($A266="","",IFERROR(INDEX(Status_Log!$F:$F,MATCH($A266&amp;"|"&amp;$B266&amp;"|"&amp;$C266&amp;"|Changed to the status of Calculated|"&amp;TEXT(_xlfn.MAXIFS(Status_Log!$E:$E,Status_Log!$A:$A,$A266,Status_Log!$B:$B,$B266,Status_Log!$C:$C,$C266,Status_Log!$D:$D,"Changed to the status of Calculated"),"0.000000"),Status_Log!$H:$H,0)),""))</f>
        <v/>
      </c>
      <c r="M266" s="4" t="str">
        <f aca="false">IF($A266="","",IF(E266="Client","n/a — no control step",IFERROR(INDEX(Status_Log!$F:$F,MATCH($A266&amp;"|"&amp;$B266&amp;"|"&amp;$C266&amp;"|Changed to the status of Controlled|"&amp;TEXT(_xlfn.MAXIFS(Status_Log!$E:$E,Status_Log!$A:$A,$A266,Status_Log!$B:$B,$B266,Status_Log!$C:$C,$C266,Status_Log!$D:$D,"Changed to the status of Controlled"),"0.000000"),Status_Log!$H:$H,0)),"")))</f>
        <v/>
      </c>
      <c r="N266" s="4" t="str">
        <f aca="false">IF($A266="","",IFERROR(VLOOKUP($C266,Dim_Fund!$A:$G,7,0),""))</f>
        <v/>
      </c>
      <c r="O266" s="4" t="str">
        <f aca="false">IF($A266="","",IF(L266=N266,"No","Yes"))</f>
        <v/>
      </c>
      <c r="P266" s="4" t="str">
        <f aca="false">IF($A266="","",IF(E266="Client","n/a",IF(L266=M266,"YES — four-eyes breach","No")))</f>
        <v/>
      </c>
      <c r="Q266" s="38" t="str">
        <f aca="false">IF($A266="","",IFERROR(VLOOKUP($C266,Dim_Fund!$A:$AB,28,0),""))</f>
        <v/>
      </c>
      <c r="R266" s="38" t="str">
        <f aca="false">IF($A266="","",IFERROR(VLOOKUP($C266,Dim_Fund!$A:$AC,29,0),""))</f>
        <v/>
      </c>
      <c r="S266" s="38" t="str">
        <f aca="false">IF($A266="","",IFERROR(VLOOKUP($C266,Dim_Fund!$A:$AD,30,0),""))</f>
        <v/>
      </c>
      <c r="T266" s="38" t="str">
        <f aca="false">IF($A266="","",IFERROR(VLOOKUP($C266,Dim_Fund!$A:$AL,38,0),""))</f>
        <v/>
      </c>
      <c r="U266" s="37" t="str">
        <f aca="false">IF($A266="","",IF(AL266="","",IFERROR(IF(COUNTIFS(Fact_Milestone!$A:$A,$B266,Fact_Milestone!$B:$B,AL266)=0,"",_xlfn.MAXIFS(Fact_Milestone!$C:$C,Fact_Milestone!$A:$A,$B266,Fact_Milestone!$B:$B,AL266)),"")))</f>
        <v/>
      </c>
      <c r="V266" s="37" t="str">
        <f aca="false">IF($A266="","",IFERROR(IF(VLOOKUP($C266,Dim_Fund!$A:$AI,35,0)&gt;0,$B266+VLOOKUP($C266,Dim_Fund!$A:$AI,35,0)/24,""),""))</f>
        <v/>
      </c>
      <c r="W266" s="37" t="str">
        <f aca="false">IF($A266="","",F266)</f>
        <v/>
      </c>
      <c r="X266" s="37" t="str">
        <f aca="false">IF($A266="","",IF(E266="Client",H266,G266))</f>
        <v/>
      </c>
      <c r="Y266" s="37" t="str">
        <f aca="false">IF($A266="","",I266)</f>
        <v/>
      </c>
      <c r="Z266" s="37" t="str">
        <f aca="false">IF($A266="","",IFERROR(W266-R266/1440,""))</f>
        <v/>
      </c>
      <c r="AA266" s="38" t="str">
        <f aca="false">IF($A266="","",IF(OR(U266="",V266=""),"",ROUND((V266-U266)*1440,0)))</f>
        <v/>
      </c>
      <c r="AB266" s="38" t="str">
        <f aca="false">IF($A266="","",IF(U266="","",ROUND((W266-U266)*1440,0)))</f>
        <v/>
      </c>
      <c r="AC266" s="38" t="str">
        <f aca="false">IF($A266="","",IF(AB266="","",MAX(0,AB266)))</f>
        <v/>
      </c>
      <c r="AD266" s="38" t="str">
        <f aca="false">IF($A266="","",IFERROR(ROUND((X266-W266)*1440,0),""))</f>
        <v/>
      </c>
      <c r="AE266" s="38" t="str">
        <f aca="false">IF($A266="","",IF(E266="Client","n/a",IFERROR(ROUND((H266-G266)*1440,0),"")))</f>
        <v/>
      </c>
      <c r="AF266" s="38" t="str">
        <f aca="false">IF($A266="","",IFERROR(ROUND((Y266-H266)*1440,0),""))</f>
        <v/>
      </c>
      <c r="AG266" s="38" t="str">
        <f aca="false">IF($A266="","",IFERROR(ROUND((H266-F266)*1440,0),""))</f>
        <v/>
      </c>
      <c r="AH266" s="38" t="str">
        <f aca="false">IF($A266="","",IFERROR(ROUND((Y266-V266)*1440,0),""))</f>
        <v/>
      </c>
      <c r="AI266" s="4" t="str">
        <f aca="false">IF($A266="","",IF(AH266="","",IF(AH266&gt;0,"Yes","No")))</f>
        <v/>
      </c>
      <c r="AJ266" s="4" t="str">
        <f aca="false">IF($A266="","",IF(AI266&lt;&gt;"Yes","On time",IF(N(AC266)&gt;=MAX(N(AF266),N(K266)),"Wait for analyst",IF(N(AF266)&gt;=N(K266),"External sign-off","Rework"))))</f>
        <v/>
      </c>
      <c r="AK266" s="4" t="str">
        <f aca="false">IF($A266="","",IF(OR(F266="",Y266="",ISNA(MATCH(L266,Dim_Analyst!$A:$A,0))),"CHECK","OK"))</f>
        <v/>
      </c>
      <c r="AL266" s="4" t="str">
        <f aca="false">IF($A266="","",IFERROR(VLOOKUP($C266,Dim_Fund!$A:$U,21,0),""))</f>
        <v/>
      </c>
      <c r="AM266" s="4" t="str">
        <f aca="false">IF($A266="","",IF($U266="","",IF($U266&gt;$B266+IFERROR(VLOOKUP($C266,Dim_Fund!$A:$AH,34,0),0)/24,"Yes","No")))</f>
        <v/>
      </c>
      <c r="AN266" s="22" t="str">
        <f aca="false">IF($A266="","",IFERROR(VLOOKUP($C266,Dim_Fund!$A:$AH,34,0),""))</f>
        <v/>
      </c>
      <c r="AO266" s="22" t="str">
        <f aca="false">IF($A266="","",IF($AL266="","",IFERROR(FLOOR(IF(COUNTIFS(Fact_Milestone!$A:$A,$B266,Fact_Milestone!$B:$B,$AL266,Fact_Milestone!$F:$F,"&gt;0")&gt;0,_xlfn.MINIFS(Fact_Milestone!$F:$F,Fact_Milestone!$A:$A,$B266,Fact_Milestone!$B:$B,$AL266,Fact_Milestone!$F:$F,"&gt;0"),VLOOKUP($AL266,Dim_TOP!$A:$E,5,0)),0.5),"")))</f>
        <v/>
      </c>
      <c r="AP266" s="22" t="str">
        <f aca="false">IF($A266="","",IF($U266="","",ROUND(($U266-INT($U266))*24,4)))</f>
        <v/>
      </c>
      <c r="AQ266" s="22" t="str">
        <f aca="false">IF($A266="","",IF($W266="","",ROUND(($W266-INT($W266))*24,4)))</f>
        <v/>
      </c>
      <c r="AR266" s="22" t="str">
        <f aca="false">IF($A266="","",IF($X266="","",ROUND(($X266-INT($X266))*24,4)))</f>
        <v/>
      </c>
      <c r="AS266" s="38" t="str">
        <f aca="false">IF($A266="","",IF(OR($AN266="",$V266="",$S266="",$T266=""),"",ROUND(($V266-($B266+$AN266/24))*1440-$S266-$T266,0)))</f>
        <v/>
      </c>
      <c r="AT266" s="38" t="str">
        <f aca="false">IF($A266="","",IF(OR($AN266="",$U266=""),"",ROUND(($U266-($B266+$AN266/24))*1440,0)))</f>
        <v/>
      </c>
      <c r="AU266" s="38" t="str">
        <f aca="false">IF($A266="","",IF(OR($AD266="",$S266=""),"",ROUND($AD266-$S266,0)))</f>
        <v/>
      </c>
      <c r="AV266" s="38" t="str">
        <f aca="false">IF($A266="","",N($AE266))</f>
        <v/>
      </c>
      <c r="AW266" s="38" t="str">
        <f aca="false">IF($A266="","",IF(OR($AF266="",$T266=""),"",$AF266-$T266))</f>
        <v/>
      </c>
      <c r="AX266" s="38" t="str">
        <f aca="false">IF($A266="","",IF(COUNT($AT266,$AB266,$AU266,$AW266,$AS266,$AH266)&lt;6,"",ROUND($AT266+$AB266+$AU266+$AV266+$AW266-$AS266-$AH266,0)))</f>
        <v/>
      </c>
      <c r="AY266" s="4" t="str">
        <f aca="false">IF($A266="","",IF($AX266="","No",IF(ABS($AX266)&lt;=2,"Yes","No")))</f>
        <v/>
      </c>
      <c r="AZ266" s="4" t="str">
        <f aca="false">IF($A266="","",IF($AI266&lt;&gt;"Yes","n/a",IF(OR($AA266="",$S266="",$T266=""),"Unknown",IF($AA266&lt;$S266+$T266,"Lost on arrival","Lost after arrival"))))</f>
        <v/>
      </c>
      <c r="BA266" s="10" t="str">
        <f aca="false">IF($A266="","",IFERROR(VLOOKUP($C266,Dim_Fund!$A:$D,4,0),""))</f>
        <v/>
      </c>
      <c r="BB266" s="10" t="str">
        <f aca="false">IF($A266="","",IF($AL266="","",IF(COUNTIFS(Fact_Milestone!$A:$A,$B266,Fact_Milestone!$B:$B,$AL266,Fact_Milestone!$I:$I,"No")&gt;0,"No",IF(COUNTIFS(Fact_Milestone!$A:$A,$B266,Fact_Milestone!$B:$B,$AL266,Fact_Milestone!$I:$I,"Yes")&gt;0,"Yes",""))))</f>
        <v/>
      </c>
      <c r="BC266" s="45" t="str">
        <f aca="false">IF($A266="","",IF(OR($L266="",$W266=""),"",IF(COUNTIFS($L:$L,$L266,$B:$B,$B266,$W:$W,"&lt;"&amp;$W266)=0,"",_xlfn.MAXIFS($W:$W,$L:$L,$L266,$B:$B,$B266,$W:$W,"&lt;"&amp;$W266))))</f>
        <v/>
      </c>
      <c r="BD266" s="39" t="str">
        <f aca="false">IF($A266="","",IF($AC266="","",IF(OR($L266="",$AC266=0),0,MIN($AC266,ROUND(ROUND(1440*SUMPRODUCT(($L$2:INDEX($L:$L,COUNTA($C:$C))=$L266)*($B$2:INDEX($B:$B,COUNTA($C:$C))=$B266)*(ROW($L$2:INDEX($L:$L,COUNTA($C:$C)))&lt;&gt;ROW())*((((($W266+$BT$2:INDEX($BT:$BT,COUNTA($C:$C))-ABS($W266-$BT$2:INDEX($BT:$BT,COUNTA($C:$C))))/2)-(($U266+$BS$2:INDEX($BS:$BS,COUNTA($C:$C))+ABS($U266-$BS$2:INDEX($BS:$BS,COUNTA($C:$C))))/2))+ABS(((($W266+$BT$2:INDEX($BT:$BT,COUNTA($C:$C))-ABS($W266-$BT$2:INDEX($BT:$BT,COUNTA($C:$C))))/2)-(($U266+$BS$2:INDEX($BS:$BS,COUNTA($C:$C))+ABS($U266-$BS$2:INDEX($BS:$BS,COUNTA($C:$C))))/2))))/2)),4),0)))))</f>
        <v/>
      </c>
      <c r="BE266" s="39" t="str">
        <f aca="false">IF($A266="","",IF($AC266="","",ROUND(MIN($AC266-$BD266,N($R266)),0)))</f>
        <v/>
      </c>
      <c r="BF266" s="10" t="str">
        <f aca="false">IF($A266="","",IFERROR(VLOOKUP($C266,Dim_Fund!$A:$BD,56,0),""))</f>
        <v/>
      </c>
      <c r="BG266" s="10" t="str">
        <f aca="false">IF($A266="","",IFERROR(VLOOKUP($C266,Dim_Fund!$A:$BH,60,0),""))</f>
        <v/>
      </c>
      <c r="BH266" s="10" t="str">
        <f aca="false">IF($A266="","",IF($AI266&lt;&gt;"Yes","Not breached",IF($AM266="Yes","Pricing late",IF($BG266="Thin custody slack","Thin custody slack",IF($BF266="Yes","Broker-dependent","None of these")))))</f>
        <v/>
      </c>
      <c r="BI266" s="23" t="str">
        <f aca="false">IF($A266="","",IFERROR(IF(VLOOKUP($C266,Dim_Fund!$A:$AI,35,0)&gt;0,VLOOKUP($C266,Dim_Fund!$A:$AI,35,0),""),""))</f>
        <v/>
      </c>
      <c r="BJ266" s="10" t="str">
        <f aca="false">IF($A266="","",$C266&amp;IF($E266="Client","*",""))</f>
        <v/>
      </c>
      <c r="BK266" s="39" t="str">
        <f aca="false">IF($A266="","",IFERROR(ROUND(($Y266-$X266)*1440,0),""))</f>
        <v/>
      </c>
      <c r="BL266" s="39" t="str">
        <f aca="false">IF($A266="","",IF($AH266="","",-$AH266))</f>
        <v/>
      </c>
      <c r="BM266" s="46" t="str">
        <f aca="false">IF($A266="","",IF($AQ266="","",IF($AP266="",$AQ266,MIN($AP266,$AQ266))))</f>
        <v/>
      </c>
      <c r="BN266" s="46" t="str">
        <f aca="false">IF($A266="","",IF($BM266="","",ROUND(N($AC266)/60,4)))</f>
        <v/>
      </c>
      <c r="BO266" s="46" t="str">
        <f aca="false">IF($A266="","",IF(OR($BM266="",$AD266=""),"",ROUND($AD266/60,4)))</f>
        <v/>
      </c>
      <c r="BP266" s="46" t="str">
        <f aca="false">IF($A266="","",IF($BM266="","",ROUND(N($AE266)/60,4)))</f>
        <v/>
      </c>
      <c r="BQ266" s="46" t="str">
        <f aca="false">IF($A266="","",IF(OR($BM266="",$AF266=""),"",ROUND($AF266/60,4)))</f>
        <v/>
      </c>
      <c r="BR266" s="39" t="str">
        <f aca="false">IF($A266="","",IF($AC266="","",$AC266-$BD266-$BE266))</f>
        <v/>
      </c>
      <c r="BS266" s="45" t="str">
        <f aca="false">IF($A266="","",IF(AND(ISNUMBER($Z266),ISNUMBER($W266)),$Z266,0))</f>
        <v/>
      </c>
      <c r="BT266" s="45" t="str">
        <f aca="false">IF($A266="","",IF(ISNUMBER($W266),$W266,0))</f>
        <v/>
      </c>
      <c r="BU266" s="23" t="str">
        <f aca="false">IF($A266="","",IF(ISNUMBER($W266),ROUND(($W266-$B266)*24,4),""))</f>
        <v/>
      </c>
      <c r="BV266" s="23" t="str">
        <f aca="false">IF($A266="","",IF(ISNUMBER($X266),ROUND(($X266-$B266)*24,4),""))</f>
        <v/>
      </c>
      <c r="BW266" s="10" t="str">
        <f aca="false">IF($A266="","",IF(NOT(ISNUMBER($W266)),"Missing Calculated",IF(NOT(ISNUMBER($X266)),IF($E266="Client","Missing FA signed off","Missing Controlled"),IF($X266&lt;$W266,"End before start","OK"))))</f>
        <v/>
      </c>
      <c r="BX266" s="23" t="str">
        <f aca="false">IF($A266="","",IF(NOT(ISNUMBER($Z266)),"",ROUND((IF(ISNUMBER($U266),MIN($U266,$Z266),$Z266)-$B266)*24,4)))</f>
        <v/>
      </c>
      <c r="BY266" s="23" t="str">
        <f aca="false">IF($A266="","",IF(ISNUMBER($Z266),ROUND(($Z266-$B266)*24,4),""))</f>
        <v/>
      </c>
      <c r="BZ266" s="23" t="str">
        <f aca="false">IF($A266="","",IF(AND(ISNUMBER($W266),ISNUMBER($S266)),ROUND(($W266+$S266/1440-$B266)*24,4),""))</f>
        <v/>
      </c>
    </row>
    <row r="267" customFormat="false" ht="15" hidden="false" customHeight="true" outlineLevel="0" collapsed="false">
      <c r="A267" s="47"/>
      <c r="B267" s="47"/>
      <c r="D267" s="4" t="str">
        <f aca="false">IF($A267="","",$B267-$A267)</f>
        <v/>
      </c>
      <c r="E267" s="4" t="str">
        <f aca="false">IF($A267="","",IFERROR(VLOOKUP($C267,Dim_Fund!$A:$X,24,0),""))</f>
        <v/>
      </c>
      <c r="F267" s="37" t="str">
        <f aca="false">IF($A267="","",IF(COUNTIFS(Status_Log!$A:$A,$A267,Status_Log!$B:$B,$B267,Status_Log!$C:$C,$C267,Status_Log!$D:$D,"Changed to the status of Calculated")=0,"",_xlfn.MINIFS(Status_Log!$E:$E,Status_Log!$A:$A,$A267,Status_Log!$B:$B,$B267,Status_Log!$C:$C,$C267,Status_Log!$D:$D,"Changed to the status of Calculated")))</f>
        <v/>
      </c>
      <c r="G267" s="37" t="str">
        <f aca="false">IF($A267="","",IF(COUNTIFS(Status_Log!$A:$A,$A267,Status_Log!$B:$B,$B267,Status_Log!$C:$C,$C267,Status_Log!$D:$D,"Changed to the status of Controlled")=0,"",_xlfn.MAXIFS(Status_Log!$E:$E,Status_Log!$A:$A,$A267,Status_Log!$B:$B,$B267,Status_Log!$C:$C,$C267,Status_Log!$D:$D,"Changed to the status of Controlled")))</f>
        <v/>
      </c>
      <c r="H267" s="37" t="str">
        <f aca="false">IF($A267="","",IF(COUNTIFS(Status_Log!$A:$A,$A267,Status_Log!$B:$B,$B267,Status_Log!$C:$C,$C267,Status_Log!$D:$D,"Changed to the status of Fund accounting signed off")=0,"",_xlfn.MAXIFS(Status_Log!$E:$E,Status_Log!$A:$A,$A267,Status_Log!$B:$B,$B267,Status_Log!$C:$C,$C267,Status_Log!$D:$D,"Changed to the status of Fund accounting signed off")))</f>
        <v/>
      </c>
      <c r="I267" s="37" t="str">
        <f aca="false">IF($A267="","",IF(COUNTIFS(Status_Log!$A:$A,$A267,Status_Log!$B:$B,$B267,Status_Log!$C:$C,$C267,Status_Log!$D:$D,"Changed to the status of signed off")=0,"",_xlfn.MAXIFS(Status_Log!$E:$E,Status_Log!$A:$A,$A267,Status_Log!$B:$B,$B267,Status_Log!$C:$C,$C267,Status_Log!$D:$D,"Changed to the status of signed off")))</f>
        <v/>
      </c>
      <c r="J267" s="4" t="str">
        <f aca="false">IF($A267="","",COUNTIFS(Status_Log!$A:$A,$A267,Status_Log!$B:$B,$B267,Status_Log!$C:$C,$C267,Status_Log!$D:$D,"Changed to the status of Calculated"))</f>
        <v/>
      </c>
      <c r="K267" s="38" t="str">
        <f aca="false">IF($A267="","",IF(J267&lt;=1,0,ROUND((_xlfn.MAXIFS(Status_Log!$E:$E,Status_Log!$A:$A,$A267,Status_Log!$B:$B,$B267,Status_Log!$C:$C,$C267,Status_Log!$D:$D,"Changed to the status of Calculated")-F267)*1440,0)))</f>
        <v/>
      </c>
      <c r="L267" s="4" t="str">
        <f aca="false">IF($A267="","",IFERROR(INDEX(Status_Log!$F:$F,MATCH($A267&amp;"|"&amp;$B267&amp;"|"&amp;$C267&amp;"|Changed to the status of Calculated|"&amp;TEXT(_xlfn.MAXIFS(Status_Log!$E:$E,Status_Log!$A:$A,$A267,Status_Log!$B:$B,$B267,Status_Log!$C:$C,$C267,Status_Log!$D:$D,"Changed to the status of Calculated"),"0.000000"),Status_Log!$H:$H,0)),""))</f>
        <v/>
      </c>
      <c r="M267" s="4" t="str">
        <f aca="false">IF($A267="","",IF(E267="Client","n/a — no control step",IFERROR(INDEX(Status_Log!$F:$F,MATCH($A267&amp;"|"&amp;$B267&amp;"|"&amp;$C267&amp;"|Changed to the status of Controlled|"&amp;TEXT(_xlfn.MAXIFS(Status_Log!$E:$E,Status_Log!$A:$A,$A267,Status_Log!$B:$B,$B267,Status_Log!$C:$C,$C267,Status_Log!$D:$D,"Changed to the status of Controlled"),"0.000000"),Status_Log!$H:$H,0)),"")))</f>
        <v/>
      </c>
      <c r="N267" s="4" t="str">
        <f aca="false">IF($A267="","",IFERROR(VLOOKUP($C267,Dim_Fund!$A:$G,7,0),""))</f>
        <v/>
      </c>
      <c r="O267" s="4" t="str">
        <f aca="false">IF($A267="","",IF(L267=N267,"No","Yes"))</f>
        <v/>
      </c>
      <c r="P267" s="4" t="str">
        <f aca="false">IF($A267="","",IF(E267="Client","n/a",IF(L267=M267,"YES — four-eyes breach","No")))</f>
        <v/>
      </c>
      <c r="Q267" s="38" t="str">
        <f aca="false">IF($A267="","",IFERROR(VLOOKUP($C267,Dim_Fund!$A:$AB,28,0),""))</f>
        <v/>
      </c>
      <c r="R267" s="38" t="str">
        <f aca="false">IF($A267="","",IFERROR(VLOOKUP($C267,Dim_Fund!$A:$AC,29,0),""))</f>
        <v/>
      </c>
      <c r="S267" s="38" t="str">
        <f aca="false">IF($A267="","",IFERROR(VLOOKUP($C267,Dim_Fund!$A:$AD,30,0),""))</f>
        <v/>
      </c>
      <c r="T267" s="38" t="str">
        <f aca="false">IF($A267="","",IFERROR(VLOOKUP($C267,Dim_Fund!$A:$AL,38,0),""))</f>
        <v/>
      </c>
      <c r="U267" s="37" t="str">
        <f aca="false">IF($A267="","",IF(AL267="","",IFERROR(IF(COUNTIFS(Fact_Milestone!$A:$A,$B267,Fact_Milestone!$B:$B,AL267)=0,"",_xlfn.MAXIFS(Fact_Milestone!$C:$C,Fact_Milestone!$A:$A,$B267,Fact_Milestone!$B:$B,AL267)),"")))</f>
        <v/>
      </c>
      <c r="V267" s="37" t="str">
        <f aca="false">IF($A267="","",IFERROR(IF(VLOOKUP($C267,Dim_Fund!$A:$AI,35,0)&gt;0,$B267+VLOOKUP($C267,Dim_Fund!$A:$AI,35,0)/24,""),""))</f>
        <v/>
      </c>
      <c r="W267" s="37" t="str">
        <f aca="false">IF($A267="","",F267)</f>
        <v/>
      </c>
      <c r="X267" s="37" t="str">
        <f aca="false">IF($A267="","",IF(E267="Client",H267,G267))</f>
        <v/>
      </c>
      <c r="Y267" s="37" t="str">
        <f aca="false">IF($A267="","",I267)</f>
        <v/>
      </c>
      <c r="Z267" s="37" t="str">
        <f aca="false">IF($A267="","",IFERROR(W267-R267/1440,""))</f>
        <v/>
      </c>
      <c r="AA267" s="38" t="str">
        <f aca="false">IF($A267="","",IF(OR(U267="",V267=""),"",ROUND((V267-U267)*1440,0)))</f>
        <v/>
      </c>
      <c r="AB267" s="38" t="str">
        <f aca="false">IF($A267="","",IF(U267="","",ROUND((W267-U267)*1440,0)))</f>
        <v/>
      </c>
      <c r="AC267" s="38" t="str">
        <f aca="false">IF($A267="","",IF(AB267="","",MAX(0,AB267)))</f>
        <v/>
      </c>
      <c r="AD267" s="38" t="str">
        <f aca="false">IF($A267="","",IFERROR(ROUND((X267-W267)*1440,0),""))</f>
        <v/>
      </c>
      <c r="AE267" s="38" t="str">
        <f aca="false">IF($A267="","",IF(E267="Client","n/a",IFERROR(ROUND((H267-G267)*1440,0),"")))</f>
        <v/>
      </c>
      <c r="AF267" s="38" t="str">
        <f aca="false">IF($A267="","",IFERROR(ROUND((Y267-H267)*1440,0),""))</f>
        <v/>
      </c>
      <c r="AG267" s="38" t="str">
        <f aca="false">IF($A267="","",IFERROR(ROUND((H267-F267)*1440,0),""))</f>
        <v/>
      </c>
      <c r="AH267" s="38" t="str">
        <f aca="false">IF($A267="","",IFERROR(ROUND((Y267-V267)*1440,0),""))</f>
        <v/>
      </c>
      <c r="AI267" s="4" t="str">
        <f aca="false">IF($A267="","",IF(AH267="","",IF(AH267&gt;0,"Yes","No")))</f>
        <v/>
      </c>
      <c r="AJ267" s="4" t="str">
        <f aca="false">IF($A267="","",IF(AI267&lt;&gt;"Yes","On time",IF(N(AC267)&gt;=MAX(N(AF267),N(K267)),"Wait for analyst",IF(N(AF267)&gt;=N(K267),"External sign-off","Rework"))))</f>
        <v/>
      </c>
      <c r="AK267" s="4" t="str">
        <f aca="false">IF($A267="","",IF(OR(F267="",Y267="",ISNA(MATCH(L267,Dim_Analyst!$A:$A,0))),"CHECK","OK"))</f>
        <v/>
      </c>
      <c r="AL267" s="4" t="str">
        <f aca="false">IF($A267="","",IFERROR(VLOOKUP($C267,Dim_Fund!$A:$U,21,0),""))</f>
        <v/>
      </c>
      <c r="AM267" s="4" t="str">
        <f aca="false">IF($A267="","",IF($U267="","",IF($U267&gt;$B267+IFERROR(VLOOKUP($C267,Dim_Fund!$A:$AH,34,0),0)/24,"Yes","No")))</f>
        <v/>
      </c>
      <c r="AN267" s="22" t="str">
        <f aca="false">IF($A267="","",IFERROR(VLOOKUP($C267,Dim_Fund!$A:$AH,34,0),""))</f>
        <v/>
      </c>
      <c r="AO267" s="22" t="str">
        <f aca="false">IF($A267="","",IF($AL267="","",IFERROR(FLOOR(IF(COUNTIFS(Fact_Milestone!$A:$A,$B267,Fact_Milestone!$B:$B,$AL267,Fact_Milestone!$F:$F,"&gt;0")&gt;0,_xlfn.MINIFS(Fact_Milestone!$F:$F,Fact_Milestone!$A:$A,$B267,Fact_Milestone!$B:$B,$AL267,Fact_Milestone!$F:$F,"&gt;0"),VLOOKUP($AL267,Dim_TOP!$A:$E,5,0)),0.5),"")))</f>
        <v/>
      </c>
      <c r="AP267" s="22" t="str">
        <f aca="false">IF($A267="","",IF($U267="","",ROUND(($U267-INT($U267))*24,4)))</f>
        <v/>
      </c>
      <c r="AQ267" s="22" t="str">
        <f aca="false">IF($A267="","",IF($W267="","",ROUND(($W267-INT($W267))*24,4)))</f>
        <v/>
      </c>
      <c r="AR267" s="22" t="str">
        <f aca="false">IF($A267="","",IF($X267="","",ROUND(($X267-INT($X267))*24,4)))</f>
        <v/>
      </c>
      <c r="AS267" s="38" t="str">
        <f aca="false">IF($A267="","",IF(OR($AN267="",$V267="",$S267="",$T267=""),"",ROUND(($V267-($B267+$AN267/24))*1440-$S267-$T267,0)))</f>
        <v/>
      </c>
      <c r="AT267" s="38" t="str">
        <f aca="false">IF($A267="","",IF(OR($AN267="",$U267=""),"",ROUND(($U267-($B267+$AN267/24))*1440,0)))</f>
        <v/>
      </c>
      <c r="AU267" s="38" t="str">
        <f aca="false">IF($A267="","",IF(OR($AD267="",$S267=""),"",ROUND($AD267-$S267,0)))</f>
        <v/>
      </c>
      <c r="AV267" s="38" t="str">
        <f aca="false">IF($A267="","",N($AE267))</f>
        <v/>
      </c>
      <c r="AW267" s="38" t="str">
        <f aca="false">IF($A267="","",IF(OR($AF267="",$T267=""),"",$AF267-$T267))</f>
        <v/>
      </c>
      <c r="AX267" s="38" t="str">
        <f aca="false">IF($A267="","",IF(COUNT($AT267,$AB267,$AU267,$AW267,$AS267,$AH267)&lt;6,"",ROUND($AT267+$AB267+$AU267+$AV267+$AW267-$AS267-$AH267,0)))</f>
        <v/>
      </c>
      <c r="AY267" s="4" t="str">
        <f aca="false">IF($A267="","",IF($AX267="","No",IF(ABS($AX267)&lt;=2,"Yes","No")))</f>
        <v/>
      </c>
      <c r="AZ267" s="4" t="str">
        <f aca="false">IF($A267="","",IF($AI267&lt;&gt;"Yes","n/a",IF(OR($AA267="",$S267="",$T267=""),"Unknown",IF($AA267&lt;$S267+$T267,"Lost on arrival","Lost after arrival"))))</f>
        <v/>
      </c>
      <c r="BA267" s="10" t="str">
        <f aca="false">IF($A267="","",IFERROR(VLOOKUP($C267,Dim_Fund!$A:$D,4,0),""))</f>
        <v/>
      </c>
      <c r="BB267" s="10" t="str">
        <f aca="false">IF($A267="","",IF($AL267="","",IF(COUNTIFS(Fact_Milestone!$A:$A,$B267,Fact_Milestone!$B:$B,$AL267,Fact_Milestone!$I:$I,"No")&gt;0,"No",IF(COUNTIFS(Fact_Milestone!$A:$A,$B267,Fact_Milestone!$B:$B,$AL267,Fact_Milestone!$I:$I,"Yes")&gt;0,"Yes",""))))</f>
        <v/>
      </c>
      <c r="BC267" s="45" t="str">
        <f aca="false">IF($A267="","",IF(OR($L267="",$W267=""),"",IF(COUNTIFS($L:$L,$L267,$B:$B,$B267,$W:$W,"&lt;"&amp;$W267)=0,"",_xlfn.MAXIFS($W:$W,$L:$L,$L267,$B:$B,$B267,$W:$W,"&lt;"&amp;$W267))))</f>
        <v/>
      </c>
      <c r="BD267" s="39" t="str">
        <f aca="false">IF($A267="","",IF($AC267="","",IF(OR($L267="",$AC267=0),0,MIN($AC267,ROUND(ROUND(1440*SUMPRODUCT(($L$2:INDEX($L:$L,COUNTA($C:$C))=$L267)*($B$2:INDEX($B:$B,COUNTA($C:$C))=$B267)*(ROW($L$2:INDEX($L:$L,COUNTA($C:$C)))&lt;&gt;ROW())*((((($W267+$BT$2:INDEX($BT:$BT,COUNTA($C:$C))-ABS($W267-$BT$2:INDEX($BT:$BT,COUNTA($C:$C))))/2)-(($U267+$BS$2:INDEX($BS:$BS,COUNTA($C:$C))+ABS($U267-$BS$2:INDEX($BS:$BS,COUNTA($C:$C))))/2))+ABS(((($W267+$BT$2:INDEX($BT:$BT,COUNTA($C:$C))-ABS($W267-$BT$2:INDEX($BT:$BT,COUNTA($C:$C))))/2)-(($U267+$BS$2:INDEX($BS:$BS,COUNTA($C:$C))+ABS($U267-$BS$2:INDEX($BS:$BS,COUNTA($C:$C))))/2))))/2)),4),0)))))</f>
        <v/>
      </c>
      <c r="BE267" s="39" t="str">
        <f aca="false">IF($A267="","",IF($AC267="","",ROUND(MIN($AC267-$BD267,N($R267)),0)))</f>
        <v/>
      </c>
      <c r="BF267" s="10" t="str">
        <f aca="false">IF($A267="","",IFERROR(VLOOKUP($C267,Dim_Fund!$A:$BD,56,0),""))</f>
        <v/>
      </c>
      <c r="BG267" s="10" t="str">
        <f aca="false">IF($A267="","",IFERROR(VLOOKUP($C267,Dim_Fund!$A:$BH,60,0),""))</f>
        <v/>
      </c>
      <c r="BH267" s="10" t="str">
        <f aca="false">IF($A267="","",IF($AI267&lt;&gt;"Yes","Not breached",IF($AM267="Yes","Pricing late",IF($BG267="Thin custody slack","Thin custody slack",IF($BF267="Yes","Broker-dependent","None of these")))))</f>
        <v/>
      </c>
      <c r="BI267" s="23" t="str">
        <f aca="false">IF($A267="","",IFERROR(IF(VLOOKUP($C267,Dim_Fund!$A:$AI,35,0)&gt;0,VLOOKUP($C267,Dim_Fund!$A:$AI,35,0),""),""))</f>
        <v/>
      </c>
      <c r="BJ267" s="10" t="str">
        <f aca="false">IF($A267="","",$C267&amp;IF($E267="Client","*",""))</f>
        <v/>
      </c>
      <c r="BK267" s="39" t="str">
        <f aca="false">IF($A267="","",IFERROR(ROUND(($Y267-$X267)*1440,0),""))</f>
        <v/>
      </c>
      <c r="BL267" s="39" t="str">
        <f aca="false">IF($A267="","",IF($AH267="","",-$AH267))</f>
        <v/>
      </c>
      <c r="BM267" s="46" t="str">
        <f aca="false">IF($A267="","",IF($AQ267="","",IF($AP267="",$AQ267,MIN($AP267,$AQ267))))</f>
        <v/>
      </c>
      <c r="BN267" s="46" t="str">
        <f aca="false">IF($A267="","",IF($BM267="","",ROUND(N($AC267)/60,4)))</f>
        <v/>
      </c>
      <c r="BO267" s="46" t="str">
        <f aca="false">IF($A267="","",IF(OR($BM267="",$AD267=""),"",ROUND($AD267/60,4)))</f>
        <v/>
      </c>
      <c r="BP267" s="46" t="str">
        <f aca="false">IF($A267="","",IF($BM267="","",ROUND(N($AE267)/60,4)))</f>
        <v/>
      </c>
      <c r="BQ267" s="46" t="str">
        <f aca="false">IF($A267="","",IF(OR($BM267="",$AF267=""),"",ROUND($AF267/60,4)))</f>
        <v/>
      </c>
      <c r="BR267" s="39" t="str">
        <f aca="false">IF($A267="","",IF($AC267="","",$AC267-$BD267-$BE267))</f>
        <v/>
      </c>
      <c r="BS267" s="45" t="str">
        <f aca="false">IF($A267="","",IF(AND(ISNUMBER($Z267),ISNUMBER($W267)),$Z267,0))</f>
        <v/>
      </c>
      <c r="BT267" s="45" t="str">
        <f aca="false">IF($A267="","",IF(ISNUMBER($W267),$W267,0))</f>
        <v/>
      </c>
      <c r="BU267" s="23" t="str">
        <f aca="false">IF($A267="","",IF(ISNUMBER($W267),ROUND(($W267-$B267)*24,4),""))</f>
        <v/>
      </c>
      <c r="BV267" s="23" t="str">
        <f aca="false">IF($A267="","",IF(ISNUMBER($X267),ROUND(($X267-$B267)*24,4),""))</f>
        <v/>
      </c>
      <c r="BW267" s="10" t="str">
        <f aca="false">IF($A267="","",IF(NOT(ISNUMBER($W267)),"Missing Calculated",IF(NOT(ISNUMBER($X267)),IF($E267="Client","Missing FA signed off","Missing Controlled"),IF($X267&lt;$W267,"End before start","OK"))))</f>
        <v/>
      </c>
      <c r="BX267" s="23" t="str">
        <f aca="false">IF($A267="","",IF(NOT(ISNUMBER($Z267)),"",ROUND((IF(ISNUMBER($U267),MIN($U267,$Z267),$Z267)-$B267)*24,4)))</f>
        <v/>
      </c>
      <c r="BY267" s="23" t="str">
        <f aca="false">IF($A267="","",IF(ISNUMBER($Z267),ROUND(($Z267-$B267)*24,4),""))</f>
        <v/>
      </c>
      <c r="BZ267" s="23" t="str">
        <f aca="false">IF($A267="","",IF(AND(ISNUMBER($W267),ISNUMBER($S267)),ROUND(($W267+$S267/1440-$B267)*24,4),""))</f>
        <v/>
      </c>
    </row>
    <row r="268" customFormat="false" ht="15" hidden="false" customHeight="true" outlineLevel="0" collapsed="false">
      <c r="A268" s="47"/>
      <c r="B268" s="47"/>
      <c r="D268" s="4" t="str">
        <f aca="false">IF($A268="","",$B268-$A268)</f>
        <v/>
      </c>
      <c r="E268" s="4" t="str">
        <f aca="false">IF($A268="","",IFERROR(VLOOKUP($C268,Dim_Fund!$A:$X,24,0),""))</f>
        <v/>
      </c>
      <c r="F268" s="37" t="str">
        <f aca="false">IF($A268="","",IF(COUNTIFS(Status_Log!$A:$A,$A268,Status_Log!$B:$B,$B268,Status_Log!$C:$C,$C268,Status_Log!$D:$D,"Changed to the status of Calculated")=0,"",_xlfn.MINIFS(Status_Log!$E:$E,Status_Log!$A:$A,$A268,Status_Log!$B:$B,$B268,Status_Log!$C:$C,$C268,Status_Log!$D:$D,"Changed to the status of Calculated")))</f>
        <v/>
      </c>
      <c r="G268" s="37" t="str">
        <f aca="false">IF($A268="","",IF(COUNTIFS(Status_Log!$A:$A,$A268,Status_Log!$B:$B,$B268,Status_Log!$C:$C,$C268,Status_Log!$D:$D,"Changed to the status of Controlled")=0,"",_xlfn.MAXIFS(Status_Log!$E:$E,Status_Log!$A:$A,$A268,Status_Log!$B:$B,$B268,Status_Log!$C:$C,$C268,Status_Log!$D:$D,"Changed to the status of Controlled")))</f>
        <v/>
      </c>
      <c r="H268" s="37" t="str">
        <f aca="false">IF($A268="","",IF(COUNTIFS(Status_Log!$A:$A,$A268,Status_Log!$B:$B,$B268,Status_Log!$C:$C,$C268,Status_Log!$D:$D,"Changed to the status of Fund accounting signed off")=0,"",_xlfn.MAXIFS(Status_Log!$E:$E,Status_Log!$A:$A,$A268,Status_Log!$B:$B,$B268,Status_Log!$C:$C,$C268,Status_Log!$D:$D,"Changed to the status of Fund accounting signed off")))</f>
        <v/>
      </c>
      <c r="I268" s="37" t="str">
        <f aca="false">IF($A268="","",IF(COUNTIFS(Status_Log!$A:$A,$A268,Status_Log!$B:$B,$B268,Status_Log!$C:$C,$C268,Status_Log!$D:$D,"Changed to the status of signed off")=0,"",_xlfn.MAXIFS(Status_Log!$E:$E,Status_Log!$A:$A,$A268,Status_Log!$B:$B,$B268,Status_Log!$C:$C,$C268,Status_Log!$D:$D,"Changed to the status of signed off")))</f>
        <v/>
      </c>
      <c r="J268" s="4" t="str">
        <f aca="false">IF($A268="","",COUNTIFS(Status_Log!$A:$A,$A268,Status_Log!$B:$B,$B268,Status_Log!$C:$C,$C268,Status_Log!$D:$D,"Changed to the status of Calculated"))</f>
        <v/>
      </c>
      <c r="K268" s="38" t="str">
        <f aca="false">IF($A268="","",IF(J268&lt;=1,0,ROUND((_xlfn.MAXIFS(Status_Log!$E:$E,Status_Log!$A:$A,$A268,Status_Log!$B:$B,$B268,Status_Log!$C:$C,$C268,Status_Log!$D:$D,"Changed to the status of Calculated")-F268)*1440,0)))</f>
        <v/>
      </c>
      <c r="L268" s="4" t="str">
        <f aca="false">IF($A268="","",IFERROR(INDEX(Status_Log!$F:$F,MATCH($A268&amp;"|"&amp;$B268&amp;"|"&amp;$C268&amp;"|Changed to the status of Calculated|"&amp;TEXT(_xlfn.MAXIFS(Status_Log!$E:$E,Status_Log!$A:$A,$A268,Status_Log!$B:$B,$B268,Status_Log!$C:$C,$C268,Status_Log!$D:$D,"Changed to the status of Calculated"),"0.000000"),Status_Log!$H:$H,0)),""))</f>
        <v/>
      </c>
      <c r="M268" s="4" t="str">
        <f aca="false">IF($A268="","",IF(E268="Client","n/a — no control step",IFERROR(INDEX(Status_Log!$F:$F,MATCH($A268&amp;"|"&amp;$B268&amp;"|"&amp;$C268&amp;"|Changed to the status of Controlled|"&amp;TEXT(_xlfn.MAXIFS(Status_Log!$E:$E,Status_Log!$A:$A,$A268,Status_Log!$B:$B,$B268,Status_Log!$C:$C,$C268,Status_Log!$D:$D,"Changed to the status of Controlled"),"0.000000"),Status_Log!$H:$H,0)),"")))</f>
        <v/>
      </c>
      <c r="N268" s="4" t="str">
        <f aca="false">IF($A268="","",IFERROR(VLOOKUP($C268,Dim_Fund!$A:$G,7,0),""))</f>
        <v/>
      </c>
      <c r="O268" s="4" t="str">
        <f aca="false">IF($A268="","",IF(L268=N268,"No","Yes"))</f>
        <v/>
      </c>
      <c r="P268" s="4" t="str">
        <f aca="false">IF($A268="","",IF(E268="Client","n/a",IF(L268=M268,"YES — four-eyes breach","No")))</f>
        <v/>
      </c>
      <c r="Q268" s="38" t="str">
        <f aca="false">IF($A268="","",IFERROR(VLOOKUP($C268,Dim_Fund!$A:$AB,28,0),""))</f>
        <v/>
      </c>
      <c r="R268" s="38" t="str">
        <f aca="false">IF($A268="","",IFERROR(VLOOKUP($C268,Dim_Fund!$A:$AC,29,0),""))</f>
        <v/>
      </c>
      <c r="S268" s="38" t="str">
        <f aca="false">IF($A268="","",IFERROR(VLOOKUP($C268,Dim_Fund!$A:$AD,30,0),""))</f>
        <v/>
      </c>
      <c r="T268" s="38" t="str">
        <f aca="false">IF($A268="","",IFERROR(VLOOKUP($C268,Dim_Fund!$A:$AL,38,0),""))</f>
        <v/>
      </c>
      <c r="U268" s="37" t="str">
        <f aca="false">IF($A268="","",IF(AL268="","",IFERROR(IF(COUNTIFS(Fact_Milestone!$A:$A,$B268,Fact_Milestone!$B:$B,AL268)=0,"",_xlfn.MAXIFS(Fact_Milestone!$C:$C,Fact_Milestone!$A:$A,$B268,Fact_Milestone!$B:$B,AL268)),"")))</f>
        <v/>
      </c>
      <c r="V268" s="37" t="str">
        <f aca="false">IF($A268="","",IFERROR(IF(VLOOKUP($C268,Dim_Fund!$A:$AI,35,0)&gt;0,$B268+VLOOKUP($C268,Dim_Fund!$A:$AI,35,0)/24,""),""))</f>
        <v/>
      </c>
      <c r="W268" s="37" t="str">
        <f aca="false">IF($A268="","",F268)</f>
        <v/>
      </c>
      <c r="X268" s="37" t="str">
        <f aca="false">IF($A268="","",IF(E268="Client",H268,G268))</f>
        <v/>
      </c>
      <c r="Y268" s="37" t="str">
        <f aca="false">IF($A268="","",I268)</f>
        <v/>
      </c>
      <c r="Z268" s="37" t="str">
        <f aca="false">IF($A268="","",IFERROR(W268-R268/1440,""))</f>
        <v/>
      </c>
      <c r="AA268" s="38" t="str">
        <f aca="false">IF($A268="","",IF(OR(U268="",V268=""),"",ROUND((V268-U268)*1440,0)))</f>
        <v/>
      </c>
      <c r="AB268" s="38" t="str">
        <f aca="false">IF($A268="","",IF(U268="","",ROUND((W268-U268)*1440,0)))</f>
        <v/>
      </c>
      <c r="AC268" s="38" t="str">
        <f aca="false">IF($A268="","",IF(AB268="","",MAX(0,AB268)))</f>
        <v/>
      </c>
      <c r="AD268" s="38" t="str">
        <f aca="false">IF($A268="","",IFERROR(ROUND((X268-W268)*1440,0),""))</f>
        <v/>
      </c>
      <c r="AE268" s="38" t="str">
        <f aca="false">IF($A268="","",IF(E268="Client","n/a",IFERROR(ROUND((H268-G268)*1440,0),"")))</f>
        <v/>
      </c>
      <c r="AF268" s="38" t="str">
        <f aca="false">IF($A268="","",IFERROR(ROUND((Y268-H268)*1440,0),""))</f>
        <v/>
      </c>
      <c r="AG268" s="38" t="str">
        <f aca="false">IF($A268="","",IFERROR(ROUND((H268-F268)*1440,0),""))</f>
        <v/>
      </c>
      <c r="AH268" s="38" t="str">
        <f aca="false">IF($A268="","",IFERROR(ROUND((Y268-V268)*1440,0),""))</f>
        <v/>
      </c>
      <c r="AI268" s="4" t="str">
        <f aca="false">IF($A268="","",IF(AH268="","",IF(AH268&gt;0,"Yes","No")))</f>
        <v/>
      </c>
      <c r="AJ268" s="4" t="str">
        <f aca="false">IF($A268="","",IF(AI268&lt;&gt;"Yes","On time",IF(N(AC268)&gt;=MAX(N(AF268),N(K268)),"Wait for analyst",IF(N(AF268)&gt;=N(K268),"External sign-off","Rework"))))</f>
        <v/>
      </c>
      <c r="AK268" s="4" t="str">
        <f aca="false">IF($A268="","",IF(OR(F268="",Y268="",ISNA(MATCH(L268,Dim_Analyst!$A:$A,0))),"CHECK","OK"))</f>
        <v/>
      </c>
      <c r="AL268" s="4" t="str">
        <f aca="false">IF($A268="","",IFERROR(VLOOKUP($C268,Dim_Fund!$A:$U,21,0),""))</f>
        <v/>
      </c>
      <c r="AM268" s="4" t="str">
        <f aca="false">IF($A268="","",IF($U268="","",IF($U268&gt;$B268+IFERROR(VLOOKUP($C268,Dim_Fund!$A:$AH,34,0),0)/24,"Yes","No")))</f>
        <v/>
      </c>
      <c r="AN268" s="22" t="str">
        <f aca="false">IF($A268="","",IFERROR(VLOOKUP($C268,Dim_Fund!$A:$AH,34,0),""))</f>
        <v/>
      </c>
      <c r="AO268" s="22" t="str">
        <f aca="false">IF($A268="","",IF($AL268="","",IFERROR(FLOOR(IF(COUNTIFS(Fact_Milestone!$A:$A,$B268,Fact_Milestone!$B:$B,$AL268,Fact_Milestone!$F:$F,"&gt;0")&gt;0,_xlfn.MINIFS(Fact_Milestone!$F:$F,Fact_Milestone!$A:$A,$B268,Fact_Milestone!$B:$B,$AL268,Fact_Milestone!$F:$F,"&gt;0"),VLOOKUP($AL268,Dim_TOP!$A:$E,5,0)),0.5),"")))</f>
        <v/>
      </c>
      <c r="AP268" s="22" t="str">
        <f aca="false">IF($A268="","",IF($U268="","",ROUND(($U268-INT($U268))*24,4)))</f>
        <v/>
      </c>
      <c r="AQ268" s="22" t="str">
        <f aca="false">IF($A268="","",IF($W268="","",ROUND(($W268-INT($W268))*24,4)))</f>
        <v/>
      </c>
      <c r="AR268" s="22" t="str">
        <f aca="false">IF($A268="","",IF($X268="","",ROUND(($X268-INT($X268))*24,4)))</f>
        <v/>
      </c>
      <c r="AS268" s="38" t="str">
        <f aca="false">IF($A268="","",IF(OR($AN268="",$V268="",$S268="",$T268=""),"",ROUND(($V268-($B268+$AN268/24))*1440-$S268-$T268,0)))</f>
        <v/>
      </c>
      <c r="AT268" s="38" t="str">
        <f aca="false">IF($A268="","",IF(OR($AN268="",$U268=""),"",ROUND(($U268-($B268+$AN268/24))*1440,0)))</f>
        <v/>
      </c>
      <c r="AU268" s="38" t="str">
        <f aca="false">IF($A268="","",IF(OR($AD268="",$S268=""),"",ROUND($AD268-$S268,0)))</f>
        <v/>
      </c>
      <c r="AV268" s="38" t="str">
        <f aca="false">IF($A268="","",N($AE268))</f>
        <v/>
      </c>
      <c r="AW268" s="38" t="str">
        <f aca="false">IF($A268="","",IF(OR($AF268="",$T268=""),"",$AF268-$T268))</f>
        <v/>
      </c>
      <c r="AX268" s="38" t="str">
        <f aca="false">IF($A268="","",IF(COUNT($AT268,$AB268,$AU268,$AW268,$AS268,$AH268)&lt;6,"",ROUND($AT268+$AB268+$AU268+$AV268+$AW268-$AS268-$AH268,0)))</f>
        <v/>
      </c>
      <c r="AY268" s="4" t="str">
        <f aca="false">IF($A268="","",IF($AX268="","No",IF(ABS($AX268)&lt;=2,"Yes","No")))</f>
        <v/>
      </c>
      <c r="AZ268" s="4" t="str">
        <f aca="false">IF($A268="","",IF($AI268&lt;&gt;"Yes","n/a",IF(OR($AA268="",$S268="",$T268=""),"Unknown",IF($AA268&lt;$S268+$T268,"Lost on arrival","Lost after arrival"))))</f>
        <v/>
      </c>
      <c r="BA268" s="10" t="str">
        <f aca="false">IF($A268="","",IFERROR(VLOOKUP($C268,Dim_Fund!$A:$D,4,0),""))</f>
        <v/>
      </c>
      <c r="BB268" s="10" t="str">
        <f aca="false">IF($A268="","",IF($AL268="","",IF(COUNTIFS(Fact_Milestone!$A:$A,$B268,Fact_Milestone!$B:$B,$AL268,Fact_Milestone!$I:$I,"No")&gt;0,"No",IF(COUNTIFS(Fact_Milestone!$A:$A,$B268,Fact_Milestone!$B:$B,$AL268,Fact_Milestone!$I:$I,"Yes")&gt;0,"Yes",""))))</f>
        <v/>
      </c>
      <c r="BC268" s="45" t="str">
        <f aca="false">IF($A268="","",IF(OR($L268="",$W268=""),"",IF(COUNTIFS($L:$L,$L268,$B:$B,$B268,$W:$W,"&lt;"&amp;$W268)=0,"",_xlfn.MAXIFS($W:$W,$L:$L,$L268,$B:$B,$B268,$W:$W,"&lt;"&amp;$W268))))</f>
        <v/>
      </c>
      <c r="BD268" s="39" t="str">
        <f aca="false">IF($A268="","",IF($AC268="","",IF(OR($L268="",$AC268=0),0,MIN($AC268,ROUND(ROUND(1440*SUMPRODUCT(($L$2:INDEX($L:$L,COUNTA($C:$C))=$L268)*($B$2:INDEX($B:$B,COUNTA($C:$C))=$B268)*(ROW($L$2:INDEX($L:$L,COUNTA($C:$C)))&lt;&gt;ROW())*((((($W268+$BT$2:INDEX($BT:$BT,COUNTA($C:$C))-ABS($W268-$BT$2:INDEX($BT:$BT,COUNTA($C:$C))))/2)-(($U268+$BS$2:INDEX($BS:$BS,COUNTA($C:$C))+ABS($U268-$BS$2:INDEX($BS:$BS,COUNTA($C:$C))))/2))+ABS(((($W268+$BT$2:INDEX($BT:$BT,COUNTA($C:$C))-ABS($W268-$BT$2:INDEX($BT:$BT,COUNTA($C:$C))))/2)-(($U268+$BS$2:INDEX($BS:$BS,COUNTA($C:$C))+ABS($U268-$BS$2:INDEX($BS:$BS,COUNTA($C:$C))))/2))))/2)),4),0)))))</f>
        <v/>
      </c>
      <c r="BE268" s="39" t="str">
        <f aca="false">IF($A268="","",IF($AC268="","",ROUND(MIN($AC268-$BD268,N($R268)),0)))</f>
        <v/>
      </c>
      <c r="BF268" s="10" t="str">
        <f aca="false">IF($A268="","",IFERROR(VLOOKUP($C268,Dim_Fund!$A:$BD,56,0),""))</f>
        <v/>
      </c>
      <c r="BG268" s="10" t="str">
        <f aca="false">IF($A268="","",IFERROR(VLOOKUP($C268,Dim_Fund!$A:$BH,60,0),""))</f>
        <v/>
      </c>
      <c r="BH268" s="10" t="str">
        <f aca="false">IF($A268="","",IF($AI268&lt;&gt;"Yes","Not breached",IF($AM268="Yes","Pricing late",IF($BG268="Thin custody slack","Thin custody slack",IF($BF268="Yes","Broker-dependent","None of these")))))</f>
        <v/>
      </c>
      <c r="BI268" s="23" t="str">
        <f aca="false">IF($A268="","",IFERROR(IF(VLOOKUP($C268,Dim_Fund!$A:$AI,35,0)&gt;0,VLOOKUP($C268,Dim_Fund!$A:$AI,35,0),""),""))</f>
        <v/>
      </c>
      <c r="BJ268" s="10" t="str">
        <f aca="false">IF($A268="","",$C268&amp;IF($E268="Client","*",""))</f>
        <v/>
      </c>
      <c r="BK268" s="39" t="str">
        <f aca="false">IF($A268="","",IFERROR(ROUND(($Y268-$X268)*1440,0),""))</f>
        <v/>
      </c>
      <c r="BL268" s="39" t="str">
        <f aca="false">IF($A268="","",IF($AH268="","",-$AH268))</f>
        <v/>
      </c>
      <c r="BM268" s="46" t="str">
        <f aca="false">IF($A268="","",IF($AQ268="","",IF($AP268="",$AQ268,MIN($AP268,$AQ268))))</f>
        <v/>
      </c>
      <c r="BN268" s="46" t="str">
        <f aca="false">IF($A268="","",IF($BM268="","",ROUND(N($AC268)/60,4)))</f>
        <v/>
      </c>
      <c r="BO268" s="46" t="str">
        <f aca="false">IF($A268="","",IF(OR($BM268="",$AD268=""),"",ROUND($AD268/60,4)))</f>
        <v/>
      </c>
      <c r="BP268" s="46" t="str">
        <f aca="false">IF($A268="","",IF($BM268="","",ROUND(N($AE268)/60,4)))</f>
        <v/>
      </c>
      <c r="BQ268" s="46" t="str">
        <f aca="false">IF($A268="","",IF(OR($BM268="",$AF268=""),"",ROUND($AF268/60,4)))</f>
        <v/>
      </c>
      <c r="BR268" s="39" t="str">
        <f aca="false">IF($A268="","",IF($AC268="","",$AC268-$BD268-$BE268))</f>
        <v/>
      </c>
      <c r="BS268" s="45" t="str">
        <f aca="false">IF($A268="","",IF(AND(ISNUMBER($Z268),ISNUMBER($W268)),$Z268,0))</f>
        <v/>
      </c>
      <c r="BT268" s="45" t="str">
        <f aca="false">IF($A268="","",IF(ISNUMBER($W268),$W268,0))</f>
        <v/>
      </c>
      <c r="BU268" s="23" t="str">
        <f aca="false">IF($A268="","",IF(ISNUMBER($W268),ROUND(($W268-$B268)*24,4),""))</f>
        <v/>
      </c>
      <c r="BV268" s="23" t="str">
        <f aca="false">IF($A268="","",IF(ISNUMBER($X268),ROUND(($X268-$B268)*24,4),""))</f>
        <v/>
      </c>
      <c r="BW268" s="10" t="str">
        <f aca="false">IF($A268="","",IF(NOT(ISNUMBER($W268)),"Missing Calculated",IF(NOT(ISNUMBER($X268)),IF($E268="Client","Missing FA signed off","Missing Controlled"),IF($X268&lt;$W268,"End before start","OK"))))</f>
        <v/>
      </c>
      <c r="BX268" s="23" t="str">
        <f aca="false">IF($A268="","",IF(NOT(ISNUMBER($Z268)),"",ROUND((IF(ISNUMBER($U268),MIN($U268,$Z268),$Z268)-$B268)*24,4)))</f>
        <v/>
      </c>
      <c r="BY268" s="23" t="str">
        <f aca="false">IF($A268="","",IF(ISNUMBER($Z268),ROUND(($Z268-$B268)*24,4),""))</f>
        <v/>
      </c>
      <c r="BZ268" s="23" t="str">
        <f aca="false">IF($A268="","",IF(AND(ISNUMBER($W268),ISNUMBER($S268)),ROUND(($W268+$S268/1440-$B268)*24,4),""))</f>
        <v/>
      </c>
    </row>
    <row r="269" customFormat="false" ht="15" hidden="false" customHeight="true" outlineLevel="0" collapsed="false">
      <c r="A269" s="47"/>
      <c r="B269" s="47"/>
      <c r="D269" s="4" t="str">
        <f aca="false">IF($A269="","",$B269-$A269)</f>
        <v/>
      </c>
      <c r="E269" s="4" t="str">
        <f aca="false">IF($A269="","",IFERROR(VLOOKUP($C269,Dim_Fund!$A:$X,24,0),""))</f>
        <v/>
      </c>
      <c r="F269" s="37" t="str">
        <f aca="false">IF($A269="","",IF(COUNTIFS(Status_Log!$A:$A,$A269,Status_Log!$B:$B,$B269,Status_Log!$C:$C,$C269,Status_Log!$D:$D,"Changed to the status of Calculated")=0,"",_xlfn.MINIFS(Status_Log!$E:$E,Status_Log!$A:$A,$A269,Status_Log!$B:$B,$B269,Status_Log!$C:$C,$C269,Status_Log!$D:$D,"Changed to the status of Calculated")))</f>
        <v/>
      </c>
      <c r="G269" s="37" t="str">
        <f aca="false">IF($A269="","",IF(COUNTIFS(Status_Log!$A:$A,$A269,Status_Log!$B:$B,$B269,Status_Log!$C:$C,$C269,Status_Log!$D:$D,"Changed to the status of Controlled")=0,"",_xlfn.MAXIFS(Status_Log!$E:$E,Status_Log!$A:$A,$A269,Status_Log!$B:$B,$B269,Status_Log!$C:$C,$C269,Status_Log!$D:$D,"Changed to the status of Controlled")))</f>
        <v/>
      </c>
      <c r="H269" s="37" t="str">
        <f aca="false">IF($A269="","",IF(COUNTIFS(Status_Log!$A:$A,$A269,Status_Log!$B:$B,$B269,Status_Log!$C:$C,$C269,Status_Log!$D:$D,"Changed to the status of Fund accounting signed off")=0,"",_xlfn.MAXIFS(Status_Log!$E:$E,Status_Log!$A:$A,$A269,Status_Log!$B:$B,$B269,Status_Log!$C:$C,$C269,Status_Log!$D:$D,"Changed to the status of Fund accounting signed off")))</f>
        <v/>
      </c>
      <c r="I269" s="37" t="str">
        <f aca="false">IF($A269="","",IF(COUNTIFS(Status_Log!$A:$A,$A269,Status_Log!$B:$B,$B269,Status_Log!$C:$C,$C269,Status_Log!$D:$D,"Changed to the status of signed off")=0,"",_xlfn.MAXIFS(Status_Log!$E:$E,Status_Log!$A:$A,$A269,Status_Log!$B:$B,$B269,Status_Log!$C:$C,$C269,Status_Log!$D:$D,"Changed to the status of signed off")))</f>
        <v/>
      </c>
      <c r="J269" s="4" t="str">
        <f aca="false">IF($A269="","",COUNTIFS(Status_Log!$A:$A,$A269,Status_Log!$B:$B,$B269,Status_Log!$C:$C,$C269,Status_Log!$D:$D,"Changed to the status of Calculated"))</f>
        <v/>
      </c>
      <c r="K269" s="38" t="str">
        <f aca="false">IF($A269="","",IF(J269&lt;=1,0,ROUND((_xlfn.MAXIFS(Status_Log!$E:$E,Status_Log!$A:$A,$A269,Status_Log!$B:$B,$B269,Status_Log!$C:$C,$C269,Status_Log!$D:$D,"Changed to the status of Calculated")-F269)*1440,0)))</f>
        <v/>
      </c>
      <c r="L269" s="4" t="str">
        <f aca="false">IF($A269="","",IFERROR(INDEX(Status_Log!$F:$F,MATCH($A269&amp;"|"&amp;$B269&amp;"|"&amp;$C269&amp;"|Changed to the status of Calculated|"&amp;TEXT(_xlfn.MAXIFS(Status_Log!$E:$E,Status_Log!$A:$A,$A269,Status_Log!$B:$B,$B269,Status_Log!$C:$C,$C269,Status_Log!$D:$D,"Changed to the status of Calculated"),"0.000000"),Status_Log!$H:$H,0)),""))</f>
        <v/>
      </c>
      <c r="M269" s="4" t="str">
        <f aca="false">IF($A269="","",IF(E269="Client","n/a — no control step",IFERROR(INDEX(Status_Log!$F:$F,MATCH($A269&amp;"|"&amp;$B269&amp;"|"&amp;$C269&amp;"|Changed to the status of Controlled|"&amp;TEXT(_xlfn.MAXIFS(Status_Log!$E:$E,Status_Log!$A:$A,$A269,Status_Log!$B:$B,$B269,Status_Log!$C:$C,$C269,Status_Log!$D:$D,"Changed to the status of Controlled"),"0.000000"),Status_Log!$H:$H,0)),"")))</f>
        <v/>
      </c>
      <c r="N269" s="4" t="str">
        <f aca="false">IF($A269="","",IFERROR(VLOOKUP($C269,Dim_Fund!$A:$G,7,0),""))</f>
        <v/>
      </c>
      <c r="O269" s="4" t="str">
        <f aca="false">IF($A269="","",IF(L269=N269,"No","Yes"))</f>
        <v/>
      </c>
      <c r="P269" s="4" t="str">
        <f aca="false">IF($A269="","",IF(E269="Client","n/a",IF(L269=M269,"YES — four-eyes breach","No")))</f>
        <v/>
      </c>
      <c r="Q269" s="38" t="str">
        <f aca="false">IF($A269="","",IFERROR(VLOOKUP($C269,Dim_Fund!$A:$AB,28,0),""))</f>
        <v/>
      </c>
      <c r="R269" s="38" t="str">
        <f aca="false">IF($A269="","",IFERROR(VLOOKUP($C269,Dim_Fund!$A:$AC,29,0),""))</f>
        <v/>
      </c>
      <c r="S269" s="38" t="str">
        <f aca="false">IF($A269="","",IFERROR(VLOOKUP($C269,Dim_Fund!$A:$AD,30,0),""))</f>
        <v/>
      </c>
      <c r="T269" s="38" t="str">
        <f aca="false">IF($A269="","",IFERROR(VLOOKUP($C269,Dim_Fund!$A:$AL,38,0),""))</f>
        <v/>
      </c>
      <c r="U269" s="37" t="str">
        <f aca="false">IF($A269="","",IF(AL269="","",IFERROR(IF(COUNTIFS(Fact_Milestone!$A:$A,$B269,Fact_Milestone!$B:$B,AL269)=0,"",_xlfn.MAXIFS(Fact_Milestone!$C:$C,Fact_Milestone!$A:$A,$B269,Fact_Milestone!$B:$B,AL269)),"")))</f>
        <v/>
      </c>
      <c r="V269" s="37" t="str">
        <f aca="false">IF($A269="","",IFERROR(IF(VLOOKUP($C269,Dim_Fund!$A:$AI,35,0)&gt;0,$B269+VLOOKUP($C269,Dim_Fund!$A:$AI,35,0)/24,""),""))</f>
        <v/>
      </c>
      <c r="W269" s="37" t="str">
        <f aca="false">IF($A269="","",F269)</f>
        <v/>
      </c>
      <c r="X269" s="37" t="str">
        <f aca="false">IF($A269="","",IF(E269="Client",H269,G269))</f>
        <v/>
      </c>
      <c r="Y269" s="37" t="str">
        <f aca="false">IF($A269="","",I269)</f>
        <v/>
      </c>
      <c r="Z269" s="37" t="str">
        <f aca="false">IF($A269="","",IFERROR(W269-R269/1440,""))</f>
        <v/>
      </c>
      <c r="AA269" s="38" t="str">
        <f aca="false">IF($A269="","",IF(OR(U269="",V269=""),"",ROUND((V269-U269)*1440,0)))</f>
        <v/>
      </c>
      <c r="AB269" s="38" t="str">
        <f aca="false">IF($A269="","",IF(U269="","",ROUND((W269-U269)*1440,0)))</f>
        <v/>
      </c>
      <c r="AC269" s="38" t="str">
        <f aca="false">IF($A269="","",IF(AB269="","",MAX(0,AB269)))</f>
        <v/>
      </c>
      <c r="AD269" s="38" t="str">
        <f aca="false">IF($A269="","",IFERROR(ROUND((X269-W269)*1440,0),""))</f>
        <v/>
      </c>
      <c r="AE269" s="38" t="str">
        <f aca="false">IF($A269="","",IF(E269="Client","n/a",IFERROR(ROUND((H269-G269)*1440,0),"")))</f>
        <v/>
      </c>
      <c r="AF269" s="38" t="str">
        <f aca="false">IF($A269="","",IFERROR(ROUND((Y269-H269)*1440,0),""))</f>
        <v/>
      </c>
      <c r="AG269" s="38" t="str">
        <f aca="false">IF($A269="","",IFERROR(ROUND((H269-F269)*1440,0),""))</f>
        <v/>
      </c>
      <c r="AH269" s="38" t="str">
        <f aca="false">IF($A269="","",IFERROR(ROUND((Y269-V269)*1440,0),""))</f>
        <v/>
      </c>
      <c r="AI269" s="4" t="str">
        <f aca="false">IF($A269="","",IF(AH269="","",IF(AH269&gt;0,"Yes","No")))</f>
        <v/>
      </c>
      <c r="AJ269" s="4" t="str">
        <f aca="false">IF($A269="","",IF(AI269&lt;&gt;"Yes","On time",IF(N(AC269)&gt;=MAX(N(AF269),N(K269)),"Wait for analyst",IF(N(AF269)&gt;=N(K269),"External sign-off","Rework"))))</f>
        <v/>
      </c>
      <c r="AK269" s="4" t="str">
        <f aca="false">IF($A269="","",IF(OR(F269="",Y269="",ISNA(MATCH(L269,Dim_Analyst!$A:$A,0))),"CHECK","OK"))</f>
        <v/>
      </c>
      <c r="AL269" s="4" t="str">
        <f aca="false">IF($A269="","",IFERROR(VLOOKUP($C269,Dim_Fund!$A:$U,21,0),""))</f>
        <v/>
      </c>
      <c r="AM269" s="4" t="str">
        <f aca="false">IF($A269="","",IF($U269="","",IF($U269&gt;$B269+IFERROR(VLOOKUP($C269,Dim_Fund!$A:$AH,34,0),0)/24,"Yes","No")))</f>
        <v/>
      </c>
      <c r="AN269" s="22" t="str">
        <f aca="false">IF($A269="","",IFERROR(VLOOKUP($C269,Dim_Fund!$A:$AH,34,0),""))</f>
        <v/>
      </c>
      <c r="AO269" s="22" t="str">
        <f aca="false">IF($A269="","",IF($AL269="","",IFERROR(FLOOR(IF(COUNTIFS(Fact_Milestone!$A:$A,$B269,Fact_Milestone!$B:$B,$AL269,Fact_Milestone!$F:$F,"&gt;0")&gt;0,_xlfn.MINIFS(Fact_Milestone!$F:$F,Fact_Milestone!$A:$A,$B269,Fact_Milestone!$B:$B,$AL269,Fact_Milestone!$F:$F,"&gt;0"),VLOOKUP($AL269,Dim_TOP!$A:$E,5,0)),0.5),"")))</f>
        <v/>
      </c>
      <c r="AP269" s="22" t="str">
        <f aca="false">IF($A269="","",IF($U269="","",ROUND(($U269-INT($U269))*24,4)))</f>
        <v/>
      </c>
      <c r="AQ269" s="22" t="str">
        <f aca="false">IF($A269="","",IF($W269="","",ROUND(($W269-INT($W269))*24,4)))</f>
        <v/>
      </c>
      <c r="AR269" s="22" t="str">
        <f aca="false">IF($A269="","",IF($X269="","",ROUND(($X269-INT($X269))*24,4)))</f>
        <v/>
      </c>
      <c r="AS269" s="38" t="str">
        <f aca="false">IF($A269="","",IF(OR($AN269="",$V269="",$S269="",$T269=""),"",ROUND(($V269-($B269+$AN269/24))*1440-$S269-$T269,0)))</f>
        <v/>
      </c>
      <c r="AT269" s="38" t="str">
        <f aca="false">IF($A269="","",IF(OR($AN269="",$U269=""),"",ROUND(($U269-($B269+$AN269/24))*1440,0)))</f>
        <v/>
      </c>
      <c r="AU269" s="38" t="str">
        <f aca="false">IF($A269="","",IF(OR($AD269="",$S269=""),"",ROUND($AD269-$S269,0)))</f>
        <v/>
      </c>
      <c r="AV269" s="38" t="str">
        <f aca="false">IF($A269="","",N($AE269))</f>
        <v/>
      </c>
      <c r="AW269" s="38" t="str">
        <f aca="false">IF($A269="","",IF(OR($AF269="",$T269=""),"",$AF269-$T269))</f>
        <v/>
      </c>
      <c r="AX269" s="38" t="str">
        <f aca="false">IF($A269="","",IF(COUNT($AT269,$AB269,$AU269,$AW269,$AS269,$AH269)&lt;6,"",ROUND($AT269+$AB269+$AU269+$AV269+$AW269-$AS269-$AH269,0)))</f>
        <v/>
      </c>
      <c r="AY269" s="4" t="str">
        <f aca="false">IF($A269="","",IF($AX269="","No",IF(ABS($AX269)&lt;=2,"Yes","No")))</f>
        <v/>
      </c>
      <c r="AZ269" s="4" t="str">
        <f aca="false">IF($A269="","",IF($AI269&lt;&gt;"Yes","n/a",IF(OR($AA269="",$S269="",$T269=""),"Unknown",IF($AA269&lt;$S269+$T269,"Lost on arrival","Lost after arrival"))))</f>
        <v/>
      </c>
      <c r="BA269" s="10" t="str">
        <f aca="false">IF($A269="","",IFERROR(VLOOKUP($C269,Dim_Fund!$A:$D,4,0),""))</f>
        <v/>
      </c>
      <c r="BB269" s="10" t="str">
        <f aca="false">IF($A269="","",IF($AL269="","",IF(COUNTIFS(Fact_Milestone!$A:$A,$B269,Fact_Milestone!$B:$B,$AL269,Fact_Milestone!$I:$I,"No")&gt;0,"No",IF(COUNTIFS(Fact_Milestone!$A:$A,$B269,Fact_Milestone!$B:$B,$AL269,Fact_Milestone!$I:$I,"Yes")&gt;0,"Yes",""))))</f>
        <v/>
      </c>
      <c r="BC269" s="45" t="str">
        <f aca="false">IF($A269="","",IF(OR($L269="",$W269=""),"",IF(COUNTIFS($L:$L,$L269,$B:$B,$B269,$W:$W,"&lt;"&amp;$W269)=0,"",_xlfn.MAXIFS($W:$W,$L:$L,$L269,$B:$B,$B269,$W:$W,"&lt;"&amp;$W269))))</f>
        <v/>
      </c>
      <c r="BD269" s="39" t="str">
        <f aca="false">IF($A269="","",IF($AC269="","",IF(OR($L269="",$AC269=0),0,MIN($AC269,ROUND(ROUND(1440*SUMPRODUCT(($L$2:INDEX($L:$L,COUNTA($C:$C))=$L269)*($B$2:INDEX($B:$B,COUNTA($C:$C))=$B269)*(ROW($L$2:INDEX($L:$L,COUNTA($C:$C)))&lt;&gt;ROW())*((((($W269+$BT$2:INDEX($BT:$BT,COUNTA($C:$C))-ABS($W269-$BT$2:INDEX($BT:$BT,COUNTA($C:$C))))/2)-(($U269+$BS$2:INDEX($BS:$BS,COUNTA($C:$C))+ABS($U269-$BS$2:INDEX($BS:$BS,COUNTA($C:$C))))/2))+ABS(((($W269+$BT$2:INDEX($BT:$BT,COUNTA($C:$C))-ABS($W269-$BT$2:INDEX($BT:$BT,COUNTA($C:$C))))/2)-(($U269+$BS$2:INDEX($BS:$BS,COUNTA($C:$C))+ABS($U269-$BS$2:INDEX($BS:$BS,COUNTA($C:$C))))/2))))/2)),4),0)))))</f>
        <v/>
      </c>
      <c r="BE269" s="39" t="str">
        <f aca="false">IF($A269="","",IF($AC269="","",ROUND(MIN($AC269-$BD269,N($R269)),0)))</f>
        <v/>
      </c>
      <c r="BF269" s="10" t="str">
        <f aca="false">IF($A269="","",IFERROR(VLOOKUP($C269,Dim_Fund!$A:$BD,56,0),""))</f>
        <v/>
      </c>
      <c r="BG269" s="10" t="str">
        <f aca="false">IF($A269="","",IFERROR(VLOOKUP($C269,Dim_Fund!$A:$BH,60,0),""))</f>
        <v/>
      </c>
      <c r="BH269" s="10" t="str">
        <f aca="false">IF($A269="","",IF($AI269&lt;&gt;"Yes","Not breached",IF($AM269="Yes","Pricing late",IF($BG269="Thin custody slack","Thin custody slack",IF($BF269="Yes","Broker-dependent","None of these")))))</f>
        <v/>
      </c>
      <c r="BI269" s="23" t="str">
        <f aca="false">IF($A269="","",IFERROR(IF(VLOOKUP($C269,Dim_Fund!$A:$AI,35,0)&gt;0,VLOOKUP($C269,Dim_Fund!$A:$AI,35,0),""),""))</f>
        <v/>
      </c>
      <c r="BJ269" s="10" t="str">
        <f aca="false">IF($A269="","",$C269&amp;IF($E269="Client","*",""))</f>
        <v/>
      </c>
      <c r="BK269" s="39" t="str">
        <f aca="false">IF($A269="","",IFERROR(ROUND(($Y269-$X269)*1440,0),""))</f>
        <v/>
      </c>
      <c r="BL269" s="39" t="str">
        <f aca="false">IF($A269="","",IF($AH269="","",-$AH269))</f>
        <v/>
      </c>
      <c r="BM269" s="46" t="str">
        <f aca="false">IF($A269="","",IF($AQ269="","",IF($AP269="",$AQ269,MIN($AP269,$AQ269))))</f>
        <v/>
      </c>
      <c r="BN269" s="46" t="str">
        <f aca="false">IF($A269="","",IF($BM269="","",ROUND(N($AC269)/60,4)))</f>
        <v/>
      </c>
      <c r="BO269" s="46" t="str">
        <f aca="false">IF($A269="","",IF(OR($BM269="",$AD269=""),"",ROUND($AD269/60,4)))</f>
        <v/>
      </c>
      <c r="BP269" s="46" t="str">
        <f aca="false">IF($A269="","",IF($BM269="","",ROUND(N($AE269)/60,4)))</f>
        <v/>
      </c>
      <c r="BQ269" s="46" t="str">
        <f aca="false">IF($A269="","",IF(OR($BM269="",$AF269=""),"",ROUND($AF269/60,4)))</f>
        <v/>
      </c>
      <c r="BR269" s="39" t="str">
        <f aca="false">IF($A269="","",IF($AC269="","",$AC269-$BD269-$BE269))</f>
        <v/>
      </c>
      <c r="BS269" s="45" t="str">
        <f aca="false">IF($A269="","",IF(AND(ISNUMBER($Z269),ISNUMBER($W269)),$Z269,0))</f>
        <v/>
      </c>
      <c r="BT269" s="45" t="str">
        <f aca="false">IF($A269="","",IF(ISNUMBER($W269),$W269,0))</f>
        <v/>
      </c>
      <c r="BU269" s="23" t="str">
        <f aca="false">IF($A269="","",IF(ISNUMBER($W269),ROUND(($W269-$B269)*24,4),""))</f>
        <v/>
      </c>
      <c r="BV269" s="23" t="str">
        <f aca="false">IF($A269="","",IF(ISNUMBER($X269),ROUND(($X269-$B269)*24,4),""))</f>
        <v/>
      </c>
      <c r="BW269" s="10" t="str">
        <f aca="false">IF($A269="","",IF(NOT(ISNUMBER($W269)),"Missing Calculated",IF(NOT(ISNUMBER($X269)),IF($E269="Client","Missing FA signed off","Missing Controlled"),IF($X269&lt;$W269,"End before start","OK"))))</f>
        <v/>
      </c>
      <c r="BX269" s="23" t="str">
        <f aca="false">IF($A269="","",IF(NOT(ISNUMBER($Z269)),"",ROUND((IF(ISNUMBER($U269),MIN($U269,$Z269),$Z269)-$B269)*24,4)))</f>
        <v/>
      </c>
      <c r="BY269" s="23" t="str">
        <f aca="false">IF($A269="","",IF(ISNUMBER($Z269),ROUND(($Z269-$B269)*24,4),""))</f>
        <v/>
      </c>
      <c r="BZ269" s="23" t="str">
        <f aca="false">IF($A269="","",IF(AND(ISNUMBER($W269),ISNUMBER($S269)),ROUND(($W269+$S269/1440-$B269)*24,4),""))</f>
        <v/>
      </c>
    </row>
    <row r="270" customFormat="false" ht="15" hidden="false" customHeight="true" outlineLevel="0" collapsed="false">
      <c r="A270" s="47"/>
      <c r="B270" s="47"/>
      <c r="D270" s="4" t="str">
        <f aca="false">IF($A270="","",$B270-$A270)</f>
        <v/>
      </c>
      <c r="E270" s="4" t="str">
        <f aca="false">IF($A270="","",IFERROR(VLOOKUP($C270,Dim_Fund!$A:$X,24,0),""))</f>
        <v/>
      </c>
      <c r="F270" s="37" t="str">
        <f aca="false">IF($A270="","",IF(COUNTIFS(Status_Log!$A:$A,$A270,Status_Log!$B:$B,$B270,Status_Log!$C:$C,$C270,Status_Log!$D:$D,"Changed to the status of Calculated")=0,"",_xlfn.MINIFS(Status_Log!$E:$E,Status_Log!$A:$A,$A270,Status_Log!$B:$B,$B270,Status_Log!$C:$C,$C270,Status_Log!$D:$D,"Changed to the status of Calculated")))</f>
        <v/>
      </c>
      <c r="G270" s="37" t="str">
        <f aca="false">IF($A270="","",IF(COUNTIFS(Status_Log!$A:$A,$A270,Status_Log!$B:$B,$B270,Status_Log!$C:$C,$C270,Status_Log!$D:$D,"Changed to the status of Controlled")=0,"",_xlfn.MAXIFS(Status_Log!$E:$E,Status_Log!$A:$A,$A270,Status_Log!$B:$B,$B270,Status_Log!$C:$C,$C270,Status_Log!$D:$D,"Changed to the status of Controlled")))</f>
        <v/>
      </c>
      <c r="H270" s="37" t="str">
        <f aca="false">IF($A270="","",IF(COUNTIFS(Status_Log!$A:$A,$A270,Status_Log!$B:$B,$B270,Status_Log!$C:$C,$C270,Status_Log!$D:$D,"Changed to the status of Fund accounting signed off")=0,"",_xlfn.MAXIFS(Status_Log!$E:$E,Status_Log!$A:$A,$A270,Status_Log!$B:$B,$B270,Status_Log!$C:$C,$C270,Status_Log!$D:$D,"Changed to the status of Fund accounting signed off")))</f>
        <v/>
      </c>
      <c r="I270" s="37" t="str">
        <f aca="false">IF($A270="","",IF(COUNTIFS(Status_Log!$A:$A,$A270,Status_Log!$B:$B,$B270,Status_Log!$C:$C,$C270,Status_Log!$D:$D,"Changed to the status of signed off")=0,"",_xlfn.MAXIFS(Status_Log!$E:$E,Status_Log!$A:$A,$A270,Status_Log!$B:$B,$B270,Status_Log!$C:$C,$C270,Status_Log!$D:$D,"Changed to the status of signed off")))</f>
        <v/>
      </c>
      <c r="J270" s="4" t="str">
        <f aca="false">IF($A270="","",COUNTIFS(Status_Log!$A:$A,$A270,Status_Log!$B:$B,$B270,Status_Log!$C:$C,$C270,Status_Log!$D:$D,"Changed to the status of Calculated"))</f>
        <v/>
      </c>
      <c r="K270" s="38" t="str">
        <f aca="false">IF($A270="","",IF(J270&lt;=1,0,ROUND((_xlfn.MAXIFS(Status_Log!$E:$E,Status_Log!$A:$A,$A270,Status_Log!$B:$B,$B270,Status_Log!$C:$C,$C270,Status_Log!$D:$D,"Changed to the status of Calculated")-F270)*1440,0)))</f>
        <v/>
      </c>
      <c r="L270" s="4" t="str">
        <f aca="false">IF($A270="","",IFERROR(INDEX(Status_Log!$F:$F,MATCH($A270&amp;"|"&amp;$B270&amp;"|"&amp;$C270&amp;"|Changed to the status of Calculated|"&amp;TEXT(_xlfn.MAXIFS(Status_Log!$E:$E,Status_Log!$A:$A,$A270,Status_Log!$B:$B,$B270,Status_Log!$C:$C,$C270,Status_Log!$D:$D,"Changed to the status of Calculated"),"0.000000"),Status_Log!$H:$H,0)),""))</f>
        <v/>
      </c>
      <c r="M270" s="4" t="str">
        <f aca="false">IF($A270="","",IF(E270="Client","n/a — no control step",IFERROR(INDEX(Status_Log!$F:$F,MATCH($A270&amp;"|"&amp;$B270&amp;"|"&amp;$C270&amp;"|Changed to the status of Controlled|"&amp;TEXT(_xlfn.MAXIFS(Status_Log!$E:$E,Status_Log!$A:$A,$A270,Status_Log!$B:$B,$B270,Status_Log!$C:$C,$C270,Status_Log!$D:$D,"Changed to the status of Controlled"),"0.000000"),Status_Log!$H:$H,0)),"")))</f>
        <v/>
      </c>
      <c r="N270" s="4" t="str">
        <f aca="false">IF($A270="","",IFERROR(VLOOKUP($C270,Dim_Fund!$A:$G,7,0),""))</f>
        <v/>
      </c>
      <c r="O270" s="4" t="str">
        <f aca="false">IF($A270="","",IF(L270=N270,"No","Yes"))</f>
        <v/>
      </c>
      <c r="P270" s="4" t="str">
        <f aca="false">IF($A270="","",IF(E270="Client","n/a",IF(L270=M270,"YES — four-eyes breach","No")))</f>
        <v/>
      </c>
      <c r="Q270" s="38" t="str">
        <f aca="false">IF($A270="","",IFERROR(VLOOKUP($C270,Dim_Fund!$A:$AB,28,0),""))</f>
        <v/>
      </c>
      <c r="R270" s="38" t="str">
        <f aca="false">IF($A270="","",IFERROR(VLOOKUP($C270,Dim_Fund!$A:$AC,29,0),""))</f>
        <v/>
      </c>
      <c r="S270" s="38" t="str">
        <f aca="false">IF($A270="","",IFERROR(VLOOKUP($C270,Dim_Fund!$A:$AD,30,0),""))</f>
        <v/>
      </c>
      <c r="T270" s="38" t="str">
        <f aca="false">IF($A270="","",IFERROR(VLOOKUP($C270,Dim_Fund!$A:$AL,38,0),""))</f>
        <v/>
      </c>
      <c r="U270" s="37" t="str">
        <f aca="false">IF($A270="","",IF(AL270="","",IFERROR(IF(COUNTIFS(Fact_Milestone!$A:$A,$B270,Fact_Milestone!$B:$B,AL270)=0,"",_xlfn.MAXIFS(Fact_Milestone!$C:$C,Fact_Milestone!$A:$A,$B270,Fact_Milestone!$B:$B,AL270)),"")))</f>
        <v/>
      </c>
      <c r="V270" s="37" t="str">
        <f aca="false">IF($A270="","",IFERROR(IF(VLOOKUP($C270,Dim_Fund!$A:$AI,35,0)&gt;0,$B270+VLOOKUP($C270,Dim_Fund!$A:$AI,35,0)/24,""),""))</f>
        <v/>
      </c>
      <c r="W270" s="37" t="str">
        <f aca="false">IF($A270="","",F270)</f>
        <v/>
      </c>
      <c r="X270" s="37" t="str">
        <f aca="false">IF($A270="","",IF(E270="Client",H270,G270))</f>
        <v/>
      </c>
      <c r="Y270" s="37" t="str">
        <f aca="false">IF($A270="","",I270)</f>
        <v/>
      </c>
      <c r="Z270" s="37" t="str">
        <f aca="false">IF($A270="","",IFERROR(W270-R270/1440,""))</f>
        <v/>
      </c>
      <c r="AA270" s="38" t="str">
        <f aca="false">IF($A270="","",IF(OR(U270="",V270=""),"",ROUND((V270-U270)*1440,0)))</f>
        <v/>
      </c>
      <c r="AB270" s="38" t="str">
        <f aca="false">IF($A270="","",IF(U270="","",ROUND((W270-U270)*1440,0)))</f>
        <v/>
      </c>
      <c r="AC270" s="38" t="str">
        <f aca="false">IF($A270="","",IF(AB270="","",MAX(0,AB270)))</f>
        <v/>
      </c>
      <c r="AD270" s="38" t="str">
        <f aca="false">IF($A270="","",IFERROR(ROUND((X270-W270)*1440,0),""))</f>
        <v/>
      </c>
      <c r="AE270" s="38" t="str">
        <f aca="false">IF($A270="","",IF(E270="Client","n/a",IFERROR(ROUND((H270-G270)*1440,0),"")))</f>
        <v/>
      </c>
      <c r="AF270" s="38" t="str">
        <f aca="false">IF($A270="","",IFERROR(ROUND((Y270-H270)*1440,0),""))</f>
        <v/>
      </c>
      <c r="AG270" s="38" t="str">
        <f aca="false">IF($A270="","",IFERROR(ROUND((H270-F270)*1440,0),""))</f>
        <v/>
      </c>
      <c r="AH270" s="38" t="str">
        <f aca="false">IF($A270="","",IFERROR(ROUND((Y270-V270)*1440,0),""))</f>
        <v/>
      </c>
      <c r="AI270" s="4" t="str">
        <f aca="false">IF($A270="","",IF(AH270="","",IF(AH270&gt;0,"Yes","No")))</f>
        <v/>
      </c>
      <c r="AJ270" s="4" t="str">
        <f aca="false">IF($A270="","",IF(AI270&lt;&gt;"Yes","On time",IF(N(AC270)&gt;=MAX(N(AF270),N(K270)),"Wait for analyst",IF(N(AF270)&gt;=N(K270),"External sign-off","Rework"))))</f>
        <v/>
      </c>
      <c r="AK270" s="4" t="str">
        <f aca="false">IF($A270="","",IF(OR(F270="",Y270="",ISNA(MATCH(L270,Dim_Analyst!$A:$A,0))),"CHECK","OK"))</f>
        <v/>
      </c>
      <c r="AL270" s="4" t="str">
        <f aca="false">IF($A270="","",IFERROR(VLOOKUP($C270,Dim_Fund!$A:$U,21,0),""))</f>
        <v/>
      </c>
      <c r="AM270" s="4" t="str">
        <f aca="false">IF($A270="","",IF($U270="","",IF($U270&gt;$B270+IFERROR(VLOOKUP($C270,Dim_Fund!$A:$AH,34,0),0)/24,"Yes","No")))</f>
        <v/>
      </c>
      <c r="AN270" s="22" t="str">
        <f aca="false">IF($A270="","",IFERROR(VLOOKUP($C270,Dim_Fund!$A:$AH,34,0),""))</f>
        <v/>
      </c>
      <c r="AO270" s="22" t="str">
        <f aca="false">IF($A270="","",IF($AL270="","",IFERROR(FLOOR(IF(COUNTIFS(Fact_Milestone!$A:$A,$B270,Fact_Milestone!$B:$B,$AL270,Fact_Milestone!$F:$F,"&gt;0")&gt;0,_xlfn.MINIFS(Fact_Milestone!$F:$F,Fact_Milestone!$A:$A,$B270,Fact_Milestone!$B:$B,$AL270,Fact_Milestone!$F:$F,"&gt;0"),VLOOKUP($AL270,Dim_TOP!$A:$E,5,0)),0.5),"")))</f>
        <v/>
      </c>
      <c r="AP270" s="22" t="str">
        <f aca="false">IF($A270="","",IF($U270="","",ROUND(($U270-INT($U270))*24,4)))</f>
        <v/>
      </c>
      <c r="AQ270" s="22" t="str">
        <f aca="false">IF($A270="","",IF($W270="","",ROUND(($W270-INT($W270))*24,4)))</f>
        <v/>
      </c>
      <c r="AR270" s="22" t="str">
        <f aca="false">IF($A270="","",IF($X270="","",ROUND(($X270-INT($X270))*24,4)))</f>
        <v/>
      </c>
      <c r="AS270" s="38" t="str">
        <f aca="false">IF($A270="","",IF(OR($AN270="",$V270="",$S270="",$T270=""),"",ROUND(($V270-($B270+$AN270/24))*1440-$S270-$T270,0)))</f>
        <v/>
      </c>
      <c r="AT270" s="38" t="str">
        <f aca="false">IF($A270="","",IF(OR($AN270="",$U270=""),"",ROUND(($U270-($B270+$AN270/24))*1440,0)))</f>
        <v/>
      </c>
      <c r="AU270" s="38" t="str">
        <f aca="false">IF($A270="","",IF(OR($AD270="",$S270=""),"",ROUND($AD270-$S270,0)))</f>
        <v/>
      </c>
      <c r="AV270" s="38" t="str">
        <f aca="false">IF($A270="","",N($AE270))</f>
        <v/>
      </c>
      <c r="AW270" s="38" t="str">
        <f aca="false">IF($A270="","",IF(OR($AF270="",$T270=""),"",$AF270-$T270))</f>
        <v/>
      </c>
      <c r="AX270" s="38" t="str">
        <f aca="false">IF($A270="","",IF(COUNT($AT270,$AB270,$AU270,$AW270,$AS270,$AH270)&lt;6,"",ROUND($AT270+$AB270+$AU270+$AV270+$AW270-$AS270-$AH270,0)))</f>
        <v/>
      </c>
      <c r="AY270" s="4" t="str">
        <f aca="false">IF($A270="","",IF($AX270="","No",IF(ABS($AX270)&lt;=2,"Yes","No")))</f>
        <v/>
      </c>
      <c r="AZ270" s="4" t="str">
        <f aca="false">IF($A270="","",IF($AI270&lt;&gt;"Yes","n/a",IF(OR($AA270="",$S270="",$T270=""),"Unknown",IF($AA270&lt;$S270+$T270,"Lost on arrival","Lost after arrival"))))</f>
        <v/>
      </c>
      <c r="BA270" s="10" t="str">
        <f aca="false">IF($A270="","",IFERROR(VLOOKUP($C270,Dim_Fund!$A:$D,4,0),""))</f>
        <v/>
      </c>
      <c r="BB270" s="10" t="str">
        <f aca="false">IF($A270="","",IF($AL270="","",IF(COUNTIFS(Fact_Milestone!$A:$A,$B270,Fact_Milestone!$B:$B,$AL270,Fact_Milestone!$I:$I,"No")&gt;0,"No",IF(COUNTIFS(Fact_Milestone!$A:$A,$B270,Fact_Milestone!$B:$B,$AL270,Fact_Milestone!$I:$I,"Yes")&gt;0,"Yes",""))))</f>
        <v/>
      </c>
      <c r="BC270" s="45" t="str">
        <f aca="false">IF($A270="","",IF(OR($L270="",$W270=""),"",IF(COUNTIFS($L:$L,$L270,$B:$B,$B270,$W:$W,"&lt;"&amp;$W270)=0,"",_xlfn.MAXIFS($W:$W,$L:$L,$L270,$B:$B,$B270,$W:$W,"&lt;"&amp;$W270))))</f>
        <v/>
      </c>
      <c r="BD270" s="39" t="str">
        <f aca="false">IF($A270="","",IF($AC270="","",IF(OR($L270="",$AC270=0),0,MIN($AC270,ROUND(ROUND(1440*SUMPRODUCT(($L$2:INDEX($L:$L,COUNTA($C:$C))=$L270)*($B$2:INDEX($B:$B,COUNTA($C:$C))=$B270)*(ROW($L$2:INDEX($L:$L,COUNTA($C:$C)))&lt;&gt;ROW())*((((($W270+$BT$2:INDEX($BT:$BT,COUNTA($C:$C))-ABS($W270-$BT$2:INDEX($BT:$BT,COUNTA($C:$C))))/2)-(($U270+$BS$2:INDEX($BS:$BS,COUNTA($C:$C))+ABS($U270-$BS$2:INDEX($BS:$BS,COUNTA($C:$C))))/2))+ABS(((($W270+$BT$2:INDEX($BT:$BT,COUNTA($C:$C))-ABS($W270-$BT$2:INDEX($BT:$BT,COUNTA($C:$C))))/2)-(($U270+$BS$2:INDEX($BS:$BS,COUNTA($C:$C))+ABS($U270-$BS$2:INDEX($BS:$BS,COUNTA($C:$C))))/2))))/2)),4),0)))))</f>
        <v/>
      </c>
      <c r="BE270" s="39" t="str">
        <f aca="false">IF($A270="","",IF($AC270="","",ROUND(MIN($AC270-$BD270,N($R270)),0)))</f>
        <v/>
      </c>
      <c r="BF270" s="10" t="str">
        <f aca="false">IF($A270="","",IFERROR(VLOOKUP($C270,Dim_Fund!$A:$BD,56,0),""))</f>
        <v/>
      </c>
      <c r="BG270" s="10" t="str">
        <f aca="false">IF($A270="","",IFERROR(VLOOKUP($C270,Dim_Fund!$A:$BH,60,0),""))</f>
        <v/>
      </c>
      <c r="BH270" s="10" t="str">
        <f aca="false">IF($A270="","",IF($AI270&lt;&gt;"Yes","Not breached",IF($AM270="Yes","Pricing late",IF($BG270="Thin custody slack","Thin custody slack",IF($BF270="Yes","Broker-dependent","None of these")))))</f>
        <v/>
      </c>
      <c r="BI270" s="23" t="str">
        <f aca="false">IF($A270="","",IFERROR(IF(VLOOKUP($C270,Dim_Fund!$A:$AI,35,0)&gt;0,VLOOKUP($C270,Dim_Fund!$A:$AI,35,0),""),""))</f>
        <v/>
      </c>
      <c r="BJ270" s="10" t="str">
        <f aca="false">IF($A270="","",$C270&amp;IF($E270="Client","*",""))</f>
        <v/>
      </c>
      <c r="BK270" s="39" t="str">
        <f aca="false">IF($A270="","",IFERROR(ROUND(($Y270-$X270)*1440,0),""))</f>
        <v/>
      </c>
      <c r="BL270" s="39" t="str">
        <f aca="false">IF($A270="","",IF($AH270="","",-$AH270))</f>
        <v/>
      </c>
      <c r="BM270" s="46" t="str">
        <f aca="false">IF($A270="","",IF($AQ270="","",IF($AP270="",$AQ270,MIN($AP270,$AQ270))))</f>
        <v/>
      </c>
      <c r="BN270" s="46" t="str">
        <f aca="false">IF($A270="","",IF($BM270="","",ROUND(N($AC270)/60,4)))</f>
        <v/>
      </c>
      <c r="BO270" s="46" t="str">
        <f aca="false">IF($A270="","",IF(OR($BM270="",$AD270=""),"",ROUND($AD270/60,4)))</f>
        <v/>
      </c>
      <c r="BP270" s="46" t="str">
        <f aca="false">IF($A270="","",IF($BM270="","",ROUND(N($AE270)/60,4)))</f>
        <v/>
      </c>
      <c r="BQ270" s="46" t="str">
        <f aca="false">IF($A270="","",IF(OR($BM270="",$AF270=""),"",ROUND($AF270/60,4)))</f>
        <v/>
      </c>
      <c r="BR270" s="39" t="str">
        <f aca="false">IF($A270="","",IF($AC270="","",$AC270-$BD270-$BE270))</f>
        <v/>
      </c>
      <c r="BS270" s="45" t="str">
        <f aca="false">IF($A270="","",IF(AND(ISNUMBER($Z270),ISNUMBER($W270)),$Z270,0))</f>
        <v/>
      </c>
      <c r="BT270" s="45" t="str">
        <f aca="false">IF($A270="","",IF(ISNUMBER($W270),$W270,0))</f>
        <v/>
      </c>
      <c r="BU270" s="23" t="str">
        <f aca="false">IF($A270="","",IF(ISNUMBER($W270),ROUND(($W270-$B270)*24,4),""))</f>
        <v/>
      </c>
      <c r="BV270" s="23" t="str">
        <f aca="false">IF($A270="","",IF(ISNUMBER($X270),ROUND(($X270-$B270)*24,4),""))</f>
        <v/>
      </c>
      <c r="BW270" s="10" t="str">
        <f aca="false">IF($A270="","",IF(NOT(ISNUMBER($W270)),"Missing Calculated",IF(NOT(ISNUMBER($X270)),IF($E270="Client","Missing FA signed off","Missing Controlled"),IF($X270&lt;$W270,"End before start","OK"))))</f>
        <v/>
      </c>
      <c r="BX270" s="23" t="str">
        <f aca="false">IF($A270="","",IF(NOT(ISNUMBER($Z270)),"",ROUND((IF(ISNUMBER($U270),MIN($U270,$Z270),$Z270)-$B270)*24,4)))</f>
        <v/>
      </c>
      <c r="BY270" s="23" t="str">
        <f aca="false">IF($A270="","",IF(ISNUMBER($Z270),ROUND(($Z270-$B270)*24,4),""))</f>
        <v/>
      </c>
      <c r="BZ270" s="23" t="str">
        <f aca="false">IF($A270="","",IF(AND(ISNUMBER($W270),ISNUMBER($S270)),ROUND(($W270+$S270/1440-$B270)*24,4),""))</f>
        <v/>
      </c>
    </row>
    <row r="271" customFormat="false" ht="15" hidden="false" customHeight="true" outlineLevel="0" collapsed="false">
      <c r="A271" s="47"/>
      <c r="B271" s="47"/>
      <c r="D271" s="4" t="str">
        <f aca="false">IF($A271="","",$B271-$A271)</f>
        <v/>
      </c>
      <c r="E271" s="4" t="str">
        <f aca="false">IF($A271="","",IFERROR(VLOOKUP($C271,Dim_Fund!$A:$X,24,0),""))</f>
        <v/>
      </c>
      <c r="F271" s="37" t="str">
        <f aca="false">IF($A271="","",IF(COUNTIFS(Status_Log!$A:$A,$A271,Status_Log!$B:$B,$B271,Status_Log!$C:$C,$C271,Status_Log!$D:$D,"Changed to the status of Calculated")=0,"",_xlfn.MINIFS(Status_Log!$E:$E,Status_Log!$A:$A,$A271,Status_Log!$B:$B,$B271,Status_Log!$C:$C,$C271,Status_Log!$D:$D,"Changed to the status of Calculated")))</f>
        <v/>
      </c>
      <c r="G271" s="37" t="str">
        <f aca="false">IF($A271="","",IF(COUNTIFS(Status_Log!$A:$A,$A271,Status_Log!$B:$B,$B271,Status_Log!$C:$C,$C271,Status_Log!$D:$D,"Changed to the status of Controlled")=0,"",_xlfn.MAXIFS(Status_Log!$E:$E,Status_Log!$A:$A,$A271,Status_Log!$B:$B,$B271,Status_Log!$C:$C,$C271,Status_Log!$D:$D,"Changed to the status of Controlled")))</f>
        <v/>
      </c>
      <c r="H271" s="37" t="str">
        <f aca="false">IF($A271="","",IF(COUNTIFS(Status_Log!$A:$A,$A271,Status_Log!$B:$B,$B271,Status_Log!$C:$C,$C271,Status_Log!$D:$D,"Changed to the status of Fund accounting signed off")=0,"",_xlfn.MAXIFS(Status_Log!$E:$E,Status_Log!$A:$A,$A271,Status_Log!$B:$B,$B271,Status_Log!$C:$C,$C271,Status_Log!$D:$D,"Changed to the status of Fund accounting signed off")))</f>
        <v/>
      </c>
      <c r="I271" s="37" t="str">
        <f aca="false">IF($A271="","",IF(COUNTIFS(Status_Log!$A:$A,$A271,Status_Log!$B:$B,$B271,Status_Log!$C:$C,$C271,Status_Log!$D:$D,"Changed to the status of signed off")=0,"",_xlfn.MAXIFS(Status_Log!$E:$E,Status_Log!$A:$A,$A271,Status_Log!$B:$B,$B271,Status_Log!$C:$C,$C271,Status_Log!$D:$D,"Changed to the status of signed off")))</f>
        <v/>
      </c>
      <c r="J271" s="4" t="str">
        <f aca="false">IF($A271="","",COUNTIFS(Status_Log!$A:$A,$A271,Status_Log!$B:$B,$B271,Status_Log!$C:$C,$C271,Status_Log!$D:$D,"Changed to the status of Calculated"))</f>
        <v/>
      </c>
      <c r="K271" s="38" t="str">
        <f aca="false">IF($A271="","",IF(J271&lt;=1,0,ROUND((_xlfn.MAXIFS(Status_Log!$E:$E,Status_Log!$A:$A,$A271,Status_Log!$B:$B,$B271,Status_Log!$C:$C,$C271,Status_Log!$D:$D,"Changed to the status of Calculated")-F271)*1440,0)))</f>
        <v/>
      </c>
      <c r="L271" s="4" t="str">
        <f aca="false">IF($A271="","",IFERROR(INDEX(Status_Log!$F:$F,MATCH($A271&amp;"|"&amp;$B271&amp;"|"&amp;$C271&amp;"|Changed to the status of Calculated|"&amp;TEXT(_xlfn.MAXIFS(Status_Log!$E:$E,Status_Log!$A:$A,$A271,Status_Log!$B:$B,$B271,Status_Log!$C:$C,$C271,Status_Log!$D:$D,"Changed to the status of Calculated"),"0.000000"),Status_Log!$H:$H,0)),""))</f>
        <v/>
      </c>
      <c r="M271" s="4" t="str">
        <f aca="false">IF($A271="","",IF(E271="Client","n/a — no control step",IFERROR(INDEX(Status_Log!$F:$F,MATCH($A271&amp;"|"&amp;$B271&amp;"|"&amp;$C271&amp;"|Changed to the status of Controlled|"&amp;TEXT(_xlfn.MAXIFS(Status_Log!$E:$E,Status_Log!$A:$A,$A271,Status_Log!$B:$B,$B271,Status_Log!$C:$C,$C271,Status_Log!$D:$D,"Changed to the status of Controlled"),"0.000000"),Status_Log!$H:$H,0)),"")))</f>
        <v/>
      </c>
      <c r="N271" s="4" t="str">
        <f aca="false">IF($A271="","",IFERROR(VLOOKUP($C271,Dim_Fund!$A:$G,7,0),""))</f>
        <v/>
      </c>
      <c r="O271" s="4" t="str">
        <f aca="false">IF($A271="","",IF(L271=N271,"No","Yes"))</f>
        <v/>
      </c>
      <c r="P271" s="4" t="str">
        <f aca="false">IF($A271="","",IF(E271="Client","n/a",IF(L271=M271,"YES — four-eyes breach","No")))</f>
        <v/>
      </c>
      <c r="Q271" s="38" t="str">
        <f aca="false">IF($A271="","",IFERROR(VLOOKUP($C271,Dim_Fund!$A:$AB,28,0),""))</f>
        <v/>
      </c>
      <c r="R271" s="38" t="str">
        <f aca="false">IF($A271="","",IFERROR(VLOOKUP($C271,Dim_Fund!$A:$AC,29,0),""))</f>
        <v/>
      </c>
      <c r="S271" s="38" t="str">
        <f aca="false">IF($A271="","",IFERROR(VLOOKUP($C271,Dim_Fund!$A:$AD,30,0),""))</f>
        <v/>
      </c>
      <c r="T271" s="38" t="str">
        <f aca="false">IF($A271="","",IFERROR(VLOOKUP($C271,Dim_Fund!$A:$AL,38,0),""))</f>
        <v/>
      </c>
      <c r="U271" s="37" t="str">
        <f aca="false">IF($A271="","",IF(AL271="","",IFERROR(IF(COUNTIFS(Fact_Milestone!$A:$A,$B271,Fact_Milestone!$B:$B,AL271)=0,"",_xlfn.MAXIFS(Fact_Milestone!$C:$C,Fact_Milestone!$A:$A,$B271,Fact_Milestone!$B:$B,AL271)),"")))</f>
        <v/>
      </c>
      <c r="V271" s="37" t="str">
        <f aca="false">IF($A271="","",IFERROR(IF(VLOOKUP($C271,Dim_Fund!$A:$AI,35,0)&gt;0,$B271+VLOOKUP($C271,Dim_Fund!$A:$AI,35,0)/24,""),""))</f>
        <v/>
      </c>
      <c r="W271" s="37" t="str">
        <f aca="false">IF($A271="","",F271)</f>
        <v/>
      </c>
      <c r="X271" s="37" t="str">
        <f aca="false">IF($A271="","",IF(E271="Client",H271,G271))</f>
        <v/>
      </c>
      <c r="Y271" s="37" t="str">
        <f aca="false">IF($A271="","",I271)</f>
        <v/>
      </c>
      <c r="Z271" s="37" t="str">
        <f aca="false">IF($A271="","",IFERROR(W271-R271/1440,""))</f>
        <v/>
      </c>
      <c r="AA271" s="38" t="str">
        <f aca="false">IF($A271="","",IF(OR(U271="",V271=""),"",ROUND((V271-U271)*1440,0)))</f>
        <v/>
      </c>
      <c r="AB271" s="38" t="str">
        <f aca="false">IF($A271="","",IF(U271="","",ROUND((W271-U271)*1440,0)))</f>
        <v/>
      </c>
      <c r="AC271" s="38" t="str">
        <f aca="false">IF($A271="","",IF(AB271="","",MAX(0,AB271)))</f>
        <v/>
      </c>
      <c r="AD271" s="38" t="str">
        <f aca="false">IF($A271="","",IFERROR(ROUND((X271-W271)*1440,0),""))</f>
        <v/>
      </c>
      <c r="AE271" s="38" t="str">
        <f aca="false">IF($A271="","",IF(E271="Client","n/a",IFERROR(ROUND((H271-G271)*1440,0),"")))</f>
        <v/>
      </c>
      <c r="AF271" s="38" t="str">
        <f aca="false">IF($A271="","",IFERROR(ROUND((Y271-H271)*1440,0),""))</f>
        <v/>
      </c>
      <c r="AG271" s="38" t="str">
        <f aca="false">IF($A271="","",IFERROR(ROUND((H271-F271)*1440,0),""))</f>
        <v/>
      </c>
      <c r="AH271" s="38" t="str">
        <f aca="false">IF($A271="","",IFERROR(ROUND((Y271-V271)*1440,0),""))</f>
        <v/>
      </c>
      <c r="AI271" s="4" t="str">
        <f aca="false">IF($A271="","",IF(AH271="","",IF(AH271&gt;0,"Yes","No")))</f>
        <v/>
      </c>
      <c r="AJ271" s="4" t="str">
        <f aca="false">IF($A271="","",IF(AI271&lt;&gt;"Yes","On time",IF(N(AC271)&gt;=MAX(N(AF271),N(K271)),"Wait for analyst",IF(N(AF271)&gt;=N(K271),"External sign-off","Rework"))))</f>
        <v/>
      </c>
      <c r="AK271" s="4" t="str">
        <f aca="false">IF($A271="","",IF(OR(F271="",Y271="",ISNA(MATCH(L271,Dim_Analyst!$A:$A,0))),"CHECK","OK"))</f>
        <v/>
      </c>
      <c r="AL271" s="4" t="str">
        <f aca="false">IF($A271="","",IFERROR(VLOOKUP($C271,Dim_Fund!$A:$U,21,0),""))</f>
        <v/>
      </c>
      <c r="AM271" s="4" t="str">
        <f aca="false">IF($A271="","",IF($U271="","",IF($U271&gt;$B271+IFERROR(VLOOKUP($C271,Dim_Fund!$A:$AH,34,0),0)/24,"Yes","No")))</f>
        <v/>
      </c>
      <c r="AN271" s="22" t="str">
        <f aca="false">IF($A271="","",IFERROR(VLOOKUP($C271,Dim_Fund!$A:$AH,34,0),""))</f>
        <v/>
      </c>
      <c r="AO271" s="22" t="str">
        <f aca="false">IF($A271="","",IF($AL271="","",IFERROR(FLOOR(IF(COUNTIFS(Fact_Milestone!$A:$A,$B271,Fact_Milestone!$B:$B,$AL271,Fact_Milestone!$F:$F,"&gt;0")&gt;0,_xlfn.MINIFS(Fact_Milestone!$F:$F,Fact_Milestone!$A:$A,$B271,Fact_Milestone!$B:$B,$AL271,Fact_Milestone!$F:$F,"&gt;0"),VLOOKUP($AL271,Dim_TOP!$A:$E,5,0)),0.5),"")))</f>
        <v/>
      </c>
      <c r="AP271" s="22" t="str">
        <f aca="false">IF($A271="","",IF($U271="","",ROUND(($U271-INT($U271))*24,4)))</f>
        <v/>
      </c>
      <c r="AQ271" s="22" t="str">
        <f aca="false">IF($A271="","",IF($W271="","",ROUND(($W271-INT($W271))*24,4)))</f>
        <v/>
      </c>
      <c r="AR271" s="22" t="str">
        <f aca="false">IF($A271="","",IF($X271="","",ROUND(($X271-INT($X271))*24,4)))</f>
        <v/>
      </c>
      <c r="AS271" s="38" t="str">
        <f aca="false">IF($A271="","",IF(OR($AN271="",$V271="",$S271="",$T271=""),"",ROUND(($V271-($B271+$AN271/24))*1440-$S271-$T271,0)))</f>
        <v/>
      </c>
      <c r="AT271" s="38" t="str">
        <f aca="false">IF($A271="","",IF(OR($AN271="",$U271=""),"",ROUND(($U271-($B271+$AN271/24))*1440,0)))</f>
        <v/>
      </c>
      <c r="AU271" s="38" t="str">
        <f aca="false">IF($A271="","",IF(OR($AD271="",$S271=""),"",ROUND($AD271-$S271,0)))</f>
        <v/>
      </c>
      <c r="AV271" s="38" t="str">
        <f aca="false">IF($A271="","",N($AE271))</f>
        <v/>
      </c>
      <c r="AW271" s="38" t="str">
        <f aca="false">IF($A271="","",IF(OR($AF271="",$T271=""),"",$AF271-$T271))</f>
        <v/>
      </c>
      <c r="AX271" s="38" t="str">
        <f aca="false">IF($A271="","",IF(COUNT($AT271,$AB271,$AU271,$AW271,$AS271,$AH271)&lt;6,"",ROUND($AT271+$AB271+$AU271+$AV271+$AW271-$AS271-$AH271,0)))</f>
        <v/>
      </c>
      <c r="AY271" s="4" t="str">
        <f aca="false">IF($A271="","",IF($AX271="","No",IF(ABS($AX271)&lt;=2,"Yes","No")))</f>
        <v/>
      </c>
      <c r="AZ271" s="4" t="str">
        <f aca="false">IF($A271="","",IF($AI271&lt;&gt;"Yes","n/a",IF(OR($AA271="",$S271="",$T271=""),"Unknown",IF($AA271&lt;$S271+$T271,"Lost on arrival","Lost after arrival"))))</f>
        <v/>
      </c>
      <c r="BA271" s="10" t="str">
        <f aca="false">IF($A271="","",IFERROR(VLOOKUP($C271,Dim_Fund!$A:$D,4,0),""))</f>
        <v/>
      </c>
      <c r="BB271" s="10" t="str">
        <f aca="false">IF($A271="","",IF($AL271="","",IF(COUNTIFS(Fact_Milestone!$A:$A,$B271,Fact_Milestone!$B:$B,$AL271,Fact_Milestone!$I:$I,"No")&gt;0,"No",IF(COUNTIFS(Fact_Milestone!$A:$A,$B271,Fact_Milestone!$B:$B,$AL271,Fact_Milestone!$I:$I,"Yes")&gt;0,"Yes",""))))</f>
        <v/>
      </c>
      <c r="BC271" s="45" t="str">
        <f aca="false">IF($A271="","",IF(OR($L271="",$W271=""),"",IF(COUNTIFS($L:$L,$L271,$B:$B,$B271,$W:$W,"&lt;"&amp;$W271)=0,"",_xlfn.MAXIFS($W:$W,$L:$L,$L271,$B:$B,$B271,$W:$W,"&lt;"&amp;$W271))))</f>
        <v/>
      </c>
      <c r="BD271" s="39" t="str">
        <f aca="false">IF($A271="","",IF($AC271="","",IF(OR($L271="",$AC271=0),0,MIN($AC271,ROUND(ROUND(1440*SUMPRODUCT(($L$2:INDEX($L:$L,COUNTA($C:$C))=$L271)*($B$2:INDEX($B:$B,COUNTA($C:$C))=$B271)*(ROW($L$2:INDEX($L:$L,COUNTA($C:$C)))&lt;&gt;ROW())*((((($W271+$BT$2:INDEX($BT:$BT,COUNTA($C:$C))-ABS($W271-$BT$2:INDEX($BT:$BT,COUNTA($C:$C))))/2)-(($U271+$BS$2:INDEX($BS:$BS,COUNTA($C:$C))+ABS($U271-$BS$2:INDEX($BS:$BS,COUNTA($C:$C))))/2))+ABS(((($W271+$BT$2:INDEX($BT:$BT,COUNTA($C:$C))-ABS($W271-$BT$2:INDEX($BT:$BT,COUNTA($C:$C))))/2)-(($U271+$BS$2:INDEX($BS:$BS,COUNTA($C:$C))+ABS($U271-$BS$2:INDEX($BS:$BS,COUNTA($C:$C))))/2))))/2)),4),0)))))</f>
        <v/>
      </c>
      <c r="BE271" s="39" t="str">
        <f aca="false">IF($A271="","",IF($AC271="","",ROUND(MIN($AC271-$BD271,N($R271)),0)))</f>
        <v/>
      </c>
      <c r="BF271" s="10" t="str">
        <f aca="false">IF($A271="","",IFERROR(VLOOKUP($C271,Dim_Fund!$A:$BD,56,0),""))</f>
        <v/>
      </c>
      <c r="BG271" s="10" t="str">
        <f aca="false">IF($A271="","",IFERROR(VLOOKUP($C271,Dim_Fund!$A:$BH,60,0),""))</f>
        <v/>
      </c>
      <c r="BH271" s="10" t="str">
        <f aca="false">IF($A271="","",IF($AI271&lt;&gt;"Yes","Not breached",IF($AM271="Yes","Pricing late",IF($BG271="Thin custody slack","Thin custody slack",IF($BF271="Yes","Broker-dependent","None of these")))))</f>
        <v/>
      </c>
      <c r="BI271" s="23" t="str">
        <f aca="false">IF($A271="","",IFERROR(IF(VLOOKUP($C271,Dim_Fund!$A:$AI,35,0)&gt;0,VLOOKUP($C271,Dim_Fund!$A:$AI,35,0),""),""))</f>
        <v/>
      </c>
      <c r="BJ271" s="10" t="str">
        <f aca="false">IF($A271="","",$C271&amp;IF($E271="Client","*",""))</f>
        <v/>
      </c>
      <c r="BK271" s="39" t="str">
        <f aca="false">IF($A271="","",IFERROR(ROUND(($Y271-$X271)*1440,0),""))</f>
        <v/>
      </c>
      <c r="BL271" s="39" t="str">
        <f aca="false">IF($A271="","",IF($AH271="","",-$AH271))</f>
        <v/>
      </c>
      <c r="BM271" s="46" t="str">
        <f aca="false">IF($A271="","",IF($AQ271="","",IF($AP271="",$AQ271,MIN($AP271,$AQ271))))</f>
        <v/>
      </c>
      <c r="BN271" s="46" t="str">
        <f aca="false">IF($A271="","",IF($BM271="","",ROUND(N($AC271)/60,4)))</f>
        <v/>
      </c>
      <c r="BO271" s="46" t="str">
        <f aca="false">IF($A271="","",IF(OR($BM271="",$AD271=""),"",ROUND($AD271/60,4)))</f>
        <v/>
      </c>
      <c r="BP271" s="46" t="str">
        <f aca="false">IF($A271="","",IF($BM271="","",ROUND(N($AE271)/60,4)))</f>
        <v/>
      </c>
      <c r="BQ271" s="46" t="str">
        <f aca="false">IF($A271="","",IF(OR($BM271="",$AF271=""),"",ROUND($AF271/60,4)))</f>
        <v/>
      </c>
      <c r="BR271" s="39" t="str">
        <f aca="false">IF($A271="","",IF($AC271="","",$AC271-$BD271-$BE271))</f>
        <v/>
      </c>
      <c r="BS271" s="45" t="str">
        <f aca="false">IF($A271="","",IF(AND(ISNUMBER($Z271),ISNUMBER($W271)),$Z271,0))</f>
        <v/>
      </c>
      <c r="BT271" s="45" t="str">
        <f aca="false">IF($A271="","",IF(ISNUMBER($W271),$W271,0))</f>
        <v/>
      </c>
      <c r="BU271" s="23" t="str">
        <f aca="false">IF($A271="","",IF(ISNUMBER($W271),ROUND(($W271-$B271)*24,4),""))</f>
        <v/>
      </c>
      <c r="BV271" s="23" t="str">
        <f aca="false">IF($A271="","",IF(ISNUMBER($X271),ROUND(($X271-$B271)*24,4),""))</f>
        <v/>
      </c>
      <c r="BW271" s="10" t="str">
        <f aca="false">IF($A271="","",IF(NOT(ISNUMBER($W271)),"Missing Calculated",IF(NOT(ISNUMBER($X271)),IF($E271="Client","Missing FA signed off","Missing Controlled"),IF($X271&lt;$W271,"End before start","OK"))))</f>
        <v/>
      </c>
      <c r="BX271" s="23" t="str">
        <f aca="false">IF($A271="","",IF(NOT(ISNUMBER($Z271)),"",ROUND((IF(ISNUMBER($U271),MIN($U271,$Z271),$Z271)-$B271)*24,4)))</f>
        <v/>
      </c>
      <c r="BY271" s="23" t="str">
        <f aca="false">IF($A271="","",IF(ISNUMBER($Z271),ROUND(($Z271-$B271)*24,4),""))</f>
        <v/>
      </c>
      <c r="BZ271" s="23" t="str">
        <f aca="false">IF($A271="","",IF(AND(ISNUMBER($W271),ISNUMBER($S271)),ROUND(($W271+$S271/1440-$B271)*24,4),""))</f>
        <v/>
      </c>
    </row>
    <row r="272" customFormat="false" ht="15" hidden="false" customHeight="true" outlineLevel="0" collapsed="false">
      <c r="A272" s="47"/>
      <c r="B272" s="47"/>
      <c r="D272" s="4" t="str">
        <f aca="false">IF($A272="","",$B272-$A272)</f>
        <v/>
      </c>
      <c r="E272" s="4" t="str">
        <f aca="false">IF($A272="","",IFERROR(VLOOKUP($C272,Dim_Fund!$A:$X,24,0),""))</f>
        <v/>
      </c>
      <c r="F272" s="37" t="str">
        <f aca="false">IF($A272="","",IF(COUNTIFS(Status_Log!$A:$A,$A272,Status_Log!$B:$B,$B272,Status_Log!$C:$C,$C272,Status_Log!$D:$D,"Changed to the status of Calculated")=0,"",_xlfn.MINIFS(Status_Log!$E:$E,Status_Log!$A:$A,$A272,Status_Log!$B:$B,$B272,Status_Log!$C:$C,$C272,Status_Log!$D:$D,"Changed to the status of Calculated")))</f>
        <v/>
      </c>
      <c r="G272" s="37" t="str">
        <f aca="false">IF($A272="","",IF(COUNTIFS(Status_Log!$A:$A,$A272,Status_Log!$B:$B,$B272,Status_Log!$C:$C,$C272,Status_Log!$D:$D,"Changed to the status of Controlled")=0,"",_xlfn.MAXIFS(Status_Log!$E:$E,Status_Log!$A:$A,$A272,Status_Log!$B:$B,$B272,Status_Log!$C:$C,$C272,Status_Log!$D:$D,"Changed to the status of Controlled")))</f>
        <v/>
      </c>
      <c r="H272" s="37" t="str">
        <f aca="false">IF($A272="","",IF(COUNTIFS(Status_Log!$A:$A,$A272,Status_Log!$B:$B,$B272,Status_Log!$C:$C,$C272,Status_Log!$D:$D,"Changed to the status of Fund accounting signed off")=0,"",_xlfn.MAXIFS(Status_Log!$E:$E,Status_Log!$A:$A,$A272,Status_Log!$B:$B,$B272,Status_Log!$C:$C,$C272,Status_Log!$D:$D,"Changed to the status of Fund accounting signed off")))</f>
        <v/>
      </c>
      <c r="I272" s="37" t="str">
        <f aca="false">IF($A272="","",IF(COUNTIFS(Status_Log!$A:$A,$A272,Status_Log!$B:$B,$B272,Status_Log!$C:$C,$C272,Status_Log!$D:$D,"Changed to the status of signed off")=0,"",_xlfn.MAXIFS(Status_Log!$E:$E,Status_Log!$A:$A,$A272,Status_Log!$B:$B,$B272,Status_Log!$C:$C,$C272,Status_Log!$D:$D,"Changed to the status of signed off")))</f>
        <v/>
      </c>
      <c r="J272" s="4" t="str">
        <f aca="false">IF($A272="","",COUNTIFS(Status_Log!$A:$A,$A272,Status_Log!$B:$B,$B272,Status_Log!$C:$C,$C272,Status_Log!$D:$D,"Changed to the status of Calculated"))</f>
        <v/>
      </c>
      <c r="K272" s="38" t="str">
        <f aca="false">IF($A272="","",IF(J272&lt;=1,0,ROUND((_xlfn.MAXIFS(Status_Log!$E:$E,Status_Log!$A:$A,$A272,Status_Log!$B:$B,$B272,Status_Log!$C:$C,$C272,Status_Log!$D:$D,"Changed to the status of Calculated")-F272)*1440,0)))</f>
        <v/>
      </c>
      <c r="L272" s="4" t="str">
        <f aca="false">IF($A272="","",IFERROR(INDEX(Status_Log!$F:$F,MATCH($A272&amp;"|"&amp;$B272&amp;"|"&amp;$C272&amp;"|Changed to the status of Calculated|"&amp;TEXT(_xlfn.MAXIFS(Status_Log!$E:$E,Status_Log!$A:$A,$A272,Status_Log!$B:$B,$B272,Status_Log!$C:$C,$C272,Status_Log!$D:$D,"Changed to the status of Calculated"),"0.000000"),Status_Log!$H:$H,0)),""))</f>
        <v/>
      </c>
      <c r="M272" s="4" t="str">
        <f aca="false">IF($A272="","",IF(E272="Client","n/a — no control step",IFERROR(INDEX(Status_Log!$F:$F,MATCH($A272&amp;"|"&amp;$B272&amp;"|"&amp;$C272&amp;"|Changed to the status of Controlled|"&amp;TEXT(_xlfn.MAXIFS(Status_Log!$E:$E,Status_Log!$A:$A,$A272,Status_Log!$B:$B,$B272,Status_Log!$C:$C,$C272,Status_Log!$D:$D,"Changed to the status of Controlled"),"0.000000"),Status_Log!$H:$H,0)),"")))</f>
        <v/>
      </c>
      <c r="N272" s="4" t="str">
        <f aca="false">IF($A272="","",IFERROR(VLOOKUP($C272,Dim_Fund!$A:$G,7,0),""))</f>
        <v/>
      </c>
      <c r="O272" s="4" t="str">
        <f aca="false">IF($A272="","",IF(L272=N272,"No","Yes"))</f>
        <v/>
      </c>
      <c r="P272" s="4" t="str">
        <f aca="false">IF($A272="","",IF(E272="Client","n/a",IF(L272=M272,"YES — four-eyes breach","No")))</f>
        <v/>
      </c>
      <c r="Q272" s="38" t="str">
        <f aca="false">IF($A272="","",IFERROR(VLOOKUP($C272,Dim_Fund!$A:$AB,28,0),""))</f>
        <v/>
      </c>
      <c r="R272" s="38" t="str">
        <f aca="false">IF($A272="","",IFERROR(VLOOKUP($C272,Dim_Fund!$A:$AC,29,0),""))</f>
        <v/>
      </c>
      <c r="S272" s="38" t="str">
        <f aca="false">IF($A272="","",IFERROR(VLOOKUP($C272,Dim_Fund!$A:$AD,30,0),""))</f>
        <v/>
      </c>
      <c r="T272" s="38" t="str">
        <f aca="false">IF($A272="","",IFERROR(VLOOKUP($C272,Dim_Fund!$A:$AL,38,0),""))</f>
        <v/>
      </c>
      <c r="U272" s="37" t="str">
        <f aca="false">IF($A272="","",IF(AL272="","",IFERROR(IF(COUNTIFS(Fact_Milestone!$A:$A,$B272,Fact_Milestone!$B:$B,AL272)=0,"",_xlfn.MAXIFS(Fact_Milestone!$C:$C,Fact_Milestone!$A:$A,$B272,Fact_Milestone!$B:$B,AL272)),"")))</f>
        <v/>
      </c>
      <c r="V272" s="37" t="str">
        <f aca="false">IF($A272="","",IFERROR(IF(VLOOKUP($C272,Dim_Fund!$A:$AI,35,0)&gt;0,$B272+VLOOKUP($C272,Dim_Fund!$A:$AI,35,0)/24,""),""))</f>
        <v/>
      </c>
      <c r="W272" s="37" t="str">
        <f aca="false">IF($A272="","",F272)</f>
        <v/>
      </c>
      <c r="X272" s="37" t="str">
        <f aca="false">IF($A272="","",IF(E272="Client",H272,G272))</f>
        <v/>
      </c>
      <c r="Y272" s="37" t="str">
        <f aca="false">IF($A272="","",I272)</f>
        <v/>
      </c>
      <c r="Z272" s="37" t="str">
        <f aca="false">IF($A272="","",IFERROR(W272-R272/1440,""))</f>
        <v/>
      </c>
      <c r="AA272" s="38" t="str">
        <f aca="false">IF($A272="","",IF(OR(U272="",V272=""),"",ROUND((V272-U272)*1440,0)))</f>
        <v/>
      </c>
      <c r="AB272" s="38" t="str">
        <f aca="false">IF($A272="","",IF(U272="","",ROUND((W272-U272)*1440,0)))</f>
        <v/>
      </c>
      <c r="AC272" s="38" t="str">
        <f aca="false">IF($A272="","",IF(AB272="","",MAX(0,AB272)))</f>
        <v/>
      </c>
      <c r="AD272" s="38" t="str">
        <f aca="false">IF($A272="","",IFERROR(ROUND((X272-W272)*1440,0),""))</f>
        <v/>
      </c>
      <c r="AE272" s="38" t="str">
        <f aca="false">IF($A272="","",IF(E272="Client","n/a",IFERROR(ROUND((H272-G272)*1440,0),"")))</f>
        <v/>
      </c>
      <c r="AF272" s="38" t="str">
        <f aca="false">IF($A272="","",IFERROR(ROUND((Y272-H272)*1440,0),""))</f>
        <v/>
      </c>
      <c r="AG272" s="38" t="str">
        <f aca="false">IF($A272="","",IFERROR(ROUND((H272-F272)*1440,0),""))</f>
        <v/>
      </c>
      <c r="AH272" s="38" t="str">
        <f aca="false">IF($A272="","",IFERROR(ROUND((Y272-V272)*1440,0),""))</f>
        <v/>
      </c>
      <c r="AI272" s="4" t="str">
        <f aca="false">IF($A272="","",IF(AH272="","",IF(AH272&gt;0,"Yes","No")))</f>
        <v/>
      </c>
      <c r="AJ272" s="4" t="str">
        <f aca="false">IF($A272="","",IF(AI272&lt;&gt;"Yes","On time",IF(N(AC272)&gt;=MAX(N(AF272),N(K272)),"Wait for analyst",IF(N(AF272)&gt;=N(K272),"External sign-off","Rework"))))</f>
        <v/>
      </c>
      <c r="AK272" s="4" t="str">
        <f aca="false">IF($A272="","",IF(OR(F272="",Y272="",ISNA(MATCH(L272,Dim_Analyst!$A:$A,0))),"CHECK","OK"))</f>
        <v/>
      </c>
      <c r="AL272" s="4" t="str">
        <f aca="false">IF($A272="","",IFERROR(VLOOKUP($C272,Dim_Fund!$A:$U,21,0),""))</f>
        <v/>
      </c>
      <c r="AM272" s="4" t="str">
        <f aca="false">IF($A272="","",IF($U272="","",IF($U272&gt;$B272+IFERROR(VLOOKUP($C272,Dim_Fund!$A:$AH,34,0),0)/24,"Yes","No")))</f>
        <v/>
      </c>
      <c r="AN272" s="22" t="str">
        <f aca="false">IF($A272="","",IFERROR(VLOOKUP($C272,Dim_Fund!$A:$AH,34,0),""))</f>
        <v/>
      </c>
      <c r="AO272" s="22" t="str">
        <f aca="false">IF($A272="","",IF($AL272="","",IFERROR(FLOOR(IF(COUNTIFS(Fact_Milestone!$A:$A,$B272,Fact_Milestone!$B:$B,$AL272,Fact_Milestone!$F:$F,"&gt;0")&gt;0,_xlfn.MINIFS(Fact_Milestone!$F:$F,Fact_Milestone!$A:$A,$B272,Fact_Milestone!$B:$B,$AL272,Fact_Milestone!$F:$F,"&gt;0"),VLOOKUP($AL272,Dim_TOP!$A:$E,5,0)),0.5),"")))</f>
        <v/>
      </c>
      <c r="AP272" s="22" t="str">
        <f aca="false">IF($A272="","",IF($U272="","",ROUND(($U272-INT($U272))*24,4)))</f>
        <v/>
      </c>
      <c r="AQ272" s="22" t="str">
        <f aca="false">IF($A272="","",IF($W272="","",ROUND(($W272-INT($W272))*24,4)))</f>
        <v/>
      </c>
      <c r="AR272" s="22" t="str">
        <f aca="false">IF($A272="","",IF($X272="","",ROUND(($X272-INT($X272))*24,4)))</f>
        <v/>
      </c>
      <c r="AS272" s="38" t="str">
        <f aca="false">IF($A272="","",IF(OR($AN272="",$V272="",$S272="",$T272=""),"",ROUND(($V272-($B272+$AN272/24))*1440-$S272-$T272,0)))</f>
        <v/>
      </c>
      <c r="AT272" s="38" t="str">
        <f aca="false">IF($A272="","",IF(OR($AN272="",$U272=""),"",ROUND(($U272-($B272+$AN272/24))*1440,0)))</f>
        <v/>
      </c>
      <c r="AU272" s="38" t="str">
        <f aca="false">IF($A272="","",IF(OR($AD272="",$S272=""),"",ROUND($AD272-$S272,0)))</f>
        <v/>
      </c>
      <c r="AV272" s="38" t="str">
        <f aca="false">IF($A272="","",N($AE272))</f>
        <v/>
      </c>
      <c r="AW272" s="38" t="str">
        <f aca="false">IF($A272="","",IF(OR($AF272="",$T272=""),"",$AF272-$T272))</f>
        <v/>
      </c>
      <c r="AX272" s="38" t="str">
        <f aca="false">IF($A272="","",IF(COUNT($AT272,$AB272,$AU272,$AW272,$AS272,$AH272)&lt;6,"",ROUND($AT272+$AB272+$AU272+$AV272+$AW272-$AS272-$AH272,0)))</f>
        <v/>
      </c>
      <c r="AY272" s="4" t="str">
        <f aca="false">IF($A272="","",IF($AX272="","No",IF(ABS($AX272)&lt;=2,"Yes","No")))</f>
        <v/>
      </c>
      <c r="AZ272" s="4" t="str">
        <f aca="false">IF($A272="","",IF($AI272&lt;&gt;"Yes","n/a",IF(OR($AA272="",$S272="",$T272=""),"Unknown",IF($AA272&lt;$S272+$T272,"Lost on arrival","Lost after arrival"))))</f>
        <v/>
      </c>
      <c r="BA272" s="10" t="str">
        <f aca="false">IF($A272="","",IFERROR(VLOOKUP($C272,Dim_Fund!$A:$D,4,0),""))</f>
        <v/>
      </c>
      <c r="BB272" s="10" t="str">
        <f aca="false">IF($A272="","",IF($AL272="","",IF(COUNTIFS(Fact_Milestone!$A:$A,$B272,Fact_Milestone!$B:$B,$AL272,Fact_Milestone!$I:$I,"No")&gt;0,"No",IF(COUNTIFS(Fact_Milestone!$A:$A,$B272,Fact_Milestone!$B:$B,$AL272,Fact_Milestone!$I:$I,"Yes")&gt;0,"Yes",""))))</f>
        <v/>
      </c>
      <c r="BC272" s="45" t="str">
        <f aca="false">IF($A272="","",IF(OR($L272="",$W272=""),"",IF(COUNTIFS($L:$L,$L272,$B:$B,$B272,$W:$W,"&lt;"&amp;$W272)=0,"",_xlfn.MAXIFS($W:$W,$L:$L,$L272,$B:$B,$B272,$W:$W,"&lt;"&amp;$W272))))</f>
        <v/>
      </c>
      <c r="BD272" s="39" t="str">
        <f aca="false">IF($A272="","",IF($AC272="","",IF(OR($L272="",$AC272=0),0,MIN($AC272,ROUND(ROUND(1440*SUMPRODUCT(($L$2:INDEX($L:$L,COUNTA($C:$C))=$L272)*($B$2:INDEX($B:$B,COUNTA($C:$C))=$B272)*(ROW($L$2:INDEX($L:$L,COUNTA($C:$C)))&lt;&gt;ROW())*((((($W272+$BT$2:INDEX($BT:$BT,COUNTA($C:$C))-ABS($W272-$BT$2:INDEX($BT:$BT,COUNTA($C:$C))))/2)-(($U272+$BS$2:INDEX($BS:$BS,COUNTA($C:$C))+ABS($U272-$BS$2:INDEX($BS:$BS,COUNTA($C:$C))))/2))+ABS(((($W272+$BT$2:INDEX($BT:$BT,COUNTA($C:$C))-ABS($W272-$BT$2:INDEX($BT:$BT,COUNTA($C:$C))))/2)-(($U272+$BS$2:INDEX($BS:$BS,COUNTA($C:$C))+ABS($U272-$BS$2:INDEX($BS:$BS,COUNTA($C:$C))))/2))))/2)),4),0)))))</f>
        <v/>
      </c>
      <c r="BE272" s="39" t="str">
        <f aca="false">IF($A272="","",IF($AC272="","",ROUND(MIN($AC272-$BD272,N($R272)),0)))</f>
        <v/>
      </c>
      <c r="BF272" s="10" t="str">
        <f aca="false">IF($A272="","",IFERROR(VLOOKUP($C272,Dim_Fund!$A:$BD,56,0),""))</f>
        <v/>
      </c>
      <c r="BG272" s="10" t="str">
        <f aca="false">IF($A272="","",IFERROR(VLOOKUP($C272,Dim_Fund!$A:$BH,60,0),""))</f>
        <v/>
      </c>
      <c r="BH272" s="10" t="str">
        <f aca="false">IF($A272="","",IF($AI272&lt;&gt;"Yes","Not breached",IF($AM272="Yes","Pricing late",IF($BG272="Thin custody slack","Thin custody slack",IF($BF272="Yes","Broker-dependent","None of these")))))</f>
        <v/>
      </c>
      <c r="BI272" s="23" t="str">
        <f aca="false">IF($A272="","",IFERROR(IF(VLOOKUP($C272,Dim_Fund!$A:$AI,35,0)&gt;0,VLOOKUP($C272,Dim_Fund!$A:$AI,35,0),""),""))</f>
        <v/>
      </c>
      <c r="BJ272" s="10" t="str">
        <f aca="false">IF($A272="","",$C272&amp;IF($E272="Client","*",""))</f>
        <v/>
      </c>
      <c r="BK272" s="39" t="str">
        <f aca="false">IF($A272="","",IFERROR(ROUND(($Y272-$X272)*1440,0),""))</f>
        <v/>
      </c>
      <c r="BL272" s="39" t="str">
        <f aca="false">IF($A272="","",IF($AH272="","",-$AH272))</f>
        <v/>
      </c>
      <c r="BM272" s="46" t="str">
        <f aca="false">IF($A272="","",IF($AQ272="","",IF($AP272="",$AQ272,MIN($AP272,$AQ272))))</f>
        <v/>
      </c>
      <c r="BN272" s="46" t="str">
        <f aca="false">IF($A272="","",IF($BM272="","",ROUND(N($AC272)/60,4)))</f>
        <v/>
      </c>
      <c r="BO272" s="46" t="str">
        <f aca="false">IF($A272="","",IF(OR($BM272="",$AD272=""),"",ROUND($AD272/60,4)))</f>
        <v/>
      </c>
      <c r="BP272" s="46" t="str">
        <f aca="false">IF($A272="","",IF($BM272="","",ROUND(N($AE272)/60,4)))</f>
        <v/>
      </c>
      <c r="BQ272" s="46" t="str">
        <f aca="false">IF($A272="","",IF(OR($BM272="",$AF272=""),"",ROUND($AF272/60,4)))</f>
        <v/>
      </c>
      <c r="BR272" s="39" t="str">
        <f aca="false">IF($A272="","",IF($AC272="","",$AC272-$BD272-$BE272))</f>
        <v/>
      </c>
      <c r="BS272" s="45" t="str">
        <f aca="false">IF($A272="","",IF(AND(ISNUMBER($Z272),ISNUMBER($W272)),$Z272,0))</f>
        <v/>
      </c>
      <c r="BT272" s="45" t="str">
        <f aca="false">IF($A272="","",IF(ISNUMBER($W272),$W272,0))</f>
        <v/>
      </c>
      <c r="BU272" s="23" t="str">
        <f aca="false">IF($A272="","",IF(ISNUMBER($W272),ROUND(($W272-$B272)*24,4),""))</f>
        <v/>
      </c>
      <c r="BV272" s="23" t="str">
        <f aca="false">IF($A272="","",IF(ISNUMBER($X272),ROUND(($X272-$B272)*24,4),""))</f>
        <v/>
      </c>
      <c r="BW272" s="10" t="str">
        <f aca="false">IF($A272="","",IF(NOT(ISNUMBER($W272)),"Missing Calculated",IF(NOT(ISNUMBER($X272)),IF($E272="Client","Missing FA signed off","Missing Controlled"),IF($X272&lt;$W272,"End before start","OK"))))</f>
        <v/>
      </c>
      <c r="BX272" s="23" t="str">
        <f aca="false">IF($A272="","",IF(NOT(ISNUMBER($Z272)),"",ROUND((IF(ISNUMBER($U272),MIN($U272,$Z272),$Z272)-$B272)*24,4)))</f>
        <v/>
      </c>
      <c r="BY272" s="23" t="str">
        <f aca="false">IF($A272="","",IF(ISNUMBER($Z272),ROUND(($Z272-$B272)*24,4),""))</f>
        <v/>
      </c>
      <c r="BZ272" s="23" t="str">
        <f aca="false">IF($A272="","",IF(AND(ISNUMBER($W272),ISNUMBER($S272)),ROUND(($W272+$S272/1440-$B272)*24,4),""))</f>
        <v/>
      </c>
    </row>
    <row r="273" customFormat="false" ht="15" hidden="false" customHeight="true" outlineLevel="0" collapsed="false">
      <c r="A273" s="47"/>
      <c r="B273" s="47"/>
      <c r="D273" s="4" t="str">
        <f aca="false">IF($A273="","",$B273-$A273)</f>
        <v/>
      </c>
      <c r="E273" s="4" t="str">
        <f aca="false">IF($A273="","",IFERROR(VLOOKUP($C273,Dim_Fund!$A:$X,24,0),""))</f>
        <v/>
      </c>
      <c r="F273" s="37" t="str">
        <f aca="false">IF($A273="","",IF(COUNTIFS(Status_Log!$A:$A,$A273,Status_Log!$B:$B,$B273,Status_Log!$C:$C,$C273,Status_Log!$D:$D,"Changed to the status of Calculated")=0,"",_xlfn.MINIFS(Status_Log!$E:$E,Status_Log!$A:$A,$A273,Status_Log!$B:$B,$B273,Status_Log!$C:$C,$C273,Status_Log!$D:$D,"Changed to the status of Calculated")))</f>
        <v/>
      </c>
      <c r="G273" s="37" t="str">
        <f aca="false">IF($A273="","",IF(COUNTIFS(Status_Log!$A:$A,$A273,Status_Log!$B:$B,$B273,Status_Log!$C:$C,$C273,Status_Log!$D:$D,"Changed to the status of Controlled")=0,"",_xlfn.MAXIFS(Status_Log!$E:$E,Status_Log!$A:$A,$A273,Status_Log!$B:$B,$B273,Status_Log!$C:$C,$C273,Status_Log!$D:$D,"Changed to the status of Controlled")))</f>
        <v/>
      </c>
      <c r="H273" s="37" t="str">
        <f aca="false">IF($A273="","",IF(COUNTIFS(Status_Log!$A:$A,$A273,Status_Log!$B:$B,$B273,Status_Log!$C:$C,$C273,Status_Log!$D:$D,"Changed to the status of Fund accounting signed off")=0,"",_xlfn.MAXIFS(Status_Log!$E:$E,Status_Log!$A:$A,$A273,Status_Log!$B:$B,$B273,Status_Log!$C:$C,$C273,Status_Log!$D:$D,"Changed to the status of Fund accounting signed off")))</f>
        <v/>
      </c>
      <c r="I273" s="37" t="str">
        <f aca="false">IF($A273="","",IF(COUNTIFS(Status_Log!$A:$A,$A273,Status_Log!$B:$B,$B273,Status_Log!$C:$C,$C273,Status_Log!$D:$D,"Changed to the status of signed off")=0,"",_xlfn.MAXIFS(Status_Log!$E:$E,Status_Log!$A:$A,$A273,Status_Log!$B:$B,$B273,Status_Log!$C:$C,$C273,Status_Log!$D:$D,"Changed to the status of signed off")))</f>
        <v/>
      </c>
      <c r="J273" s="4" t="str">
        <f aca="false">IF($A273="","",COUNTIFS(Status_Log!$A:$A,$A273,Status_Log!$B:$B,$B273,Status_Log!$C:$C,$C273,Status_Log!$D:$D,"Changed to the status of Calculated"))</f>
        <v/>
      </c>
      <c r="K273" s="38" t="str">
        <f aca="false">IF($A273="","",IF(J273&lt;=1,0,ROUND((_xlfn.MAXIFS(Status_Log!$E:$E,Status_Log!$A:$A,$A273,Status_Log!$B:$B,$B273,Status_Log!$C:$C,$C273,Status_Log!$D:$D,"Changed to the status of Calculated")-F273)*1440,0)))</f>
        <v/>
      </c>
      <c r="L273" s="4" t="str">
        <f aca="false">IF($A273="","",IFERROR(INDEX(Status_Log!$F:$F,MATCH($A273&amp;"|"&amp;$B273&amp;"|"&amp;$C273&amp;"|Changed to the status of Calculated|"&amp;TEXT(_xlfn.MAXIFS(Status_Log!$E:$E,Status_Log!$A:$A,$A273,Status_Log!$B:$B,$B273,Status_Log!$C:$C,$C273,Status_Log!$D:$D,"Changed to the status of Calculated"),"0.000000"),Status_Log!$H:$H,0)),""))</f>
        <v/>
      </c>
      <c r="M273" s="4" t="str">
        <f aca="false">IF($A273="","",IF(E273="Client","n/a — no control step",IFERROR(INDEX(Status_Log!$F:$F,MATCH($A273&amp;"|"&amp;$B273&amp;"|"&amp;$C273&amp;"|Changed to the status of Controlled|"&amp;TEXT(_xlfn.MAXIFS(Status_Log!$E:$E,Status_Log!$A:$A,$A273,Status_Log!$B:$B,$B273,Status_Log!$C:$C,$C273,Status_Log!$D:$D,"Changed to the status of Controlled"),"0.000000"),Status_Log!$H:$H,0)),"")))</f>
        <v/>
      </c>
      <c r="N273" s="4" t="str">
        <f aca="false">IF($A273="","",IFERROR(VLOOKUP($C273,Dim_Fund!$A:$G,7,0),""))</f>
        <v/>
      </c>
      <c r="O273" s="4" t="str">
        <f aca="false">IF($A273="","",IF(L273=N273,"No","Yes"))</f>
        <v/>
      </c>
      <c r="P273" s="4" t="str">
        <f aca="false">IF($A273="","",IF(E273="Client","n/a",IF(L273=M273,"YES — four-eyes breach","No")))</f>
        <v/>
      </c>
      <c r="Q273" s="38" t="str">
        <f aca="false">IF($A273="","",IFERROR(VLOOKUP($C273,Dim_Fund!$A:$AB,28,0),""))</f>
        <v/>
      </c>
      <c r="R273" s="38" t="str">
        <f aca="false">IF($A273="","",IFERROR(VLOOKUP($C273,Dim_Fund!$A:$AC,29,0),""))</f>
        <v/>
      </c>
      <c r="S273" s="38" t="str">
        <f aca="false">IF($A273="","",IFERROR(VLOOKUP($C273,Dim_Fund!$A:$AD,30,0),""))</f>
        <v/>
      </c>
      <c r="T273" s="38" t="str">
        <f aca="false">IF($A273="","",IFERROR(VLOOKUP($C273,Dim_Fund!$A:$AL,38,0),""))</f>
        <v/>
      </c>
      <c r="U273" s="37" t="str">
        <f aca="false">IF($A273="","",IF(AL273="","",IFERROR(IF(COUNTIFS(Fact_Milestone!$A:$A,$B273,Fact_Milestone!$B:$B,AL273)=0,"",_xlfn.MAXIFS(Fact_Milestone!$C:$C,Fact_Milestone!$A:$A,$B273,Fact_Milestone!$B:$B,AL273)),"")))</f>
        <v/>
      </c>
      <c r="V273" s="37" t="str">
        <f aca="false">IF($A273="","",IFERROR(IF(VLOOKUP($C273,Dim_Fund!$A:$AI,35,0)&gt;0,$B273+VLOOKUP($C273,Dim_Fund!$A:$AI,35,0)/24,""),""))</f>
        <v/>
      </c>
      <c r="W273" s="37" t="str">
        <f aca="false">IF($A273="","",F273)</f>
        <v/>
      </c>
      <c r="X273" s="37" t="str">
        <f aca="false">IF($A273="","",IF(E273="Client",H273,G273))</f>
        <v/>
      </c>
      <c r="Y273" s="37" t="str">
        <f aca="false">IF($A273="","",I273)</f>
        <v/>
      </c>
      <c r="Z273" s="37" t="str">
        <f aca="false">IF($A273="","",IFERROR(W273-R273/1440,""))</f>
        <v/>
      </c>
      <c r="AA273" s="38" t="str">
        <f aca="false">IF($A273="","",IF(OR(U273="",V273=""),"",ROUND((V273-U273)*1440,0)))</f>
        <v/>
      </c>
      <c r="AB273" s="38" t="str">
        <f aca="false">IF($A273="","",IF(U273="","",ROUND((W273-U273)*1440,0)))</f>
        <v/>
      </c>
      <c r="AC273" s="38" t="str">
        <f aca="false">IF($A273="","",IF(AB273="","",MAX(0,AB273)))</f>
        <v/>
      </c>
      <c r="AD273" s="38" t="str">
        <f aca="false">IF($A273="","",IFERROR(ROUND((X273-W273)*1440,0),""))</f>
        <v/>
      </c>
      <c r="AE273" s="38" t="str">
        <f aca="false">IF($A273="","",IF(E273="Client","n/a",IFERROR(ROUND((H273-G273)*1440,0),"")))</f>
        <v/>
      </c>
      <c r="AF273" s="38" t="str">
        <f aca="false">IF($A273="","",IFERROR(ROUND((Y273-H273)*1440,0),""))</f>
        <v/>
      </c>
      <c r="AG273" s="38" t="str">
        <f aca="false">IF($A273="","",IFERROR(ROUND((H273-F273)*1440,0),""))</f>
        <v/>
      </c>
      <c r="AH273" s="38" t="str">
        <f aca="false">IF($A273="","",IFERROR(ROUND((Y273-V273)*1440,0),""))</f>
        <v/>
      </c>
      <c r="AI273" s="4" t="str">
        <f aca="false">IF($A273="","",IF(AH273="","",IF(AH273&gt;0,"Yes","No")))</f>
        <v/>
      </c>
      <c r="AJ273" s="4" t="str">
        <f aca="false">IF($A273="","",IF(AI273&lt;&gt;"Yes","On time",IF(N(AC273)&gt;=MAX(N(AF273),N(K273)),"Wait for analyst",IF(N(AF273)&gt;=N(K273),"External sign-off","Rework"))))</f>
        <v/>
      </c>
      <c r="AK273" s="4" t="str">
        <f aca="false">IF($A273="","",IF(OR(F273="",Y273="",ISNA(MATCH(L273,Dim_Analyst!$A:$A,0))),"CHECK","OK"))</f>
        <v/>
      </c>
      <c r="AL273" s="4" t="str">
        <f aca="false">IF($A273="","",IFERROR(VLOOKUP($C273,Dim_Fund!$A:$U,21,0),""))</f>
        <v/>
      </c>
      <c r="AM273" s="4" t="str">
        <f aca="false">IF($A273="","",IF($U273="","",IF($U273&gt;$B273+IFERROR(VLOOKUP($C273,Dim_Fund!$A:$AH,34,0),0)/24,"Yes","No")))</f>
        <v/>
      </c>
      <c r="AN273" s="22" t="str">
        <f aca="false">IF($A273="","",IFERROR(VLOOKUP($C273,Dim_Fund!$A:$AH,34,0),""))</f>
        <v/>
      </c>
      <c r="AO273" s="22" t="str">
        <f aca="false">IF($A273="","",IF($AL273="","",IFERROR(FLOOR(IF(COUNTIFS(Fact_Milestone!$A:$A,$B273,Fact_Milestone!$B:$B,$AL273,Fact_Milestone!$F:$F,"&gt;0")&gt;0,_xlfn.MINIFS(Fact_Milestone!$F:$F,Fact_Milestone!$A:$A,$B273,Fact_Milestone!$B:$B,$AL273,Fact_Milestone!$F:$F,"&gt;0"),VLOOKUP($AL273,Dim_TOP!$A:$E,5,0)),0.5),"")))</f>
        <v/>
      </c>
      <c r="AP273" s="22" t="str">
        <f aca="false">IF($A273="","",IF($U273="","",ROUND(($U273-INT($U273))*24,4)))</f>
        <v/>
      </c>
      <c r="AQ273" s="22" t="str">
        <f aca="false">IF($A273="","",IF($W273="","",ROUND(($W273-INT($W273))*24,4)))</f>
        <v/>
      </c>
      <c r="AR273" s="22" t="str">
        <f aca="false">IF($A273="","",IF($X273="","",ROUND(($X273-INT($X273))*24,4)))</f>
        <v/>
      </c>
      <c r="AS273" s="38" t="str">
        <f aca="false">IF($A273="","",IF(OR($AN273="",$V273="",$S273="",$T273=""),"",ROUND(($V273-($B273+$AN273/24))*1440-$S273-$T273,0)))</f>
        <v/>
      </c>
      <c r="AT273" s="38" t="str">
        <f aca="false">IF($A273="","",IF(OR($AN273="",$U273=""),"",ROUND(($U273-($B273+$AN273/24))*1440,0)))</f>
        <v/>
      </c>
      <c r="AU273" s="38" t="str">
        <f aca="false">IF($A273="","",IF(OR($AD273="",$S273=""),"",ROUND($AD273-$S273,0)))</f>
        <v/>
      </c>
      <c r="AV273" s="38" t="str">
        <f aca="false">IF($A273="","",N($AE273))</f>
        <v/>
      </c>
      <c r="AW273" s="38" t="str">
        <f aca="false">IF($A273="","",IF(OR($AF273="",$T273=""),"",$AF273-$T273))</f>
        <v/>
      </c>
      <c r="AX273" s="38" t="str">
        <f aca="false">IF($A273="","",IF(COUNT($AT273,$AB273,$AU273,$AW273,$AS273,$AH273)&lt;6,"",ROUND($AT273+$AB273+$AU273+$AV273+$AW273-$AS273-$AH273,0)))</f>
        <v/>
      </c>
      <c r="AY273" s="4" t="str">
        <f aca="false">IF($A273="","",IF($AX273="","No",IF(ABS($AX273)&lt;=2,"Yes","No")))</f>
        <v/>
      </c>
      <c r="AZ273" s="4" t="str">
        <f aca="false">IF($A273="","",IF($AI273&lt;&gt;"Yes","n/a",IF(OR($AA273="",$S273="",$T273=""),"Unknown",IF($AA273&lt;$S273+$T273,"Lost on arrival","Lost after arrival"))))</f>
        <v/>
      </c>
      <c r="BA273" s="10" t="str">
        <f aca="false">IF($A273="","",IFERROR(VLOOKUP($C273,Dim_Fund!$A:$D,4,0),""))</f>
        <v/>
      </c>
      <c r="BB273" s="10" t="str">
        <f aca="false">IF($A273="","",IF($AL273="","",IF(COUNTIFS(Fact_Milestone!$A:$A,$B273,Fact_Milestone!$B:$B,$AL273,Fact_Milestone!$I:$I,"No")&gt;0,"No",IF(COUNTIFS(Fact_Milestone!$A:$A,$B273,Fact_Milestone!$B:$B,$AL273,Fact_Milestone!$I:$I,"Yes")&gt;0,"Yes",""))))</f>
        <v/>
      </c>
      <c r="BC273" s="45" t="str">
        <f aca="false">IF($A273="","",IF(OR($L273="",$W273=""),"",IF(COUNTIFS($L:$L,$L273,$B:$B,$B273,$W:$W,"&lt;"&amp;$W273)=0,"",_xlfn.MAXIFS($W:$W,$L:$L,$L273,$B:$B,$B273,$W:$W,"&lt;"&amp;$W273))))</f>
        <v/>
      </c>
      <c r="BD273" s="39" t="str">
        <f aca="false">IF($A273="","",IF($AC273="","",IF(OR($L273="",$AC273=0),0,MIN($AC273,ROUND(ROUND(1440*SUMPRODUCT(($L$2:INDEX($L:$L,COUNTA($C:$C))=$L273)*($B$2:INDEX($B:$B,COUNTA($C:$C))=$B273)*(ROW($L$2:INDEX($L:$L,COUNTA($C:$C)))&lt;&gt;ROW())*((((($W273+$BT$2:INDEX($BT:$BT,COUNTA($C:$C))-ABS($W273-$BT$2:INDEX($BT:$BT,COUNTA($C:$C))))/2)-(($U273+$BS$2:INDEX($BS:$BS,COUNTA($C:$C))+ABS($U273-$BS$2:INDEX($BS:$BS,COUNTA($C:$C))))/2))+ABS(((($W273+$BT$2:INDEX($BT:$BT,COUNTA($C:$C))-ABS($W273-$BT$2:INDEX($BT:$BT,COUNTA($C:$C))))/2)-(($U273+$BS$2:INDEX($BS:$BS,COUNTA($C:$C))+ABS($U273-$BS$2:INDEX($BS:$BS,COUNTA($C:$C))))/2))))/2)),4),0)))))</f>
        <v/>
      </c>
      <c r="BE273" s="39" t="str">
        <f aca="false">IF($A273="","",IF($AC273="","",ROUND(MIN($AC273-$BD273,N($R273)),0)))</f>
        <v/>
      </c>
      <c r="BF273" s="10" t="str">
        <f aca="false">IF($A273="","",IFERROR(VLOOKUP($C273,Dim_Fund!$A:$BD,56,0),""))</f>
        <v/>
      </c>
      <c r="BG273" s="10" t="str">
        <f aca="false">IF($A273="","",IFERROR(VLOOKUP($C273,Dim_Fund!$A:$BH,60,0),""))</f>
        <v/>
      </c>
      <c r="BH273" s="10" t="str">
        <f aca="false">IF($A273="","",IF($AI273&lt;&gt;"Yes","Not breached",IF($AM273="Yes","Pricing late",IF($BG273="Thin custody slack","Thin custody slack",IF($BF273="Yes","Broker-dependent","None of these")))))</f>
        <v/>
      </c>
      <c r="BI273" s="23" t="str">
        <f aca="false">IF($A273="","",IFERROR(IF(VLOOKUP($C273,Dim_Fund!$A:$AI,35,0)&gt;0,VLOOKUP($C273,Dim_Fund!$A:$AI,35,0),""),""))</f>
        <v/>
      </c>
      <c r="BJ273" s="10" t="str">
        <f aca="false">IF($A273="","",$C273&amp;IF($E273="Client","*",""))</f>
        <v/>
      </c>
      <c r="BK273" s="39" t="str">
        <f aca="false">IF($A273="","",IFERROR(ROUND(($Y273-$X273)*1440,0),""))</f>
        <v/>
      </c>
      <c r="BL273" s="39" t="str">
        <f aca="false">IF($A273="","",IF($AH273="","",-$AH273))</f>
        <v/>
      </c>
      <c r="BM273" s="46" t="str">
        <f aca="false">IF($A273="","",IF($AQ273="","",IF($AP273="",$AQ273,MIN($AP273,$AQ273))))</f>
        <v/>
      </c>
      <c r="BN273" s="46" t="str">
        <f aca="false">IF($A273="","",IF($BM273="","",ROUND(N($AC273)/60,4)))</f>
        <v/>
      </c>
      <c r="BO273" s="46" t="str">
        <f aca="false">IF($A273="","",IF(OR($BM273="",$AD273=""),"",ROUND($AD273/60,4)))</f>
        <v/>
      </c>
      <c r="BP273" s="46" t="str">
        <f aca="false">IF($A273="","",IF($BM273="","",ROUND(N($AE273)/60,4)))</f>
        <v/>
      </c>
      <c r="BQ273" s="46" t="str">
        <f aca="false">IF($A273="","",IF(OR($BM273="",$AF273=""),"",ROUND($AF273/60,4)))</f>
        <v/>
      </c>
      <c r="BR273" s="39" t="str">
        <f aca="false">IF($A273="","",IF($AC273="","",$AC273-$BD273-$BE273))</f>
        <v/>
      </c>
      <c r="BS273" s="45" t="str">
        <f aca="false">IF($A273="","",IF(AND(ISNUMBER($Z273),ISNUMBER($W273)),$Z273,0))</f>
        <v/>
      </c>
      <c r="BT273" s="45" t="str">
        <f aca="false">IF($A273="","",IF(ISNUMBER($W273),$W273,0))</f>
        <v/>
      </c>
      <c r="BU273" s="23" t="str">
        <f aca="false">IF($A273="","",IF(ISNUMBER($W273),ROUND(($W273-$B273)*24,4),""))</f>
        <v/>
      </c>
      <c r="BV273" s="23" t="str">
        <f aca="false">IF($A273="","",IF(ISNUMBER($X273),ROUND(($X273-$B273)*24,4),""))</f>
        <v/>
      </c>
      <c r="BW273" s="10" t="str">
        <f aca="false">IF($A273="","",IF(NOT(ISNUMBER($W273)),"Missing Calculated",IF(NOT(ISNUMBER($X273)),IF($E273="Client","Missing FA signed off","Missing Controlled"),IF($X273&lt;$W273,"End before start","OK"))))</f>
        <v/>
      </c>
      <c r="BX273" s="23" t="str">
        <f aca="false">IF($A273="","",IF(NOT(ISNUMBER($Z273)),"",ROUND((IF(ISNUMBER($U273),MIN($U273,$Z273),$Z273)-$B273)*24,4)))</f>
        <v/>
      </c>
      <c r="BY273" s="23" t="str">
        <f aca="false">IF($A273="","",IF(ISNUMBER($Z273),ROUND(($Z273-$B273)*24,4),""))</f>
        <v/>
      </c>
      <c r="BZ273" s="23" t="str">
        <f aca="false">IF($A273="","",IF(AND(ISNUMBER($W273),ISNUMBER($S273)),ROUND(($W273+$S273/1440-$B273)*24,4),""))</f>
        <v/>
      </c>
    </row>
    <row r="274" customFormat="false" ht="15" hidden="false" customHeight="true" outlineLevel="0" collapsed="false">
      <c r="A274" s="47"/>
      <c r="B274" s="47"/>
      <c r="D274" s="4" t="str">
        <f aca="false">IF($A274="","",$B274-$A274)</f>
        <v/>
      </c>
      <c r="E274" s="4" t="str">
        <f aca="false">IF($A274="","",IFERROR(VLOOKUP($C274,Dim_Fund!$A:$X,24,0),""))</f>
        <v/>
      </c>
      <c r="F274" s="37" t="str">
        <f aca="false">IF($A274="","",IF(COUNTIFS(Status_Log!$A:$A,$A274,Status_Log!$B:$B,$B274,Status_Log!$C:$C,$C274,Status_Log!$D:$D,"Changed to the status of Calculated")=0,"",_xlfn.MINIFS(Status_Log!$E:$E,Status_Log!$A:$A,$A274,Status_Log!$B:$B,$B274,Status_Log!$C:$C,$C274,Status_Log!$D:$D,"Changed to the status of Calculated")))</f>
        <v/>
      </c>
      <c r="G274" s="37" t="str">
        <f aca="false">IF($A274="","",IF(COUNTIFS(Status_Log!$A:$A,$A274,Status_Log!$B:$B,$B274,Status_Log!$C:$C,$C274,Status_Log!$D:$D,"Changed to the status of Controlled")=0,"",_xlfn.MAXIFS(Status_Log!$E:$E,Status_Log!$A:$A,$A274,Status_Log!$B:$B,$B274,Status_Log!$C:$C,$C274,Status_Log!$D:$D,"Changed to the status of Controlled")))</f>
        <v/>
      </c>
      <c r="H274" s="37" t="str">
        <f aca="false">IF($A274="","",IF(COUNTIFS(Status_Log!$A:$A,$A274,Status_Log!$B:$B,$B274,Status_Log!$C:$C,$C274,Status_Log!$D:$D,"Changed to the status of Fund accounting signed off")=0,"",_xlfn.MAXIFS(Status_Log!$E:$E,Status_Log!$A:$A,$A274,Status_Log!$B:$B,$B274,Status_Log!$C:$C,$C274,Status_Log!$D:$D,"Changed to the status of Fund accounting signed off")))</f>
        <v/>
      </c>
      <c r="I274" s="37" t="str">
        <f aca="false">IF($A274="","",IF(COUNTIFS(Status_Log!$A:$A,$A274,Status_Log!$B:$B,$B274,Status_Log!$C:$C,$C274,Status_Log!$D:$D,"Changed to the status of signed off")=0,"",_xlfn.MAXIFS(Status_Log!$E:$E,Status_Log!$A:$A,$A274,Status_Log!$B:$B,$B274,Status_Log!$C:$C,$C274,Status_Log!$D:$D,"Changed to the status of signed off")))</f>
        <v/>
      </c>
      <c r="J274" s="4" t="str">
        <f aca="false">IF($A274="","",COUNTIFS(Status_Log!$A:$A,$A274,Status_Log!$B:$B,$B274,Status_Log!$C:$C,$C274,Status_Log!$D:$D,"Changed to the status of Calculated"))</f>
        <v/>
      </c>
      <c r="K274" s="38" t="str">
        <f aca="false">IF($A274="","",IF(J274&lt;=1,0,ROUND((_xlfn.MAXIFS(Status_Log!$E:$E,Status_Log!$A:$A,$A274,Status_Log!$B:$B,$B274,Status_Log!$C:$C,$C274,Status_Log!$D:$D,"Changed to the status of Calculated")-F274)*1440,0)))</f>
        <v/>
      </c>
      <c r="L274" s="4" t="str">
        <f aca="false">IF($A274="","",IFERROR(INDEX(Status_Log!$F:$F,MATCH($A274&amp;"|"&amp;$B274&amp;"|"&amp;$C274&amp;"|Changed to the status of Calculated|"&amp;TEXT(_xlfn.MAXIFS(Status_Log!$E:$E,Status_Log!$A:$A,$A274,Status_Log!$B:$B,$B274,Status_Log!$C:$C,$C274,Status_Log!$D:$D,"Changed to the status of Calculated"),"0.000000"),Status_Log!$H:$H,0)),""))</f>
        <v/>
      </c>
      <c r="M274" s="4" t="str">
        <f aca="false">IF($A274="","",IF(E274="Client","n/a — no control step",IFERROR(INDEX(Status_Log!$F:$F,MATCH($A274&amp;"|"&amp;$B274&amp;"|"&amp;$C274&amp;"|Changed to the status of Controlled|"&amp;TEXT(_xlfn.MAXIFS(Status_Log!$E:$E,Status_Log!$A:$A,$A274,Status_Log!$B:$B,$B274,Status_Log!$C:$C,$C274,Status_Log!$D:$D,"Changed to the status of Controlled"),"0.000000"),Status_Log!$H:$H,0)),"")))</f>
        <v/>
      </c>
      <c r="N274" s="4" t="str">
        <f aca="false">IF($A274="","",IFERROR(VLOOKUP($C274,Dim_Fund!$A:$G,7,0),""))</f>
        <v/>
      </c>
      <c r="O274" s="4" t="str">
        <f aca="false">IF($A274="","",IF(L274=N274,"No","Yes"))</f>
        <v/>
      </c>
      <c r="P274" s="4" t="str">
        <f aca="false">IF($A274="","",IF(E274="Client","n/a",IF(L274=M274,"YES — four-eyes breach","No")))</f>
        <v/>
      </c>
      <c r="Q274" s="38" t="str">
        <f aca="false">IF($A274="","",IFERROR(VLOOKUP($C274,Dim_Fund!$A:$AB,28,0),""))</f>
        <v/>
      </c>
      <c r="R274" s="38" t="str">
        <f aca="false">IF($A274="","",IFERROR(VLOOKUP($C274,Dim_Fund!$A:$AC,29,0),""))</f>
        <v/>
      </c>
      <c r="S274" s="38" t="str">
        <f aca="false">IF($A274="","",IFERROR(VLOOKUP($C274,Dim_Fund!$A:$AD,30,0),""))</f>
        <v/>
      </c>
      <c r="T274" s="38" t="str">
        <f aca="false">IF($A274="","",IFERROR(VLOOKUP($C274,Dim_Fund!$A:$AL,38,0),""))</f>
        <v/>
      </c>
      <c r="U274" s="37" t="str">
        <f aca="false">IF($A274="","",IF(AL274="","",IFERROR(IF(COUNTIFS(Fact_Milestone!$A:$A,$B274,Fact_Milestone!$B:$B,AL274)=0,"",_xlfn.MAXIFS(Fact_Milestone!$C:$C,Fact_Milestone!$A:$A,$B274,Fact_Milestone!$B:$B,AL274)),"")))</f>
        <v/>
      </c>
      <c r="V274" s="37" t="str">
        <f aca="false">IF($A274="","",IFERROR(IF(VLOOKUP($C274,Dim_Fund!$A:$AI,35,0)&gt;0,$B274+VLOOKUP($C274,Dim_Fund!$A:$AI,35,0)/24,""),""))</f>
        <v/>
      </c>
      <c r="W274" s="37" t="str">
        <f aca="false">IF($A274="","",F274)</f>
        <v/>
      </c>
      <c r="X274" s="37" t="str">
        <f aca="false">IF($A274="","",IF(E274="Client",H274,G274))</f>
        <v/>
      </c>
      <c r="Y274" s="37" t="str">
        <f aca="false">IF($A274="","",I274)</f>
        <v/>
      </c>
      <c r="Z274" s="37" t="str">
        <f aca="false">IF($A274="","",IFERROR(W274-R274/1440,""))</f>
        <v/>
      </c>
      <c r="AA274" s="38" t="str">
        <f aca="false">IF($A274="","",IF(OR(U274="",V274=""),"",ROUND((V274-U274)*1440,0)))</f>
        <v/>
      </c>
      <c r="AB274" s="38" t="str">
        <f aca="false">IF($A274="","",IF(U274="","",ROUND((W274-U274)*1440,0)))</f>
        <v/>
      </c>
      <c r="AC274" s="38" t="str">
        <f aca="false">IF($A274="","",IF(AB274="","",MAX(0,AB274)))</f>
        <v/>
      </c>
      <c r="AD274" s="38" t="str">
        <f aca="false">IF($A274="","",IFERROR(ROUND((X274-W274)*1440,0),""))</f>
        <v/>
      </c>
      <c r="AE274" s="38" t="str">
        <f aca="false">IF($A274="","",IF(E274="Client","n/a",IFERROR(ROUND((H274-G274)*1440,0),"")))</f>
        <v/>
      </c>
      <c r="AF274" s="38" t="str">
        <f aca="false">IF($A274="","",IFERROR(ROUND((Y274-H274)*1440,0),""))</f>
        <v/>
      </c>
      <c r="AG274" s="38" t="str">
        <f aca="false">IF($A274="","",IFERROR(ROUND((H274-F274)*1440,0),""))</f>
        <v/>
      </c>
      <c r="AH274" s="38" t="str">
        <f aca="false">IF($A274="","",IFERROR(ROUND((Y274-V274)*1440,0),""))</f>
        <v/>
      </c>
      <c r="AI274" s="4" t="str">
        <f aca="false">IF($A274="","",IF(AH274="","",IF(AH274&gt;0,"Yes","No")))</f>
        <v/>
      </c>
      <c r="AJ274" s="4" t="str">
        <f aca="false">IF($A274="","",IF(AI274&lt;&gt;"Yes","On time",IF(N(AC274)&gt;=MAX(N(AF274),N(K274)),"Wait for analyst",IF(N(AF274)&gt;=N(K274),"External sign-off","Rework"))))</f>
        <v/>
      </c>
      <c r="AK274" s="4" t="str">
        <f aca="false">IF($A274="","",IF(OR(F274="",Y274="",ISNA(MATCH(L274,Dim_Analyst!$A:$A,0))),"CHECK","OK"))</f>
        <v/>
      </c>
      <c r="AL274" s="4" t="str">
        <f aca="false">IF($A274="","",IFERROR(VLOOKUP($C274,Dim_Fund!$A:$U,21,0),""))</f>
        <v/>
      </c>
      <c r="AM274" s="4" t="str">
        <f aca="false">IF($A274="","",IF($U274="","",IF($U274&gt;$B274+IFERROR(VLOOKUP($C274,Dim_Fund!$A:$AH,34,0),0)/24,"Yes","No")))</f>
        <v/>
      </c>
      <c r="AN274" s="22" t="str">
        <f aca="false">IF($A274="","",IFERROR(VLOOKUP($C274,Dim_Fund!$A:$AH,34,0),""))</f>
        <v/>
      </c>
      <c r="AO274" s="22" t="str">
        <f aca="false">IF($A274="","",IF($AL274="","",IFERROR(FLOOR(IF(COUNTIFS(Fact_Milestone!$A:$A,$B274,Fact_Milestone!$B:$B,$AL274,Fact_Milestone!$F:$F,"&gt;0")&gt;0,_xlfn.MINIFS(Fact_Milestone!$F:$F,Fact_Milestone!$A:$A,$B274,Fact_Milestone!$B:$B,$AL274,Fact_Milestone!$F:$F,"&gt;0"),VLOOKUP($AL274,Dim_TOP!$A:$E,5,0)),0.5),"")))</f>
        <v/>
      </c>
      <c r="AP274" s="22" t="str">
        <f aca="false">IF($A274="","",IF($U274="","",ROUND(($U274-INT($U274))*24,4)))</f>
        <v/>
      </c>
      <c r="AQ274" s="22" t="str">
        <f aca="false">IF($A274="","",IF($W274="","",ROUND(($W274-INT($W274))*24,4)))</f>
        <v/>
      </c>
      <c r="AR274" s="22" t="str">
        <f aca="false">IF($A274="","",IF($X274="","",ROUND(($X274-INT($X274))*24,4)))</f>
        <v/>
      </c>
      <c r="AS274" s="38" t="str">
        <f aca="false">IF($A274="","",IF(OR($AN274="",$V274="",$S274="",$T274=""),"",ROUND(($V274-($B274+$AN274/24))*1440-$S274-$T274,0)))</f>
        <v/>
      </c>
      <c r="AT274" s="38" t="str">
        <f aca="false">IF($A274="","",IF(OR($AN274="",$U274=""),"",ROUND(($U274-($B274+$AN274/24))*1440,0)))</f>
        <v/>
      </c>
      <c r="AU274" s="38" t="str">
        <f aca="false">IF($A274="","",IF(OR($AD274="",$S274=""),"",ROUND($AD274-$S274,0)))</f>
        <v/>
      </c>
      <c r="AV274" s="38" t="str">
        <f aca="false">IF($A274="","",N($AE274))</f>
        <v/>
      </c>
      <c r="AW274" s="38" t="str">
        <f aca="false">IF($A274="","",IF(OR($AF274="",$T274=""),"",$AF274-$T274))</f>
        <v/>
      </c>
      <c r="AX274" s="38" t="str">
        <f aca="false">IF($A274="","",IF(COUNT($AT274,$AB274,$AU274,$AW274,$AS274,$AH274)&lt;6,"",ROUND($AT274+$AB274+$AU274+$AV274+$AW274-$AS274-$AH274,0)))</f>
        <v/>
      </c>
      <c r="AY274" s="4" t="str">
        <f aca="false">IF($A274="","",IF($AX274="","No",IF(ABS($AX274)&lt;=2,"Yes","No")))</f>
        <v/>
      </c>
      <c r="AZ274" s="4" t="str">
        <f aca="false">IF($A274="","",IF($AI274&lt;&gt;"Yes","n/a",IF(OR($AA274="",$S274="",$T274=""),"Unknown",IF($AA274&lt;$S274+$T274,"Lost on arrival","Lost after arrival"))))</f>
        <v/>
      </c>
      <c r="BA274" s="10" t="str">
        <f aca="false">IF($A274="","",IFERROR(VLOOKUP($C274,Dim_Fund!$A:$D,4,0),""))</f>
        <v/>
      </c>
      <c r="BB274" s="10" t="str">
        <f aca="false">IF($A274="","",IF($AL274="","",IF(COUNTIFS(Fact_Milestone!$A:$A,$B274,Fact_Milestone!$B:$B,$AL274,Fact_Milestone!$I:$I,"No")&gt;0,"No",IF(COUNTIFS(Fact_Milestone!$A:$A,$B274,Fact_Milestone!$B:$B,$AL274,Fact_Milestone!$I:$I,"Yes")&gt;0,"Yes",""))))</f>
        <v/>
      </c>
      <c r="BC274" s="45" t="str">
        <f aca="false">IF($A274="","",IF(OR($L274="",$W274=""),"",IF(COUNTIFS($L:$L,$L274,$B:$B,$B274,$W:$W,"&lt;"&amp;$W274)=0,"",_xlfn.MAXIFS($W:$W,$L:$L,$L274,$B:$B,$B274,$W:$W,"&lt;"&amp;$W274))))</f>
        <v/>
      </c>
      <c r="BD274" s="39" t="str">
        <f aca="false">IF($A274="","",IF($AC274="","",IF(OR($L274="",$AC274=0),0,MIN($AC274,ROUND(ROUND(1440*SUMPRODUCT(($L$2:INDEX($L:$L,COUNTA($C:$C))=$L274)*($B$2:INDEX($B:$B,COUNTA($C:$C))=$B274)*(ROW($L$2:INDEX($L:$L,COUNTA($C:$C)))&lt;&gt;ROW())*((((($W274+$BT$2:INDEX($BT:$BT,COUNTA($C:$C))-ABS($W274-$BT$2:INDEX($BT:$BT,COUNTA($C:$C))))/2)-(($U274+$BS$2:INDEX($BS:$BS,COUNTA($C:$C))+ABS($U274-$BS$2:INDEX($BS:$BS,COUNTA($C:$C))))/2))+ABS(((($W274+$BT$2:INDEX($BT:$BT,COUNTA($C:$C))-ABS($W274-$BT$2:INDEX($BT:$BT,COUNTA($C:$C))))/2)-(($U274+$BS$2:INDEX($BS:$BS,COUNTA($C:$C))+ABS($U274-$BS$2:INDEX($BS:$BS,COUNTA($C:$C))))/2))))/2)),4),0)))))</f>
        <v/>
      </c>
      <c r="BE274" s="39" t="str">
        <f aca="false">IF($A274="","",IF($AC274="","",ROUND(MIN($AC274-$BD274,N($R274)),0)))</f>
        <v/>
      </c>
      <c r="BF274" s="10" t="str">
        <f aca="false">IF($A274="","",IFERROR(VLOOKUP($C274,Dim_Fund!$A:$BD,56,0),""))</f>
        <v/>
      </c>
      <c r="BG274" s="10" t="str">
        <f aca="false">IF($A274="","",IFERROR(VLOOKUP($C274,Dim_Fund!$A:$BH,60,0),""))</f>
        <v/>
      </c>
      <c r="BH274" s="10" t="str">
        <f aca="false">IF($A274="","",IF($AI274&lt;&gt;"Yes","Not breached",IF($AM274="Yes","Pricing late",IF($BG274="Thin custody slack","Thin custody slack",IF($BF274="Yes","Broker-dependent","None of these")))))</f>
        <v/>
      </c>
      <c r="BI274" s="23" t="str">
        <f aca="false">IF($A274="","",IFERROR(IF(VLOOKUP($C274,Dim_Fund!$A:$AI,35,0)&gt;0,VLOOKUP($C274,Dim_Fund!$A:$AI,35,0),""),""))</f>
        <v/>
      </c>
      <c r="BJ274" s="10" t="str">
        <f aca="false">IF($A274="","",$C274&amp;IF($E274="Client","*",""))</f>
        <v/>
      </c>
      <c r="BK274" s="39" t="str">
        <f aca="false">IF($A274="","",IFERROR(ROUND(($Y274-$X274)*1440,0),""))</f>
        <v/>
      </c>
      <c r="BL274" s="39" t="str">
        <f aca="false">IF($A274="","",IF($AH274="","",-$AH274))</f>
        <v/>
      </c>
      <c r="BM274" s="46" t="str">
        <f aca="false">IF($A274="","",IF($AQ274="","",IF($AP274="",$AQ274,MIN($AP274,$AQ274))))</f>
        <v/>
      </c>
      <c r="BN274" s="46" t="str">
        <f aca="false">IF($A274="","",IF($BM274="","",ROUND(N($AC274)/60,4)))</f>
        <v/>
      </c>
      <c r="BO274" s="46" t="str">
        <f aca="false">IF($A274="","",IF(OR($BM274="",$AD274=""),"",ROUND($AD274/60,4)))</f>
        <v/>
      </c>
      <c r="BP274" s="46" t="str">
        <f aca="false">IF($A274="","",IF($BM274="","",ROUND(N($AE274)/60,4)))</f>
        <v/>
      </c>
      <c r="BQ274" s="46" t="str">
        <f aca="false">IF($A274="","",IF(OR($BM274="",$AF274=""),"",ROUND($AF274/60,4)))</f>
        <v/>
      </c>
      <c r="BR274" s="39" t="str">
        <f aca="false">IF($A274="","",IF($AC274="","",$AC274-$BD274-$BE274))</f>
        <v/>
      </c>
      <c r="BS274" s="45" t="str">
        <f aca="false">IF($A274="","",IF(AND(ISNUMBER($Z274),ISNUMBER($W274)),$Z274,0))</f>
        <v/>
      </c>
      <c r="BT274" s="45" t="str">
        <f aca="false">IF($A274="","",IF(ISNUMBER($W274),$W274,0))</f>
        <v/>
      </c>
      <c r="BU274" s="23" t="str">
        <f aca="false">IF($A274="","",IF(ISNUMBER($W274),ROUND(($W274-$B274)*24,4),""))</f>
        <v/>
      </c>
      <c r="BV274" s="23" t="str">
        <f aca="false">IF($A274="","",IF(ISNUMBER($X274),ROUND(($X274-$B274)*24,4),""))</f>
        <v/>
      </c>
      <c r="BW274" s="10" t="str">
        <f aca="false">IF($A274="","",IF(NOT(ISNUMBER($W274)),"Missing Calculated",IF(NOT(ISNUMBER($X274)),IF($E274="Client","Missing FA signed off","Missing Controlled"),IF($X274&lt;$W274,"End before start","OK"))))</f>
        <v/>
      </c>
      <c r="BX274" s="23" t="str">
        <f aca="false">IF($A274="","",IF(NOT(ISNUMBER($Z274)),"",ROUND((IF(ISNUMBER($U274),MIN($U274,$Z274),$Z274)-$B274)*24,4)))</f>
        <v/>
      </c>
      <c r="BY274" s="23" t="str">
        <f aca="false">IF($A274="","",IF(ISNUMBER($Z274),ROUND(($Z274-$B274)*24,4),""))</f>
        <v/>
      </c>
      <c r="BZ274" s="23" t="str">
        <f aca="false">IF($A274="","",IF(AND(ISNUMBER($W274),ISNUMBER($S274)),ROUND(($W274+$S274/1440-$B274)*24,4),""))</f>
        <v/>
      </c>
    </row>
    <row r="275" customFormat="false" ht="15" hidden="false" customHeight="true" outlineLevel="0" collapsed="false">
      <c r="A275" s="47"/>
      <c r="B275" s="47"/>
      <c r="D275" s="4" t="str">
        <f aca="false">IF($A275="","",$B275-$A275)</f>
        <v/>
      </c>
      <c r="E275" s="4" t="str">
        <f aca="false">IF($A275="","",IFERROR(VLOOKUP($C275,Dim_Fund!$A:$X,24,0),""))</f>
        <v/>
      </c>
      <c r="F275" s="37" t="str">
        <f aca="false">IF($A275="","",IF(COUNTIFS(Status_Log!$A:$A,$A275,Status_Log!$B:$B,$B275,Status_Log!$C:$C,$C275,Status_Log!$D:$D,"Changed to the status of Calculated")=0,"",_xlfn.MINIFS(Status_Log!$E:$E,Status_Log!$A:$A,$A275,Status_Log!$B:$B,$B275,Status_Log!$C:$C,$C275,Status_Log!$D:$D,"Changed to the status of Calculated")))</f>
        <v/>
      </c>
      <c r="G275" s="37" t="str">
        <f aca="false">IF($A275="","",IF(COUNTIFS(Status_Log!$A:$A,$A275,Status_Log!$B:$B,$B275,Status_Log!$C:$C,$C275,Status_Log!$D:$D,"Changed to the status of Controlled")=0,"",_xlfn.MAXIFS(Status_Log!$E:$E,Status_Log!$A:$A,$A275,Status_Log!$B:$B,$B275,Status_Log!$C:$C,$C275,Status_Log!$D:$D,"Changed to the status of Controlled")))</f>
        <v/>
      </c>
      <c r="H275" s="37" t="str">
        <f aca="false">IF($A275="","",IF(COUNTIFS(Status_Log!$A:$A,$A275,Status_Log!$B:$B,$B275,Status_Log!$C:$C,$C275,Status_Log!$D:$D,"Changed to the status of Fund accounting signed off")=0,"",_xlfn.MAXIFS(Status_Log!$E:$E,Status_Log!$A:$A,$A275,Status_Log!$B:$B,$B275,Status_Log!$C:$C,$C275,Status_Log!$D:$D,"Changed to the status of Fund accounting signed off")))</f>
        <v/>
      </c>
      <c r="I275" s="37" t="str">
        <f aca="false">IF($A275="","",IF(COUNTIFS(Status_Log!$A:$A,$A275,Status_Log!$B:$B,$B275,Status_Log!$C:$C,$C275,Status_Log!$D:$D,"Changed to the status of signed off")=0,"",_xlfn.MAXIFS(Status_Log!$E:$E,Status_Log!$A:$A,$A275,Status_Log!$B:$B,$B275,Status_Log!$C:$C,$C275,Status_Log!$D:$D,"Changed to the status of signed off")))</f>
        <v/>
      </c>
      <c r="J275" s="4" t="str">
        <f aca="false">IF($A275="","",COUNTIFS(Status_Log!$A:$A,$A275,Status_Log!$B:$B,$B275,Status_Log!$C:$C,$C275,Status_Log!$D:$D,"Changed to the status of Calculated"))</f>
        <v/>
      </c>
      <c r="K275" s="38" t="str">
        <f aca="false">IF($A275="","",IF(J275&lt;=1,0,ROUND((_xlfn.MAXIFS(Status_Log!$E:$E,Status_Log!$A:$A,$A275,Status_Log!$B:$B,$B275,Status_Log!$C:$C,$C275,Status_Log!$D:$D,"Changed to the status of Calculated")-F275)*1440,0)))</f>
        <v/>
      </c>
      <c r="L275" s="4" t="str">
        <f aca="false">IF($A275="","",IFERROR(INDEX(Status_Log!$F:$F,MATCH($A275&amp;"|"&amp;$B275&amp;"|"&amp;$C275&amp;"|Changed to the status of Calculated|"&amp;TEXT(_xlfn.MAXIFS(Status_Log!$E:$E,Status_Log!$A:$A,$A275,Status_Log!$B:$B,$B275,Status_Log!$C:$C,$C275,Status_Log!$D:$D,"Changed to the status of Calculated"),"0.000000"),Status_Log!$H:$H,0)),""))</f>
        <v/>
      </c>
      <c r="M275" s="4" t="str">
        <f aca="false">IF($A275="","",IF(E275="Client","n/a — no control step",IFERROR(INDEX(Status_Log!$F:$F,MATCH($A275&amp;"|"&amp;$B275&amp;"|"&amp;$C275&amp;"|Changed to the status of Controlled|"&amp;TEXT(_xlfn.MAXIFS(Status_Log!$E:$E,Status_Log!$A:$A,$A275,Status_Log!$B:$B,$B275,Status_Log!$C:$C,$C275,Status_Log!$D:$D,"Changed to the status of Controlled"),"0.000000"),Status_Log!$H:$H,0)),"")))</f>
        <v/>
      </c>
      <c r="N275" s="4" t="str">
        <f aca="false">IF($A275="","",IFERROR(VLOOKUP($C275,Dim_Fund!$A:$G,7,0),""))</f>
        <v/>
      </c>
      <c r="O275" s="4" t="str">
        <f aca="false">IF($A275="","",IF(L275=N275,"No","Yes"))</f>
        <v/>
      </c>
      <c r="P275" s="4" t="str">
        <f aca="false">IF($A275="","",IF(E275="Client","n/a",IF(L275=M275,"YES — four-eyes breach","No")))</f>
        <v/>
      </c>
      <c r="Q275" s="38" t="str">
        <f aca="false">IF($A275="","",IFERROR(VLOOKUP($C275,Dim_Fund!$A:$AB,28,0),""))</f>
        <v/>
      </c>
      <c r="R275" s="38" t="str">
        <f aca="false">IF($A275="","",IFERROR(VLOOKUP($C275,Dim_Fund!$A:$AC,29,0),""))</f>
        <v/>
      </c>
      <c r="S275" s="38" t="str">
        <f aca="false">IF($A275="","",IFERROR(VLOOKUP($C275,Dim_Fund!$A:$AD,30,0),""))</f>
        <v/>
      </c>
      <c r="T275" s="38" t="str">
        <f aca="false">IF($A275="","",IFERROR(VLOOKUP($C275,Dim_Fund!$A:$AL,38,0),""))</f>
        <v/>
      </c>
      <c r="U275" s="37" t="str">
        <f aca="false">IF($A275="","",IF(AL275="","",IFERROR(IF(COUNTIFS(Fact_Milestone!$A:$A,$B275,Fact_Milestone!$B:$B,AL275)=0,"",_xlfn.MAXIFS(Fact_Milestone!$C:$C,Fact_Milestone!$A:$A,$B275,Fact_Milestone!$B:$B,AL275)),"")))</f>
        <v/>
      </c>
      <c r="V275" s="37" t="str">
        <f aca="false">IF($A275="","",IFERROR(IF(VLOOKUP($C275,Dim_Fund!$A:$AI,35,0)&gt;0,$B275+VLOOKUP($C275,Dim_Fund!$A:$AI,35,0)/24,""),""))</f>
        <v/>
      </c>
      <c r="W275" s="37" t="str">
        <f aca="false">IF($A275="","",F275)</f>
        <v/>
      </c>
      <c r="X275" s="37" t="str">
        <f aca="false">IF($A275="","",IF(E275="Client",H275,G275))</f>
        <v/>
      </c>
      <c r="Y275" s="37" t="str">
        <f aca="false">IF($A275="","",I275)</f>
        <v/>
      </c>
      <c r="Z275" s="37" t="str">
        <f aca="false">IF($A275="","",IFERROR(W275-R275/1440,""))</f>
        <v/>
      </c>
      <c r="AA275" s="38" t="str">
        <f aca="false">IF($A275="","",IF(OR(U275="",V275=""),"",ROUND((V275-U275)*1440,0)))</f>
        <v/>
      </c>
      <c r="AB275" s="38" t="str">
        <f aca="false">IF($A275="","",IF(U275="","",ROUND((W275-U275)*1440,0)))</f>
        <v/>
      </c>
      <c r="AC275" s="38" t="str">
        <f aca="false">IF($A275="","",IF(AB275="","",MAX(0,AB275)))</f>
        <v/>
      </c>
      <c r="AD275" s="38" t="str">
        <f aca="false">IF($A275="","",IFERROR(ROUND((X275-W275)*1440,0),""))</f>
        <v/>
      </c>
      <c r="AE275" s="38" t="str">
        <f aca="false">IF($A275="","",IF(E275="Client","n/a",IFERROR(ROUND((H275-G275)*1440,0),"")))</f>
        <v/>
      </c>
      <c r="AF275" s="38" t="str">
        <f aca="false">IF($A275="","",IFERROR(ROUND((Y275-H275)*1440,0),""))</f>
        <v/>
      </c>
      <c r="AG275" s="38" t="str">
        <f aca="false">IF($A275="","",IFERROR(ROUND((H275-F275)*1440,0),""))</f>
        <v/>
      </c>
      <c r="AH275" s="38" t="str">
        <f aca="false">IF($A275="","",IFERROR(ROUND((Y275-V275)*1440,0),""))</f>
        <v/>
      </c>
      <c r="AI275" s="4" t="str">
        <f aca="false">IF($A275="","",IF(AH275="","",IF(AH275&gt;0,"Yes","No")))</f>
        <v/>
      </c>
      <c r="AJ275" s="4" t="str">
        <f aca="false">IF($A275="","",IF(AI275&lt;&gt;"Yes","On time",IF(N(AC275)&gt;=MAX(N(AF275),N(K275)),"Wait for analyst",IF(N(AF275)&gt;=N(K275),"External sign-off","Rework"))))</f>
        <v/>
      </c>
      <c r="AK275" s="4" t="str">
        <f aca="false">IF($A275="","",IF(OR(F275="",Y275="",ISNA(MATCH(L275,Dim_Analyst!$A:$A,0))),"CHECK","OK"))</f>
        <v/>
      </c>
      <c r="AL275" s="4" t="str">
        <f aca="false">IF($A275="","",IFERROR(VLOOKUP($C275,Dim_Fund!$A:$U,21,0),""))</f>
        <v/>
      </c>
      <c r="AM275" s="4" t="str">
        <f aca="false">IF($A275="","",IF($U275="","",IF($U275&gt;$B275+IFERROR(VLOOKUP($C275,Dim_Fund!$A:$AH,34,0),0)/24,"Yes","No")))</f>
        <v/>
      </c>
      <c r="AN275" s="22" t="str">
        <f aca="false">IF($A275="","",IFERROR(VLOOKUP($C275,Dim_Fund!$A:$AH,34,0),""))</f>
        <v/>
      </c>
      <c r="AO275" s="22" t="str">
        <f aca="false">IF($A275="","",IF($AL275="","",IFERROR(FLOOR(IF(COUNTIFS(Fact_Milestone!$A:$A,$B275,Fact_Milestone!$B:$B,$AL275,Fact_Milestone!$F:$F,"&gt;0")&gt;0,_xlfn.MINIFS(Fact_Milestone!$F:$F,Fact_Milestone!$A:$A,$B275,Fact_Milestone!$B:$B,$AL275,Fact_Milestone!$F:$F,"&gt;0"),VLOOKUP($AL275,Dim_TOP!$A:$E,5,0)),0.5),"")))</f>
        <v/>
      </c>
      <c r="AP275" s="22" t="str">
        <f aca="false">IF($A275="","",IF($U275="","",ROUND(($U275-INT($U275))*24,4)))</f>
        <v/>
      </c>
      <c r="AQ275" s="22" t="str">
        <f aca="false">IF($A275="","",IF($W275="","",ROUND(($W275-INT($W275))*24,4)))</f>
        <v/>
      </c>
      <c r="AR275" s="22" t="str">
        <f aca="false">IF($A275="","",IF($X275="","",ROUND(($X275-INT($X275))*24,4)))</f>
        <v/>
      </c>
      <c r="AS275" s="38" t="str">
        <f aca="false">IF($A275="","",IF(OR($AN275="",$V275="",$S275="",$T275=""),"",ROUND(($V275-($B275+$AN275/24))*1440-$S275-$T275,0)))</f>
        <v/>
      </c>
      <c r="AT275" s="38" t="str">
        <f aca="false">IF($A275="","",IF(OR($AN275="",$U275=""),"",ROUND(($U275-($B275+$AN275/24))*1440,0)))</f>
        <v/>
      </c>
      <c r="AU275" s="38" t="str">
        <f aca="false">IF($A275="","",IF(OR($AD275="",$S275=""),"",ROUND($AD275-$S275,0)))</f>
        <v/>
      </c>
      <c r="AV275" s="38" t="str">
        <f aca="false">IF($A275="","",N($AE275))</f>
        <v/>
      </c>
      <c r="AW275" s="38" t="str">
        <f aca="false">IF($A275="","",IF(OR($AF275="",$T275=""),"",$AF275-$T275))</f>
        <v/>
      </c>
      <c r="AX275" s="38" t="str">
        <f aca="false">IF($A275="","",IF(COUNT($AT275,$AB275,$AU275,$AW275,$AS275,$AH275)&lt;6,"",ROUND($AT275+$AB275+$AU275+$AV275+$AW275-$AS275-$AH275,0)))</f>
        <v/>
      </c>
      <c r="AY275" s="4" t="str">
        <f aca="false">IF($A275="","",IF($AX275="","No",IF(ABS($AX275)&lt;=2,"Yes","No")))</f>
        <v/>
      </c>
      <c r="AZ275" s="4" t="str">
        <f aca="false">IF($A275="","",IF($AI275&lt;&gt;"Yes","n/a",IF(OR($AA275="",$S275="",$T275=""),"Unknown",IF($AA275&lt;$S275+$T275,"Lost on arrival","Lost after arrival"))))</f>
        <v/>
      </c>
      <c r="BA275" s="10" t="str">
        <f aca="false">IF($A275="","",IFERROR(VLOOKUP($C275,Dim_Fund!$A:$D,4,0),""))</f>
        <v/>
      </c>
      <c r="BB275" s="10" t="str">
        <f aca="false">IF($A275="","",IF($AL275="","",IF(COUNTIFS(Fact_Milestone!$A:$A,$B275,Fact_Milestone!$B:$B,$AL275,Fact_Milestone!$I:$I,"No")&gt;0,"No",IF(COUNTIFS(Fact_Milestone!$A:$A,$B275,Fact_Milestone!$B:$B,$AL275,Fact_Milestone!$I:$I,"Yes")&gt;0,"Yes",""))))</f>
        <v/>
      </c>
      <c r="BC275" s="45" t="str">
        <f aca="false">IF($A275="","",IF(OR($L275="",$W275=""),"",IF(COUNTIFS($L:$L,$L275,$B:$B,$B275,$W:$W,"&lt;"&amp;$W275)=0,"",_xlfn.MAXIFS($W:$W,$L:$L,$L275,$B:$B,$B275,$W:$W,"&lt;"&amp;$W275))))</f>
        <v/>
      </c>
      <c r="BD275" s="39" t="str">
        <f aca="false">IF($A275="","",IF($AC275="","",IF(OR($L275="",$AC275=0),0,MIN($AC275,ROUND(ROUND(1440*SUMPRODUCT(($L$2:INDEX($L:$L,COUNTA($C:$C))=$L275)*($B$2:INDEX($B:$B,COUNTA($C:$C))=$B275)*(ROW($L$2:INDEX($L:$L,COUNTA($C:$C)))&lt;&gt;ROW())*((((($W275+$BT$2:INDEX($BT:$BT,COUNTA($C:$C))-ABS($W275-$BT$2:INDEX($BT:$BT,COUNTA($C:$C))))/2)-(($U275+$BS$2:INDEX($BS:$BS,COUNTA($C:$C))+ABS($U275-$BS$2:INDEX($BS:$BS,COUNTA($C:$C))))/2))+ABS(((($W275+$BT$2:INDEX($BT:$BT,COUNTA($C:$C))-ABS($W275-$BT$2:INDEX($BT:$BT,COUNTA($C:$C))))/2)-(($U275+$BS$2:INDEX($BS:$BS,COUNTA($C:$C))+ABS($U275-$BS$2:INDEX($BS:$BS,COUNTA($C:$C))))/2))))/2)),4),0)))))</f>
        <v/>
      </c>
      <c r="BE275" s="39" t="str">
        <f aca="false">IF($A275="","",IF($AC275="","",ROUND(MIN($AC275-$BD275,N($R275)),0)))</f>
        <v/>
      </c>
      <c r="BF275" s="10" t="str">
        <f aca="false">IF($A275="","",IFERROR(VLOOKUP($C275,Dim_Fund!$A:$BD,56,0),""))</f>
        <v/>
      </c>
      <c r="BG275" s="10" t="str">
        <f aca="false">IF($A275="","",IFERROR(VLOOKUP($C275,Dim_Fund!$A:$BH,60,0),""))</f>
        <v/>
      </c>
      <c r="BH275" s="10" t="str">
        <f aca="false">IF($A275="","",IF($AI275&lt;&gt;"Yes","Not breached",IF($AM275="Yes","Pricing late",IF($BG275="Thin custody slack","Thin custody slack",IF($BF275="Yes","Broker-dependent","None of these")))))</f>
        <v/>
      </c>
      <c r="BI275" s="23" t="str">
        <f aca="false">IF($A275="","",IFERROR(IF(VLOOKUP($C275,Dim_Fund!$A:$AI,35,0)&gt;0,VLOOKUP($C275,Dim_Fund!$A:$AI,35,0),""),""))</f>
        <v/>
      </c>
      <c r="BJ275" s="10" t="str">
        <f aca="false">IF($A275="","",$C275&amp;IF($E275="Client","*",""))</f>
        <v/>
      </c>
      <c r="BK275" s="39" t="str">
        <f aca="false">IF($A275="","",IFERROR(ROUND(($Y275-$X275)*1440,0),""))</f>
        <v/>
      </c>
      <c r="BL275" s="39" t="str">
        <f aca="false">IF($A275="","",IF($AH275="","",-$AH275))</f>
        <v/>
      </c>
      <c r="BM275" s="46" t="str">
        <f aca="false">IF($A275="","",IF($AQ275="","",IF($AP275="",$AQ275,MIN($AP275,$AQ275))))</f>
        <v/>
      </c>
      <c r="BN275" s="46" t="str">
        <f aca="false">IF($A275="","",IF($BM275="","",ROUND(N($AC275)/60,4)))</f>
        <v/>
      </c>
      <c r="BO275" s="46" t="str">
        <f aca="false">IF($A275="","",IF(OR($BM275="",$AD275=""),"",ROUND($AD275/60,4)))</f>
        <v/>
      </c>
      <c r="BP275" s="46" t="str">
        <f aca="false">IF($A275="","",IF($BM275="","",ROUND(N($AE275)/60,4)))</f>
        <v/>
      </c>
      <c r="BQ275" s="46" t="str">
        <f aca="false">IF($A275="","",IF(OR($BM275="",$AF275=""),"",ROUND($AF275/60,4)))</f>
        <v/>
      </c>
      <c r="BR275" s="39" t="str">
        <f aca="false">IF($A275="","",IF($AC275="","",$AC275-$BD275-$BE275))</f>
        <v/>
      </c>
      <c r="BS275" s="45" t="str">
        <f aca="false">IF($A275="","",IF(AND(ISNUMBER($Z275),ISNUMBER($W275)),$Z275,0))</f>
        <v/>
      </c>
      <c r="BT275" s="45" t="str">
        <f aca="false">IF($A275="","",IF(ISNUMBER($W275),$W275,0))</f>
        <v/>
      </c>
      <c r="BU275" s="23" t="str">
        <f aca="false">IF($A275="","",IF(ISNUMBER($W275),ROUND(($W275-$B275)*24,4),""))</f>
        <v/>
      </c>
      <c r="BV275" s="23" t="str">
        <f aca="false">IF($A275="","",IF(ISNUMBER($X275),ROUND(($X275-$B275)*24,4),""))</f>
        <v/>
      </c>
      <c r="BW275" s="10" t="str">
        <f aca="false">IF($A275="","",IF(NOT(ISNUMBER($W275)),"Missing Calculated",IF(NOT(ISNUMBER($X275)),IF($E275="Client","Missing FA signed off","Missing Controlled"),IF($X275&lt;$W275,"End before start","OK"))))</f>
        <v/>
      </c>
      <c r="BX275" s="23" t="str">
        <f aca="false">IF($A275="","",IF(NOT(ISNUMBER($Z275)),"",ROUND((IF(ISNUMBER($U275),MIN($U275,$Z275),$Z275)-$B275)*24,4)))</f>
        <v/>
      </c>
      <c r="BY275" s="23" t="str">
        <f aca="false">IF($A275="","",IF(ISNUMBER($Z275),ROUND(($Z275-$B275)*24,4),""))</f>
        <v/>
      </c>
      <c r="BZ275" s="23" t="str">
        <f aca="false">IF($A275="","",IF(AND(ISNUMBER($W275),ISNUMBER($S275)),ROUND(($W275+$S275/1440-$B275)*24,4),""))</f>
        <v/>
      </c>
    </row>
    <row r="276" customFormat="false" ht="15" hidden="false" customHeight="true" outlineLevel="0" collapsed="false">
      <c r="A276" s="47"/>
      <c r="B276" s="47"/>
      <c r="D276" s="4" t="str">
        <f aca="false">IF($A276="","",$B276-$A276)</f>
        <v/>
      </c>
      <c r="E276" s="4" t="str">
        <f aca="false">IF($A276="","",IFERROR(VLOOKUP($C276,Dim_Fund!$A:$X,24,0),""))</f>
        <v/>
      </c>
      <c r="F276" s="37" t="str">
        <f aca="false">IF($A276="","",IF(COUNTIFS(Status_Log!$A:$A,$A276,Status_Log!$B:$B,$B276,Status_Log!$C:$C,$C276,Status_Log!$D:$D,"Changed to the status of Calculated")=0,"",_xlfn.MINIFS(Status_Log!$E:$E,Status_Log!$A:$A,$A276,Status_Log!$B:$B,$B276,Status_Log!$C:$C,$C276,Status_Log!$D:$D,"Changed to the status of Calculated")))</f>
        <v/>
      </c>
      <c r="G276" s="37" t="str">
        <f aca="false">IF($A276="","",IF(COUNTIFS(Status_Log!$A:$A,$A276,Status_Log!$B:$B,$B276,Status_Log!$C:$C,$C276,Status_Log!$D:$D,"Changed to the status of Controlled")=0,"",_xlfn.MAXIFS(Status_Log!$E:$E,Status_Log!$A:$A,$A276,Status_Log!$B:$B,$B276,Status_Log!$C:$C,$C276,Status_Log!$D:$D,"Changed to the status of Controlled")))</f>
        <v/>
      </c>
      <c r="H276" s="37" t="str">
        <f aca="false">IF($A276="","",IF(COUNTIFS(Status_Log!$A:$A,$A276,Status_Log!$B:$B,$B276,Status_Log!$C:$C,$C276,Status_Log!$D:$D,"Changed to the status of Fund accounting signed off")=0,"",_xlfn.MAXIFS(Status_Log!$E:$E,Status_Log!$A:$A,$A276,Status_Log!$B:$B,$B276,Status_Log!$C:$C,$C276,Status_Log!$D:$D,"Changed to the status of Fund accounting signed off")))</f>
        <v/>
      </c>
      <c r="I276" s="37" t="str">
        <f aca="false">IF($A276="","",IF(COUNTIFS(Status_Log!$A:$A,$A276,Status_Log!$B:$B,$B276,Status_Log!$C:$C,$C276,Status_Log!$D:$D,"Changed to the status of signed off")=0,"",_xlfn.MAXIFS(Status_Log!$E:$E,Status_Log!$A:$A,$A276,Status_Log!$B:$B,$B276,Status_Log!$C:$C,$C276,Status_Log!$D:$D,"Changed to the status of signed off")))</f>
        <v/>
      </c>
      <c r="J276" s="4" t="str">
        <f aca="false">IF($A276="","",COUNTIFS(Status_Log!$A:$A,$A276,Status_Log!$B:$B,$B276,Status_Log!$C:$C,$C276,Status_Log!$D:$D,"Changed to the status of Calculated"))</f>
        <v/>
      </c>
      <c r="K276" s="38" t="str">
        <f aca="false">IF($A276="","",IF(J276&lt;=1,0,ROUND((_xlfn.MAXIFS(Status_Log!$E:$E,Status_Log!$A:$A,$A276,Status_Log!$B:$B,$B276,Status_Log!$C:$C,$C276,Status_Log!$D:$D,"Changed to the status of Calculated")-F276)*1440,0)))</f>
        <v/>
      </c>
      <c r="L276" s="4" t="str">
        <f aca="false">IF($A276="","",IFERROR(INDEX(Status_Log!$F:$F,MATCH($A276&amp;"|"&amp;$B276&amp;"|"&amp;$C276&amp;"|Changed to the status of Calculated|"&amp;TEXT(_xlfn.MAXIFS(Status_Log!$E:$E,Status_Log!$A:$A,$A276,Status_Log!$B:$B,$B276,Status_Log!$C:$C,$C276,Status_Log!$D:$D,"Changed to the status of Calculated"),"0.000000"),Status_Log!$H:$H,0)),""))</f>
        <v/>
      </c>
      <c r="M276" s="4" t="str">
        <f aca="false">IF($A276="","",IF(E276="Client","n/a — no control step",IFERROR(INDEX(Status_Log!$F:$F,MATCH($A276&amp;"|"&amp;$B276&amp;"|"&amp;$C276&amp;"|Changed to the status of Controlled|"&amp;TEXT(_xlfn.MAXIFS(Status_Log!$E:$E,Status_Log!$A:$A,$A276,Status_Log!$B:$B,$B276,Status_Log!$C:$C,$C276,Status_Log!$D:$D,"Changed to the status of Controlled"),"0.000000"),Status_Log!$H:$H,0)),"")))</f>
        <v/>
      </c>
      <c r="N276" s="4" t="str">
        <f aca="false">IF($A276="","",IFERROR(VLOOKUP($C276,Dim_Fund!$A:$G,7,0),""))</f>
        <v/>
      </c>
      <c r="O276" s="4" t="str">
        <f aca="false">IF($A276="","",IF(L276=N276,"No","Yes"))</f>
        <v/>
      </c>
      <c r="P276" s="4" t="str">
        <f aca="false">IF($A276="","",IF(E276="Client","n/a",IF(L276=M276,"YES — four-eyes breach","No")))</f>
        <v/>
      </c>
      <c r="Q276" s="38" t="str">
        <f aca="false">IF($A276="","",IFERROR(VLOOKUP($C276,Dim_Fund!$A:$AB,28,0),""))</f>
        <v/>
      </c>
      <c r="R276" s="38" t="str">
        <f aca="false">IF($A276="","",IFERROR(VLOOKUP($C276,Dim_Fund!$A:$AC,29,0),""))</f>
        <v/>
      </c>
      <c r="S276" s="38" t="str">
        <f aca="false">IF($A276="","",IFERROR(VLOOKUP($C276,Dim_Fund!$A:$AD,30,0),""))</f>
        <v/>
      </c>
      <c r="T276" s="38" t="str">
        <f aca="false">IF($A276="","",IFERROR(VLOOKUP($C276,Dim_Fund!$A:$AL,38,0),""))</f>
        <v/>
      </c>
      <c r="U276" s="37" t="str">
        <f aca="false">IF($A276="","",IF(AL276="","",IFERROR(IF(COUNTIFS(Fact_Milestone!$A:$A,$B276,Fact_Milestone!$B:$B,AL276)=0,"",_xlfn.MAXIFS(Fact_Milestone!$C:$C,Fact_Milestone!$A:$A,$B276,Fact_Milestone!$B:$B,AL276)),"")))</f>
        <v/>
      </c>
      <c r="V276" s="37" t="str">
        <f aca="false">IF($A276="","",IFERROR(IF(VLOOKUP($C276,Dim_Fund!$A:$AI,35,0)&gt;0,$B276+VLOOKUP($C276,Dim_Fund!$A:$AI,35,0)/24,""),""))</f>
        <v/>
      </c>
      <c r="W276" s="37" t="str">
        <f aca="false">IF($A276="","",F276)</f>
        <v/>
      </c>
      <c r="X276" s="37" t="str">
        <f aca="false">IF($A276="","",IF(E276="Client",H276,G276))</f>
        <v/>
      </c>
      <c r="Y276" s="37" t="str">
        <f aca="false">IF($A276="","",I276)</f>
        <v/>
      </c>
      <c r="Z276" s="37" t="str">
        <f aca="false">IF($A276="","",IFERROR(W276-R276/1440,""))</f>
        <v/>
      </c>
      <c r="AA276" s="38" t="str">
        <f aca="false">IF($A276="","",IF(OR(U276="",V276=""),"",ROUND((V276-U276)*1440,0)))</f>
        <v/>
      </c>
      <c r="AB276" s="38" t="str">
        <f aca="false">IF($A276="","",IF(U276="","",ROUND((W276-U276)*1440,0)))</f>
        <v/>
      </c>
      <c r="AC276" s="38" t="str">
        <f aca="false">IF($A276="","",IF(AB276="","",MAX(0,AB276)))</f>
        <v/>
      </c>
      <c r="AD276" s="38" t="str">
        <f aca="false">IF($A276="","",IFERROR(ROUND((X276-W276)*1440,0),""))</f>
        <v/>
      </c>
      <c r="AE276" s="38" t="str">
        <f aca="false">IF($A276="","",IF(E276="Client","n/a",IFERROR(ROUND((H276-G276)*1440,0),"")))</f>
        <v/>
      </c>
      <c r="AF276" s="38" t="str">
        <f aca="false">IF($A276="","",IFERROR(ROUND((Y276-H276)*1440,0),""))</f>
        <v/>
      </c>
      <c r="AG276" s="38" t="str">
        <f aca="false">IF($A276="","",IFERROR(ROUND((H276-F276)*1440,0),""))</f>
        <v/>
      </c>
      <c r="AH276" s="38" t="str">
        <f aca="false">IF($A276="","",IFERROR(ROUND((Y276-V276)*1440,0),""))</f>
        <v/>
      </c>
      <c r="AI276" s="4" t="str">
        <f aca="false">IF($A276="","",IF(AH276="","",IF(AH276&gt;0,"Yes","No")))</f>
        <v/>
      </c>
      <c r="AJ276" s="4" t="str">
        <f aca="false">IF($A276="","",IF(AI276&lt;&gt;"Yes","On time",IF(N(AC276)&gt;=MAX(N(AF276),N(K276)),"Wait for analyst",IF(N(AF276)&gt;=N(K276),"External sign-off","Rework"))))</f>
        <v/>
      </c>
      <c r="AK276" s="4" t="str">
        <f aca="false">IF($A276="","",IF(OR(F276="",Y276="",ISNA(MATCH(L276,Dim_Analyst!$A:$A,0))),"CHECK","OK"))</f>
        <v/>
      </c>
      <c r="AL276" s="4" t="str">
        <f aca="false">IF($A276="","",IFERROR(VLOOKUP($C276,Dim_Fund!$A:$U,21,0),""))</f>
        <v/>
      </c>
      <c r="AM276" s="4" t="str">
        <f aca="false">IF($A276="","",IF($U276="","",IF($U276&gt;$B276+IFERROR(VLOOKUP($C276,Dim_Fund!$A:$AH,34,0),0)/24,"Yes","No")))</f>
        <v/>
      </c>
      <c r="AN276" s="22" t="str">
        <f aca="false">IF($A276="","",IFERROR(VLOOKUP($C276,Dim_Fund!$A:$AH,34,0),""))</f>
        <v/>
      </c>
      <c r="AO276" s="22" t="str">
        <f aca="false">IF($A276="","",IF($AL276="","",IFERROR(FLOOR(IF(COUNTIFS(Fact_Milestone!$A:$A,$B276,Fact_Milestone!$B:$B,$AL276,Fact_Milestone!$F:$F,"&gt;0")&gt;0,_xlfn.MINIFS(Fact_Milestone!$F:$F,Fact_Milestone!$A:$A,$B276,Fact_Milestone!$B:$B,$AL276,Fact_Milestone!$F:$F,"&gt;0"),VLOOKUP($AL276,Dim_TOP!$A:$E,5,0)),0.5),"")))</f>
        <v/>
      </c>
      <c r="AP276" s="22" t="str">
        <f aca="false">IF($A276="","",IF($U276="","",ROUND(($U276-INT($U276))*24,4)))</f>
        <v/>
      </c>
      <c r="AQ276" s="22" t="str">
        <f aca="false">IF($A276="","",IF($W276="","",ROUND(($W276-INT($W276))*24,4)))</f>
        <v/>
      </c>
      <c r="AR276" s="22" t="str">
        <f aca="false">IF($A276="","",IF($X276="","",ROUND(($X276-INT($X276))*24,4)))</f>
        <v/>
      </c>
      <c r="AS276" s="38" t="str">
        <f aca="false">IF($A276="","",IF(OR($AN276="",$V276="",$S276="",$T276=""),"",ROUND(($V276-($B276+$AN276/24))*1440-$S276-$T276,0)))</f>
        <v/>
      </c>
      <c r="AT276" s="38" t="str">
        <f aca="false">IF($A276="","",IF(OR($AN276="",$U276=""),"",ROUND(($U276-($B276+$AN276/24))*1440,0)))</f>
        <v/>
      </c>
      <c r="AU276" s="38" t="str">
        <f aca="false">IF($A276="","",IF(OR($AD276="",$S276=""),"",ROUND($AD276-$S276,0)))</f>
        <v/>
      </c>
      <c r="AV276" s="38" t="str">
        <f aca="false">IF($A276="","",N($AE276))</f>
        <v/>
      </c>
      <c r="AW276" s="38" t="str">
        <f aca="false">IF($A276="","",IF(OR($AF276="",$T276=""),"",$AF276-$T276))</f>
        <v/>
      </c>
      <c r="AX276" s="38" t="str">
        <f aca="false">IF($A276="","",IF(COUNT($AT276,$AB276,$AU276,$AW276,$AS276,$AH276)&lt;6,"",ROUND($AT276+$AB276+$AU276+$AV276+$AW276-$AS276-$AH276,0)))</f>
        <v/>
      </c>
      <c r="AY276" s="4" t="str">
        <f aca="false">IF($A276="","",IF($AX276="","No",IF(ABS($AX276)&lt;=2,"Yes","No")))</f>
        <v/>
      </c>
      <c r="AZ276" s="4" t="str">
        <f aca="false">IF($A276="","",IF($AI276&lt;&gt;"Yes","n/a",IF(OR($AA276="",$S276="",$T276=""),"Unknown",IF($AA276&lt;$S276+$T276,"Lost on arrival","Lost after arrival"))))</f>
        <v/>
      </c>
      <c r="BA276" s="10" t="str">
        <f aca="false">IF($A276="","",IFERROR(VLOOKUP($C276,Dim_Fund!$A:$D,4,0),""))</f>
        <v/>
      </c>
      <c r="BB276" s="10" t="str">
        <f aca="false">IF($A276="","",IF($AL276="","",IF(COUNTIFS(Fact_Milestone!$A:$A,$B276,Fact_Milestone!$B:$B,$AL276,Fact_Milestone!$I:$I,"No")&gt;0,"No",IF(COUNTIFS(Fact_Milestone!$A:$A,$B276,Fact_Milestone!$B:$B,$AL276,Fact_Milestone!$I:$I,"Yes")&gt;0,"Yes",""))))</f>
        <v/>
      </c>
      <c r="BC276" s="45" t="str">
        <f aca="false">IF($A276="","",IF(OR($L276="",$W276=""),"",IF(COUNTIFS($L:$L,$L276,$B:$B,$B276,$W:$W,"&lt;"&amp;$W276)=0,"",_xlfn.MAXIFS($W:$W,$L:$L,$L276,$B:$B,$B276,$W:$W,"&lt;"&amp;$W276))))</f>
        <v/>
      </c>
      <c r="BD276" s="39" t="str">
        <f aca="false">IF($A276="","",IF($AC276="","",IF(OR($L276="",$AC276=0),0,MIN($AC276,ROUND(ROUND(1440*SUMPRODUCT(($L$2:INDEX($L:$L,COUNTA($C:$C))=$L276)*($B$2:INDEX($B:$B,COUNTA($C:$C))=$B276)*(ROW($L$2:INDEX($L:$L,COUNTA($C:$C)))&lt;&gt;ROW())*((((($W276+$BT$2:INDEX($BT:$BT,COUNTA($C:$C))-ABS($W276-$BT$2:INDEX($BT:$BT,COUNTA($C:$C))))/2)-(($U276+$BS$2:INDEX($BS:$BS,COUNTA($C:$C))+ABS($U276-$BS$2:INDEX($BS:$BS,COUNTA($C:$C))))/2))+ABS(((($W276+$BT$2:INDEX($BT:$BT,COUNTA($C:$C))-ABS($W276-$BT$2:INDEX($BT:$BT,COUNTA($C:$C))))/2)-(($U276+$BS$2:INDEX($BS:$BS,COUNTA($C:$C))+ABS($U276-$BS$2:INDEX($BS:$BS,COUNTA($C:$C))))/2))))/2)),4),0)))))</f>
        <v/>
      </c>
      <c r="BE276" s="39" t="str">
        <f aca="false">IF($A276="","",IF($AC276="","",ROUND(MIN($AC276-$BD276,N($R276)),0)))</f>
        <v/>
      </c>
      <c r="BF276" s="10" t="str">
        <f aca="false">IF($A276="","",IFERROR(VLOOKUP($C276,Dim_Fund!$A:$BD,56,0),""))</f>
        <v/>
      </c>
      <c r="BG276" s="10" t="str">
        <f aca="false">IF($A276="","",IFERROR(VLOOKUP($C276,Dim_Fund!$A:$BH,60,0),""))</f>
        <v/>
      </c>
      <c r="BH276" s="10" t="str">
        <f aca="false">IF($A276="","",IF($AI276&lt;&gt;"Yes","Not breached",IF($AM276="Yes","Pricing late",IF($BG276="Thin custody slack","Thin custody slack",IF($BF276="Yes","Broker-dependent","None of these")))))</f>
        <v/>
      </c>
      <c r="BI276" s="23" t="str">
        <f aca="false">IF($A276="","",IFERROR(IF(VLOOKUP($C276,Dim_Fund!$A:$AI,35,0)&gt;0,VLOOKUP($C276,Dim_Fund!$A:$AI,35,0),""),""))</f>
        <v/>
      </c>
      <c r="BJ276" s="10" t="str">
        <f aca="false">IF($A276="","",$C276&amp;IF($E276="Client","*",""))</f>
        <v/>
      </c>
      <c r="BK276" s="39" t="str">
        <f aca="false">IF($A276="","",IFERROR(ROUND(($Y276-$X276)*1440,0),""))</f>
        <v/>
      </c>
      <c r="BL276" s="39" t="str">
        <f aca="false">IF($A276="","",IF($AH276="","",-$AH276))</f>
        <v/>
      </c>
      <c r="BM276" s="46" t="str">
        <f aca="false">IF($A276="","",IF($AQ276="","",IF($AP276="",$AQ276,MIN($AP276,$AQ276))))</f>
        <v/>
      </c>
      <c r="BN276" s="46" t="str">
        <f aca="false">IF($A276="","",IF($BM276="","",ROUND(N($AC276)/60,4)))</f>
        <v/>
      </c>
      <c r="BO276" s="46" t="str">
        <f aca="false">IF($A276="","",IF(OR($BM276="",$AD276=""),"",ROUND($AD276/60,4)))</f>
        <v/>
      </c>
      <c r="BP276" s="46" t="str">
        <f aca="false">IF($A276="","",IF($BM276="","",ROUND(N($AE276)/60,4)))</f>
        <v/>
      </c>
      <c r="BQ276" s="46" t="str">
        <f aca="false">IF($A276="","",IF(OR($BM276="",$AF276=""),"",ROUND($AF276/60,4)))</f>
        <v/>
      </c>
      <c r="BR276" s="39" t="str">
        <f aca="false">IF($A276="","",IF($AC276="","",$AC276-$BD276-$BE276))</f>
        <v/>
      </c>
      <c r="BS276" s="45" t="str">
        <f aca="false">IF($A276="","",IF(AND(ISNUMBER($Z276),ISNUMBER($W276)),$Z276,0))</f>
        <v/>
      </c>
      <c r="BT276" s="45" t="str">
        <f aca="false">IF($A276="","",IF(ISNUMBER($W276),$W276,0))</f>
        <v/>
      </c>
      <c r="BU276" s="23" t="str">
        <f aca="false">IF($A276="","",IF(ISNUMBER($W276),ROUND(($W276-$B276)*24,4),""))</f>
        <v/>
      </c>
      <c r="BV276" s="23" t="str">
        <f aca="false">IF($A276="","",IF(ISNUMBER($X276),ROUND(($X276-$B276)*24,4),""))</f>
        <v/>
      </c>
      <c r="BW276" s="10" t="str">
        <f aca="false">IF($A276="","",IF(NOT(ISNUMBER($W276)),"Missing Calculated",IF(NOT(ISNUMBER($X276)),IF($E276="Client","Missing FA signed off","Missing Controlled"),IF($X276&lt;$W276,"End before start","OK"))))</f>
        <v/>
      </c>
      <c r="BX276" s="23" t="str">
        <f aca="false">IF($A276="","",IF(NOT(ISNUMBER($Z276)),"",ROUND((IF(ISNUMBER($U276),MIN($U276,$Z276),$Z276)-$B276)*24,4)))</f>
        <v/>
      </c>
      <c r="BY276" s="23" t="str">
        <f aca="false">IF($A276="","",IF(ISNUMBER($Z276),ROUND(($Z276-$B276)*24,4),""))</f>
        <v/>
      </c>
      <c r="BZ276" s="23" t="str">
        <f aca="false">IF($A276="","",IF(AND(ISNUMBER($W276),ISNUMBER($S276)),ROUND(($W276+$S276/1440-$B276)*24,4),""))</f>
        <v/>
      </c>
    </row>
    <row r="277" customFormat="false" ht="15" hidden="false" customHeight="true" outlineLevel="0" collapsed="false">
      <c r="A277" s="47"/>
      <c r="B277" s="47"/>
      <c r="D277" s="4" t="str">
        <f aca="false">IF($A277="","",$B277-$A277)</f>
        <v/>
      </c>
      <c r="E277" s="4" t="str">
        <f aca="false">IF($A277="","",IFERROR(VLOOKUP($C277,Dim_Fund!$A:$X,24,0),""))</f>
        <v/>
      </c>
      <c r="F277" s="37" t="str">
        <f aca="false">IF($A277="","",IF(COUNTIFS(Status_Log!$A:$A,$A277,Status_Log!$B:$B,$B277,Status_Log!$C:$C,$C277,Status_Log!$D:$D,"Changed to the status of Calculated")=0,"",_xlfn.MINIFS(Status_Log!$E:$E,Status_Log!$A:$A,$A277,Status_Log!$B:$B,$B277,Status_Log!$C:$C,$C277,Status_Log!$D:$D,"Changed to the status of Calculated")))</f>
        <v/>
      </c>
      <c r="G277" s="37" t="str">
        <f aca="false">IF($A277="","",IF(COUNTIFS(Status_Log!$A:$A,$A277,Status_Log!$B:$B,$B277,Status_Log!$C:$C,$C277,Status_Log!$D:$D,"Changed to the status of Controlled")=0,"",_xlfn.MAXIFS(Status_Log!$E:$E,Status_Log!$A:$A,$A277,Status_Log!$B:$B,$B277,Status_Log!$C:$C,$C277,Status_Log!$D:$D,"Changed to the status of Controlled")))</f>
        <v/>
      </c>
      <c r="H277" s="37" t="str">
        <f aca="false">IF($A277="","",IF(COUNTIFS(Status_Log!$A:$A,$A277,Status_Log!$B:$B,$B277,Status_Log!$C:$C,$C277,Status_Log!$D:$D,"Changed to the status of Fund accounting signed off")=0,"",_xlfn.MAXIFS(Status_Log!$E:$E,Status_Log!$A:$A,$A277,Status_Log!$B:$B,$B277,Status_Log!$C:$C,$C277,Status_Log!$D:$D,"Changed to the status of Fund accounting signed off")))</f>
        <v/>
      </c>
      <c r="I277" s="37" t="str">
        <f aca="false">IF($A277="","",IF(COUNTIFS(Status_Log!$A:$A,$A277,Status_Log!$B:$B,$B277,Status_Log!$C:$C,$C277,Status_Log!$D:$D,"Changed to the status of signed off")=0,"",_xlfn.MAXIFS(Status_Log!$E:$E,Status_Log!$A:$A,$A277,Status_Log!$B:$B,$B277,Status_Log!$C:$C,$C277,Status_Log!$D:$D,"Changed to the status of signed off")))</f>
        <v/>
      </c>
      <c r="J277" s="4" t="str">
        <f aca="false">IF($A277="","",COUNTIFS(Status_Log!$A:$A,$A277,Status_Log!$B:$B,$B277,Status_Log!$C:$C,$C277,Status_Log!$D:$D,"Changed to the status of Calculated"))</f>
        <v/>
      </c>
      <c r="K277" s="38" t="str">
        <f aca="false">IF($A277="","",IF(J277&lt;=1,0,ROUND((_xlfn.MAXIFS(Status_Log!$E:$E,Status_Log!$A:$A,$A277,Status_Log!$B:$B,$B277,Status_Log!$C:$C,$C277,Status_Log!$D:$D,"Changed to the status of Calculated")-F277)*1440,0)))</f>
        <v/>
      </c>
      <c r="L277" s="4" t="str">
        <f aca="false">IF($A277="","",IFERROR(INDEX(Status_Log!$F:$F,MATCH($A277&amp;"|"&amp;$B277&amp;"|"&amp;$C277&amp;"|Changed to the status of Calculated|"&amp;TEXT(_xlfn.MAXIFS(Status_Log!$E:$E,Status_Log!$A:$A,$A277,Status_Log!$B:$B,$B277,Status_Log!$C:$C,$C277,Status_Log!$D:$D,"Changed to the status of Calculated"),"0.000000"),Status_Log!$H:$H,0)),""))</f>
        <v/>
      </c>
      <c r="M277" s="4" t="str">
        <f aca="false">IF($A277="","",IF(E277="Client","n/a — no control step",IFERROR(INDEX(Status_Log!$F:$F,MATCH($A277&amp;"|"&amp;$B277&amp;"|"&amp;$C277&amp;"|Changed to the status of Controlled|"&amp;TEXT(_xlfn.MAXIFS(Status_Log!$E:$E,Status_Log!$A:$A,$A277,Status_Log!$B:$B,$B277,Status_Log!$C:$C,$C277,Status_Log!$D:$D,"Changed to the status of Controlled"),"0.000000"),Status_Log!$H:$H,0)),"")))</f>
        <v/>
      </c>
      <c r="N277" s="4" t="str">
        <f aca="false">IF($A277="","",IFERROR(VLOOKUP($C277,Dim_Fund!$A:$G,7,0),""))</f>
        <v/>
      </c>
      <c r="O277" s="4" t="str">
        <f aca="false">IF($A277="","",IF(L277=N277,"No","Yes"))</f>
        <v/>
      </c>
      <c r="P277" s="4" t="str">
        <f aca="false">IF($A277="","",IF(E277="Client","n/a",IF(L277=M277,"YES — four-eyes breach","No")))</f>
        <v/>
      </c>
      <c r="Q277" s="38" t="str">
        <f aca="false">IF($A277="","",IFERROR(VLOOKUP($C277,Dim_Fund!$A:$AB,28,0),""))</f>
        <v/>
      </c>
      <c r="R277" s="38" t="str">
        <f aca="false">IF($A277="","",IFERROR(VLOOKUP($C277,Dim_Fund!$A:$AC,29,0),""))</f>
        <v/>
      </c>
      <c r="S277" s="38" t="str">
        <f aca="false">IF($A277="","",IFERROR(VLOOKUP($C277,Dim_Fund!$A:$AD,30,0),""))</f>
        <v/>
      </c>
      <c r="T277" s="38" t="str">
        <f aca="false">IF($A277="","",IFERROR(VLOOKUP($C277,Dim_Fund!$A:$AL,38,0),""))</f>
        <v/>
      </c>
      <c r="U277" s="37" t="str">
        <f aca="false">IF($A277="","",IF(AL277="","",IFERROR(IF(COUNTIFS(Fact_Milestone!$A:$A,$B277,Fact_Milestone!$B:$B,AL277)=0,"",_xlfn.MAXIFS(Fact_Milestone!$C:$C,Fact_Milestone!$A:$A,$B277,Fact_Milestone!$B:$B,AL277)),"")))</f>
        <v/>
      </c>
      <c r="V277" s="37" t="str">
        <f aca="false">IF($A277="","",IFERROR(IF(VLOOKUP($C277,Dim_Fund!$A:$AI,35,0)&gt;0,$B277+VLOOKUP($C277,Dim_Fund!$A:$AI,35,0)/24,""),""))</f>
        <v/>
      </c>
      <c r="W277" s="37" t="str">
        <f aca="false">IF($A277="","",F277)</f>
        <v/>
      </c>
      <c r="X277" s="37" t="str">
        <f aca="false">IF($A277="","",IF(E277="Client",H277,G277))</f>
        <v/>
      </c>
      <c r="Y277" s="37" t="str">
        <f aca="false">IF($A277="","",I277)</f>
        <v/>
      </c>
      <c r="Z277" s="37" t="str">
        <f aca="false">IF($A277="","",IFERROR(W277-R277/1440,""))</f>
        <v/>
      </c>
      <c r="AA277" s="38" t="str">
        <f aca="false">IF($A277="","",IF(OR(U277="",V277=""),"",ROUND((V277-U277)*1440,0)))</f>
        <v/>
      </c>
      <c r="AB277" s="38" t="str">
        <f aca="false">IF($A277="","",IF(U277="","",ROUND((W277-U277)*1440,0)))</f>
        <v/>
      </c>
      <c r="AC277" s="38" t="str">
        <f aca="false">IF($A277="","",IF(AB277="","",MAX(0,AB277)))</f>
        <v/>
      </c>
      <c r="AD277" s="38" t="str">
        <f aca="false">IF($A277="","",IFERROR(ROUND((X277-W277)*1440,0),""))</f>
        <v/>
      </c>
      <c r="AE277" s="38" t="str">
        <f aca="false">IF($A277="","",IF(E277="Client","n/a",IFERROR(ROUND((H277-G277)*1440,0),"")))</f>
        <v/>
      </c>
      <c r="AF277" s="38" t="str">
        <f aca="false">IF($A277="","",IFERROR(ROUND((Y277-H277)*1440,0),""))</f>
        <v/>
      </c>
      <c r="AG277" s="38" t="str">
        <f aca="false">IF($A277="","",IFERROR(ROUND((H277-F277)*1440,0),""))</f>
        <v/>
      </c>
      <c r="AH277" s="38" t="str">
        <f aca="false">IF($A277="","",IFERROR(ROUND((Y277-V277)*1440,0),""))</f>
        <v/>
      </c>
      <c r="AI277" s="4" t="str">
        <f aca="false">IF($A277="","",IF(AH277="","",IF(AH277&gt;0,"Yes","No")))</f>
        <v/>
      </c>
      <c r="AJ277" s="4" t="str">
        <f aca="false">IF($A277="","",IF(AI277&lt;&gt;"Yes","On time",IF(N(AC277)&gt;=MAX(N(AF277),N(K277)),"Wait for analyst",IF(N(AF277)&gt;=N(K277),"External sign-off","Rework"))))</f>
        <v/>
      </c>
      <c r="AK277" s="4" t="str">
        <f aca="false">IF($A277="","",IF(OR(F277="",Y277="",ISNA(MATCH(L277,Dim_Analyst!$A:$A,0))),"CHECK","OK"))</f>
        <v/>
      </c>
      <c r="AL277" s="4" t="str">
        <f aca="false">IF($A277="","",IFERROR(VLOOKUP($C277,Dim_Fund!$A:$U,21,0),""))</f>
        <v/>
      </c>
      <c r="AM277" s="4" t="str">
        <f aca="false">IF($A277="","",IF($U277="","",IF($U277&gt;$B277+IFERROR(VLOOKUP($C277,Dim_Fund!$A:$AH,34,0),0)/24,"Yes","No")))</f>
        <v/>
      </c>
      <c r="AN277" s="22" t="str">
        <f aca="false">IF($A277="","",IFERROR(VLOOKUP($C277,Dim_Fund!$A:$AH,34,0),""))</f>
        <v/>
      </c>
      <c r="AO277" s="22" t="str">
        <f aca="false">IF($A277="","",IF($AL277="","",IFERROR(FLOOR(IF(COUNTIFS(Fact_Milestone!$A:$A,$B277,Fact_Milestone!$B:$B,$AL277,Fact_Milestone!$F:$F,"&gt;0")&gt;0,_xlfn.MINIFS(Fact_Milestone!$F:$F,Fact_Milestone!$A:$A,$B277,Fact_Milestone!$B:$B,$AL277,Fact_Milestone!$F:$F,"&gt;0"),VLOOKUP($AL277,Dim_TOP!$A:$E,5,0)),0.5),"")))</f>
        <v/>
      </c>
      <c r="AP277" s="22" t="str">
        <f aca="false">IF($A277="","",IF($U277="","",ROUND(($U277-INT($U277))*24,4)))</f>
        <v/>
      </c>
      <c r="AQ277" s="22" t="str">
        <f aca="false">IF($A277="","",IF($W277="","",ROUND(($W277-INT($W277))*24,4)))</f>
        <v/>
      </c>
      <c r="AR277" s="22" t="str">
        <f aca="false">IF($A277="","",IF($X277="","",ROUND(($X277-INT($X277))*24,4)))</f>
        <v/>
      </c>
      <c r="AS277" s="38" t="str">
        <f aca="false">IF($A277="","",IF(OR($AN277="",$V277="",$S277="",$T277=""),"",ROUND(($V277-($B277+$AN277/24))*1440-$S277-$T277,0)))</f>
        <v/>
      </c>
      <c r="AT277" s="38" t="str">
        <f aca="false">IF($A277="","",IF(OR($AN277="",$U277=""),"",ROUND(($U277-($B277+$AN277/24))*1440,0)))</f>
        <v/>
      </c>
      <c r="AU277" s="38" t="str">
        <f aca="false">IF($A277="","",IF(OR($AD277="",$S277=""),"",ROUND($AD277-$S277,0)))</f>
        <v/>
      </c>
      <c r="AV277" s="38" t="str">
        <f aca="false">IF($A277="","",N($AE277))</f>
        <v/>
      </c>
      <c r="AW277" s="38" t="str">
        <f aca="false">IF($A277="","",IF(OR($AF277="",$T277=""),"",$AF277-$T277))</f>
        <v/>
      </c>
      <c r="AX277" s="38" t="str">
        <f aca="false">IF($A277="","",IF(COUNT($AT277,$AB277,$AU277,$AW277,$AS277,$AH277)&lt;6,"",ROUND($AT277+$AB277+$AU277+$AV277+$AW277-$AS277-$AH277,0)))</f>
        <v/>
      </c>
      <c r="AY277" s="4" t="str">
        <f aca="false">IF($A277="","",IF($AX277="","No",IF(ABS($AX277)&lt;=2,"Yes","No")))</f>
        <v/>
      </c>
      <c r="AZ277" s="4" t="str">
        <f aca="false">IF($A277="","",IF($AI277&lt;&gt;"Yes","n/a",IF(OR($AA277="",$S277="",$T277=""),"Unknown",IF($AA277&lt;$S277+$T277,"Lost on arrival","Lost after arrival"))))</f>
        <v/>
      </c>
      <c r="BA277" s="10" t="str">
        <f aca="false">IF($A277="","",IFERROR(VLOOKUP($C277,Dim_Fund!$A:$D,4,0),""))</f>
        <v/>
      </c>
      <c r="BB277" s="10" t="str">
        <f aca="false">IF($A277="","",IF($AL277="","",IF(COUNTIFS(Fact_Milestone!$A:$A,$B277,Fact_Milestone!$B:$B,$AL277,Fact_Milestone!$I:$I,"No")&gt;0,"No",IF(COUNTIFS(Fact_Milestone!$A:$A,$B277,Fact_Milestone!$B:$B,$AL277,Fact_Milestone!$I:$I,"Yes")&gt;0,"Yes",""))))</f>
        <v/>
      </c>
      <c r="BC277" s="45" t="str">
        <f aca="false">IF($A277="","",IF(OR($L277="",$W277=""),"",IF(COUNTIFS($L:$L,$L277,$B:$B,$B277,$W:$W,"&lt;"&amp;$W277)=0,"",_xlfn.MAXIFS($W:$W,$L:$L,$L277,$B:$B,$B277,$W:$W,"&lt;"&amp;$W277))))</f>
        <v/>
      </c>
      <c r="BD277" s="39" t="str">
        <f aca="false">IF($A277="","",IF($AC277="","",IF(OR($L277="",$AC277=0),0,MIN($AC277,ROUND(ROUND(1440*SUMPRODUCT(($L$2:INDEX($L:$L,COUNTA($C:$C))=$L277)*($B$2:INDEX($B:$B,COUNTA($C:$C))=$B277)*(ROW($L$2:INDEX($L:$L,COUNTA($C:$C)))&lt;&gt;ROW())*((((($W277+$BT$2:INDEX($BT:$BT,COUNTA($C:$C))-ABS($W277-$BT$2:INDEX($BT:$BT,COUNTA($C:$C))))/2)-(($U277+$BS$2:INDEX($BS:$BS,COUNTA($C:$C))+ABS($U277-$BS$2:INDEX($BS:$BS,COUNTA($C:$C))))/2))+ABS(((($W277+$BT$2:INDEX($BT:$BT,COUNTA($C:$C))-ABS($W277-$BT$2:INDEX($BT:$BT,COUNTA($C:$C))))/2)-(($U277+$BS$2:INDEX($BS:$BS,COUNTA($C:$C))+ABS($U277-$BS$2:INDEX($BS:$BS,COUNTA($C:$C))))/2))))/2)),4),0)))))</f>
        <v/>
      </c>
      <c r="BE277" s="39" t="str">
        <f aca="false">IF($A277="","",IF($AC277="","",ROUND(MIN($AC277-$BD277,N($R277)),0)))</f>
        <v/>
      </c>
      <c r="BF277" s="10" t="str">
        <f aca="false">IF($A277="","",IFERROR(VLOOKUP($C277,Dim_Fund!$A:$BD,56,0),""))</f>
        <v/>
      </c>
      <c r="BG277" s="10" t="str">
        <f aca="false">IF($A277="","",IFERROR(VLOOKUP($C277,Dim_Fund!$A:$BH,60,0),""))</f>
        <v/>
      </c>
      <c r="BH277" s="10" t="str">
        <f aca="false">IF($A277="","",IF($AI277&lt;&gt;"Yes","Not breached",IF($AM277="Yes","Pricing late",IF($BG277="Thin custody slack","Thin custody slack",IF($BF277="Yes","Broker-dependent","None of these")))))</f>
        <v/>
      </c>
      <c r="BI277" s="23" t="str">
        <f aca="false">IF($A277="","",IFERROR(IF(VLOOKUP($C277,Dim_Fund!$A:$AI,35,0)&gt;0,VLOOKUP($C277,Dim_Fund!$A:$AI,35,0),""),""))</f>
        <v/>
      </c>
      <c r="BJ277" s="10" t="str">
        <f aca="false">IF($A277="","",$C277&amp;IF($E277="Client","*",""))</f>
        <v/>
      </c>
      <c r="BK277" s="39" t="str">
        <f aca="false">IF($A277="","",IFERROR(ROUND(($Y277-$X277)*1440,0),""))</f>
        <v/>
      </c>
      <c r="BL277" s="39" t="str">
        <f aca="false">IF($A277="","",IF($AH277="","",-$AH277))</f>
        <v/>
      </c>
      <c r="BM277" s="46" t="str">
        <f aca="false">IF($A277="","",IF($AQ277="","",IF($AP277="",$AQ277,MIN($AP277,$AQ277))))</f>
        <v/>
      </c>
      <c r="BN277" s="46" t="str">
        <f aca="false">IF($A277="","",IF($BM277="","",ROUND(N($AC277)/60,4)))</f>
        <v/>
      </c>
      <c r="BO277" s="46" t="str">
        <f aca="false">IF($A277="","",IF(OR($BM277="",$AD277=""),"",ROUND($AD277/60,4)))</f>
        <v/>
      </c>
      <c r="BP277" s="46" t="str">
        <f aca="false">IF($A277="","",IF($BM277="","",ROUND(N($AE277)/60,4)))</f>
        <v/>
      </c>
      <c r="BQ277" s="46" t="str">
        <f aca="false">IF($A277="","",IF(OR($BM277="",$AF277=""),"",ROUND($AF277/60,4)))</f>
        <v/>
      </c>
      <c r="BR277" s="39" t="str">
        <f aca="false">IF($A277="","",IF($AC277="","",$AC277-$BD277-$BE277))</f>
        <v/>
      </c>
      <c r="BS277" s="45" t="str">
        <f aca="false">IF($A277="","",IF(AND(ISNUMBER($Z277),ISNUMBER($W277)),$Z277,0))</f>
        <v/>
      </c>
      <c r="BT277" s="45" t="str">
        <f aca="false">IF($A277="","",IF(ISNUMBER($W277),$W277,0))</f>
        <v/>
      </c>
      <c r="BU277" s="23" t="str">
        <f aca="false">IF($A277="","",IF(ISNUMBER($W277),ROUND(($W277-$B277)*24,4),""))</f>
        <v/>
      </c>
      <c r="BV277" s="23" t="str">
        <f aca="false">IF($A277="","",IF(ISNUMBER($X277),ROUND(($X277-$B277)*24,4),""))</f>
        <v/>
      </c>
      <c r="BW277" s="10" t="str">
        <f aca="false">IF($A277="","",IF(NOT(ISNUMBER($W277)),"Missing Calculated",IF(NOT(ISNUMBER($X277)),IF($E277="Client","Missing FA signed off","Missing Controlled"),IF($X277&lt;$W277,"End before start","OK"))))</f>
        <v/>
      </c>
      <c r="BX277" s="23" t="str">
        <f aca="false">IF($A277="","",IF(NOT(ISNUMBER($Z277)),"",ROUND((IF(ISNUMBER($U277),MIN($U277,$Z277),$Z277)-$B277)*24,4)))</f>
        <v/>
      </c>
      <c r="BY277" s="23" t="str">
        <f aca="false">IF($A277="","",IF(ISNUMBER($Z277),ROUND(($Z277-$B277)*24,4),""))</f>
        <v/>
      </c>
      <c r="BZ277" s="23" t="str">
        <f aca="false">IF($A277="","",IF(AND(ISNUMBER($W277),ISNUMBER($S277)),ROUND(($W277+$S277/1440-$B277)*24,4),""))</f>
        <v/>
      </c>
    </row>
    <row r="278" customFormat="false" ht="15" hidden="false" customHeight="true" outlineLevel="0" collapsed="false">
      <c r="A278" s="47"/>
      <c r="B278" s="47"/>
      <c r="D278" s="4" t="str">
        <f aca="false">IF($A278="","",$B278-$A278)</f>
        <v/>
      </c>
      <c r="E278" s="4" t="str">
        <f aca="false">IF($A278="","",IFERROR(VLOOKUP($C278,Dim_Fund!$A:$X,24,0),""))</f>
        <v/>
      </c>
      <c r="F278" s="37" t="str">
        <f aca="false">IF($A278="","",IF(COUNTIFS(Status_Log!$A:$A,$A278,Status_Log!$B:$B,$B278,Status_Log!$C:$C,$C278,Status_Log!$D:$D,"Changed to the status of Calculated")=0,"",_xlfn.MINIFS(Status_Log!$E:$E,Status_Log!$A:$A,$A278,Status_Log!$B:$B,$B278,Status_Log!$C:$C,$C278,Status_Log!$D:$D,"Changed to the status of Calculated")))</f>
        <v/>
      </c>
      <c r="G278" s="37" t="str">
        <f aca="false">IF($A278="","",IF(COUNTIFS(Status_Log!$A:$A,$A278,Status_Log!$B:$B,$B278,Status_Log!$C:$C,$C278,Status_Log!$D:$D,"Changed to the status of Controlled")=0,"",_xlfn.MAXIFS(Status_Log!$E:$E,Status_Log!$A:$A,$A278,Status_Log!$B:$B,$B278,Status_Log!$C:$C,$C278,Status_Log!$D:$D,"Changed to the status of Controlled")))</f>
        <v/>
      </c>
      <c r="H278" s="37" t="str">
        <f aca="false">IF($A278="","",IF(COUNTIFS(Status_Log!$A:$A,$A278,Status_Log!$B:$B,$B278,Status_Log!$C:$C,$C278,Status_Log!$D:$D,"Changed to the status of Fund accounting signed off")=0,"",_xlfn.MAXIFS(Status_Log!$E:$E,Status_Log!$A:$A,$A278,Status_Log!$B:$B,$B278,Status_Log!$C:$C,$C278,Status_Log!$D:$D,"Changed to the status of Fund accounting signed off")))</f>
        <v/>
      </c>
      <c r="I278" s="37" t="str">
        <f aca="false">IF($A278="","",IF(COUNTIFS(Status_Log!$A:$A,$A278,Status_Log!$B:$B,$B278,Status_Log!$C:$C,$C278,Status_Log!$D:$D,"Changed to the status of signed off")=0,"",_xlfn.MAXIFS(Status_Log!$E:$E,Status_Log!$A:$A,$A278,Status_Log!$B:$B,$B278,Status_Log!$C:$C,$C278,Status_Log!$D:$D,"Changed to the status of signed off")))</f>
        <v/>
      </c>
      <c r="J278" s="4" t="str">
        <f aca="false">IF($A278="","",COUNTIFS(Status_Log!$A:$A,$A278,Status_Log!$B:$B,$B278,Status_Log!$C:$C,$C278,Status_Log!$D:$D,"Changed to the status of Calculated"))</f>
        <v/>
      </c>
      <c r="K278" s="38" t="str">
        <f aca="false">IF($A278="","",IF(J278&lt;=1,0,ROUND((_xlfn.MAXIFS(Status_Log!$E:$E,Status_Log!$A:$A,$A278,Status_Log!$B:$B,$B278,Status_Log!$C:$C,$C278,Status_Log!$D:$D,"Changed to the status of Calculated")-F278)*1440,0)))</f>
        <v/>
      </c>
      <c r="L278" s="4" t="str">
        <f aca="false">IF($A278="","",IFERROR(INDEX(Status_Log!$F:$F,MATCH($A278&amp;"|"&amp;$B278&amp;"|"&amp;$C278&amp;"|Changed to the status of Calculated|"&amp;TEXT(_xlfn.MAXIFS(Status_Log!$E:$E,Status_Log!$A:$A,$A278,Status_Log!$B:$B,$B278,Status_Log!$C:$C,$C278,Status_Log!$D:$D,"Changed to the status of Calculated"),"0.000000"),Status_Log!$H:$H,0)),""))</f>
        <v/>
      </c>
      <c r="M278" s="4" t="str">
        <f aca="false">IF($A278="","",IF(E278="Client","n/a — no control step",IFERROR(INDEX(Status_Log!$F:$F,MATCH($A278&amp;"|"&amp;$B278&amp;"|"&amp;$C278&amp;"|Changed to the status of Controlled|"&amp;TEXT(_xlfn.MAXIFS(Status_Log!$E:$E,Status_Log!$A:$A,$A278,Status_Log!$B:$B,$B278,Status_Log!$C:$C,$C278,Status_Log!$D:$D,"Changed to the status of Controlled"),"0.000000"),Status_Log!$H:$H,0)),"")))</f>
        <v/>
      </c>
      <c r="N278" s="4" t="str">
        <f aca="false">IF($A278="","",IFERROR(VLOOKUP($C278,Dim_Fund!$A:$G,7,0),""))</f>
        <v/>
      </c>
      <c r="O278" s="4" t="str">
        <f aca="false">IF($A278="","",IF(L278=N278,"No","Yes"))</f>
        <v/>
      </c>
      <c r="P278" s="4" t="str">
        <f aca="false">IF($A278="","",IF(E278="Client","n/a",IF(L278=M278,"YES — four-eyes breach","No")))</f>
        <v/>
      </c>
      <c r="Q278" s="38" t="str">
        <f aca="false">IF($A278="","",IFERROR(VLOOKUP($C278,Dim_Fund!$A:$AB,28,0),""))</f>
        <v/>
      </c>
      <c r="R278" s="38" t="str">
        <f aca="false">IF($A278="","",IFERROR(VLOOKUP($C278,Dim_Fund!$A:$AC,29,0),""))</f>
        <v/>
      </c>
      <c r="S278" s="38" t="str">
        <f aca="false">IF($A278="","",IFERROR(VLOOKUP($C278,Dim_Fund!$A:$AD,30,0),""))</f>
        <v/>
      </c>
      <c r="T278" s="38" t="str">
        <f aca="false">IF($A278="","",IFERROR(VLOOKUP($C278,Dim_Fund!$A:$AL,38,0),""))</f>
        <v/>
      </c>
      <c r="U278" s="37" t="str">
        <f aca="false">IF($A278="","",IF(AL278="","",IFERROR(IF(COUNTIFS(Fact_Milestone!$A:$A,$B278,Fact_Milestone!$B:$B,AL278)=0,"",_xlfn.MAXIFS(Fact_Milestone!$C:$C,Fact_Milestone!$A:$A,$B278,Fact_Milestone!$B:$B,AL278)),"")))</f>
        <v/>
      </c>
      <c r="V278" s="37" t="str">
        <f aca="false">IF($A278="","",IFERROR(IF(VLOOKUP($C278,Dim_Fund!$A:$AI,35,0)&gt;0,$B278+VLOOKUP($C278,Dim_Fund!$A:$AI,35,0)/24,""),""))</f>
        <v/>
      </c>
      <c r="W278" s="37" t="str">
        <f aca="false">IF($A278="","",F278)</f>
        <v/>
      </c>
      <c r="X278" s="37" t="str">
        <f aca="false">IF($A278="","",IF(E278="Client",H278,G278))</f>
        <v/>
      </c>
      <c r="Y278" s="37" t="str">
        <f aca="false">IF($A278="","",I278)</f>
        <v/>
      </c>
      <c r="Z278" s="37" t="str">
        <f aca="false">IF($A278="","",IFERROR(W278-R278/1440,""))</f>
        <v/>
      </c>
      <c r="AA278" s="38" t="str">
        <f aca="false">IF($A278="","",IF(OR(U278="",V278=""),"",ROUND((V278-U278)*1440,0)))</f>
        <v/>
      </c>
      <c r="AB278" s="38" t="str">
        <f aca="false">IF($A278="","",IF(U278="","",ROUND((W278-U278)*1440,0)))</f>
        <v/>
      </c>
      <c r="AC278" s="38" t="str">
        <f aca="false">IF($A278="","",IF(AB278="","",MAX(0,AB278)))</f>
        <v/>
      </c>
      <c r="AD278" s="38" t="str">
        <f aca="false">IF($A278="","",IFERROR(ROUND((X278-W278)*1440,0),""))</f>
        <v/>
      </c>
      <c r="AE278" s="38" t="str">
        <f aca="false">IF($A278="","",IF(E278="Client","n/a",IFERROR(ROUND((H278-G278)*1440,0),"")))</f>
        <v/>
      </c>
      <c r="AF278" s="38" t="str">
        <f aca="false">IF($A278="","",IFERROR(ROUND((Y278-H278)*1440,0),""))</f>
        <v/>
      </c>
      <c r="AG278" s="38" t="str">
        <f aca="false">IF($A278="","",IFERROR(ROUND((H278-F278)*1440,0),""))</f>
        <v/>
      </c>
      <c r="AH278" s="38" t="str">
        <f aca="false">IF($A278="","",IFERROR(ROUND((Y278-V278)*1440,0),""))</f>
        <v/>
      </c>
      <c r="AI278" s="4" t="str">
        <f aca="false">IF($A278="","",IF(AH278="","",IF(AH278&gt;0,"Yes","No")))</f>
        <v/>
      </c>
      <c r="AJ278" s="4" t="str">
        <f aca="false">IF($A278="","",IF(AI278&lt;&gt;"Yes","On time",IF(N(AC278)&gt;=MAX(N(AF278),N(K278)),"Wait for analyst",IF(N(AF278)&gt;=N(K278),"External sign-off","Rework"))))</f>
        <v/>
      </c>
      <c r="AK278" s="4" t="str">
        <f aca="false">IF($A278="","",IF(OR(F278="",Y278="",ISNA(MATCH(L278,Dim_Analyst!$A:$A,0))),"CHECK","OK"))</f>
        <v/>
      </c>
      <c r="AL278" s="4" t="str">
        <f aca="false">IF($A278="","",IFERROR(VLOOKUP($C278,Dim_Fund!$A:$U,21,0),""))</f>
        <v/>
      </c>
      <c r="AM278" s="4" t="str">
        <f aca="false">IF($A278="","",IF($U278="","",IF($U278&gt;$B278+IFERROR(VLOOKUP($C278,Dim_Fund!$A:$AH,34,0),0)/24,"Yes","No")))</f>
        <v/>
      </c>
      <c r="AN278" s="22" t="str">
        <f aca="false">IF($A278="","",IFERROR(VLOOKUP($C278,Dim_Fund!$A:$AH,34,0),""))</f>
        <v/>
      </c>
      <c r="AO278" s="22" t="str">
        <f aca="false">IF($A278="","",IF($AL278="","",IFERROR(FLOOR(IF(COUNTIFS(Fact_Milestone!$A:$A,$B278,Fact_Milestone!$B:$B,$AL278,Fact_Milestone!$F:$F,"&gt;0")&gt;0,_xlfn.MINIFS(Fact_Milestone!$F:$F,Fact_Milestone!$A:$A,$B278,Fact_Milestone!$B:$B,$AL278,Fact_Milestone!$F:$F,"&gt;0"),VLOOKUP($AL278,Dim_TOP!$A:$E,5,0)),0.5),"")))</f>
        <v/>
      </c>
      <c r="AP278" s="22" t="str">
        <f aca="false">IF($A278="","",IF($U278="","",ROUND(($U278-INT($U278))*24,4)))</f>
        <v/>
      </c>
      <c r="AQ278" s="22" t="str">
        <f aca="false">IF($A278="","",IF($W278="","",ROUND(($W278-INT($W278))*24,4)))</f>
        <v/>
      </c>
      <c r="AR278" s="22" t="str">
        <f aca="false">IF($A278="","",IF($X278="","",ROUND(($X278-INT($X278))*24,4)))</f>
        <v/>
      </c>
      <c r="AS278" s="38" t="str">
        <f aca="false">IF($A278="","",IF(OR($AN278="",$V278="",$S278="",$T278=""),"",ROUND(($V278-($B278+$AN278/24))*1440-$S278-$T278,0)))</f>
        <v/>
      </c>
      <c r="AT278" s="38" t="str">
        <f aca="false">IF($A278="","",IF(OR($AN278="",$U278=""),"",ROUND(($U278-($B278+$AN278/24))*1440,0)))</f>
        <v/>
      </c>
      <c r="AU278" s="38" t="str">
        <f aca="false">IF($A278="","",IF(OR($AD278="",$S278=""),"",ROUND($AD278-$S278,0)))</f>
        <v/>
      </c>
      <c r="AV278" s="38" t="str">
        <f aca="false">IF($A278="","",N($AE278))</f>
        <v/>
      </c>
      <c r="AW278" s="38" t="str">
        <f aca="false">IF($A278="","",IF(OR($AF278="",$T278=""),"",$AF278-$T278))</f>
        <v/>
      </c>
      <c r="AX278" s="38" t="str">
        <f aca="false">IF($A278="","",IF(COUNT($AT278,$AB278,$AU278,$AW278,$AS278,$AH278)&lt;6,"",ROUND($AT278+$AB278+$AU278+$AV278+$AW278-$AS278-$AH278,0)))</f>
        <v/>
      </c>
      <c r="AY278" s="4" t="str">
        <f aca="false">IF($A278="","",IF($AX278="","No",IF(ABS($AX278)&lt;=2,"Yes","No")))</f>
        <v/>
      </c>
      <c r="AZ278" s="4" t="str">
        <f aca="false">IF($A278="","",IF($AI278&lt;&gt;"Yes","n/a",IF(OR($AA278="",$S278="",$T278=""),"Unknown",IF($AA278&lt;$S278+$T278,"Lost on arrival","Lost after arrival"))))</f>
        <v/>
      </c>
      <c r="BA278" s="10" t="str">
        <f aca="false">IF($A278="","",IFERROR(VLOOKUP($C278,Dim_Fund!$A:$D,4,0),""))</f>
        <v/>
      </c>
      <c r="BB278" s="10" t="str">
        <f aca="false">IF($A278="","",IF($AL278="","",IF(COUNTIFS(Fact_Milestone!$A:$A,$B278,Fact_Milestone!$B:$B,$AL278,Fact_Milestone!$I:$I,"No")&gt;0,"No",IF(COUNTIFS(Fact_Milestone!$A:$A,$B278,Fact_Milestone!$B:$B,$AL278,Fact_Milestone!$I:$I,"Yes")&gt;0,"Yes",""))))</f>
        <v/>
      </c>
      <c r="BC278" s="45" t="str">
        <f aca="false">IF($A278="","",IF(OR($L278="",$W278=""),"",IF(COUNTIFS($L:$L,$L278,$B:$B,$B278,$W:$W,"&lt;"&amp;$W278)=0,"",_xlfn.MAXIFS($W:$W,$L:$L,$L278,$B:$B,$B278,$W:$W,"&lt;"&amp;$W278))))</f>
        <v/>
      </c>
      <c r="BD278" s="39" t="str">
        <f aca="false">IF($A278="","",IF($AC278="","",IF(OR($L278="",$AC278=0),0,MIN($AC278,ROUND(ROUND(1440*SUMPRODUCT(($L$2:INDEX($L:$L,COUNTA($C:$C))=$L278)*($B$2:INDEX($B:$B,COUNTA($C:$C))=$B278)*(ROW($L$2:INDEX($L:$L,COUNTA($C:$C)))&lt;&gt;ROW())*((((($W278+$BT$2:INDEX($BT:$BT,COUNTA($C:$C))-ABS($W278-$BT$2:INDEX($BT:$BT,COUNTA($C:$C))))/2)-(($U278+$BS$2:INDEX($BS:$BS,COUNTA($C:$C))+ABS($U278-$BS$2:INDEX($BS:$BS,COUNTA($C:$C))))/2))+ABS(((($W278+$BT$2:INDEX($BT:$BT,COUNTA($C:$C))-ABS($W278-$BT$2:INDEX($BT:$BT,COUNTA($C:$C))))/2)-(($U278+$BS$2:INDEX($BS:$BS,COUNTA($C:$C))+ABS($U278-$BS$2:INDEX($BS:$BS,COUNTA($C:$C))))/2))))/2)),4),0)))))</f>
        <v/>
      </c>
      <c r="BE278" s="39" t="str">
        <f aca="false">IF($A278="","",IF($AC278="","",ROUND(MIN($AC278-$BD278,N($R278)),0)))</f>
        <v/>
      </c>
      <c r="BF278" s="10" t="str">
        <f aca="false">IF($A278="","",IFERROR(VLOOKUP($C278,Dim_Fund!$A:$BD,56,0),""))</f>
        <v/>
      </c>
      <c r="BG278" s="10" t="str">
        <f aca="false">IF($A278="","",IFERROR(VLOOKUP($C278,Dim_Fund!$A:$BH,60,0),""))</f>
        <v/>
      </c>
      <c r="BH278" s="10" t="str">
        <f aca="false">IF($A278="","",IF($AI278&lt;&gt;"Yes","Not breached",IF($AM278="Yes","Pricing late",IF($BG278="Thin custody slack","Thin custody slack",IF($BF278="Yes","Broker-dependent","None of these")))))</f>
        <v/>
      </c>
      <c r="BI278" s="23" t="str">
        <f aca="false">IF($A278="","",IFERROR(IF(VLOOKUP($C278,Dim_Fund!$A:$AI,35,0)&gt;0,VLOOKUP($C278,Dim_Fund!$A:$AI,35,0),""),""))</f>
        <v/>
      </c>
      <c r="BJ278" s="10" t="str">
        <f aca="false">IF($A278="","",$C278&amp;IF($E278="Client","*",""))</f>
        <v/>
      </c>
      <c r="BK278" s="39" t="str">
        <f aca="false">IF($A278="","",IFERROR(ROUND(($Y278-$X278)*1440,0),""))</f>
        <v/>
      </c>
      <c r="BL278" s="39" t="str">
        <f aca="false">IF($A278="","",IF($AH278="","",-$AH278))</f>
        <v/>
      </c>
      <c r="BM278" s="46" t="str">
        <f aca="false">IF($A278="","",IF($AQ278="","",IF($AP278="",$AQ278,MIN($AP278,$AQ278))))</f>
        <v/>
      </c>
      <c r="BN278" s="46" t="str">
        <f aca="false">IF($A278="","",IF($BM278="","",ROUND(N($AC278)/60,4)))</f>
        <v/>
      </c>
      <c r="BO278" s="46" t="str">
        <f aca="false">IF($A278="","",IF(OR($BM278="",$AD278=""),"",ROUND($AD278/60,4)))</f>
        <v/>
      </c>
      <c r="BP278" s="46" t="str">
        <f aca="false">IF($A278="","",IF($BM278="","",ROUND(N($AE278)/60,4)))</f>
        <v/>
      </c>
      <c r="BQ278" s="46" t="str">
        <f aca="false">IF($A278="","",IF(OR($BM278="",$AF278=""),"",ROUND($AF278/60,4)))</f>
        <v/>
      </c>
      <c r="BR278" s="39" t="str">
        <f aca="false">IF($A278="","",IF($AC278="","",$AC278-$BD278-$BE278))</f>
        <v/>
      </c>
      <c r="BS278" s="45" t="str">
        <f aca="false">IF($A278="","",IF(AND(ISNUMBER($Z278),ISNUMBER($W278)),$Z278,0))</f>
        <v/>
      </c>
      <c r="BT278" s="45" t="str">
        <f aca="false">IF($A278="","",IF(ISNUMBER($W278),$W278,0))</f>
        <v/>
      </c>
      <c r="BU278" s="23" t="str">
        <f aca="false">IF($A278="","",IF(ISNUMBER($W278),ROUND(($W278-$B278)*24,4),""))</f>
        <v/>
      </c>
      <c r="BV278" s="23" t="str">
        <f aca="false">IF($A278="","",IF(ISNUMBER($X278),ROUND(($X278-$B278)*24,4),""))</f>
        <v/>
      </c>
      <c r="BW278" s="10" t="str">
        <f aca="false">IF($A278="","",IF(NOT(ISNUMBER($W278)),"Missing Calculated",IF(NOT(ISNUMBER($X278)),IF($E278="Client","Missing FA signed off","Missing Controlled"),IF($X278&lt;$W278,"End before start","OK"))))</f>
        <v/>
      </c>
      <c r="BX278" s="23" t="str">
        <f aca="false">IF($A278="","",IF(NOT(ISNUMBER($Z278)),"",ROUND((IF(ISNUMBER($U278),MIN($U278,$Z278),$Z278)-$B278)*24,4)))</f>
        <v/>
      </c>
      <c r="BY278" s="23" t="str">
        <f aca="false">IF($A278="","",IF(ISNUMBER($Z278),ROUND(($Z278-$B278)*24,4),""))</f>
        <v/>
      </c>
      <c r="BZ278" s="23" t="str">
        <f aca="false">IF($A278="","",IF(AND(ISNUMBER($W278),ISNUMBER($S278)),ROUND(($W278+$S278/1440-$B278)*24,4),""))</f>
        <v/>
      </c>
    </row>
    <row r="279" customFormat="false" ht="15" hidden="false" customHeight="true" outlineLevel="0" collapsed="false">
      <c r="A279" s="47"/>
      <c r="B279" s="47"/>
      <c r="D279" s="4" t="str">
        <f aca="false">IF($A279="","",$B279-$A279)</f>
        <v/>
      </c>
      <c r="E279" s="4" t="str">
        <f aca="false">IF($A279="","",IFERROR(VLOOKUP($C279,Dim_Fund!$A:$X,24,0),""))</f>
        <v/>
      </c>
      <c r="F279" s="37" t="str">
        <f aca="false">IF($A279="","",IF(COUNTIFS(Status_Log!$A:$A,$A279,Status_Log!$B:$B,$B279,Status_Log!$C:$C,$C279,Status_Log!$D:$D,"Changed to the status of Calculated")=0,"",_xlfn.MINIFS(Status_Log!$E:$E,Status_Log!$A:$A,$A279,Status_Log!$B:$B,$B279,Status_Log!$C:$C,$C279,Status_Log!$D:$D,"Changed to the status of Calculated")))</f>
        <v/>
      </c>
      <c r="G279" s="37" t="str">
        <f aca="false">IF($A279="","",IF(COUNTIFS(Status_Log!$A:$A,$A279,Status_Log!$B:$B,$B279,Status_Log!$C:$C,$C279,Status_Log!$D:$D,"Changed to the status of Controlled")=0,"",_xlfn.MAXIFS(Status_Log!$E:$E,Status_Log!$A:$A,$A279,Status_Log!$B:$B,$B279,Status_Log!$C:$C,$C279,Status_Log!$D:$D,"Changed to the status of Controlled")))</f>
        <v/>
      </c>
      <c r="H279" s="37" t="str">
        <f aca="false">IF($A279="","",IF(COUNTIFS(Status_Log!$A:$A,$A279,Status_Log!$B:$B,$B279,Status_Log!$C:$C,$C279,Status_Log!$D:$D,"Changed to the status of Fund accounting signed off")=0,"",_xlfn.MAXIFS(Status_Log!$E:$E,Status_Log!$A:$A,$A279,Status_Log!$B:$B,$B279,Status_Log!$C:$C,$C279,Status_Log!$D:$D,"Changed to the status of Fund accounting signed off")))</f>
        <v/>
      </c>
      <c r="I279" s="37" t="str">
        <f aca="false">IF($A279="","",IF(COUNTIFS(Status_Log!$A:$A,$A279,Status_Log!$B:$B,$B279,Status_Log!$C:$C,$C279,Status_Log!$D:$D,"Changed to the status of signed off")=0,"",_xlfn.MAXIFS(Status_Log!$E:$E,Status_Log!$A:$A,$A279,Status_Log!$B:$B,$B279,Status_Log!$C:$C,$C279,Status_Log!$D:$D,"Changed to the status of signed off")))</f>
        <v/>
      </c>
      <c r="J279" s="4" t="str">
        <f aca="false">IF($A279="","",COUNTIFS(Status_Log!$A:$A,$A279,Status_Log!$B:$B,$B279,Status_Log!$C:$C,$C279,Status_Log!$D:$D,"Changed to the status of Calculated"))</f>
        <v/>
      </c>
      <c r="K279" s="38" t="str">
        <f aca="false">IF($A279="","",IF(J279&lt;=1,0,ROUND((_xlfn.MAXIFS(Status_Log!$E:$E,Status_Log!$A:$A,$A279,Status_Log!$B:$B,$B279,Status_Log!$C:$C,$C279,Status_Log!$D:$D,"Changed to the status of Calculated")-F279)*1440,0)))</f>
        <v/>
      </c>
      <c r="L279" s="4" t="str">
        <f aca="false">IF($A279="","",IFERROR(INDEX(Status_Log!$F:$F,MATCH($A279&amp;"|"&amp;$B279&amp;"|"&amp;$C279&amp;"|Changed to the status of Calculated|"&amp;TEXT(_xlfn.MAXIFS(Status_Log!$E:$E,Status_Log!$A:$A,$A279,Status_Log!$B:$B,$B279,Status_Log!$C:$C,$C279,Status_Log!$D:$D,"Changed to the status of Calculated"),"0.000000"),Status_Log!$H:$H,0)),""))</f>
        <v/>
      </c>
      <c r="M279" s="4" t="str">
        <f aca="false">IF($A279="","",IF(E279="Client","n/a — no control step",IFERROR(INDEX(Status_Log!$F:$F,MATCH($A279&amp;"|"&amp;$B279&amp;"|"&amp;$C279&amp;"|Changed to the status of Controlled|"&amp;TEXT(_xlfn.MAXIFS(Status_Log!$E:$E,Status_Log!$A:$A,$A279,Status_Log!$B:$B,$B279,Status_Log!$C:$C,$C279,Status_Log!$D:$D,"Changed to the status of Controlled"),"0.000000"),Status_Log!$H:$H,0)),"")))</f>
        <v/>
      </c>
      <c r="N279" s="4" t="str">
        <f aca="false">IF($A279="","",IFERROR(VLOOKUP($C279,Dim_Fund!$A:$G,7,0),""))</f>
        <v/>
      </c>
      <c r="O279" s="4" t="str">
        <f aca="false">IF($A279="","",IF(L279=N279,"No","Yes"))</f>
        <v/>
      </c>
      <c r="P279" s="4" t="str">
        <f aca="false">IF($A279="","",IF(E279="Client","n/a",IF(L279=M279,"YES — four-eyes breach","No")))</f>
        <v/>
      </c>
      <c r="Q279" s="38" t="str">
        <f aca="false">IF($A279="","",IFERROR(VLOOKUP($C279,Dim_Fund!$A:$AB,28,0),""))</f>
        <v/>
      </c>
      <c r="R279" s="38" t="str">
        <f aca="false">IF($A279="","",IFERROR(VLOOKUP($C279,Dim_Fund!$A:$AC,29,0),""))</f>
        <v/>
      </c>
      <c r="S279" s="38" t="str">
        <f aca="false">IF($A279="","",IFERROR(VLOOKUP($C279,Dim_Fund!$A:$AD,30,0),""))</f>
        <v/>
      </c>
      <c r="T279" s="38" t="str">
        <f aca="false">IF($A279="","",IFERROR(VLOOKUP($C279,Dim_Fund!$A:$AL,38,0),""))</f>
        <v/>
      </c>
      <c r="U279" s="37" t="str">
        <f aca="false">IF($A279="","",IF(AL279="","",IFERROR(IF(COUNTIFS(Fact_Milestone!$A:$A,$B279,Fact_Milestone!$B:$B,AL279)=0,"",_xlfn.MAXIFS(Fact_Milestone!$C:$C,Fact_Milestone!$A:$A,$B279,Fact_Milestone!$B:$B,AL279)),"")))</f>
        <v/>
      </c>
      <c r="V279" s="37" t="str">
        <f aca="false">IF($A279="","",IFERROR(IF(VLOOKUP($C279,Dim_Fund!$A:$AI,35,0)&gt;0,$B279+VLOOKUP($C279,Dim_Fund!$A:$AI,35,0)/24,""),""))</f>
        <v/>
      </c>
      <c r="W279" s="37" t="str">
        <f aca="false">IF($A279="","",F279)</f>
        <v/>
      </c>
      <c r="X279" s="37" t="str">
        <f aca="false">IF($A279="","",IF(E279="Client",H279,G279))</f>
        <v/>
      </c>
      <c r="Y279" s="37" t="str">
        <f aca="false">IF($A279="","",I279)</f>
        <v/>
      </c>
      <c r="Z279" s="37" t="str">
        <f aca="false">IF($A279="","",IFERROR(W279-R279/1440,""))</f>
        <v/>
      </c>
      <c r="AA279" s="38" t="str">
        <f aca="false">IF($A279="","",IF(OR(U279="",V279=""),"",ROUND((V279-U279)*1440,0)))</f>
        <v/>
      </c>
      <c r="AB279" s="38" t="str">
        <f aca="false">IF($A279="","",IF(U279="","",ROUND((W279-U279)*1440,0)))</f>
        <v/>
      </c>
      <c r="AC279" s="38" t="str">
        <f aca="false">IF($A279="","",IF(AB279="","",MAX(0,AB279)))</f>
        <v/>
      </c>
      <c r="AD279" s="38" t="str">
        <f aca="false">IF($A279="","",IFERROR(ROUND((X279-W279)*1440,0),""))</f>
        <v/>
      </c>
      <c r="AE279" s="38" t="str">
        <f aca="false">IF($A279="","",IF(E279="Client","n/a",IFERROR(ROUND((H279-G279)*1440,0),"")))</f>
        <v/>
      </c>
      <c r="AF279" s="38" t="str">
        <f aca="false">IF($A279="","",IFERROR(ROUND((Y279-H279)*1440,0),""))</f>
        <v/>
      </c>
      <c r="AG279" s="38" t="str">
        <f aca="false">IF($A279="","",IFERROR(ROUND((H279-F279)*1440,0),""))</f>
        <v/>
      </c>
      <c r="AH279" s="38" t="str">
        <f aca="false">IF($A279="","",IFERROR(ROUND((Y279-V279)*1440,0),""))</f>
        <v/>
      </c>
      <c r="AI279" s="4" t="str">
        <f aca="false">IF($A279="","",IF(AH279="","",IF(AH279&gt;0,"Yes","No")))</f>
        <v/>
      </c>
      <c r="AJ279" s="4" t="str">
        <f aca="false">IF($A279="","",IF(AI279&lt;&gt;"Yes","On time",IF(N(AC279)&gt;=MAX(N(AF279),N(K279)),"Wait for analyst",IF(N(AF279)&gt;=N(K279),"External sign-off","Rework"))))</f>
        <v/>
      </c>
      <c r="AK279" s="4" t="str">
        <f aca="false">IF($A279="","",IF(OR(F279="",Y279="",ISNA(MATCH(L279,Dim_Analyst!$A:$A,0))),"CHECK","OK"))</f>
        <v/>
      </c>
      <c r="AL279" s="4" t="str">
        <f aca="false">IF($A279="","",IFERROR(VLOOKUP($C279,Dim_Fund!$A:$U,21,0),""))</f>
        <v/>
      </c>
      <c r="AM279" s="4" t="str">
        <f aca="false">IF($A279="","",IF($U279="","",IF($U279&gt;$B279+IFERROR(VLOOKUP($C279,Dim_Fund!$A:$AH,34,0),0)/24,"Yes","No")))</f>
        <v/>
      </c>
      <c r="AN279" s="22" t="str">
        <f aca="false">IF($A279="","",IFERROR(VLOOKUP($C279,Dim_Fund!$A:$AH,34,0),""))</f>
        <v/>
      </c>
      <c r="AO279" s="22" t="str">
        <f aca="false">IF($A279="","",IF($AL279="","",IFERROR(FLOOR(IF(COUNTIFS(Fact_Milestone!$A:$A,$B279,Fact_Milestone!$B:$B,$AL279,Fact_Milestone!$F:$F,"&gt;0")&gt;0,_xlfn.MINIFS(Fact_Milestone!$F:$F,Fact_Milestone!$A:$A,$B279,Fact_Milestone!$B:$B,$AL279,Fact_Milestone!$F:$F,"&gt;0"),VLOOKUP($AL279,Dim_TOP!$A:$E,5,0)),0.5),"")))</f>
        <v/>
      </c>
      <c r="AP279" s="22" t="str">
        <f aca="false">IF($A279="","",IF($U279="","",ROUND(($U279-INT($U279))*24,4)))</f>
        <v/>
      </c>
      <c r="AQ279" s="22" t="str">
        <f aca="false">IF($A279="","",IF($W279="","",ROUND(($W279-INT($W279))*24,4)))</f>
        <v/>
      </c>
      <c r="AR279" s="22" t="str">
        <f aca="false">IF($A279="","",IF($X279="","",ROUND(($X279-INT($X279))*24,4)))</f>
        <v/>
      </c>
      <c r="AS279" s="38" t="str">
        <f aca="false">IF($A279="","",IF(OR($AN279="",$V279="",$S279="",$T279=""),"",ROUND(($V279-($B279+$AN279/24))*1440-$S279-$T279,0)))</f>
        <v/>
      </c>
      <c r="AT279" s="38" t="str">
        <f aca="false">IF($A279="","",IF(OR($AN279="",$U279=""),"",ROUND(($U279-($B279+$AN279/24))*1440,0)))</f>
        <v/>
      </c>
      <c r="AU279" s="38" t="str">
        <f aca="false">IF($A279="","",IF(OR($AD279="",$S279=""),"",ROUND($AD279-$S279,0)))</f>
        <v/>
      </c>
      <c r="AV279" s="38" t="str">
        <f aca="false">IF($A279="","",N($AE279))</f>
        <v/>
      </c>
      <c r="AW279" s="38" t="str">
        <f aca="false">IF($A279="","",IF(OR($AF279="",$T279=""),"",$AF279-$T279))</f>
        <v/>
      </c>
      <c r="AX279" s="38" t="str">
        <f aca="false">IF($A279="","",IF(COUNT($AT279,$AB279,$AU279,$AW279,$AS279,$AH279)&lt;6,"",ROUND($AT279+$AB279+$AU279+$AV279+$AW279-$AS279-$AH279,0)))</f>
        <v/>
      </c>
      <c r="AY279" s="4" t="str">
        <f aca="false">IF($A279="","",IF($AX279="","No",IF(ABS($AX279)&lt;=2,"Yes","No")))</f>
        <v/>
      </c>
      <c r="AZ279" s="4" t="str">
        <f aca="false">IF($A279="","",IF($AI279&lt;&gt;"Yes","n/a",IF(OR($AA279="",$S279="",$T279=""),"Unknown",IF($AA279&lt;$S279+$T279,"Lost on arrival","Lost after arrival"))))</f>
        <v/>
      </c>
      <c r="BA279" s="10" t="str">
        <f aca="false">IF($A279="","",IFERROR(VLOOKUP($C279,Dim_Fund!$A:$D,4,0),""))</f>
        <v/>
      </c>
      <c r="BB279" s="10" t="str">
        <f aca="false">IF($A279="","",IF($AL279="","",IF(COUNTIFS(Fact_Milestone!$A:$A,$B279,Fact_Milestone!$B:$B,$AL279,Fact_Milestone!$I:$I,"No")&gt;0,"No",IF(COUNTIFS(Fact_Milestone!$A:$A,$B279,Fact_Milestone!$B:$B,$AL279,Fact_Milestone!$I:$I,"Yes")&gt;0,"Yes",""))))</f>
        <v/>
      </c>
      <c r="BC279" s="45" t="str">
        <f aca="false">IF($A279="","",IF(OR($L279="",$W279=""),"",IF(COUNTIFS($L:$L,$L279,$B:$B,$B279,$W:$W,"&lt;"&amp;$W279)=0,"",_xlfn.MAXIFS($W:$W,$L:$L,$L279,$B:$B,$B279,$W:$W,"&lt;"&amp;$W279))))</f>
        <v/>
      </c>
      <c r="BD279" s="39" t="str">
        <f aca="false">IF($A279="","",IF($AC279="","",IF(OR($L279="",$AC279=0),0,MIN($AC279,ROUND(ROUND(1440*SUMPRODUCT(($L$2:INDEX($L:$L,COUNTA($C:$C))=$L279)*($B$2:INDEX($B:$B,COUNTA($C:$C))=$B279)*(ROW($L$2:INDEX($L:$L,COUNTA($C:$C)))&lt;&gt;ROW())*((((($W279+$BT$2:INDEX($BT:$BT,COUNTA($C:$C))-ABS($W279-$BT$2:INDEX($BT:$BT,COUNTA($C:$C))))/2)-(($U279+$BS$2:INDEX($BS:$BS,COUNTA($C:$C))+ABS($U279-$BS$2:INDEX($BS:$BS,COUNTA($C:$C))))/2))+ABS(((($W279+$BT$2:INDEX($BT:$BT,COUNTA($C:$C))-ABS($W279-$BT$2:INDEX($BT:$BT,COUNTA($C:$C))))/2)-(($U279+$BS$2:INDEX($BS:$BS,COUNTA($C:$C))+ABS($U279-$BS$2:INDEX($BS:$BS,COUNTA($C:$C))))/2))))/2)),4),0)))))</f>
        <v/>
      </c>
      <c r="BE279" s="39" t="str">
        <f aca="false">IF($A279="","",IF($AC279="","",ROUND(MIN($AC279-$BD279,N($R279)),0)))</f>
        <v/>
      </c>
      <c r="BF279" s="10" t="str">
        <f aca="false">IF($A279="","",IFERROR(VLOOKUP($C279,Dim_Fund!$A:$BD,56,0),""))</f>
        <v/>
      </c>
      <c r="BG279" s="10" t="str">
        <f aca="false">IF($A279="","",IFERROR(VLOOKUP($C279,Dim_Fund!$A:$BH,60,0),""))</f>
        <v/>
      </c>
      <c r="BH279" s="10" t="str">
        <f aca="false">IF($A279="","",IF($AI279&lt;&gt;"Yes","Not breached",IF($AM279="Yes","Pricing late",IF($BG279="Thin custody slack","Thin custody slack",IF($BF279="Yes","Broker-dependent","None of these")))))</f>
        <v/>
      </c>
      <c r="BI279" s="23" t="str">
        <f aca="false">IF($A279="","",IFERROR(IF(VLOOKUP($C279,Dim_Fund!$A:$AI,35,0)&gt;0,VLOOKUP($C279,Dim_Fund!$A:$AI,35,0),""),""))</f>
        <v/>
      </c>
      <c r="BJ279" s="10" t="str">
        <f aca="false">IF($A279="","",$C279&amp;IF($E279="Client","*",""))</f>
        <v/>
      </c>
      <c r="BK279" s="39" t="str">
        <f aca="false">IF($A279="","",IFERROR(ROUND(($Y279-$X279)*1440,0),""))</f>
        <v/>
      </c>
      <c r="BL279" s="39" t="str">
        <f aca="false">IF($A279="","",IF($AH279="","",-$AH279))</f>
        <v/>
      </c>
      <c r="BM279" s="46" t="str">
        <f aca="false">IF($A279="","",IF($AQ279="","",IF($AP279="",$AQ279,MIN($AP279,$AQ279))))</f>
        <v/>
      </c>
      <c r="BN279" s="46" t="str">
        <f aca="false">IF($A279="","",IF($BM279="","",ROUND(N($AC279)/60,4)))</f>
        <v/>
      </c>
      <c r="BO279" s="46" t="str">
        <f aca="false">IF($A279="","",IF(OR($BM279="",$AD279=""),"",ROUND($AD279/60,4)))</f>
        <v/>
      </c>
      <c r="BP279" s="46" t="str">
        <f aca="false">IF($A279="","",IF($BM279="","",ROUND(N($AE279)/60,4)))</f>
        <v/>
      </c>
      <c r="BQ279" s="46" t="str">
        <f aca="false">IF($A279="","",IF(OR($BM279="",$AF279=""),"",ROUND($AF279/60,4)))</f>
        <v/>
      </c>
      <c r="BR279" s="39" t="str">
        <f aca="false">IF($A279="","",IF($AC279="","",$AC279-$BD279-$BE279))</f>
        <v/>
      </c>
      <c r="BS279" s="45" t="str">
        <f aca="false">IF($A279="","",IF(AND(ISNUMBER($Z279),ISNUMBER($W279)),$Z279,0))</f>
        <v/>
      </c>
      <c r="BT279" s="45" t="str">
        <f aca="false">IF($A279="","",IF(ISNUMBER($W279),$W279,0))</f>
        <v/>
      </c>
      <c r="BU279" s="23" t="str">
        <f aca="false">IF($A279="","",IF(ISNUMBER($W279),ROUND(($W279-$B279)*24,4),""))</f>
        <v/>
      </c>
      <c r="BV279" s="23" t="str">
        <f aca="false">IF($A279="","",IF(ISNUMBER($X279),ROUND(($X279-$B279)*24,4),""))</f>
        <v/>
      </c>
      <c r="BW279" s="10" t="str">
        <f aca="false">IF($A279="","",IF(NOT(ISNUMBER($W279)),"Missing Calculated",IF(NOT(ISNUMBER($X279)),IF($E279="Client","Missing FA signed off","Missing Controlled"),IF($X279&lt;$W279,"End before start","OK"))))</f>
        <v/>
      </c>
      <c r="BX279" s="23" t="str">
        <f aca="false">IF($A279="","",IF(NOT(ISNUMBER($Z279)),"",ROUND((IF(ISNUMBER($U279),MIN($U279,$Z279),$Z279)-$B279)*24,4)))</f>
        <v/>
      </c>
      <c r="BY279" s="23" t="str">
        <f aca="false">IF($A279="","",IF(ISNUMBER($Z279),ROUND(($Z279-$B279)*24,4),""))</f>
        <v/>
      </c>
      <c r="BZ279" s="23" t="str">
        <f aca="false">IF($A279="","",IF(AND(ISNUMBER($W279),ISNUMBER($S279)),ROUND(($W279+$S279/1440-$B279)*24,4),""))</f>
        <v/>
      </c>
    </row>
    <row r="280" customFormat="false" ht="15" hidden="false" customHeight="true" outlineLevel="0" collapsed="false">
      <c r="A280" s="47"/>
      <c r="B280" s="47"/>
      <c r="D280" s="4" t="str">
        <f aca="false">IF($A280="","",$B280-$A280)</f>
        <v/>
      </c>
      <c r="E280" s="4" t="str">
        <f aca="false">IF($A280="","",IFERROR(VLOOKUP($C280,Dim_Fund!$A:$X,24,0),""))</f>
        <v/>
      </c>
      <c r="F280" s="37" t="str">
        <f aca="false">IF($A280="","",IF(COUNTIFS(Status_Log!$A:$A,$A280,Status_Log!$B:$B,$B280,Status_Log!$C:$C,$C280,Status_Log!$D:$D,"Changed to the status of Calculated")=0,"",_xlfn.MINIFS(Status_Log!$E:$E,Status_Log!$A:$A,$A280,Status_Log!$B:$B,$B280,Status_Log!$C:$C,$C280,Status_Log!$D:$D,"Changed to the status of Calculated")))</f>
        <v/>
      </c>
      <c r="G280" s="37" t="str">
        <f aca="false">IF($A280="","",IF(COUNTIFS(Status_Log!$A:$A,$A280,Status_Log!$B:$B,$B280,Status_Log!$C:$C,$C280,Status_Log!$D:$D,"Changed to the status of Controlled")=0,"",_xlfn.MAXIFS(Status_Log!$E:$E,Status_Log!$A:$A,$A280,Status_Log!$B:$B,$B280,Status_Log!$C:$C,$C280,Status_Log!$D:$D,"Changed to the status of Controlled")))</f>
        <v/>
      </c>
      <c r="H280" s="37" t="str">
        <f aca="false">IF($A280="","",IF(COUNTIFS(Status_Log!$A:$A,$A280,Status_Log!$B:$B,$B280,Status_Log!$C:$C,$C280,Status_Log!$D:$D,"Changed to the status of Fund accounting signed off")=0,"",_xlfn.MAXIFS(Status_Log!$E:$E,Status_Log!$A:$A,$A280,Status_Log!$B:$B,$B280,Status_Log!$C:$C,$C280,Status_Log!$D:$D,"Changed to the status of Fund accounting signed off")))</f>
        <v/>
      </c>
      <c r="I280" s="37" t="str">
        <f aca="false">IF($A280="","",IF(COUNTIFS(Status_Log!$A:$A,$A280,Status_Log!$B:$B,$B280,Status_Log!$C:$C,$C280,Status_Log!$D:$D,"Changed to the status of signed off")=0,"",_xlfn.MAXIFS(Status_Log!$E:$E,Status_Log!$A:$A,$A280,Status_Log!$B:$B,$B280,Status_Log!$C:$C,$C280,Status_Log!$D:$D,"Changed to the status of signed off")))</f>
        <v/>
      </c>
      <c r="J280" s="4" t="str">
        <f aca="false">IF($A280="","",COUNTIFS(Status_Log!$A:$A,$A280,Status_Log!$B:$B,$B280,Status_Log!$C:$C,$C280,Status_Log!$D:$D,"Changed to the status of Calculated"))</f>
        <v/>
      </c>
      <c r="K280" s="38" t="str">
        <f aca="false">IF($A280="","",IF(J280&lt;=1,0,ROUND((_xlfn.MAXIFS(Status_Log!$E:$E,Status_Log!$A:$A,$A280,Status_Log!$B:$B,$B280,Status_Log!$C:$C,$C280,Status_Log!$D:$D,"Changed to the status of Calculated")-F280)*1440,0)))</f>
        <v/>
      </c>
      <c r="L280" s="4" t="str">
        <f aca="false">IF($A280="","",IFERROR(INDEX(Status_Log!$F:$F,MATCH($A280&amp;"|"&amp;$B280&amp;"|"&amp;$C280&amp;"|Changed to the status of Calculated|"&amp;TEXT(_xlfn.MAXIFS(Status_Log!$E:$E,Status_Log!$A:$A,$A280,Status_Log!$B:$B,$B280,Status_Log!$C:$C,$C280,Status_Log!$D:$D,"Changed to the status of Calculated"),"0.000000"),Status_Log!$H:$H,0)),""))</f>
        <v/>
      </c>
      <c r="M280" s="4" t="str">
        <f aca="false">IF($A280="","",IF(E280="Client","n/a — no control step",IFERROR(INDEX(Status_Log!$F:$F,MATCH($A280&amp;"|"&amp;$B280&amp;"|"&amp;$C280&amp;"|Changed to the status of Controlled|"&amp;TEXT(_xlfn.MAXIFS(Status_Log!$E:$E,Status_Log!$A:$A,$A280,Status_Log!$B:$B,$B280,Status_Log!$C:$C,$C280,Status_Log!$D:$D,"Changed to the status of Controlled"),"0.000000"),Status_Log!$H:$H,0)),"")))</f>
        <v/>
      </c>
      <c r="N280" s="4" t="str">
        <f aca="false">IF($A280="","",IFERROR(VLOOKUP($C280,Dim_Fund!$A:$G,7,0),""))</f>
        <v/>
      </c>
      <c r="O280" s="4" t="str">
        <f aca="false">IF($A280="","",IF(L280=N280,"No","Yes"))</f>
        <v/>
      </c>
      <c r="P280" s="4" t="str">
        <f aca="false">IF($A280="","",IF(E280="Client","n/a",IF(L280=M280,"YES — four-eyes breach","No")))</f>
        <v/>
      </c>
      <c r="Q280" s="38" t="str">
        <f aca="false">IF($A280="","",IFERROR(VLOOKUP($C280,Dim_Fund!$A:$AB,28,0),""))</f>
        <v/>
      </c>
      <c r="R280" s="38" t="str">
        <f aca="false">IF($A280="","",IFERROR(VLOOKUP($C280,Dim_Fund!$A:$AC,29,0),""))</f>
        <v/>
      </c>
      <c r="S280" s="38" t="str">
        <f aca="false">IF($A280="","",IFERROR(VLOOKUP($C280,Dim_Fund!$A:$AD,30,0),""))</f>
        <v/>
      </c>
      <c r="T280" s="38" t="str">
        <f aca="false">IF($A280="","",IFERROR(VLOOKUP($C280,Dim_Fund!$A:$AL,38,0),""))</f>
        <v/>
      </c>
      <c r="U280" s="37" t="str">
        <f aca="false">IF($A280="","",IF(AL280="","",IFERROR(IF(COUNTIFS(Fact_Milestone!$A:$A,$B280,Fact_Milestone!$B:$B,AL280)=0,"",_xlfn.MAXIFS(Fact_Milestone!$C:$C,Fact_Milestone!$A:$A,$B280,Fact_Milestone!$B:$B,AL280)),"")))</f>
        <v/>
      </c>
      <c r="V280" s="37" t="str">
        <f aca="false">IF($A280="","",IFERROR(IF(VLOOKUP($C280,Dim_Fund!$A:$AI,35,0)&gt;0,$B280+VLOOKUP($C280,Dim_Fund!$A:$AI,35,0)/24,""),""))</f>
        <v/>
      </c>
      <c r="W280" s="37" t="str">
        <f aca="false">IF($A280="","",F280)</f>
        <v/>
      </c>
      <c r="X280" s="37" t="str">
        <f aca="false">IF($A280="","",IF(E280="Client",H280,G280))</f>
        <v/>
      </c>
      <c r="Y280" s="37" t="str">
        <f aca="false">IF($A280="","",I280)</f>
        <v/>
      </c>
      <c r="Z280" s="37" t="str">
        <f aca="false">IF($A280="","",IFERROR(W280-R280/1440,""))</f>
        <v/>
      </c>
      <c r="AA280" s="38" t="str">
        <f aca="false">IF($A280="","",IF(OR(U280="",V280=""),"",ROUND((V280-U280)*1440,0)))</f>
        <v/>
      </c>
      <c r="AB280" s="38" t="str">
        <f aca="false">IF($A280="","",IF(U280="","",ROUND((W280-U280)*1440,0)))</f>
        <v/>
      </c>
      <c r="AC280" s="38" t="str">
        <f aca="false">IF($A280="","",IF(AB280="","",MAX(0,AB280)))</f>
        <v/>
      </c>
      <c r="AD280" s="38" t="str">
        <f aca="false">IF($A280="","",IFERROR(ROUND((X280-W280)*1440,0),""))</f>
        <v/>
      </c>
      <c r="AE280" s="38" t="str">
        <f aca="false">IF($A280="","",IF(E280="Client","n/a",IFERROR(ROUND((H280-G280)*1440,0),"")))</f>
        <v/>
      </c>
      <c r="AF280" s="38" t="str">
        <f aca="false">IF($A280="","",IFERROR(ROUND((Y280-H280)*1440,0),""))</f>
        <v/>
      </c>
      <c r="AG280" s="38" t="str">
        <f aca="false">IF($A280="","",IFERROR(ROUND((H280-F280)*1440,0),""))</f>
        <v/>
      </c>
      <c r="AH280" s="38" t="str">
        <f aca="false">IF($A280="","",IFERROR(ROUND((Y280-V280)*1440,0),""))</f>
        <v/>
      </c>
      <c r="AI280" s="4" t="str">
        <f aca="false">IF($A280="","",IF(AH280="","",IF(AH280&gt;0,"Yes","No")))</f>
        <v/>
      </c>
      <c r="AJ280" s="4" t="str">
        <f aca="false">IF($A280="","",IF(AI280&lt;&gt;"Yes","On time",IF(N(AC280)&gt;=MAX(N(AF280),N(K280)),"Wait for analyst",IF(N(AF280)&gt;=N(K280),"External sign-off","Rework"))))</f>
        <v/>
      </c>
      <c r="AK280" s="4" t="str">
        <f aca="false">IF($A280="","",IF(OR(F280="",Y280="",ISNA(MATCH(L280,Dim_Analyst!$A:$A,0))),"CHECK","OK"))</f>
        <v/>
      </c>
      <c r="AL280" s="4" t="str">
        <f aca="false">IF($A280="","",IFERROR(VLOOKUP($C280,Dim_Fund!$A:$U,21,0),""))</f>
        <v/>
      </c>
      <c r="AM280" s="4" t="str">
        <f aca="false">IF($A280="","",IF($U280="","",IF($U280&gt;$B280+IFERROR(VLOOKUP($C280,Dim_Fund!$A:$AH,34,0),0)/24,"Yes","No")))</f>
        <v/>
      </c>
      <c r="AN280" s="22" t="str">
        <f aca="false">IF($A280="","",IFERROR(VLOOKUP($C280,Dim_Fund!$A:$AH,34,0),""))</f>
        <v/>
      </c>
      <c r="AO280" s="22" t="str">
        <f aca="false">IF($A280="","",IF($AL280="","",IFERROR(FLOOR(IF(COUNTIFS(Fact_Milestone!$A:$A,$B280,Fact_Milestone!$B:$B,$AL280,Fact_Milestone!$F:$F,"&gt;0")&gt;0,_xlfn.MINIFS(Fact_Milestone!$F:$F,Fact_Milestone!$A:$A,$B280,Fact_Milestone!$B:$B,$AL280,Fact_Milestone!$F:$F,"&gt;0"),VLOOKUP($AL280,Dim_TOP!$A:$E,5,0)),0.5),"")))</f>
        <v/>
      </c>
      <c r="AP280" s="22" t="str">
        <f aca="false">IF($A280="","",IF($U280="","",ROUND(($U280-INT($U280))*24,4)))</f>
        <v/>
      </c>
      <c r="AQ280" s="22" t="str">
        <f aca="false">IF($A280="","",IF($W280="","",ROUND(($W280-INT($W280))*24,4)))</f>
        <v/>
      </c>
      <c r="AR280" s="22" t="str">
        <f aca="false">IF($A280="","",IF($X280="","",ROUND(($X280-INT($X280))*24,4)))</f>
        <v/>
      </c>
      <c r="AS280" s="38" t="str">
        <f aca="false">IF($A280="","",IF(OR($AN280="",$V280="",$S280="",$T280=""),"",ROUND(($V280-($B280+$AN280/24))*1440-$S280-$T280,0)))</f>
        <v/>
      </c>
      <c r="AT280" s="38" t="str">
        <f aca="false">IF($A280="","",IF(OR($AN280="",$U280=""),"",ROUND(($U280-($B280+$AN280/24))*1440,0)))</f>
        <v/>
      </c>
      <c r="AU280" s="38" t="str">
        <f aca="false">IF($A280="","",IF(OR($AD280="",$S280=""),"",ROUND($AD280-$S280,0)))</f>
        <v/>
      </c>
      <c r="AV280" s="38" t="str">
        <f aca="false">IF($A280="","",N($AE280))</f>
        <v/>
      </c>
      <c r="AW280" s="38" t="str">
        <f aca="false">IF($A280="","",IF(OR($AF280="",$T280=""),"",$AF280-$T280))</f>
        <v/>
      </c>
      <c r="AX280" s="38" t="str">
        <f aca="false">IF($A280="","",IF(COUNT($AT280,$AB280,$AU280,$AW280,$AS280,$AH280)&lt;6,"",ROUND($AT280+$AB280+$AU280+$AV280+$AW280-$AS280-$AH280,0)))</f>
        <v/>
      </c>
      <c r="AY280" s="4" t="str">
        <f aca="false">IF($A280="","",IF($AX280="","No",IF(ABS($AX280)&lt;=2,"Yes","No")))</f>
        <v/>
      </c>
      <c r="AZ280" s="4" t="str">
        <f aca="false">IF($A280="","",IF($AI280&lt;&gt;"Yes","n/a",IF(OR($AA280="",$S280="",$T280=""),"Unknown",IF($AA280&lt;$S280+$T280,"Lost on arrival","Lost after arrival"))))</f>
        <v/>
      </c>
      <c r="BA280" s="10" t="str">
        <f aca="false">IF($A280="","",IFERROR(VLOOKUP($C280,Dim_Fund!$A:$D,4,0),""))</f>
        <v/>
      </c>
      <c r="BB280" s="10" t="str">
        <f aca="false">IF($A280="","",IF($AL280="","",IF(COUNTIFS(Fact_Milestone!$A:$A,$B280,Fact_Milestone!$B:$B,$AL280,Fact_Milestone!$I:$I,"No")&gt;0,"No",IF(COUNTIFS(Fact_Milestone!$A:$A,$B280,Fact_Milestone!$B:$B,$AL280,Fact_Milestone!$I:$I,"Yes")&gt;0,"Yes",""))))</f>
        <v/>
      </c>
      <c r="BC280" s="45" t="str">
        <f aca="false">IF($A280="","",IF(OR($L280="",$W280=""),"",IF(COUNTIFS($L:$L,$L280,$B:$B,$B280,$W:$W,"&lt;"&amp;$W280)=0,"",_xlfn.MAXIFS($W:$W,$L:$L,$L280,$B:$B,$B280,$W:$W,"&lt;"&amp;$W280))))</f>
        <v/>
      </c>
      <c r="BD280" s="39" t="str">
        <f aca="false">IF($A280="","",IF($AC280="","",IF(OR($L280="",$AC280=0),0,MIN($AC280,ROUND(ROUND(1440*SUMPRODUCT(($L$2:INDEX($L:$L,COUNTA($C:$C))=$L280)*($B$2:INDEX($B:$B,COUNTA($C:$C))=$B280)*(ROW($L$2:INDEX($L:$L,COUNTA($C:$C)))&lt;&gt;ROW())*((((($W280+$BT$2:INDEX($BT:$BT,COUNTA($C:$C))-ABS($W280-$BT$2:INDEX($BT:$BT,COUNTA($C:$C))))/2)-(($U280+$BS$2:INDEX($BS:$BS,COUNTA($C:$C))+ABS($U280-$BS$2:INDEX($BS:$BS,COUNTA($C:$C))))/2))+ABS(((($W280+$BT$2:INDEX($BT:$BT,COUNTA($C:$C))-ABS($W280-$BT$2:INDEX($BT:$BT,COUNTA($C:$C))))/2)-(($U280+$BS$2:INDEX($BS:$BS,COUNTA($C:$C))+ABS($U280-$BS$2:INDEX($BS:$BS,COUNTA($C:$C))))/2))))/2)),4),0)))))</f>
        <v/>
      </c>
      <c r="BE280" s="39" t="str">
        <f aca="false">IF($A280="","",IF($AC280="","",ROUND(MIN($AC280-$BD280,N($R280)),0)))</f>
        <v/>
      </c>
      <c r="BF280" s="10" t="str">
        <f aca="false">IF($A280="","",IFERROR(VLOOKUP($C280,Dim_Fund!$A:$BD,56,0),""))</f>
        <v/>
      </c>
      <c r="BG280" s="10" t="str">
        <f aca="false">IF($A280="","",IFERROR(VLOOKUP($C280,Dim_Fund!$A:$BH,60,0),""))</f>
        <v/>
      </c>
      <c r="BH280" s="10" t="str">
        <f aca="false">IF($A280="","",IF($AI280&lt;&gt;"Yes","Not breached",IF($AM280="Yes","Pricing late",IF($BG280="Thin custody slack","Thin custody slack",IF($BF280="Yes","Broker-dependent","None of these")))))</f>
        <v/>
      </c>
      <c r="BI280" s="23" t="str">
        <f aca="false">IF($A280="","",IFERROR(IF(VLOOKUP($C280,Dim_Fund!$A:$AI,35,0)&gt;0,VLOOKUP($C280,Dim_Fund!$A:$AI,35,0),""),""))</f>
        <v/>
      </c>
      <c r="BJ280" s="10" t="str">
        <f aca="false">IF($A280="","",$C280&amp;IF($E280="Client","*",""))</f>
        <v/>
      </c>
      <c r="BK280" s="39" t="str">
        <f aca="false">IF($A280="","",IFERROR(ROUND(($Y280-$X280)*1440,0),""))</f>
        <v/>
      </c>
      <c r="BL280" s="39" t="str">
        <f aca="false">IF($A280="","",IF($AH280="","",-$AH280))</f>
        <v/>
      </c>
      <c r="BM280" s="46" t="str">
        <f aca="false">IF($A280="","",IF($AQ280="","",IF($AP280="",$AQ280,MIN($AP280,$AQ280))))</f>
        <v/>
      </c>
      <c r="BN280" s="46" t="str">
        <f aca="false">IF($A280="","",IF($BM280="","",ROUND(N($AC280)/60,4)))</f>
        <v/>
      </c>
      <c r="BO280" s="46" t="str">
        <f aca="false">IF($A280="","",IF(OR($BM280="",$AD280=""),"",ROUND($AD280/60,4)))</f>
        <v/>
      </c>
      <c r="BP280" s="46" t="str">
        <f aca="false">IF($A280="","",IF($BM280="","",ROUND(N($AE280)/60,4)))</f>
        <v/>
      </c>
      <c r="BQ280" s="46" t="str">
        <f aca="false">IF($A280="","",IF(OR($BM280="",$AF280=""),"",ROUND($AF280/60,4)))</f>
        <v/>
      </c>
      <c r="BR280" s="39" t="str">
        <f aca="false">IF($A280="","",IF($AC280="","",$AC280-$BD280-$BE280))</f>
        <v/>
      </c>
      <c r="BS280" s="45" t="str">
        <f aca="false">IF($A280="","",IF(AND(ISNUMBER($Z280),ISNUMBER($W280)),$Z280,0))</f>
        <v/>
      </c>
      <c r="BT280" s="45" t="str">
        <f aca="false">IF($A280="","",IF(ISNUMBER($W280),$W280,0))</f>
        <v/>
      </c>
      <c r="BU280" s="23" t="str">
        <f aca="false">IF($A280="","",IF(ISNUMBER($W280),ROUND(($W280-$B280)*24,4),""))</f>
        <v/>
      </c>
      <c r="BV280" s="23" t="str">
        <f aca="false">IF($A280="","",IF(ISNUMBER($X280),ROUND(($X280-$B280)*24,4),""))</f>
        <v/>
      </c>
      <c r="BW280" s="10" t="str">
        <f aca="false">IF($A280="","",IF(NOT(ISNUMBER($W280)),"Missing Calculated",IF(NOT(ISNUMBER($X280)),IF($E280="Client","Missing FA signed off","Missing Controlled"),IF($X280&lt;$W280,"End before start","OK"))))</f>
        <v/>
      </c>
      <c r="BX280" s="23" t="str">
        <f aca="false">IF($A280="","",IF(NOT(ISNUMBER($Z280)),"",ROUND((IF(ISNUMBER($U280),MIN($U280,$Z280),$Z280)-$B280)*24,4)))</f>
        <v/>
      </c>
      <c r="BY280" s="23" t="str">
        <f aca="false">IF($A280="","",IF(ISNUMBER($Z280),ROUND(($Z280-$B280)*24,4),""))</f>
        <v/>
      </c>
      <c r="BZ280" s="23" t="str">
        <f aca="false">IF($A280="","",IF(AND(ISNUMBER($W280),ISNUMBER($S280)),ROUND(($W280+$S280/1440-$B280)*24,4),""))</f>
        <v/>
      </c>
    </row>
    <row r="281" customFormat="false" ht="15" hidden="false" customHeight="true" outlineLevel="0" collapsed="false">
      <c r="A281" s="47"/>
      <c r="B281" s="47"/>
      <c r="D281" s="4" t="str">
        <f aca="false">IF($A281="","",$B281-$A281)</f>
        <v/>
      </c>
      <c r="E281" s="4" t="str">
        <f aca="false">IF($A281="","",IFERROR(VLOOKUP($C281,Dim_Fund!$A:$X,24,0),""))</f>
        <v/>
      </c>
      <c r="F281" s="37" t="str">
        <f aca="false">IF($A281="","",IF(COUNTIFS(Status_Log!$A:$A,$A281,Status_Log!$B:$B,$B281,Status_Log!$C:$C,$C281,Status_Log!$D:$D,"Changed to the status of Calculated")=0,"",_xlfn.MINIFS(Status_Log!$E:$E,Status_Log!$A:$A,$A281,Status_Log!$B:$B,$B281,Status_Log!$C:$C,$C281,Status_Log!$D:$D,"Changed to the status of Calculated")))</f>
        <v/>
      </c>
      <c r="G281" s="37" t="str">
        <f aca="false">IF($A281="","",IF(COUNTIFS(Status_Log!$A:$A,$A281,Status_Log!$B:$B,$B281,Status_Log!$C:$C,$C281,Status_Log!$D:$D,"Changed to the status of Controlled")=0,"",_xlfn.MAXIFS(Status_Log!$E:$E,Status_Log!$A:$A,$A281,Status_Log!$B:$B,$B281,Status_Log!$C:$C,$C281,Status_Log!$D:$D,"Changed to the status of Controlled")))</f>
        <v/>
      </c>
      <c r="H281" s="37" t="str">
        <f aca="false">IF($A281="","",IF(COUNTIFS(Status_Log!$A:$A,$A281,Status_Log!$B:$B,$B281,Status_Log!$C:$C,$C281,Status_Log!$D:$D,"Changed to the status of Fund accounting signed off")=0,"",_xlfn.MAXIFS(Status_Log!$E:$E,Status_Log!$A:$A,$A281,Status_Log!$B:$B,$B281,Status_Log!$C:$C,$C281,Status_Log!$D:$D,"Changed to the status of Fund accounting signed off")))</f>
        <v/>
      </c>
      <c r="I281" s="37" t="str">
        <f aca="false">IF($A281="","",IF(COUNTIFS(Status_Log!$A:$A,$A281,Status_Log!$B:$B,$B281,Status_Log!$C:$C,$C281,Status_Log!$D:$D,"Changed to the status of signed off")=0,"",_xlfn.MAXIFS(Status_Log!$E:$E,Status_Log!$A:$A,$A281,Status_Log!$B:$B,$B281,Status_Log!$C:$C,$C281,Status_Log!$D:$D,"Changed to the status of signed off")))</f>
        <v/>
      </c>
      <c r="J281" s="4" t="str">
        <f aca="false">IF($A281="","",COUNTIFS(Status_Log!$A:$A,$A281,Status_Log!$B:$B,$B281,Status_Log!$C:$C,$C281,Status_Log!$D:$D,"Changed to the status of Calculated"))</f>
        <v/>
      </c>
      <c r="K281" s="38" t="str">
        <f aca="false">IF($A281="","",IF(J281&lt;=1,0,ROUND((_xlfn.MAXIFS(Status_Log!$E:$E,Status_Log!$A:$A,$A281,Status_Log!$B:$B,$B281,Status_Log!$C:$C,$C281,Status_Log!$D:$D,"Changed to the status of Calculated")-F281)*1440,0)))</f>
        <v/>
      </c>
      <c r="L281" s="4" t="str">
        <f aca="false">IF($A281="","",IFERROR(INDEX(Status_Log!$F:$F,MATCH($A281&amp;"|"&amp;$B281&amp;"|"&amp;$C281&amp;"|Changed to the status of Calculated|"&amp;TEXT(_xlfn.MAXIFS(Status_Log!$E:$E,Status_Log!$A:$A,$A281,Status_Log!$B:$B,$B281,Status_Log!$C:$C,$C281,Status_Log!$D:$D,"Changed to the status of Calculated"),"0.000000"),Status_Log!$H:$H,0)),""))</f>
        <v/>
      </c>
      <c r="M281" s="4" t="str">
        <f aca="false">IF($A281="","",IF(E281="Client","n/a — no control step",IFERROR(INDEX(Status_Log!$F:$F,MATCH($A281&amp;"|"&amp;$B281&amp;"|"&amp;$C281&amp;"|Changed to the status of Controlled|"&amp;TEXT(_xlfn.MAXIFS(Status_Log!$E:$E,Status_Log!$A:$A,$A281,Status_Log!$B:$B,$B281,Status_Log!$C:$C,$C281,Status_Log!$D:$D,"Changed to the status of Controlled"),"0.000000"),Status_Log!$H:$H,0)),"")))</f>
        <v/>
      </c>
      <c r="N281" s="4" t="str">
        <f aca="false">IF($A281="","",IFERROR(VLOOKUP($C281,Dim_Fund!$A:$G,7,0),""))</f>
        <v/>
      </c>
      <c r="O281" s="4" t="str">
        <f aca="false">IF($A281="","",IF(L281=N281,"No","Yes"))</f>
        <v/>
      </c>
      <c r="P281" s="4" t="str">
        <f aca="false">IF($A281="","",IF(E281="Client","n/a",IF(L281=M281,"YES — four-eyes breach","No")))</f>
        <v/>
      </c>
      <c r="Q281" s="38" t="str">
        <f aca="false">IF($A281="","",IFERROR(VLOOKUP($C281,Dim_Fund!$A:$AB,28,0),""))</f>
        <v/>
      </c>
      <c r="R281" s="38" t="str">
        <f aca="false">IF($A281="","",IFERROR(VLOOKUP($C281,Dim_Fund!$A:$AC,29,0),""))</f>
        <v/>
      </c>
      <c r="S281" s="38" t="str">
        <f aca="false">IF($A281="","",IFERROR(VLOOKUP($C281,Dim_Fund!$A:$AD,30,0),""))</f>
        <v/>
      </c>
      <c r="T281" s="38" t="str">
        <f aca="false">IF($A281="","",IFERROR(VLOOKUP($C281,Dim_Fund!$A:$AL,38,0),""))</f>
        <v/>
      </c>
      <c r="U281" s="37" t="str">
        <f aca="false">IF($A281="","",IF(AL281="","",IFERROR(IF(COUNTIFS(Fact_Milestone!$A:$A,$B281,Fact_Milestone!$B:$B,AL281)=0,"",_xlfn.MAXIFS(Fact_Milestone!$C:$C,Fact_Milestone!$A:$A,$B281,Fact_Milestone!$B:$B,AL281)),"")))</f>
        <v/>
      </c>
      <c r="V281" s="37" t="str">
        <f aca="false">IF($A281="","",IFERROR(IF(VLOOKUP($C281,Dim_Fund!$A:$AI,35,0)&gt;0,$B281+VLOOKUP($C281,Dim_Fund!$A:$AI,35,0)/24,""),""))</f>
        <v/>
      </c>
      <c r="W281" s="37" t="str">
        <f aca="false">IF($A281="","",F281)</f>
        <v/>
      </c>
      <c r="X281" s="37" t="str">
        <f aca="false">IF($A281="","",IF(E281="Client",H281,G281))</f>
        <v/>
      </c>
      <c r="Y281" s="37" t="str">
        <f aca="false">IF($A281="","",I281)</f>
        <v/>
      </c>
      <c r="Z281" s="37" t="str">
        <f aca="false">IF($A281="","",IFERROR(W281-R281/1440,""))</f>
        <v/>
      </c>
      <c r="AA281" s="38" t="str">
        <f aca="false">IF($A281="","",IF(OR(U281="",V281=""),"",ROUND((V281-U281)*1440,0)))</f>
        <v/>
      </c>
      <c r="AB281" s="38" t="str">
        <f aca="false">IF($A281="","",IF(U281="","",ROUND((W281-U281)*1440,0)))</f>
        <v/>
      </c>
      <c r="AC281" s="38" t="str">
        <f aca="false">IF($A281="","",IF(AB281="","",MAX(0,AB281)))</f>
        <v/>
      </c>
      <c r="AD281" s="38" t="str">
        <f aca="false">IF($A281="","",IFERROR(ROUND((X281-W281)*1440,0),""))</f>
        <v/>
      </c>
      <c r="AE281" s="38" t="str">
        <f aca="false">IF($A281="","",IF(E281="Client","n/a",IFERROR(ROUND((H281-G281)*1440,0),"")))</f>
        <v/>
      </c>
      <c r="AF281" s="38" t="str">
        <f aca="false">IF($A281="","",IFERROR(ROUND((Y281-H281)*1440,0),""))</f>
        <v/>
      </c>
      <c r="AG281" s="38" t="str">
        <f aca="false">IF($A281="","",IFERROR(ROUND((H281-F281)*1440,0),""))</f>
        <v/>
      </c>
      <c r="AH281" s="38" t="str">
        <f aca="false">IF($A281="","",IFERROR(ROUND((Y281-V281)*1440,0),""))</f>
        <v/>
      </c>
      <c r="AI281" s="4" t="str">
        <f aca="false">IF($A281="","",IF(AH281="","",IF(AH281&gt;0,"Yes","No")))</f>
        <v/>
      </c>
      <c r="AJ281" s="4" t="str">
        <f aca="false">IF($A281="","",IF(AI281&lt;&gt;"Yes","On time",IF(N(AC281)&gt;=MAX(N(AF281),N(K281)),"Wait for analyst",IF(N(AF281)&gt;=N(K281),"External sign-off","Rework"))))</f>
        <v/>
      </c>
      <c r="AK281" s="4" t="str">
        <f aca="false">IF($A281="","",IF(OR(F281="",Y281="",ISNA(MATCH(L281,Dim_Analyst!$A:$A,0))),"CHECK","OK"))</f>
        <v/>
      </c>
      <c r="AL281" s="4" t="str">
        <f aca="false">IF($A281="","",IFERROR(VLOOKUP($C281,Dim_Fund!$A:$U,21,0),""))</f>
        <v/>
      </c>
      <c r="AM281" s="4" t="str">
        <f aca="false">IF($A281="","",IF($U281="","",IF($U281&gt;$B281+IFERROR(VLOOKUP($C281,Dim_Fund!$A:$AH,34,0),0)/24,"Yes","No")))</f>
        <v/>
      </c>
      <c r="AN281" s="22" t="str">
        <f aca="false">IF($A281="","",IFERROR(VLOOKUP($C281,Dim_Fund!$A:$AH,34,0),""))</f>
        <v/>
      </c>
      <c r="AO281" s="22" t="str">
        <f aca="false">IF($A281="","",IF($AL281="","",IFERROR(FLOOR(IF(COUNTIFS(Fact_Milestone!$A:$A,$B281,Fact_Milestone!$B:$B,$AL281,Fact_Milestone!$F:$F,"&gt;0")&gt;0,_xlfn.MINIFS(Fact_Milestone!$F:$F,Fact_Milestone!$A:$A,$B281,Fact_Milestone!$B:$B,$AL281,Fact_Milestone!$F:$F,"&gt;0"),VLOOKUP($AL281,Dim_TOP!$A:$E,5,0)),0.5),"")))</f>
        <v/>
      </c>
      <c r="AP281" s="22" t="str">
        <f aca="false">IF($A281="","",IF($U281="","",ROUND(($U281-INT($U281))*24,4)))</f>
        <v/>
      </c>
      <c r="AQ281" s="22" t="str">
        <f aca="false">IF($A281="","",IF($W281="","",ROUND(($W281-INT($W281))*24,4)))</f>
        <v/>
      </c>
      <c r="AR281" s="22" t="str">
        <f aca="false">IF($A281="","",IF($X281="","",ROUND(($X281-INT($X281))*24,4)))</f>
        <v/>
      </c>
      <c r="AS281" s="38" t="str">
        <f aca="false">IF($A281="","",IF(OR($AN281="",$V281="",$S281="",$T281=""),"",ROUND(($V281-($B281+$AN281/24))*1440-$S281-$T281,0)))</f>
        <v/>
      </c>
      <c r="AT281" s="38" t="str">
        <f aca="false">IF($A281="","",IF(OR($AN281="",$U281=""),"",ROUND(($U281-($B281+$AN281/24))*1440,0)))</f>
        <v/>
      </c>
      <c r="AU281" s="38" t="str">
        <f aca="false">IF($A281="","",IF(OR($AD281="",$S281=""),"",ROUND($AD281-$S281,0)))</f>
        <v/>
      </c>
      <c r="AV281" s="38" t="str">
        <f aca="false">IF($A281="","",N($AE281))</f>
        <v/>
      </c>
      <c r="AW281" s="38" t="str">
        <f aca="false">IF($A281="","",IF(OR($AF281="",$T281=""),"",$AF281-$T281))</f>
        <v/>
      </c>
      <c r="AX281" s="38" t="str">
        <f aca="false">IF($A281="","",IF(COUNT($AT281,$AB281,$AU281,$AW281,$AS281,$AH281)&lt;6,"",ROUND($AT281+$AB281+$AU281+$AV281+$AW281-$AS281-$AH281,0)))</f>
        <v/>
      </c>
      <c r="AY281" s="4" t="str">
        <f aca="false">IF($A281="","",IF($AX281="","No",IF(ABS($AX281)&lt;=2,"Yes","No")))</f>
        <v/>
      </c>
      <c r="AZ281" s="4" t="str">
        <f aca="false">IF($A281="","",IF($AI281&lt;&gt;"Yes","n/a",IF(OR($AA281="",$S281="",$T281=""),"Unknown",IF($AA281&lt;$S281+$T281,"Lost on arrival","Lost after arrival"))))</f>
        <v/>
      </c>
      <c r="BA281" s="10" t="str">
        <f aca="false">IF($A281="","",IFERROR(VLOOKUP($C281,Dim_Fund!$A:$D,4,0),""))</f>
        <v/>
      </c>
      <c r="BB281" s="10" t="str">
        <f aca="false">IF($A281="","",IF($AL281="","",IF(COUNTIFS(Fact_Milestone!$A:$A,$B281,Fact_Milestone!$B:$B,$AL281,Fact_Milestone!$I:$I,"No")&gt;0,"No",IF(COUNTIFS(Fact_Milestone!$A:$A,$B281,Fact_Milestone!$B:$B,$AL281,Fact_Milestone!$I:$I,"Yes")&gt;0,"Yes",""))))</f>
        <v/>
      </c>
      <c r="BC281" s="45" t="str">
        <f aca="false">IF($A281="","",IF(OR($L281="",$W281=""),"",IF(COUNTIFS($L:$L,$L281,$B:$B,$B281,$W:$W,"&lt;"&amp;$W281)=0,"",_xlfn.MAXIFS($W:$W,$L:$L,$L281,$B:$B,$B281,$W:$W,"&lt;"&amp;$W281))))</f>
        <v/>
      </c>
      <c r="BD281" s="39" t="str">
        <f aca="false">IF($A281="","",IF($AC281="","",IF(OR($L281="",$AC281=0),0,MIN($AC281,ROUND(ROUND(1440*SUMPRODUCT(($L$2:INDEX($L:$L,COUNTA($C:$C))=$L281)*($B$2:INDEX($B:$B,COUNTA($C:$C))=$B281)*(ROW($L$2:INDEX($L:$L,COUNTA($C:$C)))&lt;&gt;ROW())*((((($W281+$BT$2:INDEX($BT:$BT,COUNTA($C:$C))-ABS($W281-$BT$2:INDEX($BT:$BT,COUNTA($C:$C))))/2)-(($U281+$BS$2:INDEX($BS:$BS,COUNTA($C:$C))+ABS($U281-$BS$2:INDEX($BS:$BS,COUNTA($C:$C))))/2))+ABS(((($W281+$BT$2:INDEX($BT:$BT,COUNTA($C:$C))-ABS($W281-$BT$2:INDEX($BT:$BT,COUNTA($C:$C))))/2)-(($U281+$BS$2:INDEX($BS:$BS,COUNTA($C:$C))+ABS($U281-$BS$2:INDEX($BS:$BS,COUNTA($C:$C))))/2))))/2)),4),0)))))</f>
        <v/>
      </c>
      <c r="BE281" s="39" t="str">
        <f aca="false">IF($A281="","",IF($AC281="","",ROUND(MIN($AC281-$BD281,N($R281)),0)))</f>
        <v/>
      </c>
      <c r="BF281" s="10" t="str">
        <f aca="false">IF($A281="","",IFERROR(VLOOKUP($C281,Dim_Fund!$A:$BD,56,0),""))</f>
        <v/>
      </c>
      <c r="BG281" s="10" t="str">
        <f aca="false">IF($A281="","",IFERROR(VLOOKUP($C281,Dim_Fund!$A:$BH,60,0),""))</f>
        <v/>
      </c>
      <c r="BH281" s="10" t="str">
        <f aca="false">IF($A281="","",IF($AI281&lt;&gt;"Yes","Not breached",IF($AM281="Yes","Pricing late",IF($BG281="Thin custody slack","Thin custody slack",IF($BF281="Yes","Broker-dependent","None of these")))))</f>
        <v/>
      </c>
      <c r="BI281" s="23" t="str">
        <f aca="false">IF($A281="","",IFERROR(IF(VLOOKUP($C281,Dim_Fund!$A:$AI,35,0)&gt;0,VLOOKUP($C281,Dim_Fund!$A:$AI,35,0),""),""))</f>
        <v/>
      </c>
      <c r="BJ281" s="10" t="str">
        <f aca="false">IF($A281="","",$C281&amp;IF($E281="Client","*",""))</f>
        <v/>
      </c>
      <c r="BK281" s="39" t="str">
        <f aca="false">IF($A281="","",IFERROR(ROUND(($Y281-$X281)*1440,0),""))</f>
        <v/>
      </c>
      <c r="BL281" s="39" t="str">
        <f aca="false">IF($A281="","",IF($AH281="","",-$AH281))</f>
        <v/>
      </c>
      <c r="BM281" s="46" t="str">
        <f aca="false">IF($A281="","",IF($AQ281="","",IF($AP281="",$AQ281,MIN($AP281,$AQ281))))</f>
        <v/>
      </c>
      <c r="BN281" s="46" t="str">
        <f aca="false">IF($A281="","",IF($BM281="","",ROUND(N($AC281)/60,4)))</f>
        <v/>
      </c>
      <c r="BO281" s="46" t="str">
        <f aca="false">IF($A281="","",IF(OR($BM281="",$AD281=""),"",ROUND($AD281/60,4)))</f>
        <v/>
      </c>
      <c r="BP281" s="46" t="str">
        <f aca="false">IF($A281="","",IF($BM281="","",ROUND(N($AE281)/60,4)))</f>
        <v/>
      </c>
      <c r="BQ281" s="46" t="str">
        <f aca="false">IF($A281="","",IF(OR($BM281="",$AF281=""),"",ROUND($AF281/60,4)))</f>
        <v/>
      </c>
      <c r="BR281" s="39" t="str">
        <f aca="false">IF($A281="","",IF($AC281="","",$AC281-$BD281-$BE281))</f>
        <v/>
      </c>
      <c r="BS281" s="45" t="str">
        <f aca="false">IF($A281="","",IF(AND(ISNUMBER($Z281),ISNUMBER($W281)),$Z281,0))</f>
        <v/>
      </c>
      <c r="BT281" s="45" t="str">
        <f aca="false">IF($A281="","",IF(ISNUMBER($W281),$W281,0))</f>
        <v/>
      </c>
      <c r="BU281" s="23" t="str">
        <f aca="false">IF($A281="","",IF(ISNUMBER($W281),ROUND(($W281-$B281)*24,4),""))</f>
        <v/>
      </c>
      <c r="BV281" s="23" t="str">
        <f aca="false">IF($A281="","",IF(ISNUMBER($X281),ROUND(($X281-$B281)*24,4),""))</f>
        <v/>
      </c>
      <c r="BW281" s="10" t="str">
        <f aca="false">IF($A281="","",IF(NOT(ISNUMBER($W281)),"Missing Calculated",IF(NOT(ISNUMBER($X281)),IF($E281="Client","Missing FA signed off","Missing Controlled"),IF($X281&lt;$W281,"End before start","OK"))))</f>
        <v/>
      </c>
      <c r="BX281" s="23" t="str">
        <f aca="false">IF($A281="","",IF(NOT(ISNUMBER($Z281)),"",ROUND((IF(ISNUMBER($U281),MIN($U281,$Z281),$Z281)-$B281)*24,4)))</f>
        <v/>
      </c>
      <c r="BY281" s="23" t="str">
        <f aca="false">IF($A281="","",IF(ISNUMBER($Z281),ROUND(($Z281-$B281)*24,4),""))</f>
        <v/>
      </c>
      <c r="BZ281" s="23" t="str">
        <f aca="false">IF($A281="","",IF(AND(ISNUMBER($W281),ISNUMBER($S281)),ROUND(($W281+$S281/1440-$B281)*24,4),""))</f>
        <v/>
      </c>
    </row>
    <row r="282" customFormat="false" ht="15" hidden="false" customHeight="true" outlineLevel="0" collapsed="false">
      <c r="A282" s="47"/>
      <c r="B282" s="47"/>
      <c r="D282" s="4" t="str">
        <f aca="false">IF($A282="","",$B282-$A282)</f>
        <v/>
      </c>
      <c r="E282" s="4" t="str">
        <f aca="false">IF($A282="","",IFERROR(VLOOKUP($C282,Dim_Fund!$A:$X,24,0),""))</f>
        <v/>
      </c>
      <c r="F282" s="37" t="str">
        <f aca="false">IF($A282="","",IF(COUNTIFS(Status_Log!$A:$A,$A282,Status_Log!$B:$B,$B282,Status_Log!$C:$C,$C282,Status_Log!$D:$D,"Changed to the status of Calculated")=0,"",_xlfn.MINIFS(Status_Log!$E:$E,Status_Log!$A:$A,$A282,Status_Log!$B:$B,$B282,Status_Log!$C:$C,$C282,Status_Log!$D:$D,"Changed to the status of Calculated")))</f>
        <v/>
      </c>
      <c r="G282" s="37" t="str">
        <f aca="false">IF($A282="","",IF(COUNTIFS(Status_Log!$A:$A,$A282,Status_Log!$B:$B,$B282,Status_Log!$C:$C,$C282,Status_Log!$D:$D,"Changed to the status of Controlled")=0,"",_xlfn.MAXIFS(Status_Log!$E:$E,Status_Log!$A:$A,$A282,Status_Log!$B:$B,$B282,Status_Log!$C:$C,$C282,Status_Log!$D:$D,"Changed to the status of Controlled")))</f>
        <v/>
      </c>
      <c r="H282" s="37" t="str">
        <f aca="false">IF($A282="","",IF(COUNTIFS(Status_Log!$A:$A,$A282,Status_Log!$B:$B,$B282,Status_Log!$C:$C,$C282,Status_Log!$D:$D,"Changed to the status of Fund accounting signed off")=0,"",_xlfn.MAXIFS(Status_Log!$E:$E,Status_Log!$A:$A,$A282,Status_Log!$B:$B,$B282,Status_Log!$C:$C,$C282,Status_Log!$D:$D,"Changed to the status of Fund accounting signed off")))</f>
        <v/>
      </c>
      <c r="I282" s="37" t="str">
        <f aca="false">IF($A282="","",IF(COUNTIFS(Status_Log!$A:$A,$A282,Status_Log!$B:$B,$B282,Status_Log!$C:$C,$C282,Status_Log!$D:$D,"Changed to the status of signed off")=0,"",_xlfn.MAXIFS(Status_Log!$E:$E,Status_Log!$A:$A,$A282,Status_Log!$B:$B,$B282,Status_Log!$C:$C,$C282,Status_Log!$D:$D,"Changed to the status of signed off")))</f>
        <v/>
      </c>
      <c r="J282" s="4" t="str">
        <f aca="false">IF($A282="","",COUNTIFS(Status_Log!$A:$A,$A282,Status_Log!$B:$B,$B282,Status_Log!$C:$C,$C282,Status_Log!$D:$D,"Changed to the status of Calculated"))</f>
        <v/>
      </c>
      <c r="K282" s="38" t="str">
        <f aca="false">IF($A282="","",IF(J282&lt;=1,0,ROUND((_xlfn.MAXIFS(Status_Log!$E:$E,Status_Log!$A:$A,$A282,Status_Log!$B:$B,$B282,Status_Log!$C:$C,$C282,Status_Log!$D:$D,"Changed to the status of Calculated")-F282)*1440,0)))</f>
        <v/>
      </c>
      <c r="L282" s="4" t="str">
        <f aca="false">IF($A282="","",IFERROR(INDEX(Status_Log!$F:$F,MATCH($A282&amp;"|"&amp;$B282&amp;"|"&amp;$C282&amp;"|Changed to the status of Calculated|"&amp;TEXT(_xlfn.MAXIFS(Status_Log!$E:$E,Status_Log!$A:$A,$A282,Status_Log!$B:$B,$B282,Status_Log!$C:$C,$C282,Status_Log!$D:$D,"Changed to the status of Calculated"),"0.000000"),Status_Log!$H:$H,0)),""))</f>
        <v/>
      </c>
      <c r="M282" s="4" t="str">
        <f aca="false">IF($A282="","",IF(E282="Client","n/a — no control step",IFERROR(INDEX(Status_Log!$F:$F,MATCH($A282&amp;"|"&amp;$B282&amp;"|"&amp;$C282&amp;"|Changed to the status of Controlled|"&amp;TEXT(_xlfn.MAXIFS(Status_Log!$E:$E,Status_Log!$A:$A,$A282,Status_Log!$B:$B,$B282,Status_Log!$C:$C,$C282,Status_Log!$D:$D,"Changed to the status of Controlled"),"0.000000"),Status_Log!$H:$H,0)),"")))</f>
        <v/>
      </c>
      <c r="N282" s="4" t="str">
        <f aca="false">IF($A282="","",IFERROR(VLOOKUP($C282,Dim_Fund!$A:$G,7,0),""))</f>
        <v/>
      </c>
      <c r="O282" s="4" t="str">
        <f aca="false">IF($A282="","",IF(L282=N282,"No","Yes"))</f>
        <v/>
      </c>
      <c r="P282" s="4" t="str">
        <f aca="false">IF($A282="","",IF(E282="Client","n/a",IF(L282=M282,"YES — four-eyes breach","No")))</f>
        <v/>
      </c>
      <c r="Q282" s="38" t="str">
        <f aca="false">IF($A282="","",IFERROR(VLOOKUP($C282,Dim_Fund!$A:$AB,28,0),""))</f>
        <v/>
      </c>
      <c r="R282" s="38" t="str">
        <f aca="false">IF($A282="","",IFERROR(VLOOKUP($C282,Dim_Fund!$A:$AC,29,0),""))</f>
        <v/>
      </c>
      <c r="S282" s="38" t="str">
        <f aca="false">IF($A282="","",IFERROR(VLOOKUP($C282,Dim_Fund!$A:$AD,30,0),""))</f>
        <v/>
      </c>
      <c r="T282" s="38" t="str">
        <f aca="false">IF($A282="","",IFERROR(VLOOKUP($C282,Dim_Fund!$A:$AL,38,0),""))</f>
        <v/>
      </c>
      <c r="U282" s="37" t="str">
        <f aca="false">IF($A282="","",IF(AL282="","",IFERROR(IF(COUNTIFS(Fact_Milestone!$A:$A,$B282,Fact_Milestone!$B:$B,AL282)=0,"",_xlfn.MAXIFS(Fact_Milestone!$C:$C,Fact_Milestone!$A:$A,$B282,Fact_Milestone!$B:$B,AL282)),"")))</f>
        <v/>
      </c>
      <c r="V282" s="37" t="str">
        <f aca="false">IF($A282="","",IFERROR(IF(VLOOKUP($C282,Dim_Fund!$A:$AI,35,0)&gt;0,$B282+VLOOKUP($C282,Dim_Fund!$A:$AI,35,0)/24,""),""))</f>
        <v/>
      </c>
      <c r="W282" s="37" t="str">
        <f aca="false">IF($A282="","",F282)</f>
        <v/>
      </c>
      <c r="X282" s="37" t="str">
        <f aca="false">IF($A282="","",IF(E282="Client",H282,G282))</f>
        <v/>
      </c>
      <c r="Y282" s="37" t="str">
        <f aca="false">IF($A282="","",I282)</f>
        <v/>
      </c>
      <c r="Z282" s="37" t="str">
        <f aca="false">IF($A282="","",IFERROR(W282-R282/1440,""))</f>
        <v/>
      </c>
      <c r="AA282" s="38" t="str">
        <f aca="false">IF($A282="","",IF(OR(U282="",V282=""),"",ROUND((V282-U282)*1440,0)))</f>
        <v/>
      </c>
      <c r="AB282" s="38" t="str">
        <f aca="false">IF($A282="","",IF(U282="","",ROUND((W282-U282)*1440,0)))</f>
        <v/>
      </c>
      <c r="AC282" s="38" t="str">
        <f aca="false">IF($A282="","",IF(AB282="","",MAX(0,AB282)))</f>
        <v/>
      </c>
      <c r="AD282" s="38" t="str">
        <f aca="false">IF($A282="","",IFERROR(ROUND((X282-W282)*1440,0),""))</f>
        <v/>
      </c>
      <c r="AE282" s="38" t="str">
        <f aca="false">IF($A282="","",IF(E282="Client","n/a",IFERROR(ROUND((H282-G282)*1440,0),"")))</f>
        <v/>
      </c>
      <c r="AF282" s="38" t="str">
        <f aca="false">IF($A282="","",IFERROR(ROUND((Y282-H282)*1440,0),""))</f>
        <v/>
      </c>
      <c r="AG282" s="38" t="str">
        <f aca="false">IF($A282="","",IFERROR(ROUND((H282-F282)*1440,0),""))</f>
        <v/>
      </c>
      <c r="AH282" s="38" t="str">
        <f aca="false">IF($A282="","",IFERROR(ROUND((Y282-V282)*1440,0),""))</f>
        <v/>
      </c>
      <c r="AI282" s="4" t="str">
        <f aca="false">IF($A282="","",IF(AH282="","",IF(AH282&gt;0,"Yes","No")))</f>
        <v/>
      </c>
      <c r="AJ282" s="4" t="str">
        <f aca="false">IF($A282="","",IF(AI282&lt;&gt;"Yes","On time",IF(N(AC282)&gt;=MAX(N(AF282),N(K282)),"Wait for analyst",IF(N(AF282)&gt;=N(K282),"External sign-off","Rework"))))</f>
        <v/>
      </c>
      <c r="AK282" s="4" t="str">
        <f aca="false">IF($A282="","",IF(OR(F282="",Y282="",ISNA(MATCH(L282,Dim_Analyst!$A:$A,0))),"CHECK","OK"))</f>
        <v/>
      </c>
      <c r="AL282" s="4" t="str">
        <f aca="false">IF($A282="","",IFERROR(VLOOKUP($C282,Dim_Fund!$A:$U,21,0),""))</f>
        <v/>
      </c>
      <c r="AM282" s="4" t="str">
        <f aca="false">IF($A282="","",IF($U282="","",IF($U282&gt;$B282+IFERROR(VLOOKUP($C282,Dim_Fund!$A:$AH,34,0),0)/24,"Yes","No")))</f>
        <v/>
      </c>
      <c r="AN282" s="22" t="str">
        <f aca="false">IF($A282="","",IFERROR(VLOOKUP($C282,Dim_Fund!$A:$AH,34,0),""))</f>
        <v/>
      </c>
      <c r="AO282" s="22" t="str">
        <f aca="false">IF($A282="","",IF($AL282="","",IFERROR(FLOOR(IF(COUNTIFS(Fact_Milestone!$A:$A,$B282,Fact_Milestone!$B:$B,$AL282,Fact_Milestone!$F:$F,"&gt;0")&gt;0,_xlfn.MINIFS(Fact_Milestone!$F:$F,Fact_Milestone!$A:$A,$B282,Fact_Milestone!$B:$B,$AL282,Fact_Milestone!$F:$F,"&gt;0"),VLOOKUP($AL282,Dim_TOP!$A:$E,5,0)),0.5),"")))</f>
        <v/>
      </c>
      <c r="AP282" s="22" t="str">
        <f aca="false">IF($A282="","",IF($U282="","",ROUND(($U282-INT($U282))*24,4)))</f>
        <v/>
      </c>
      <c r="AQ282" s="22" t="str">
        <f aca="false">IF($A282="","",IF($W282="","",ROUND(($W282-INT($W282))*24,4)))</f>
        <v/>
      </c>
      <c r="AR282" s="22" t="str">
        <f aca="false">IF($A282="","",IF($X282="","",ROUND(($X282-INT($X282))*24,4)))</f>
        <v/>
      </c>
      <c r="AS282" s="38" t="str">
        <f aca="false">IF($A282="","",IF(OR($AN282="",$V282="",$S282="",$T282=""),"",ROUND(($V282-($B282+$AN282/24))*1440-$S282-$T282,0)))</f>
        <v/>
      </c>
      <c r="AT282" s="38" t="str">
        <f aca="false">IF($A282="","",IF(OR($AN282="",$U282=""),"",ROUND(($U282-($B282+$AN282/24))*1440,0)))</f>
        <v/>
      </c>
      <c r="AU282" s="38" t="str">
        <f aca="false">IF($A282="","",IF(OR($AD282="",$S282=""),"",ROUND($AD282-$S282,0)))</f>
        <v/>
      </c>
      <c r="AV282" s="38" t="str">
        <f aca="false">IF($A282="","",N($AE282))</f>
        <v/>
      </c>
      <c r="AW282" s="38" t="str">
        <f aca="false">IF($A282="","",IF(OR($AF282="",$T282=""),"",$AF282-$T282))</f>
        <v/>
      </c>
      <c r="AX282" s="38" t="str">
        <f aca="false">IF($A282="","",IF(COUNT($AT282,$AB282,$AU282,$AW282,$AS282,$AH282)&lt;6,"",ROUND($AT282+$AB282+$AU282+$AV282+$AW282-$AS282-$AH282,0)))</f>
        <v/>
      </c>
      <c r="AY282" s="4" t="str">
        <f aca="false">IF($A282="","",IF($AX282="","No",IF(ABS($AX282)&lt;=2,"Yes","No")))</f>
        <v/>
      </c>
      <c r="AZ282" s="4" t="str">
        <f aca="false">IF($A282="","",IF($AI282&lt;&gt;"Yes","n/a",IF(OR($AA282="",$S282="",$T282=""),"Unknown",IF($AA282&lt;$S282+$T282,"Lost on arrival","Lost after arrival"))))</f>
        <v/>
      </c>
      <c r="BA282" s="10" t="str">
        <f aca="false">IF($A282="","",IFERROR(VLOOKUP($C282,Dim_Fund!$A:$D,4,0),""))</f>
        <v/>
      </c>
      <c r="BB282" s="10" t="str">
        <f aca="false">IF($A282="","",IF($AL282="","",IF(COUNTIFS(Fact_Milestone!$A:$A,$B282,Fact_Milestone!$B:$B,$AL282,Fact_Milestone!$I:$I,"No")&gt;0,"No",IF(COUNTIFS(Fact_Milestone!$A:$A,$B282,Fact_Milestone!$B:$B,$AL282,Fact_Milestone!$I:$I,"Yes")&gt;0,"Yes",""))))</f>
        <v/>
      </c>
      <c r="BC282" s="45" t="str">
        <f aca="false">IF($A282="","",IF(OR($L282="",$W282=""),"",IF(COUNTIFS($L:$L,$L282,$B:$B,$B282,$W:$W,"&lt;"&amp;$W282)=0,"",_xlfn.MAXIFS($W:$W,$L:$L,$L282,$B:$B,$B282,$W:$W,"&lt;"&amp;$W282))))</f>
        <v/>
      </c>
      <c r="BD282" s="39" t="str">
        <f aca="false">IF($A282="","",IF($AC282="","",IF(OR($L282="",$AC282=0),0,MIN($AC282,ROUND(ROUND(1440*SUMPRODUCT(($L$2:INDEX($L:$L,COUNTA($C:$C))=$L282)*($B$2:INDEX($B:$B,COUNTA($C:$C))=$B282)*(ROW($L$2:INDEX($L:$L,COUNTA($C:$C)))&lt;&gt;ROW())*((((($W282+$BT$2:INDEX($BT:$BT,COUNTA($C:$C))-ABS($W282-$BT$2:INDEX($BT:$BT,COUNTA($C:$C))))/2)-(($U282+$BS$2:INDEX($BS:$BS,COUNTA($C:$C))+ABS($U282-$BS$2:INDEX($BS:$BS,COUNTA($C:$C))))/2))+ABS(((($W282+$BT$2:INDEX($BT:$BT,COUNTA($C:$C))-ABS($W282-$BT$2:INDEX($BT:$BT,COUNTA($C:$C))))/2)-(($U282+$BS$2:INDEX($BS:$BS,COUNTA($C:$C))+ABS($U282-$BS$2:INDEX($BS:$BS,COUNTA($C:$C))))/2))))/2)),4),0)))))</f>
        <v/>
      </c>
      <c r="BE282" s="39" t="str">
        <f aca="false">IF($A282="","",IF($AC282="","",ROUND(MIN($AC282-$BD282,N($R282)),0)))</f>
        <v/>
      </c>
      <c r="BF282" s="10" t="str">
        <f aca="false">IF($A282="","",IFERROR(VLOOKUP($C282,Dim_Fund!$A:$BD,56,0),""))</f>
        <v/>
      </c>
      <c r="BG282" s="10" t="str">
        <f aca="false">IF($A282="","",IFERROR(VLOOKUP($C282,Dim_Fund!$A:$BH,60,0),""))</f>
        <v/>
      </c>
      <c r="BH282" s="10" t="str">
        <f aca="false">IF($A282="","",IF($AI282&lt;&gt;"Yes","Not breached",IF($AM282="Yes","Pricing late",IF($BG282="Thin custody slack","Thin custody slack",IF($BF282="Yes","Broker-dependent","None of these")))))</f>
        <v/>
      </c>
      <c r="BI282" s="23" t="str">
        <f aca="false">IF($A282="","",IFERROR(IF(VLOOKUP($C282,Dim_Fund!$A:$AI,35,0)&gt;0,VLOOKUP($C282,Dim_Fund!$A:$AI,35,0),""),""))</f>
        <v/>
      </c>
      <c r="BJ282" s="10" t="str">
        <f aca="false">IF($A282="","",$C282&amp;IF($E282="Client","*",""))</f>
        <v/>
      </c>
      <c r="BK282" s="39" t="str">
        <f aca="false">IF($A282="","",IFERROR(ROUND(($Y282-$X282)*1440,0),""))</f>
        <v/>
      </c>
      <c r="BL282" s="39" t="str">
        <f aca="false">IF($A282="","",IF($AH282="","",-$AH282))</f>
        <v/>
      </c>
      <c r="BM282" s="46" t="str">
        <f aca="false">IF($A282="","",IF($AQ282="","",IF($AP282="",$AQ282,MIN($AP282,$AQ282))))</f>
        <v/>
      </c>
      <c r="BN282" s="46" t="str">
        <f aca="false">IF($A282="","",IF($BM282="","",ROUND(N($AC282)/60,4)))</f>
        <v/>
      </c>
      <c r="BO282" s="46" t="str">
        <f aca="false">IF($A282="","",IF(OR($BM282="",$AD282=""),"",ROUND($AD282/60,4)))</f>
        <v/>
      </c>
      <c r="BP282" s="46" t="str">
        <f aca="false">IF($A282="","",IF($BM282="","",ROUND(N($AE282)/60,4)))</f>
        <v/>
      </c>
      <c r="BQ282" s="46" t="str">
        <f aca="false">IF($A282="","",IF(OR($BM282="",$AF282=""),"",ROUND($AF282/60,4)))</f>
        <v/>
      </c>
      <c r="BR282" s="39" t="str">
        <f aca="false">IF($A282="","",IF($AC282="","",$AC282-$BD282-$BE282))</f>
        <v/>
      </c>
      <c r="BS282" s="45" t="str">
        <f aca="false">IF($A282="","",IF(AND(ISNUMBER($Z282),ISNUMBER($W282)),$Z282,0))</f>
        <v/>
      </c>
      <c r="BT282" s="45" t="str">
        <f aca="false">IF($A282="","",IF(ISNUMBER($W282),$W282,0))</f>
        <v/>
      </c>
      <c r="BU282" s="23" t="str">
        <f aca="false">IF($A282="","",IF(ISNUMBER($W282),ROUND(($W282-$B282)*24,4),""))</f>
        <v/>
      </c>
      <c r="BV282" s="23" t="str">
        <f aca="false">IF($A282="","",IF(ISNUMBER($X282),ROUND(($X282-$B282)*24,4),""))</f>
        <v/>
      </c>
      <c r="BW282" s="10" t="str">
        <f aca="false">IF($A282="","",IF(NOT(ISNUMBER($W282)),"Missing Calculated",IF(NOT(ISNUMBER($X282)),IF($E282="Client","Missing FA signed off","Missing Controlled"),IF($X282&lt;$W282,"End before start","OK"))))</f>
        <v/>
      </c>
      <c r="BX282" s="23" t="str">
        <f aca="false">IF($A282="","",IF(NOT(ISNUMBER($Z282)),"",ROUND((IF(ISNUMBER($U282),MIN($U282,$Z282),$Z282)-$B282)*24,4)))</f>
        <v/>
      </c>
      <c r="BY282" s="23" t="str">
        <f aca="false">IF($A282="","",IF(ISNUMBER($Z282),ROUND(($Z282-$B282)*24,4),""))</f>
        <v/>
      </c>
      <c r="BZ282" s="23" t="str">
        <f aca="false">IF($A282="","",IF(AND(ISNUMBER($W282),ISNUMBER($S282)),ROUND(($W282+$S282/1440-$B282)*24,4),""))</f>
        <v/>
      </c>
    </row>
    <row r="283" customFormat="false" ht="15" hidden="false" customHeight="true" outlineLevel="0" collapsed="false">
      <c r="A283" s="47"/>
      <c r="B283" s="47"/>
      <c r="D283" s="4" t="str">
        <f aca="false">IF($A283="","",$B283-$A283)</f>
        <v/>
      </c>
      <c r="E283" s="4" t="str">
        <f aca="false">IF($A283="","",IFERROR(VLOOKUP($C283,Dim_Fund!$A:$X,24,0),""))</f>
        <v/>
      </c>
      <c r="F283" s="37" t="str">
        <f aca="false">IF($A283="","",IF(COUNTIFS(Status_Log!$A:$A,$A283,Status_Log!$B:$B,$B283,Status_Log!$C:$C,$C283,Status_Log!$D:$D,"Changed to the status of Calculated")=0,"",_xlfn.MINIFS(Status_Log!$E:$E,Status_Log!$A:$A,$A283,Status_Log!$B:$B,$B283,Status_Log!$C:$C,$C283,Status_Log!$D:$D,"Changed to the status of Calculated")))</f>
        <v/>
      </c>
      <c r="G283" s="37" t="str">
        <f aca="false">IF($A283="","",IF(COUNTIFS(Status_Log!$A:$A,$A283,Status_Log!$B:$B,$B283,Status_Log!$C:$C,$C283,Status_Log!$D:$D,"Changed to the status of Controlled")=0,"",_xlfn.MAXIFS(Status_Log!$E:$E,Status_Log!$A:$A,$A283,Status_Log!$B:$B,$B283,Status_Log!$C:$C,$C283,Status_Log!$D:$D,"Changed to the status of Controlled")))</f>
        <v/>
      </c>
      <c r="H283" s="37" t="str">
        <f aca="false">IF($A283="","",IF(COUNTIFS(Status_Log!$A:$A,$A283,Status_Log!$B:$B,$B283,Status_Log!$C:$C,$C283,Status_Log!$D:$D,"Changed to the status of Fund accounting signed off")=0,"",_xlfn.MAXIFS(Status_Log!$E:$E,Status_Log!$A:$A,$A283,Status_Log!$B:$B,$B283,Status_Log!$C:$C,$C283,Status_Log!$D:$D,"Changed to the status of Fund accounting signed off")))</f>
        <v/>
      </c>
      <c r="I283" s="37" t="str">
        <f aca="false">IF($A283="","",IF(COUNTIFS(Status_Log!$A:$A,$A283,Status_Log!$B:$B,$B283,Status_Log!$C:$C,$C283,Status_Log!$D:$D,"Changed to the status of signed off")=0,"",_xlfn.MAXIFS(Status_Log!$E:$E,Status_Log!$A:$A,$A283,Status_Log!$B:$B,$B283,Status_Log!$C:$C,$C283,Status_Log!$D:$D,"Changed to the status of signed off")))</f>
        <v/>
      </c>
      <c r="J283" s="4" t="str">
        <f aca="false">IF($A283="","",COUNTIFS(Status_Log!$A:$A,$A283,Status_Log!$B:$B,$B283,Status_Log!$C:$C,$C283,Status_Log!$D:$D,"Changed to the status of Calculated"))</f>
        <v/>
      </c>
      <c r="K283" s="38" t="str">
        <f aca="false">IF($A283="","",IF(J283&lt;=1,0,ROUND((_xlfn.MAXIFS(Status_Log!$E:$E,Status_Log!$A:$A,$A283,Status_Log!$B:$B,$B283,Status_Log!$C:$C,$C283,Status_Log!$D:$D,"Changed to the status of Calculated")-F283)*1440,0)))</f>
        <v/>
      </c>
      <c r="L283" s="4" t="str">
        <f aca="false">IF($A283="","",IFERROR(INDEX(Status_Log!$F:$F,MATCH($A283&amp;"|"&amp;$B283&amp;"|"&amp;$C283&amp;"|Changed to the status of Calculated|"&amp;TEXT(_xlfn.MAXIFS(Status_Log!$E:$E,Status_Log!$A:$A,$A283,Status_Log!$B:$B,$B283,Status_Log!$C:$C,$C283,Status_Log!$D:$D,"Changed to the status of Calculated"),"0.000000"),Status_Log!$H:$H,0)),""))</f>
        <v/>
      </c>
      <c r="M283" s="4" t="str">
        <f aca="false">IF($A283="","",IF(E283="Client","n/a — no control step",IFERROR(INDEX(Status_Log!$F:$F,MATCH($A283&amp;"|"&amp;$B283&amp;"|"&amp;$C283&amp;"|Changed to the status of Controlled|"&amp;TEXT(_xlfn.MAXIFS(Status_Log!$E:$E,Status_Log!$A:$A,$A283,Status_Log!$B:$B,$B283,Status_Log!$C:$C,$C283,Status_Log!$D:$D,"Changed to the status of Controlled"),"0.000000"),Status_Log!$H:$H,0)),"")))</f>
        <v/>
      </c>
      <c r="N283" s="4" t="str">
        <f aca="false">IF($A283="","",IFERROR(VLOOKUP($C283,Dim_Fund!$A:$G,7,0),""))</f>
        <v/>
      </c>
      <c r="O283" s="4" t="str">
        <f aca="false">IF($A283="","",IF(L283=N283,"No","Yes"))</f>
        <v/>
      </c>
      <c r="P283" s="4" t="str">
        <f aca="false">IF($A283="","",IF(E283="Client","n/a",IF(L283=M283,"YES — four-eyes breach","No")))</f>
        <v/>
      </c>
      <c r="Q283" s="38" t="str">
        <f aca="false">IF($A283="","",IFERROR(VLOOKUP($C283,Dim_Fund!$A:$AB,28,0),""))</f>
        <v/>
      </c>
      <c r="R283" s="38" t="str">
        <f aca="false">IF($A283="","",IFERROR(VLOOKUP($C283,Dim_Fund!$A:$AC,29,0),""))</f>
        <v/>
      </c>
      <c r="S283" s="38" t="str">
        <f aca="false">IF($A283="","",IFERROR(VLOOKUP($C283,Dim_Fund!$A:$AD,30,0),""))</f>
        <v/>
      </c>
      <c r="T283" s="38" t="str">
        <f aca="false">IF($A283="","",IFERROR(VLOOKUP($C283,Dim_Fund!$A:$AL,38,0),""))</f>
        <v/>
      </c>
      <c r="U283" s="37" t="str">
        <f aca="false">IF($A283="","",IF(AL283="","",IFERROR(IF(COUNTIFS(Fact_Milestone!$A:$A,$B283,Fact_Milestone!$B:$B,AL283)=0,"",_xlfn.MAXIFS(Fact_Milestone!$C:$C,Fact_Milestone!$A:$A,$B283,Fact_Milestone!$B:$B,AL283)),"")))</f>
        <v/>
      </c>
      <c r="V283" s="37" t="str">
        <f aca="false">IF($A283="","",IFERROR(IF(VLOOKUP($C283,Dim_Fund!$A:$AI,35,0)&gt;0,$B283+VLOOKUP($C283,Dim_Fund!$A:$AI,35,0)/24,""),""))</f>
        <v/>
      </c>
      <c r="W283" s="37" t="str">
        <f aca="false">IF($A283="","",F283)</f>
        <v/>
      </c>
      <c r="X283" s="37" t="str">
        <f aca="false">IF($A283="","",IF(E283="Client",H283,G283))</f>
        <v/>
      </c>
      <c r="Y283" s="37" t="str">
        <f aca="false">IF($A283="","",I283)</f>
        <v/>
      </c>
      <c r="Z283" s="37" t="str">
        <f aca="false">IF($A283="","",IFERROR(W283-R283/1440,""))</f>
        <v/>
      </c>
      <c r="AA283" s="38" t="str">
        <f aca="false">IF($A283="","",IF(OR(U283="",V283=""),"",ROUND((V283-U283)*1440,0)))</f>
        <v/>
      </c>
      <c r="AB283" s="38" t="str">
        <f aca="false">IF($A283="","",IF(U283="","",ROUND((W283-U283)*1440,0)))</f>
        <v/>
      </c>
      <c r="AC283" s="38" t="str">
        <f aca="false">IF($A283="","",IF(AB283="","",MAX(0,AB283)))</f>
        <v/>
      </c>
      <c r="AD283" s="38" t="str">
        <f aca="false">IF($A283="","",IFERROR(ROUND((X283-W283)*1440,0),""))</f>
        <v/>
      </c>
      <c r="AE283" s="38" t="str">
        <f aca="false">IF($A283="","",IF(E283="Client","n/a",IFERROR(ROUND((H283-G283)*1440,0),"")))</f>
        <v/>
      </c>
      <c r="AF283" s="38" t="str">
        <f aca="false">IF($A283="","",IFERROR(ROUND((Y283-H283)*1440,0),""))</f>
        <v/>
      </c>
      <c r="AG283" s="38" t="str">
        <f aca="false">IF($A283="","",IFERROR(ROUND((H283-F283)*1440,0),""))</f>
        <v/>
      </c>
      <c r="AH283" s="38" t="str">
        <f aca="false">IF($A283="","",IFERROR(ROUND((Y283-V283)*1440,0),""))</f>
        <v/>
      </c>
      <c r="AI283" s="4" t="str">
        <f aca="false">IF($A283="","",IF(AH283="","",IF(AH283&gt;0,"Yes","No")))</f>
        <v/>
      </c>
      <c r="AJ283" s="4" t="str">
        <f aca="false">IF($A283="","",IF(AI283&lt;&gt;"Yes","On time",IF(N(AC283)&gt;=MAX(N(AF283),N(K283)),"Wait for analyst",IF(N(AF283)&gt;=N(K283),"External sign-off","Rework"))))</f>
        <v/>
      </c>
      <c r="AK283" s="4" t="str">
        <f aca="false">IF($A283="","",IF(OR(F283="",Y283="",ISNA(MATCH(L283,Dim_Analyst!$A:$A,0))),"CHECK","OK"))</f>
        <v/>
      </c>
      <c r="AL283" s="4" t="str">
        <f aca="false">IF($A283="","",IFERROR(VLOOKUP($C283,Dim_Fund!$A:$U,21,0),""))</f>
        <v/>
      </c>
      <c r="AM283" s="4" t="str">
        <f aca="false">IF($A283="","",IF($U283="","",IF($U283&gt;$B283+IFERROR(VLOOKUP($C283,Dim_Fund!$A:$AH,34,0),0)/24,"Yes","No")))</f>
        <v/>
      </c>
      <c r="AN283" s="22" t="str">
        <f aca="false">IF($A283="","",IFERROR(VLOOKUP($C283,Dim_Fund!$A:$AH,34,0),""))</f>
        <v/>
      </c>
      <c r="AO283" s="22" t="str">
        <f aca="false">IF($A283="","",IF($AL283="","",IFERROR(FLOOR(IF(COUNTIFS(Fact_Milestone!$A:$A,$B283,Fact_Milestone!$B:$B,$AL283,Fact_Milestone!$F:$F,"&gt;0")&gt;0,_xlfn.MINIFS(Fact_Milestone!$F:$F,Fact_Milestone!$A:$A,$B283,Fact_Milestone!$B:$B,$AL283,Fact_Milestone!$F:$F,"&gt;0"),VLOOKUP($AL283,Dim_TOP!$A:$E,5,0)),0.5),"")))</f>
        <v/>
      </c>
      <c r="AP283" s="22" t="str">
        <f aca="false">IF($A283="","",IF($U283="","",ROUND(($U283-INT($U283))*24,4)))</f>
        <v/>
      </c>
      <c r="AQ283" s="22" t="str">
        <f aca="false">IF($A283="","",IF($W283="","",ROUND(($W283-INT($W283))*24,4)))</f>
        <v/>
      </c>
      <c r="AR283" s="22" t="str">
        <f aca="false">IF($A283="","",IF($X283="","",ROUND(($X283-INT($X283))*24,4)))</f>
        <v/>
      </c>
      <c r="AS283" s="38" t="str">
        <f aca="false">IF($A283="","",IF(OR($AN283="",$V283="",$S283="",$T283=""),"",ROUND(($V283-($B283+$AN283/24))*1440-$S283-$T283,0)))</f>
        <v/>
      </c>
      <c r="AT283" s="38" t="str">
        <f aca="false">IF($A283="","",IF(OR($AN283="",$U283=""),"",ROUND(($U283-($B283+$AN283/24))*1440,0)))</f>
        <v/>
      </c>
      <c r="AU283" s="38" t="str">
        <f aca="false">IF($A283="","",IF(OR($AD283="",$S283=""),"",ROUND($AD283-$S283,0)))</f>
        <v/>
      </c>
      <c r="AV283" s="38" t="str">
        <f aca="false">IF($A283="","",N($AE283))</f>
        <v/>
      </c>
      <c r="AW283" s="38" t="str">
        <f aca="false">IF($A283="","",IF(OR($AF283="",$T283=""),"",$AF283-$T283))</f>
        <v/>
      </c>
      <c r="AX283" s="38" t="str">
        <f aca="false">IF($A283="","",IF(COUNT($AT283,$AB283,$AU283,$AW283,$AS283,$AH283)&lt;6,"",ROUND($AT283+$AB283+$AU283+$AV283+$AW283-$AS283-$AH283,0)))</f>
        <v/>
      </c>
      <c r="AY283" s="4" t="str">
        <f aca="false">IF($A283="","",IF($AX283="","No",IF(ABS($AX283)&lt;=2,"Yes","No")))</f>
        <v/>
      </c>
      <c r="AZ283" s="4" t="str">
        <f aca="false">IF($A283="","",IF($AI283&lt;&gt;"Yes","n/a",IF(OR($AA283="",$S283="",$T283=""),"Unknown",IF($AA283&lt;$S283+$T283,"Lost on arrival","Lost after arrival"))))</f>
        <v/>
      </c>
      <c r="BA283" s="10" t="str">
        <f aca="false">IF($A283="","",IFERROR(VLOOKUP($C283,Dim_Fund!$A:$D,4,0),""))</f>
        <v/>
      </c>
      <c r="BB283" s="10" t="str">
        <f aca="false">IF($A283="","",IF($AL283="","",IF(COUNTIFS(Fact_Milestone!$A:$A,$B283,Fact_Milestone!$B:$B,$AL283,Fact_Milestone!$I:$I,"No")&gt;0,"No",IF(COUNTIFS(Fact_Milestone!$A:$A,$B283,Fact_Milestone!$B:$B,$AL283,Fact_Milestone!$I:$I,"Yes")&gt;0,"Yes",""))))</f>
        <v/>
      </c>
      <c r="BC283" s="45" t="str">
        <f aca="false">IF($A283="","",IF(OR($L283="",$W283=""),"",IF(COUNTIFS($L:$L,$L283,$B:$B,$B283,$W:$W,"&lt;"&amp;$W283)=0,"",_xlfn.MAXIFS($W:$W,$L:$L,$L283,$B:$B,$B283,$W:$W,"&lt;"&amp;$W283))))</f>
        <v/>
      </c>
      <c r="BD283" s="39" t="str">
        <f aca="false">IF($A283="","",IF($AC283="","",IF(OR($L283="",$AC283=0),0,MIN($AC283,ROUND(ROUND(1440*SUMPRODUCT(($L$2:INDEX($L:$L,COUNTA($C:$C))=$L283)*($B$2:INDEX($B:$B,COUNTA($C:$C))=$B283)*(ROW($L$2:INDEX($L:$L,COUNTA($C:$C)))&lt;&gt;ROW())*((((($W283+$BT$2:INDEX($BT:$BT,COUNTA($C:$C))-ABS($W283-$BT$2:INDEX($BT:$BT,COUNTA($C:$C))))/2)-(($U283+$BS$2:INDEX($BS:$BS,COUNTA($C:$C))+ABS($U283-$BS$2:INDEX($BS:$BS,COUNTA($C:$C))))/2))+ABS(((($W283+$BT$2:INDEX($BT:$BT,COUNTA($C:$C))-ABS($W283-$BT$2:INDEX($BT:$BT,COUNTA($C:$C))))/2)-(($U283+$BS$2:INDEX($BS:$BS,COUNTA($C:$C))+ABS($U283-$BS$2:INDEX($BS:$BS,COUNTA($C:$C))))/2))))/2)),4),0)))))</f>
        <v/>
      </c>
      <c r="BE283" s="39" t="str">
        <f aca="false">IF($A283="","",IF($AC283="","",ROUND(MIN($AC283-$BD283,N($R283)),0)))</f>
        <v/>
      </c>
      <c r="BF283" s="10" t="str">
        <f aca="false">IF($A283="","",IFERROR(VLOOKUP($C283,Dim_Fund!$A:$BD,56,0),""))</f>
        <v/>
      </c>
      <c r="BG283" s="10" t="str">
        <f aca="false">IF($A283="","",IFERROR(VLOOKUP($C283,Dim_Fund!$A:$BH,60,0),""))</f>
        <v/>
      </c>
      <c r="BH283" s="10" t="str">
        <f aca="false">IF($A283="","",IF($AI283&lt;&gt;"Yes","Not breached",IF($AM283="Yes","Pricing late",IF($BG283="Thin custody slack","Thin custody slack",IF($BF283="Yes","Broker-dependent","None of these")))))</f>
        <v/>
      </c>
      <c r="BI283" s="23" t="str">
        <f aca="false">IF($A283="","",IFERROR(IF(VLOOKUP($C283,Dim_Fund!$A:$AI,35,0)&gt;0,VLOOKUP($C283,Dim_Fund!$A:$AI,35,0),""),""))</f>
        <v/>
      </c>
      <c r="BJ283" s="10" t="str">
        <f aca="false">IF($A283="","",$C283&amp;IF($E283="Client","*",""))</f>
        <v/>
      </c>
      <c r="BK283" s="39" t="str">
        <f aca="false">IF($A283="","",IFERROR(ROUND(($Y283-$X283)*1440,0),""))</f>
        <v/>
      </c>
      <c r="BL283" s="39" t="str">
        <f aca="false">IF($A283="","",IF($AH283="","",-$AH283))</f>
        <v/>
      </c>
      <c r="BM283" s="46" t="str">
        <f aca="false">IF($A283="","",IF($AQ283="","",IF($AP283="",$AQ283,MIN($AP283,$AQ283))))</f>
        <v/>
      </c>
      <c r="BN283" s="46" t="str">
        <f aca="false">IF($A283="","",IF($BM283="","",ROUND(N($AC283)/60,4)))</f>
        <v/>
      </c>
      <c r="BO283" s="46" t="str">
        <f aca="false">IF($A283="","",IF(OR($BM283="",$AD283=""),"",ROUND($AD283/60,4)))</f>
        <v/>
      </c>
      <c r="BP283" s="46" t="str">
        <f aca="false">IF($A283="","",IF($BM283="","",ROUND(N($AE283)/60,4)))</f>
        <v/>
      </c>
      <c r="BQ283" s="46" t="str">
        <f aca="false">IF($A283="","",IF(OR($BM283="",$AF283=""),"",ROUND($AF283/60,4)))</f>
        <v/>
      </c>
      <c r="BR283" s="39" t="str">
        <f aca="false">IF($A283="","",IF($AC283="","",$AC283-$BD283-$BE283))</f>
        <v/>
      </c>
      <c r="BS283" s="45" t="str">
        <f aca="false">IF($A283="","",IF(AND(ISNUMBER($Z283),ISNUMBER($W283)),$Z283,0))</f>
        <v/>
      </c>
      <c r="BT283" s="45" t="str">
        <f aca="false">IF($A283="","",IF(ISNUMBER($W283),$W283,0))</f>
        <v/>
      </c>
      <c r="BU283" s="23" t="str">
        <f aca="false">IF($A283="","",IF(ISNUMBER($W283),ROUND(($W283-$B283)*24,4),""))</f>
        <v/>
      </c>
      <c r="BV283" s="23" t="str">
        <f aca="false">IF($A283="","",IF(ISNUMBER($X283),ROUND(($X283-$B283)*24,4),""))</f>
        <v/>
      </c>
      <c r="BW283" s="10" t="str">
        <f aca="false">IF($A283="","",IF(NOT(ISNUMBER($W283)),"Missing Calculated",IF(NOT(ISNUMBER($X283)),IF($E283="Client","Missing FA signed off","Missing Controlled"),IF($X283&lt;$W283,"End before start","OK"))))</f>
        <v/>
      </c>
      <c r="BX283" s="23" t="str">
        <f aca="false">IF($A283="","",IF(NOT(ISNUMBER($Z283)),"",ROUND((IF(ISNUMBER($U283),MIN($U283,$Z283),$Z283)-$B283)*24,4)))</f>
        <v/>
      </c>
      <c r="BY283" s="23" t="str">
        <f aca="false">IF($A283="","",IF(ISNUMBER($Z283),ROUND(($Z283-$B283)*24,4),""))</f>
        <v/>
      </c>
      <c r="BZ283" s="23" t="str">
        <f aca="false">IF($A283="","",IF(AND(ISNUMBER($W283),ISNUMBER($S283)),ROUND(($W283+$S283/1440-$B283)*24,4),""))</f>
        <v/>
      </c>
    </row>
    <row r="284" customFormat="false" ht="15" hidden="false" customHeight="true" outlineLevel="0" collapsed="false">
      <c r="A284" s="47"/>
      <c r="B284" s="47"/>
      <c r="D284" s="4" t="str">
        <f aca="false">IF($A284="","",$B284-$A284)</f>
        <v/>
      </c>
      <c r="E284" s="4" t="str">
        <f aca="false">IF($A284="","",IFERROR(VLOOKUP($C284,Dim_Fund!$A:$X,24,0),""))</f>
        <v/>
      </c>
      <c r="F284" s="37" t="str">
        <f aca="false">IF($A284="","",IF(COUNTIFS(Status_Log!$A:$A,$A284,Status_Log!$B:$B,$B284,Status_Log!$C:$C,$C284,Status_Log!$D:$D,"Changed to the status of Calculated")=0,"",_xlfn.MINIFS(Status_Log!$E:$E,Status_Log!$A:$A,$A284,Status_Log!$B:$B,$B284,Status_Log!$C:$C,$C284,Status_Log!$D:$D,"Changed to the status of Calculated")))</f>
        <v/>
      </c>
      <c r="G284" s="37" t="str">
        <f aca="false">IF($A284="","",IF(COUNTIFS(Status_Log!$A:$A,$A284,Status_Log!$B:$B,$B284,Status_Log!$C:$C,$C284,Status_Log!$D:$D,"Changed to the status of Controlled")=0,"",_xlfn.MAXIFS(Status_Log!$E:$E,Status_Log!$A:$A,$A284,Status_Log!$B:$B,$B284,Status_Log!$C:$C,$C284,Status_Log!$D:$D,"Changed to the status of Controlled")))</f>
        <v/>
      </c>
      <c r="H284" s="37" t="str">
        <f aca="false">IF($A284="","",IF(COUNTIFS(Status_Log!$A:$A,$A284,Status_Log!$B:$B,$B284,Status_Log!$C:$C,$C284,Status_Log!$D:$D,"Changed to the status of Fund accounting signed off")=0,"",_xlfn.MAXIFS(Status_Log!$E:$E,Status_Log!$A:$A,$A284,Status_Log!$B:$B,$B284,Status_Log!$C:$C,$C284,Status_Log!$D:$D,"Changed to the status of Fund accounting signed off")))</f>
        <v/>
      </c>
      <c r="I284" s="37" t="str">
        <f aca="false">IF($A284="","",IF(COUNTIFS(Status_Log!$A:$A,$A284,Status_Log!$B:$B,$B284,Status_Log!$C:$C,$C284,Status_Log!$D:$D,"Changed to the status of signed off")=0,"",_xlfn.MAXIFS(Status_Log!$E:$E,Status_Log!$A:$A,$A284,Status_Log!$B:$B,$B284,Status_Log!$C:$C,$C284,Status_Log!$D:$D,"Changed to the status of signed off")))</f>
        <v/>
      </c>
      <c r="J284" s="4" t="str">
        <f aca="false">IF($A284="","",COUNTIFS(Status_Log!$A:$A,$A284,Status_Log!$B:$B,$B284,Status_Log!$C:$C,$C284,Status_Log!$D:$D,"Changed to the status of Calculated"))</f>
        <v/>
      </c>
      <c r="K284" s="38" t="str">
        <f aca="false">IF($A284="","",IF(J284&lt;=1,0,ROUND((_xlfn.MAXIFS(Status_Log!$E:$E,Status_Log!$A:$A,$A284,Status_Log!$B:$B,$B284,Status_Log!$C:$C,$C284,Status_Log!$D:$D,"Changed to the status of Calculated")-F284)*1440,0)))</f>
        <v/>
      </c>
      <c r="L284" s="4" t="str">
        <f aca="false">IF($A284="","",IFERROR(INDEX(Status_Log!$F:$F,MATCH($A284&amp;"|"&amp;$B284&amp;"|"&amp;$C284&amp;"|Changed to the status of Calculated|"&amp;TEXT(_xlfn.MAXIFS(Status_Log!$E:$E,Status_Log!$A:$A,$A284,Status_Log!$B:$B,$B284,Status_Log!$C:$C,$C284,Status_Log!$D:$D,"Changed to the status of Calculated"),"0.000000"),Status_Log!$H:$H,0)),""))</f>
        <v/>
      </c>
      <c r="M284" s="4" t="str">
        <f aca="false">IF($A284="","",IF(E284="Client","n/a — no control step",IFERROR(INDEX(Status_Log!$F:$F,MATCH($A284&amp;"|"&amp;$B284&amp;"|"&amp;$C284&amp;"|Changed to the status of Controlled|"&amp;TEXT(_xlfn.MAXIFS(Status_Log!$E:$E,Status_Log!$A:$A,$A284,Status_Log!$B:$B,$B284,Status_Log!$C:$C,$C284,Status_Log!$D:$D,"Changed to the status of Controlled"),"0.000000"),Status_Log!$H:$H,0)),"")))</f>
        <v/>
      </c>
      <c r="N284" s="4" t="str">
        <f aca="false">IF($A284="","",IFERROR(VLOOKUP($C284,Dim_Fund!$A:$G,7,0),""))</f>
        <v/>
      </c>
      <c r="O284" s="4" t="str">
        <f aca="false">IF($A284="","",IF(L284=N284,"No","Yes"))</f>
        <v/>
      </c>
      <c r="P284" s="4" t="str">
        <f aca="false">IF($A284="","",IF(E284="Client","n/a",IF(L284=M284,"YES — four-eyes breach","No")))</f>
        <v/>
      </c>
      <c r="Q284" s="38" t="str">
        <f aca="false">IF($A284="","",IFERROR(VLOOKUP($C284,Dim_Fund!$A:$AB,28,0),""))</f>
        <v/>
      </c>
      <c r="R284" s="38" t="str">
        <f aca="false">IF($A284="","",IFERROR(VLOOKUP($C284,Dim_Fund!$A:$AC,29,0),""))</f>
        <v/>
      </c>
      <c r="S284" s="38" t="str">
        <f aca="false">IF($A284="","",IFERROR(VLOOKUP($C284,Dim_Fund!$A:$AD,30,0),""))</f>
        <v/>
      </c>
      <c r="T284" s="38" t="str">
        <f aca="false">IF($A284="","",IFERROR(VLOOKUP($C284,Dim_Fund!$A:$AL,38,0),""))</f>
        <v/>
      </c>
      <c r="U284" s="37" t="str">
        <f aca="false">IF($A284="","",IF(AL284="","",IFERROR(IF(COUNTIFS(Fact_Milestone!$A:$A,$B284,Fact_Milestone!$B:$B,AL284)=0,"",_xlfn.MAXIFS(Fact_Milestone!$C:$C,Fact_Milestone!$A:$A,$B284,Fact_Milestone!$B:$B,AL284)),"")))</f>
        <v/>
      </c>
      <c r="V284" s="37" t="str">
        <f aca="false">IF($A284="","",IFERROR(IF(VLOOKUP($C284,Dim_Fund!$A:$AI,35,0)&gt;0,$B284+VLOOKUP($C284,Dim_Fund!$A:$AI,35,0)/24,""),""))</f>
        <v/>
      </c>
      <c r="W284" s="37" t="str">
        <f aca="false">IF($A284="","",F284)</f>
        <v/>
      </c>
      <c r="X284" s="37" t="str">
        <f aca="false">IF($A284="","",IF(E284="Client",H284,G284))</f>
        <v/>
      </c>
      <c r="Y284" s="37" t="str">
        <f aca="false">IF($A284="","",I284)</f>
        <v/>
      </c>
      <c r="Z284" s="37" t="str">
        <f aca="false">IF($A284="","",IFERROR(W284-R284/1440,""))</f>
        <v/>
      </c>
      <c r="AA284" s="38" t="str">
        <f aca="false">IF($A284="","",IF(OR(U284="",V284=""),"",ROUND((V284-U284)*1440,0)))</f>
        <v/>
      </c>
      <c r="AB284" s="38" t="str">
        <f aca="false">IF($A284="","",IF(U284="","",ROUND((W284-U284)*1440,0)))</f>
        <v/>
      </c>
      <c r="AC284" s="38" t="str">
        <f aca="false">IF($A284="","",IF(AB284="","",MAX(0,AB284)))</f>
        <v/>
      </c>
      <c r="AD284" s="38" t="str">
        <f aca="false">IF($A284="","",IFERROR(ROUND((X284-W284)*1440,0),""))</f>
        <v/>
      </c>
      <c r="AE284" s="38" t="str">
        <f aca="false">IF($A284="","",IF(E284="Client","n/a",IFERROR(ROUND((H284-G284)*1440,0),"")))</f>
        <v/>
      </c>
      <c r="AF284" s="38" t="str">
        <f aca="false">IF($A284="","",IFERROR(ROUND((Y284-H284)*1440,0),""))</f>
        <v/>
      </c>
      <c r="AG284" s="38" t="str">
        <f aca="false">IF($A284="","",IFERROR(ROUND((H284-F284)*1440,0),""))</f>
        <v/>
      </c>
      <c r="AH284" s="38" t="str">
        <f aca="false">IF($A284="","",IFERROR(ROUND((Y284-V284)*1440,0),""))</f>
        <v/>
      </c>
      <c r="AI284" s="4" t="str">
        <f aca="false">IF($A284="","",IF(AH284="","",IF(AH284&gt;0,"Yes","No")))</f>
        <v/>
      </c>
      <c r="AJ284" s="4" t="str">
        <f aca="false">IF($A284="","",IF(AI284&lt;&gt;"Yes","On time",IF(N(AC284)&gt;=MAX(N(AF284),N(K284)),"Wait for analyst",IF(N(AF284)&gt;=N(K284),"External sign-off","Rework"))))</f>
        <v/>
      </c>
      <c r="AK284" s="4" t="str">
        <f aca="false">IF($A284="","",IF(OR(F284="",Y284="",ISNA(MATCH(L284,Dim_Analyst!$A:$A,0))),"CHECK","OK"))</f>
        <v/>
      </c>
      <c r="AL284" s="4" t="str">
        <f aca="false">IF($A284="","",IFERROR(VLOOKUP($C284,Dim_Fund!$A:$U,21,0),""))</f>
        <v/>
      </c>
      <c r="AM284" s="4" t="str">
        <f aca="false">IF($A284="","",IF($U284="","",IF($U284&gt;$B284+IFERROR(VLOOKUP($C284,Dim_Fund!$A:$AH,34,0),0)/24,"Yes","No")))</f>
        <v/>
      </c>
      <c r="AN284" s="22" t="str">
        <f aca="false">IF($A284="","",IFERROR(VLOOKUP($C284,Dim_Fund!$A:$AH,34,0),""))</f>
        <v/>
      </c>
      <c r="AO284" s="22" t="str">
        <f aca="false">IF($A284="","",IF($AL284="","",IFERROR(FLOOR(IF(COUNTIFS(Fact_Milestone!$A:$A,$B284,Fact_Milestone!$B:$B,$AL284,Fact_Milestone!$F:$F,"&gt;0")&gt;0,_xlfn.MINIFS(Fact_Milestone!$F:$F,Fact_Milestone!$A:$A,$B284,Fact_Milestone!$B:$B,$AL284,Fact_Milestone!$F:$F,"&gt;0"),VLOOKUP($AL284,Dim_TOP!$A:$E,5,0)),0.5),"")))</f>
        <v/>
      </c>
      <c r="AP284" s="22" t="str">
        <f aca="false">IF($A284="","",IF($U284="","",ROUND(($U284-INT($U284))*24,4)))</f>
        <v/>
      </c>
      <c r="AQ284" s="22" t="str">
        <f aca="false">IF($A284="","",IF($W284="","",ROUND(($W284-INT($W284))*24,4)))</f>
        <v/>
      </c>
      <c r="AR284" s="22" t="str">
        <f aca="false">IF($A284="","",IF($X284="","",ROUND(($X284-INT($X284))*24,4)))</f>
        <v/>
      </c>
      <c r="AS284" s="38" t="str">
        <f aca="false">IF($A284="","",IF(OR($AN284="",$V284="",$S284="",$T284=""),"",ROUND(($V284-($B284+$AN284/24))*1440-$S284-$T284,0)))</f>
        <v/>
      </c>
      <c r="AT284" s="38" t="str">
        <f aca="false">IF($A284="","",IF(OR($AN284="",$U284=""),"",ROUND(($U284-($B284+$AN284/24))*1440,0)))</f>
        <v/>
      </c>
      <c r="AU284" s="38" t="str">
        <f aca="false">IF($A284="","",IF(OR($AD284="",$S284=""),"",ROUND($AD284-$S284,0)))</f>
        <v/>
      </c>
      <c r="AV284" s="38" t="str">
        <f aca="false">IF($A284="","",N($AE284))</f>
        <v/>
      </c>
      <c r="AW284" s="38" t="str">
        <f aca="false">IF($A284="","",IF(OR($AF284="",$T284=""),"",$AF284-$T284))</f>
        <v/>
      </c>
      <c r="AX284" s="38" t="str">
        <f aca="false">IF($A284="","",IF(COUNT($AT284,$AB284,$AU284,$AW284,$AS284,$AH284)&lt;6,"",ROUND($AT284+$AB284+$AU284+$AV284+$AW284-$AS284-$AH284,0)))</f>
        <v/>
      </c>
      <c r="AY284" s="4" t="str">
        <f aca="false">IF($A284="","",IF($AX284="","No",IF(ABS($AX284)&lt;=2,"Yes","No")))</f>
        <v/>
      </c>
      <c r="AZ284" s="4" t="str">
        <f aca="false">IF($A284="","",IF($AI284&lt;&gt;"Yes","n/a",IF(OR($AA284="",$S284="",$T284=""),"Unknown",IF($AA284&lt;$S284+$T284,"Lost on arrival","Lost after arrival"))))</f>
        <v/>
      </c>
      <c r="BA284" s="10" t="str">
        <f aca="false">IF($A284="","",IFERROR(VLOOKUP($C284,Dim_Fund!$A:$D,4,0),""))</f>
        <v/>
      </c>
      <c r="BB284" s="10" t="str">
        <f aca="false">IF($A284="","",IF($AL284="","",IF(COUNTIFS(Fact_Milestone!$A:$A,$B284,Fact_Milestone!$B:$B,$AL284,Fact_Milestone!$I:$I,"No")&gt;0,"No",IF(COUNTIFS(Fact_Milestone!$A:$A,$B284,Fact_Milestone!$B:$B,$AL284,Fact_Milestone!$I:$I,"Yes")&gt;0,"Yes",""))))</f>
        <v/>
      </c>
      <c r="BC284" s="45" t="str">
        <f aca="false">IF($A284="","",IF(OR($L284="",$W284=""),"",IF(COUNTIFS($L:$L,$L284,$B:$B,$B284,$W:$W,"&lt;"&amp;$W284)=0,"",_xlfn.MAXIFS($W:$W,$L:$L,$L284,$B:$B,$B284,$W:$W,"&lt;"&amp;$W284))))</f>
        <v/>
      </c>
      <c r="BD284" s="39" t="str">
        <f aca="false">IF($A284="","",IF($AC284="","",IF(OR($L284="",$AC284=0),0,MIN($AC284,ROUND(ROUND(1440*SUMPRODUCT(($L$2:INDEX($L:$L,COUNTA($C:$C))=$L284)*($B$2:INDEX($B:$B,COUNTA($C:$C))=$B284)*(ROW($L$2:INDEX($L:$L,COUNTA($C:$C)))&lt;&gt;ROW())*((((($W284+$BT$2:INDEX($BT:$BT,COUNTA($C:$C))-ABS($W284-$BT$2:INDEX($BT:$BT,COUNTA($C:$C))))/2)-(($U284+$BS$2:INDEX($BS:$BS,COUNTA($C:$C))+ABS($U284-$BS$2:INDEX($BS:$BS,COUNTA($C:$C))))/2))+ABS(((($W284+$BT$2:INDEX($BT:$BT,COUNTA($C:$C))-ABS($W284-$BT$2:INDEX($BT:$BT,COUNTA($C:$C))))/2)-(($U284+$BS$2:INDEX($BS:$BS,COUNTA($C:$C))+ABS($U284-$BS$2:INDEX($BS:$BS,COUNTA($C:$C))))/2))))/2)),4),0)))))</f>
        <v/>
      </c>
      <c r="BE284" s="39" t="str">
        <f aca="false">IF($A284="","",IF($AC284="","",ROUND(MIN($AC284-$BD284,N($R284)),0)))</f>
        <v/>
      </c>
      <c r="BF284" s="10" t="str">
        <f aca="false">IF($A284="","",IFERROR(VLOOKUP($C284,Dim_Fund!$A:$BD,56,0),""))</f>
        <v/>
      </c>
      <c r="BG284" s="10" t="str">
        <f aca="false">IF($A284="","",IFERROR(VLOOKUP($C284,Dim_Fund!$A:$BH,60,0),""))</f>
        <v/>
      </c>
      <c r="BH284" s="10" t="str">
        <f aca="false">IF($A284="","",IF($AI284&lt;&gt;"Yes","Not breached",IF($AM284="Yes","Pricing late",IF($BG284="Thin custody slack","Thin custody slack",IF($BF284="Yes","Broker-dependent","None of these")))))</f>
        <v/>
      </c>
      <c r="BI284" s="23" t="str">
        <f aca="false">IF($A284="","",IFERROR(IF(VLOOKUP($C284,Dim_Fund!$A:$AI,35,0)&gt;0,VLOOKUP($C284,Dim_Fund!$A:$AI,35,0),""),""))</f>
        <v/>
      </c>
      <c r="BJ284" s="10" t="str">
        <f aca="false">IF($A284="","",$C284&amp;IF($E284="Client","*",""))</f>
        <v/>
      </c>
      <c r="BK284" s="39" t="str">
        <f aca="false">IF($A284="","",IFERROR(ROUND(($Y284-$X284)*1440,0),""))</f>
        <v/>
      </c>
      <c r="BL284" s="39" t="str">
        <f aca="false">IF($A284="","",IF($AH284="","",-$AH284))</f>
        <v/>
      </c>
      <c r="BM284" s="46" t="str">
        <f aca="false">IF($A284="","",IF($AQ284="","",IF($AP284="",$AQ284,MIN($AP284,$AQ284))))</f>
        <v/>
      </c>
      <c r="BN284" s="46" t="str">
        <f aca="false">IF($A284="","",IF($BM284="","",ROUND(N($AC284)/60,4)))</f>
        <v/>
      </c>
      <c r="BO284" s="46" t="str">
        <f aca="false">IF($A284="","",IF(OR($BM284="",$AD284=""),"",ROUND($AD284/60,4)))</f>
        <v/>
      </c>
      <c r="BP284" s="46" t="str">
        <f aca="false">IF($A284="","",IF($BM284="","",ROUND(N($AE284)/60,4)))</f>
        <v/>
      </c>
      <c r="BQ284" s="46" t="str">
        <f aca="false">IF($A284="","",IF(OR($BM284="",$AF284=""),"",ROUND($AF284/60,4)))</f>
        <v/>
      </c>
      <c r="BR284" s="39" t="str">
        <f aca="false">IF($A284="","",IF($AC284="","",$AC284-$BD284-$BE284))</f>
        <v/>
      </c>
      <c r="BS284" s="45" t="str">
        <f aca="false">IF($A284="","",IF(AND(ISNUMBER($Z284),ISNUMBER($W284)),$Z284,0))</f>
        <v/>
      </c>
      <c r="BT284" s="45" t="str">
        <f aca="false">IF($A284="","",IF(ISNUMBER($W284),$W284,0))</f>
        <v/>
      </c>
      <c r="BU284" s="23" t="str">
        <f aca="false">IF($A284="","",IF(ISNUMBER($W284),ROUND(($W284-$B284)*24,4),""))</f>
        <v/>
      </c>
      <c r="BV284" s="23" t="str">
        <f aca="false">IF($A284="","",IF(ISNUMBER($X284),ROUND(($X284-$B284)*24,4),""))</f>
        <v/>
      </c>
      <c r="BW284" s="10" t="str">
        <f aca="false">IF($A284="","",IF(NOT(ISNUMBER($W284)),"Missing Calculated",IF(NOT(ISNUMBER($X284)),IF($E284="Client","Missing FA signed off","Missing Controlled"),IF($X284&lt;$W284,"End before start","OK"))))</f>
        <v/>
      </c>
      <c r="BX284" s="23" t="str">
        <f aca="false">IF($A284="","",IF(NOT(ISNUMBER($Z284)),"",ROUND((IF(ISNUMBER($U284),MIN($U284,$Z284),$Z284)-$B284)*24,4)))</f>
        <v/>
      </c>
      <c r="BY284" s="23" t="str">
        <f aca="false">IF($A284="","",IF(ISNUMBER($Z284),ROUND(($Z284-$B284)*24,4),""))</f>
        <v/>
      </c>
      <c r="BZ284" s="23" t="str">
        <f aca="false">IF($A284="","",IF(AND(ISNUMBER($W284),ISNUMBER($S284)),ROUND(($W284+$S284/1440-$B284)*24,4),""))</f>
        <v/>
      </c>
    </row>
    <row r="285" customFormat="false" ht="15" hidden="false" customHeight="true" outlineLevel="0" collapsed="false">
      <c r="A285" s="47"/>
      <c r="B285" s="47"/>
      <c r="D285" s="4" t="str">
        <f aca="false">IF($A285="","",$B285-$A285)</f>
        <v/>
      </c>
      <c r="E285" s="4" t="str">
        <f aca="false">IF($A285="","",IFERROR(VLOOKUP($C285,Dim_Fund!$A:$X,24,0),""))</f>
        <v/>
      </c>
      <c r="F285" s="37" t="str">
        <f aca="false">IF($A285="","",IF(COUNTIFS(Status_Log!$A:$A,$A285,Status_Log!$B:$B,$B285,Status_Log!$C:$C,$C285,Status_Log!$D:$D,"Changed to the status of Calculated")=0,"",_xlfn.MINIFS(Status_Log!$E:$E,Status_Log!$A:$A,$A285,Status_Log!$B:$B,$B285,Status_Log!$C:$C,$C285,Status_Log!$D:$D,"Changed to the status of Calculated")))</f>
        <v/>
      </c>
      <c r="G285" s="37" t="str">
        <f aca="false">IF($A285="","",IF(COUNTIFS(Status_Log!$A:$A,$A285,Status_Log!$B:$B,$B285,Status_Log!$C:$C,$C285,Status_Log!$D:$D,"Changed to the status of Controlled")=0,"",_xlfn.MAXIFS(Status_Log!$E:$E,Status_Log!$A:$A,$A285,Status_Log!$B:$B,$B285,Status_Log!$C:$C,$C285,Status_Log!$D:$D,"Changed to the status of Controlled")))</f>
        <v/>
      </c>
      <c r="H285" s="37" t="str">
        <f aca="false">IF($A285="","",IF(COUNTIFS(Status_Log!$A:$A,$A285,Status_Log!$B:$B,$B285,Status_Log!$C:$C,$C285,Status_Log!$D:$D,"Changed to the status of Fund accounting signed off")=0,"",_xlfn.MAXIFS(Status_Log!$E:$E,Status_Log!$A:$A,$A285,Status_Log!$B:$B,$B285,Status_Log!$C:$C,$C285,Status_Log!$D:$D,"Changed to the status of Fund accounting signed off")))</f>
        <v/>
      </c>
      <c r="I285" s="37" t="str">
        <f aca="false">IF($A285="","",IF(COUNTIFS(Status_Log!$A:$A,$A285,Status_Log!$B:$B,$B285,Status_Log!$C:$C,$C285,Status_Log!$D:$D,"Changed to the status of signed off")=0,"",_xlfn.MAXIFS(Status_Log!$E:$E,Status_Log!$A:$A,$A285,Status_Log!$B:$B,$B285,Status_Log!$C:$C,$C285,Status_Log!$D:$D,"Changed to the status of signed off")))</f>
        <v/>
      </c>
      <c r="J285" s="4" t="str">
        <f aca="false">IF($A285="","",COUNTIFS(Status_Log!$A:$A,$A285,Status_Log!$B:$B,$B285,Status_Log!$C:$C,$C285,Status_Log!$D:$D,"Changed to the status of Calculated"))</f>
        <v/>
      </c>
      <c r="K285" s="38" t="str">
        <f aca="false">IF($A285="","",IF(J285&lt;=1,0,ROUND((_xlfn.MAXIFS(Status_Log!$E:$E,Status_Log!$A:$A,$A285,Status_Log!$B:$B,$B285,Status_Log!$C:$C,$C285,Status_Log!$D:$D,"Changed to the status of Calculated")-F285)*1440,0)))</f>
        <v/>
      </c>
      <c r="L285" s="4" t="str">
        <f aca="false">IF($A285="","",IFERROR(INDEX(Status_Log!$F:$F,MATCH($A285&amp;"|"&amp;$B285&amp;"|"&amp;$C285&amp;"|Changed to the status of Calculated|"&amp;TEXT(_xlfn.MAXIFS(Status_Log!$E:$E,Status_Log!$A:$A,$A285,Status_Log!$B:$B,$B285,Status_Log!$C:$C,$C285,Status_Log!$D:$D,"Changed to the status of Calculated"),"0.000000"),Status_Log!$H:$H,0)),""))</f>
        <v/>
      </c>
      <c r="M285" s="4" t="str">
        <f aca="false">IF($A285="","",IF(E285="Client","n/a — no control step",IFERROR(INDEX(Status_Log!$F:$F,MATCH($A285&amp;"|"&amp;$B285&amp;"|"&amp;$C285&amp;"|Changed to the status of Controlled|"&amp;TEXT(_xlfn.MAXIFS(Status_Log!$E:$E,Status_Log!$A:$A,$A285,Status_Log!$B:$B,$B285,Status_Log!$C:$C,$C285,Status_Log!$D:$D,"Changed to the status of Controlled"),"0.000000"),Status_Log!$H:$H,0)),"")))</f>
        <v/>
      </c>
      <c r="N285" s="4" t="str">
        <f aca="false">IF($A285="","",IFERROR(VLOOKUP($C285,Dim_Fund!$A:$G,7,0),""))</f>
        <v/>
      </c>
      <c r="O285" s="4" t="str">
        <f aca="false">IF($A285="","",IF(L285=N285,"No","Yes"))</f>
        <v/>
      </c>
      <c r="P285" s="4" t="str">
        <f aca="false">IF($A285="","",IF(E285="Client","n/a",IF(L285=M285,"YES — four-eyes breach","No")))</f>
        <v/>
      </c>
      <c r="Q285" s="38" t="str">
        <f aca="false">IF($A285="","",IFERROR(VLOOKUP($C285,Dim_Fund!$A:$AB,28,0),""))</f>
        <v/>
      </c>
      <c r="R285" s="38" t="str">
        <f aca="false">IF($A285="","",IFERROR(VLOOKUP($C285,Dim_Fund!$A:$AC,29,0),""))</f>
        <v/>
      </c>
      <c r="S285" s="38" t="str">
        <f aca="false">IF($A285="","",IFERROR(VLOOKUP($C285,Dim_Fund!$A:$AD,30,0),""))</f>
        <v/>
      </c>
      <c r="T285" s="38" t="str">
        <f aca="false">IF($A285="","",IFERROR(VLOOKUP($C285,Dim_Fund!$A:$AL,38,0),""))</f>
        <v/>
      </c>
      <c r="U285" s="37" t="str">
        <f aca="false">IF($A285="","",IF(AL285="","",IFERROR(IF(COUNTIFS(Fact_Milestone!$A:$A,$B285,Fact_Milestone!$B:$B,AL285)=0,"",_xlfn.MAXIFS(Fact_Milestone!$C:$C,Fact_Milestone!$A:$A,$B285,Fact_Milestone!$B:$B,AL285)),"")))</f>
        <v/>
      </c>
      <c r="V285" s="37" t="str">
        <f aca="false">IF($A285="","",IFERROR(IF(VLOOKUP($C285,Dim_Fund!$A:$AI,35,0)&gt;0,$B285+VLOOKUP($C285,Dim_Fund!$A:$AI,35,0)/24,""),""))</f>
        <v/>
      </c>
      <c r="W285" s="37" t="str">
        <f aca="false">IF($A285="","",F285)</f>
        <v/>
      </c>
      <c r="X285" s="37" t="str">
        <f aca="false">IF($A285="","",IF(E285="Client",H285,G285))</f>
        <v/>
      </c>
      <c r="Y285" s="37" t="str">
        <f aca="false">IF($A285="","",I285)</f>
        <v/>
      </c>
      <c r="Z285" s="37" t="str">
        <f aca="false">IF($A285="","",IFERROR(W285-R285/1440,""))</f>
        <v/>
      </c>
      <c r="AA285" s="38" t="str">
        <f aca="false">IF($A285="","",IF(OR(U285="",V285=""),"",ROUND((V285-U285)*1440,0)))</f>
        <v/>
      </c>
      <c r="AB285" s="38" t="str">
        <f aca="false">IF($A285="","",IF(U285="","",ROUND((W285-U285)*1440,0)))</f>
        <v/>
      </c>
      <c r="AC285" s="38" t="str">
        <f aca="false">IF($A285="","",IF(AB285="","",MAX(0,AB285)))</f>
        <v/>
      </c>
      <c r="AD285" s="38" t="str">
        <f aca="false">IF($A285="","",IFERROR(ROUND((X285-W285)*1440,0),""))</f>
        <v/>
      </c>
      <c r="AE285" s="38" t="str">
        <f aca="false">IF($A285="","",IF(E285="Client","n/a",IFERROR(ROUND((H285-G285)*1440,0),"")))</f>
        <v/>
      </c>
      <c r="AF285" s="38" t="str">
        <f aca="false">IF($A285="","",IFERROR(ROUND((Y285-H285)*1440,0),""))</f>
        <v/>
      </c>
      <c r="AG285" s="38" t="str">
        <f aca="false">IF($A285="","",IFERROR(ROUND((H285-F285)*1440,0),""))</f>
        <v/>
      </c>
      <c r="AH285" s="38" t="str">
        <f aca="false">IF($A285="","",IFERROR(ROUND((Y285-V285)*1440,0),""))</f>
        <v/>
      </c>
      <c r="AI285" s="4" t="str">
        <f aca="false">IF($A285="","",IF(AH285="","",IF(AH285&gt;0,"Yes","No")))</f>
        <v/>
      </c>
      <c r="AJ285" s="4" t="str">
        <f aca="false">IF($A285="","",IF(AI285&lt;&gt;"Yes","On time",IF(N(AC285)&gt;=MAX(N(AF285),N(K285)),"Wait for analyst",IF(N(AF285)&gt;=N(K285),"External sign-off","Rework"))))</f>
        <v/>
      </c>
      <c r="AK285" s="4" t="str">
        <f aca="false">IF($A285="","",IF(OR(F285="",Y285="",ISNA(MATCH(L285,Dim_Analyst!$A:$A,0))),"CHECK","OK"))</f>
        <v/>
      </c>
      <c r="AL285" s="4" t="str">
        <f aca="false">IF($A285="","",IFERROR(VLOOKUP($C285,Dim_Fund!$A:$U,21,0),""))</f>
        <v/>
      </c>
      <c r="AM285" s="4" t="str">
        <f aca="false">IF($A285="","",IF($U285="","",IF($U285&gt;$B285+IFERROR(VLOOKUP($C285,Dim_Fund!$A:$AH,34,0),0)/24,"Yes","No")))</f>
        <v/>
      </c>
      <c r="AN285" s="22" t="str">
        <f aca="false">IF($A285="","",IFERROR(VLOOKUP($C285,Dim_Fund!$A:$AH,34,0),""))</f>
        <v/>
      </c>
      <c r="AO285" s="22" t="str">
        <f aca="false">IF($A285="","",IF($AL285="","",IFERROR(FLOOR(IF(COUNTIFS(Fact_Milestone!$A:$A,$B285,Fact_Milestone!$B:$B,$AL285,Fact_Milestone!$F:$F,"&gt;0")&gt;0,_xlfn.MINIFS(Fact_Milestone!$F:$F,Fact_Milestone!$A:$A,$B285,Fact_Milestone!$B:$B,$AL285,Fact_Milestone!$F:$F,"&gt;0"),VLOOKUP($AL285,Dim_TOP!$A:$E,5,0)),0.5),"")))</f>
        <v/>
      </c>
      <c r="AP285" s="22" t="str">
        <f aca="false">IF($A285="","",IF($U285="","",ROUND(($U285-INT($U285))*24,4)))</f>
        <v/>
      </c>
      <c r="AQ285" s="22" t="str">
        <f aca="false">IF($A285="","",IF($W285="","",ROUND(($W285-INT($W285))*24,4)))</f>
        <v/>
      </c>
      <c r="AR285" s="22" t="str">
        <f aca="false">IF($A285="","",IF($X285="","",ROUND(($X285-INT($X285))*24,4)))</f>
        <v/>
      </c>
      <c r="AS285" s="38" t="str">
        <f aca="false">IF($A285="","",IF(OR($AN285="",$V285="",$S285="",$T285=""),"",ROUND(($V285-($B285+$AN285/24))*1440-$S285-$T285,0)))</f>
        <v/>
      </c>
      <c r="AT285" s="38" t="str">
        <f aca="false">IF($A285="","",IF(OR($AN285="",$U285=""),"",ROUND(($U285-($B285+$AN285/24))*1440,0)))</f>
        <v/>
      </c>
      <c r="AU285" s="38" t="str">
        <f aca="false">IF($A285="","",IF(OR($AD285="",$S285=""),"",ROUND($AD285-$S285,0)))</f>
        <v/>
      </c>
      <c r="AV285" s="38" t="str">
        <f aca="false">IF($A285="","",N($AE285))</f>
        <v/>
      </c>
      <c r="AW285" s="38" t="str">
        <f aca="false">IF($A285="","",IF(OR($AF285="",$T285=""),"",$AF285-$T285))</f>
        <v/>
      </c>
      <c r="AX285" s="38" t="str">
        <f aca="false">IF($A285="","",IF(COUNT($AT285,$AB285,$AU285,$AW285,$AS285,$AH285)&lt;6,"",ROUND($AT285+$AB285+$AU285+$AV285+$AW285-$AS285-$AH285,0)))</f>
        <v/>
      </c>
      <c r="AY285" s="4" t="str">
        <f aca="false">IF($A285="","",IF($AX285="","No",IF(ABS($AX285)&lt;=2,"Yes","No")))</f>
        <v/>
      </c>
      <c r="AZ285" s="4" t="str">
        <f aca="false">IF($A285="","",IF($AI285&lt;&gt;"Yes","n/a",IF(OR($AA285="",$S285="",$T285=""),"Unknown",IF($AA285&lt;$S285+$T285,"Lost on arrival","Lost after arrival"))))</f>
        <v/>
      </c>
      <c r="BA285" s="10" t="str">
        <f aca="false">IF($A285="","",IFERROR(VLOOKUP($C285,Dim_Fund!$A:$D,4,0),""))</f>
        <v/>
      </c>
      <c r="BB285" s="10" t="str">
        <f aca="false">IF($A285="","",IF($AL285="","",IF(COUNTIFS(Fact_Milestone!$A:$A,$B285,Fact_Milestone!$B:$B,$AL285,Fact_Milestone!$I:$I,"No")&gt;0,"No",IF(COUNTIFS(Fact_Milestone!$A:$A,$B285,Fact_Milestone!$B:$B,$AL285,Fact_Milestone!$I:$I,"Yes")&gt;0,"Yes",""))))</f>
        <v/>
      </c>
      <c r="BC285" s="45" t="str">
        <f aca="false">IF($A285="","",IF(OR($L285="",$W285=""),"",IF(COUNTIFS($L:$L,$L285,$B:$B,$B285,$W:$W,"&lt;"&amp;$W285)=0,"",_xlfn.MAXIFS($W:$W,$L:$L,$L285,$B:$B,$B285,$W:$W,"&lt;"&amp;$W285))))</f>
        <v/>
      </c>
      <c r="BD285" s="39" t="str">
        <f aca="false">IF($A285="","",IF($AC285="","",IF(OR($L285="",$AC285=0),0,MIN($AC285,ROUND(ROUND(1440*SUMPRODUCT(($L$2:INDEX($L:$L,COUNTA($C:$C))=$L285)*($B$2:INDEX($B:$B,COUNTA($C:$C))=$B285)*(ROW($L$2:INDEX($L:$L,COUNTA($C:$C)))&lt;&gt;ROW())*((((($W285+$BT$2:INDEX($BT:$BT,COUNTA($C:$C))-ABS($W285-$BT$2:INDEX($BT:$BT,COUNTA($C:$C))))/2)-(($U285+$BS$2:INDEX($BS:$BS,COUNTA($C:$C))+ABS($U285-$BS$2:INDEX($BS:$BS,COUNTA($C:$C))))/2))+ABS(((($W285+$BT$2:INDEX($BT:$BT,COUNTA($C:$C))-ABS($W285-$BT$2:INDEX($BT:$BT,COUNTA($C:$C))))/2)-(($U285+$BS$2:INDEX($BS:$BS,COUNTA($C:$C))+ABS($U285-$BS$2:INDEX($BS:$BS,COUNTA($C:$C))))/2))))/2)),4),0)))))</f>
        <v/>
      </c>
      <c r="BE285" s="39" t="str">
        <f aca="false">IF($A285="","",IF($AC285="","",ROUND(MIN($AC285-$BD285,N($R285)),0)))</f>
        <v/>
      </c>
      <c r="BF285" s="10" t="str">
        <f aca="false">IF($A285="","",IFERROR(VLOOKUP($C285,Dim_Fund!$A:$BD,56,0),""))</f>
        <v/>
      </c>
      <c r="BG285" s="10" t="str">
        <f aca="false">IF($A285="","",IFERROR(VLOOKUP($C285,Dim_Fund!$A:$BH,60,0),""))</f>
        <v/>
      </c>
      <c r="BH285" s="10" t="str">
        <f aca="false">IF($A285="","",IF($AI285&lt;&gt;"Yes","Not breached",IF($AM285="Yes","Pricing late",IF($BG285="Thin custody slack","Thin custody slack",IF($BF285="Yes","Broker-dependent","None of these")))))</f>
        <v/>
      </c>
      <c r="BI285" s="23" t="str">
        <f aca="false">IF($A285="","",IFERROR(IF(VLOOKUP($C285,Dim_Fund!$A:$AI,35,0)&gt;0,VLOOKUP($C285,Dim_Fund!$A:$AI,35,0),""),""))</f>
        <v/>
      </c>
      <c r="BJ285" s="10" t="str">
        <f aca="false">IF($A285="","",$C285&amp;IF($E285="Client","*",""))</f>
        <v/>
      </c>
      <c r="BK285" s="39" t="str">
        <f aca="false">IF($A285="","",IFERROR(ROUND(($Y285-$X285)*1440,0),""))</f>
        <v/>
      </c>
      <c r="BL285" s="39" t="str">
        <f aca="false">IF($A285="","",IF($AH285="","",-$AH285))</f>
        <v/>
      </c>
      <c r="BM285" s="46" t="str">
        <f aca="false">IF($A285="","",IF($AQ285="","",IF($AP285="",$AQ285,MIN($AP285,$AQ285))))</f>
        <v/>
      </c>
      <c r="BN285" s="46" t="str">
        <f aca="false">IF($A285="","",IF($BM285="","",ROUND(N($AC285)/60,4)))</f>
        <v/>
      </c>
      <c r="BO285" s="46" t="str">
        <f aca="false">IF($A285="","",IF(OR($BM285="",$AD285=""),"",ROUND($AD285/60,4)))</f>
        <v/>
      </c>
      <c r="BP285" s="46" t="str">
        <f aca="false">IF($A285="","",IF($BM285="","",ROUND(N($AE285)/60,4)))</f>
        <v/>
      </c>
      <c r="BQ285" s="46" t="str">
        <f aca="false">IF($A285="","",IF(OR($BM285="",$AF285=""),"",ROUND($AF285/60,4)))</f>
        <v/>
      </c>
      <c r="BR285" s="39" t="str">
        <f aca="false">IF($A285="","",IF($AC285="","",$AC285-$BD285-$BE285))</f>
        <v/>
      </c>
      <c r="BS285" s="45" t="str">
        <f aca="false">IF($A285="","",IF(AND(ISNUMBER($Z285),ISNUMBER($W285)),$Z285,0))</f>
        <v/>
      </c>
      <c r="BT285" s="45" t="str">
        <f aca="false">IF($A285="","",IF(ISNUMBER($W285),$W285,0))</f>
        <v/>
      </c>
      <c r="BU285" s="23" t="str">
        <f aca="false">IF($A285="","",IF(ISNUMBER($W285),ROUND(($W285-$B285)*24,4),""))</f>
        <v/>
      </c>
      <c r="BV285" s="23" t="str">
        <f aca="false">IF($A285="","",IF(ISNUMBER($X285),ROUND(($X285-$B285)*24,4),""))</f>
        <v/>
      </c>
      <c r="BW285" s="10" t="str">
        <f aca="false">IF($A285="","",IF(NOT(ISNUMBER($W285)),"Missing Calculated",IF(NOT(ISNUMBER($X285)),IF($E285="Client","Missing FA signed off","Missing Controlled"),IF($X285&lt;$W285,"End before start","OK"))))</f>
        <v/>
      </c>
      <c r="BX285" s="23" t="str">
        <f aca="false">IF($A285="","",IF(NOT(ISNUMBER($Z285)),"",ROUND((IF(ISNUMBER($U285),MIN($U285,$Z285),$Z285)-$B285)*24,4)))</f>
        <v/>
      </c>
      <c r="BY285" s="23" t="str">
        <f aca="false">IF($A285="","",IF(ISNUMBER($Z285),ROUND(($Z285-$B285)*24,4),""))</f>
        <v/>
      </c>
      <c r="BZ285" s="23" t="str">
        <f aca="false">IF($A285="","",IF(AND(ISNUMBER($W285),ISNUMBER($S285)),ROUND(($W285+$S285/1440-$B285)*24,4),""))</f>
        <v/>
      </c>
    </row>
    <row r="286" customFormat="false" ht="15" hidden="false" customHeight="true" outlineLevel="0" collapsed="false">
      <c r="A286" s="47"/>
      <c r="B286" s="47"/>
      <c r="D286" s="4" t="str">
        <f aca="false">IF($A286="","",$B286-$A286)</f>
        <v/>
      </c>
      <c r="E286" s="4" t="str">
        <f aca="false">IF($A286="","",IFERROR(VLOOKUP($C286,Dim_Fund!$A:$X,24,0),""))</f>
        <v/>
      </c>
      <c r="F286" s="37" t="str">
        <f aca="false">IF($A286="","",IF(COUNTIFS(Status_Log!$A:$A,$A286,Status_Log!$B:$B,$B286,Status_Log!$C:$C,$C286,Status_Log!$D:$D,"Changed to the status of Calculated")=0,"",_xlfn.MINIFS(Status_Log!$E:$E,Status_Log!$A:$A,$A286,Status_Log!$B:$B,$B286,Status_Log!$C:$C,$C286,Status_Log!$D:$D,"Changed to the status of Calculated")))</f>
        <v/>
      </c>
      <c r="G286" s="37" t="str">
        <f aca="false">IF($A286="","",IF(COUNTIFS(Status_Log!$A:$A,$A286,Status_Log!$B:$B,$B286,Status_Log!$C:$C,$C286,Status_Log!$D:$D,"Changed to the status of Controlled")=0,"",_xlfn.MAXIFS(Status_Log!$E:$E,Status_Log!$A:$A,$A286,Status_Log!$B:$B,$B286,Status_Log!$C:$C,$C286,Status_Log!$D:$D,"Changed to the status of Controlled")))</f>
        <v/>
      </c>
      <c r="H286" s="37" t="str">
        <f aca="false">IF($A286="","",IF(COUNTIFS(Status_Log!$A:$A,$A286,Status_Log!$B:$B,$B286,Status_Log!$C:$C,$C286,Status_Log!$D:$D,"Changed to the status of Fund accounting signed off")=0,"",_xlfn.MAXIFS(Status_Log!$E:$E,Status_Log!$A:$A,$A286,Status_Log!$B:$B,$B286,Status_Log!$C:$C,$C286,Status_Log!$D:$D,"Changed to the status of Fund accounting signed off")))</f>
        <v/>
      </c>
      <c r="I286" s="37" t="str">
        <f aca="false">IF($A286="","",IF(COUNTIFS(Status_Log!$A:$A,$A286,Status_Log!$B:$B,$B286,Status_Log!$C:$C,$C286,Status_Log!$D:$D,"Changed to the status of signed off")=0,"",_xlfn.MAXIFS(Status_Log!$E:$E,Status_Log!$A:$A,$A286,Status_Log!$B:$B,$B286,Status_Log!$C:$C,$C286,Status_Log!$D:$D,"Changed to the status of signed off")))</f>
        <v/>
      </c>
      <c r="J286" s="4" t="str">
        <f aca="false">IF($A286="","",COUNTIFS(Status_Log!$A:$A,$A286,Status_Log!$B:$B,$B286,Status_Log!$C:$C,$C286,Status_Log!$D:$D,"Changed to the status of Calculated"))</f>
        <v/>
      </c>
      <c r="K286" s="38" t="str">
        <f aca="false">IF($A286="","",IF(J286&lt;=1,0,ROUND((_xlfn.MAXIFS(Status_Log!$E:$E,Status_Log!$A:$A,$A286,Status_Log!$B:$B,$B286,Status_Log!$C:$C,$C286,Status_Log!$D:$D,"Changed to the status of Calculated")-F286)*1440,0)))</f>
        <v/>
      </c>
      <c r="L286" s="4" t="str">
        <f aca="false">IF($A286="","",IFERROR(INDEX(Status_Log!$F:$F,MATCH($A286&amp;"|"&amp;$B286&amp;"|"&amp;$C286&amp;"|Changed to the status of Calculated|"&amp;TEXT(_xlfn.MAXIFS(Status_Log!$E:$E,Status_Log!$A:$A,$A286,Status_Log!$B:$B,$B286,Status_Log!$C:$C,$C286,Status_Log!$D:$D,"Changed to the status of Calculated"),"0.000000"),Status_Log!$H:$H,0)),""))</f>
        <v/>
      </c>
      <c r="M286" s="4" t="str">
        <f aca="false">IF($A286="","",IF(E286="Client","n/a — no control step",IFERROR(INDEX(Status_Log!$F:$F,MATCH($A286&amp;"|"&amp;$B286&amp;"|"&amp;$C286&amp;"|Changed to the status of Controlled|"&amp;TEXT(_xlfn.MAXIFS(Status_Log!$E:$E,Status_Log!$A:$A,$A286,Status_Log!$B:$B,$B286,Status_Log!$C:$C,$C286,Status_Log!$D:$D,"Changed to the status of Controlled"),"0.000000"),Status_Log!$H:$H,0)),"")))</f>
        <v/>
      </c>
      <c r="N286" s="4" t="str">
        <f aca="false">IF($A286="","",IFERROR(VLOOKUP($C286,Dim_Fund!$A:$G,7,0),""))</f>
        <v/>
      </c>
      <c r="O286" s="4" t="str">
        <f aca="false">IF($A286="","",IF(L286=N286,"No","Yes"))</f>
        <v/>
      </c>
      <c r="P286" s="4" t="str">
        <f aca="false">IF($A286="","",IF(E286="Client","n/a",IF(L286=M286,"YES — four-eyes breach","No")))</f>
        <v/>
      </c>
      <c r="Q286" s="38" t="str">
        <f aca="false">IF($A286="","",IFERROR(VLOOKUP($C286,Dim_Fund!$A:$AB,28,0),""))</f>
        <v/>
      </c>
      <c r="R286" s="38" t="str">
        <f aca="false">IF($A286="","",IFERROR(VLOOKUP($C286,Dim_Fund!$A:$AC,29,0),""))</f>
        <v/>
      </c>
      <c r="S286" s="38" t="str">
        <f aca="false">IF($A286="","",IFERROR(VLOOKUP($C286,Dim_Fund!$A:$AD,30,0),""))</f>
        <v/>
      </c>
      <c r="T286" s="38" t="str">
        <f aca="false">IF($A286="","",IFERROR(VLOOKUP($C286,Dim_Fund!$A:$AL,38,0),""))</f>
        <v/>
      </c>
      <c r="U286" s="37" t="str">
        <f aca="false">IF($A286="","",IF(AL286="","",IFERROR(IF(COUNTIFS(Fact_Milestone!$A:$A,$B286,Fact_Milestone!$B:$B,AL286)=0,"",_xlfn.MAXIFS(Fact_Milestone!$C:$C,Fact_Milestone!$A:$A,$B286,Fact_Milestone!$B:$B,AL286)),"")))</f>
        <v/>
      </c>
      <c r="V286" s="37" t="str">
        <f aca="false">IF($A286="","",IFERROR(IF(VLOOKUP($C286,Dim_Fund!$A:$AI,35,0)&gt;0,$B286+VLOOKUP($C286,Dim_Fund!$A:$AI,35,0)/24,""),""))</f>
        <v/>
      </c>
      <c r="W286" s="37" t="str">
        <f aca="false">IF($A286="","",F286)</f>
        <v/>
      </c>
      <c r="X286" s="37" t="str">
        <f aca="false">IF($A286="","",IF(E286="Client",H286,G286))</f>
        <v/>
      </c>
      <c r="Y286" s="37" t="str">
        <f aca="false">IF($A286="","",I286)</f>
        <v/>
      </c>
      <c r="Z286" s="37" t="str">
        <f aca="false">IF($A286="","",IFERROR(W286-R286/1440,""))</f>
        <v/>
      </c>
      <c r="AA286" s="38" t="str">
        <f aca="false">IF($A286="","",IF(OR(U286="",V286=""),"",ROUND((V286-U286)*1440,0)))</f>
        <v/>
      </c>
      <c r="AB286" s="38" t="str">
        <f aca="false">IF($A286="","",IF(U286="","",ROUND((W286-U286)*1440,0)))</f>
        <v/>
      </c>
      <c r="AC286" s="38" t="str">
        <f aca="false">IF($A286="","",IF(AB286="","",MAX(0,AB286)))</f>
        <v/>
      </c>
      <c r="AD286" s="38" t="str">
        <f aca="false">IF($A286="","",IFERROR(ROUND((X286-W286)*1440,0),""))</f>
        <v/>
      </c>
      <c r="AE286" s="38" t="str">
        <f aca="false">IF($A286="","",IF(E286="Client","n/a",IFERROR(ROUND((H286-G286)*1440,0),"")))</f>
        <v/>
      </c>
      <c r="AF286" s="38" t="str">
        <f aca="false">IF($A286="","",IFERROR(ROUND((Y286-H286)*1440,0),""))</f>
        <v/>
      </c>
      <c r="AG286" s="38" t="str">
        <f aca="false">IF($A286="","",IFERROR(ROUND((H286-F286)*1440,0),""))</f>
        <v/>
      </c>
      <c r="AH286" s="38" t="str">
        <f aca="false">IF($A286="","",IFERROR(ROUND((Y286-V286)*1440,0),""))</f>
        <v/>
      </c>
      <c r="AI286" s="4" t="str">
        <f aca="false">IF($A286="","",IF(AH286="","",IF(AH286&gt;0,"Yes","No")))</f>
        <v/>
      </c>
      <c r="AJ286" s="4" t="str">
        <f aca="false">IF($A286="","",IF(AI286&lt;&gt;"Yes","On time",IF(N(AC286)&gt;=MAX(N(AF286),N(K286)),"Wait for analyst",IF(N(AF286)&gt;=N(K286),"External sign-off","Rework"))))</f>
        <v/>
      </c>
      <c r="AK286" s="4" t="str">
        <f aca="false">IF($A286="","",IF(OR(F286="",Y286="",ISNA(MATCH(L286,Dim_Analyst!$A:$A,0))),"CHECK","OK"))</f>
        <v/>
      </c>
      <c r="AL286" s="4" t="str">
        <f aca="false">IF($A286="","",IFERROR(VLOOKUP($C286,Dim_Fund!$A:$U,21,0),""))</f>
        <v/>
      </c>
      <c r="AM286" s="4" t="str">
        <f aca="false">IF($A286="","",IF($U286="","",IF($U286&gt;$B286+IFERROR(VLOOKUP($C286,Dim_Fund!$A:$AH,34,0),0)/24,"Yes","No")))</f>
        <v/>
      </c>
      <c r="AN286" s="22" t="str">
        <f aca="false">IF($A286="","",IFERROR(VLOOKUP($C286,Dim_Fund!$A:$AH,34,0),""))</f>
        <v/>
      </c>
      <c r="AO286" s="22" t="str">
        <f aca="false">IF($A286="","",IF($AL286="","",IFERROR(FLOOR(IF(COUNTIFS(Fact_Milestone!$A:$A,$B286,Fact_Milestone!$B:$B,$AL286,Fact_Milestone!$F:$F,"&gt;0")&gt;0,_xlfn.MINIFS(Fact_Milestone!$F:$F,Fact_Milestone!$A:$A,$B286,Fact_Milestone!$B:$B,$AL286,Fact_Milestone!$F:$F,"&gt;0"),VLOOKUP($AL286,Dim_TOP!$A:$E,5,0)),0.5),"")))</f>
        <v/>
      </c>
      <c r="AP286" s="22" t="str">
        <f aca="false">IF($A286="","",IF($U286="","",ROUND(($U286-INT($U286))*24,4)))</f>
        <v/>
      </c>
      <c r="AQ286" s="22" t="str">
        <f aca="false">IF($A286="","",IF($W286="","",ROUND(($W286-INT($W286))*24,4)))</f>
        <v/>
      </c>
      <c r="AR286" s="22" t="str">
        <f aca="false">IF($A286="","",IF($X286="","",ROUND(($X286-INT($X286))*24,4)))</f>
        <v/>
      </c>
      <c r="AS286" s="38" t="str">
        <f aca="false">IF($A286="","",IF(OR($AN286="",$V286="",$S286="",$T286=""),"",ROUND(($V286-($B286+$AN286/24))*1440-$S286-$T286,0)))</f>
        <v/>
      </c>
      <c r="AT286" s="38" t="str">
        <f aca="false">IF($A286="","",IF(OR($AN286="",$U286=""),"",ROUND(($U286-($B286+$AN286/24))*1440,0)))</f>
        <v/>
      </c>
      <c r="AU286" s="38" t="str">
        <f aca="false">IF($A286="","",IF(OR($AD286="",$S286=""),"",ROUND($AD286-$S286,0)))</f>
        <v/>
      </c>
      <c r="AV286" s="38" t="str">
        <f aca="false">IF($A286="","",N($AE286))</f>
        <v/>
      </c>
      <c r="AW286" s="38" t="str">
        <f aca="false">IF($A286="","",IF(OR($AF286="",$T286=""),"",$AF286-$T286))</f>
        <v/>
      </c>
      <c r="AX286" s="38" t="str">
        <f aca="false">IF($A286="","",IF(COUNT($AT286,$AB286,$AU286,$AW286,$AS286,$AH286)&lt;6,"",ROUND($AT286+$AB286+$AU286+$AV286+$AW286-$AS286-$AH286,0)))</f>
        <v/>
      </c>
      <c r="AY286" s="4" t="str">
        <f aca="false">IF($A286="","",IF($AX286="","No",IF(ABS($AX286)&lt;=2,"Yes","No")))</f>
        <v/>
      </c>
      <c r="AZ286" s="4" t="str">
        <f aca="false">IF($A286="","",IF($AI286&lt;&gt;"Yes","n/a",IF(OR($AA286="",$S286="",$T286=""),"Unknown",IF($AA286&lt;$S286+$T286,"Lost on arrival","Lost after arrival"))))</f>
        <v/>
      </c>
      <c r="BA286" s="10" t="str">
        <f aca="false">IF($A286="","",IFERROR(VLOOKUP($C286,Dim_Fund!$A:$D,4,0),""))</f>
        <v/>
      </c>
      <c r="BB286" s="10" t="str">
        <f aca="false">IF($A286="","",IF($AL286="","",IF(COUNTIFS(Fact_Milestone!$A:$A,$B286,Fact_Milestone!$B:$B,$AL286,Fact_Milestone!$I:$I,"No")&gt;0,"No",IF(COUNTIFS(Fact_Milestone!$A:$A,$B286,Fact_Milestone!$B:$B,$AL286,Fact_Milestone!$I:$I,"Yes")&gt;0,"Yes",""))))</f>
        <v/>
      </c>
      <c r="BC286" s="45" t="str">
        <f aca="false">IF($A286="","",IF(OR($L286="",$W286=""),"",IF(COUNTIFS($L:$L,$L286,$B:$B,$B286,$W:$W,"&lt;"&amp;$W286)=0,"",_xlfn.MAXIFS($W:$W,$L:$L,$L286,$B:$B,$B286,$W:$W,"&lt;"&amp;$W286))))</f>
        <v/>
      </c>
      <c r="BD286" s="39" t="str">
        <f aca="false">IF($A286="","",IF($AC286="","",IF(OR($L286="",$AC286=0),0,MIN($AC286,ROUND(ROUND(1440*SUMPRODUCT(($L$2:INDEX($L:$L,COUNTA($C:$C))=$L286)*($B$2:INDEX($B:$B,COUNTA($C:$C))=$B286)*(ROW($L$2:INDEX($L:$L,COUNTA($C:$C)))&lt;&gt;ROW())*((((($W286+$BT$2:INDEX($BT:$BT,COUNTA($C:$C))-ABS($W286-$BT$2:INDEX($BT:$BT,COUNTA($C:$C))))/2)-(($U286+$BS$2:INDEX($BS:$BS,COUNTA($C:$C))+ABS($U286-$BS$2:INDEX($BS:$BS,COUNTA($C:$C))))/2))+ABS(((($W286+$BT$2:INDEX($BT:$BT,COUNTA($C:$C))-ABS($W286-$BT$2:INDEX($BT:$BT,COUNTA($C:$C))))/2)-(($U286+$BS$2:INDEX($BS:$BS,COUNTA($C:$C))+ABS($U286-$BS$2:INDEX($BS:$BS,COUNTA($C:$C))))/2))))/2)),4),0)))))</f>
        <v/>
      </c>
      <c r="BE286" s="39" t="str">
        <f aca="false">IF($A286="","",IF($AC286="","",ROUND(MIN($AC286-$BD286,N($R286)),0)))</f>
        <v/>
      </c>
      <c r="BF286" s="10" t="str">
        <f aca="false">IF($A286="","",IFERROR(VLOOKUP($C286,Dim_Fund!$A:$BD,56,0),""))</f>
        <v/>
      </c>
      <c r="BG286" s="10" t="str">
        <f aca="false">IF($A286="","",IFERROR(VLOOKUP($C286,Dim_Fund!$A:$BH,60,0),""))</f>
        <v/>
      </c>
      <c r="BH286" s="10" t="str">
        <f aca="false">IF($A286="","",IF($AI286&lt;&gt;"Yes","Not breached",IF($AM286="Yes","Pricing late",IF($BG286="Thin custody slack","Thin custody slack",IF($BF286="Yes","Broker-dependent","None of these")))))</f>
        <v/>
      </c>
      <c r="BI286" s="23" t="str">
        <f aca="false">IF($A286="","",IFERROR(IF(VLOOKUP($C286,Dim_Fund!$A:$AI,35,0)&gt;0,VLOOKUP($C286,Dim_Fund!$A:$AI,35,0),""),""))</f>
        <v/>
      </c>
      <c r="BJ286" s="10" t="str">
        <f aca="false">IF($A286="","",$C286&amp;IF($E286="Client","*",""))</f>
        <v/>
      </c>
      <c r="BK286" s="39" t="str">
        <f aca="false">IF($A286="","",IFERROR(ROUND(($Y286-$X286)*1440,0),""))</f>
        <v/>
      </c>
      <c r="BL286" s="39" t="str">
        <f aca="false">IF($A286="","",IF($AH286="","",-$AH286))</f>
        <v/>
      </c>
      <c r="BM286" s="46" t="str">
        <f aca="false">IF($A286="","",IF($AQ286="","",IF($AP286="",$AQ286,MIN($AP286,$AQ286))))</f>
        <v/>
      </c>
      <c r="BN286" s="46" t="str">
        <f aca="false">IF($A286="","",IF($BM286="","",ROUND(N($AC286)/60,4)))</f>
        <v/>
      </c>
      <c r="BO286" s="46" t="str">
        <f aca="false">IF($A286="","",IF(OR($BM286="",$AD286=""),"",ROUND($AD286/60,4)))</f>
        <v/>
      </c>
      <c r="BP286" s="46" t="str">
        <f aca="false">IF($A286="","",IF($BM286="","",ROUND(N($AE286)/60,4)))</f>
        <v/>
      </c>
      <c r="BQ286" s="46" t="str">
        <f aca="false">IF($A286="","",IF(OR($BM286="",$AF286=""),"",ROUND($AF286/60,4)))</f>
        <v/>
      </c>
      <c r="BR286" s="39" t="str">
        <f aca="false">IF($A286="","",IF($AC286="","",$AC286-$BD286-$BE286))</f>
        <v/>
      </c>
      <c r="BS286" s="45" t="str">
        <f aca="false">IF($A286="","",IF(AND(ISNUMBER($Z286),ISNUMBER($W286)),$Z286,0))</f>
        <v/>
      </c>
      <c r="BT286" s="45" t="str">
        <f aca="false">IF($A286="","",IF(ISNUMBER($W286),$W286,0))</f>
        <v/>
      </c>
      <c r="BU286" s="23" t="str">
        <f aca="false">IF($A286="","",IF(ISNUMBER($W286),ROUND(($W286-$B286)*24,4),""))</f>
        <v/>
      </c>
      <c r="BV286" s="23" t="str">
        <f aca="false">IF($A286="","",IF(ISNUMBER($X286),ROUND(($X286-$B286)*24,4),""))</f>
        <v/>
      </c>
      <c r="BW286" s="10" t="str">
        <f aca="false">IF($A286="","",IF(NOT(ISNUMBER($W286)),"Missing Calculated",IF(NOT(ISNUMBER($X286)),IF($E286="Client","Missing FA signed off","Missing Controlled"),IF($X286&lt;$W286,"End before start","OK"))))</f>
        <v/>
      </c>
      <c r="BX286" s="23" t="str">
        <f aca="false">IF($A286="","",IF(NOT(ISNUMBER($Z286)),"",ROUND((IF(ISNUMBER($U286),MIN($U286,$Z286),$Z286)-$B286)*24,4)))</f>
        <v/>
      </c>
      <c r="BY286" s="23" t="str">
        <f aca="false">IF($A286="","",IF(ISNUMBER($Z286),ROUND(($Z286-$B286)*24,4),""))</f>
        <v/>
      </c>
      <c r="BZ286" s="23" t="str">
        <f aca="false">IF($A286="","",IF(AND(ISNUMBER($W286),ISNUMBER($S286)),ROUND(($W286+$S286/1440-$B286)*24,4),""))</f>
        <v/>
      </c>
    </row>
    <row r="287" customFormat="false" ht="15" hidden="false" customHeight="true" outlineLevel="0" collapsed="false">
      <c r="A287" s="47"/>
      <c r="B287" s="47"/>
      <c r="D287" s="4" t="str">
        <f aca="false">IF($A287="","",$B287-$A287)</f>
        <v/>
      </c>
      <c r="E287" s="4" t="str">
        <f aca="false">IF($A287="","",IFERROR(VLOOKUP($C287,Dim_Fund!$A:$X,24,0),""))</f>
        <v/>
      </c>
      <c r="F287" s="37" t="str">
        <f aca="false">IF($A287="","",IF(COUNTIFS(Status_Log!$A:$A,$A287,Status_Log!$B:$B,$B287,Status_Log!$C:$C,$C287,Status_Log!$D:$D,"Changed to the status of Calculated")=0,"",_xlfn.MINIFS(Status_Log!$E:$E,Status_Log!$A:$A,$A287,Status_Log!$B:$B,$B287,Status_Log!$C:$C,$C287,Status_Log!$D:$D,"Changed to the status of Calculated")))</f>
        <v/>
      </c>
      <c r="G287" s="37" t="str">
        <f aca="false">IF($A287="","",IF(COUNTIFS(Status_Log!$A:$A,$A287,Status_Log!$B:$B,$B287,Status_Log!$C:$C,$C287,Status_Log!$D:$D,"Changed to the status of Controlled")=0,"",_xlfn.MAXIFS(Status_Log!$E:$E,Status_Log!$A:$A,$A287,Status_Log!$B:$B,$B287,Status_Log!$C:$C,$C287,Status_Log!$D:$D,"Changed to the status of Controlled")))</f>
        <v/>
      </c>
      <c r="H287" s="37" t="str">
        <f aca="false">IF($A287="","",IF(COUNTIFS(Status_Log!$A:$A,$A287,Status_Log!$B:$B,$B287,Status_Log!$C:$C,$C287,Status_Log!$D:$D,"Changed to the status of Fund accounting signed off")=0,"",_xlfn.MAXIFS(Status_Log!$E:$E,Status_Log!$A:$A,$A287,Status_Log!$B:$B,$B287,Status_Log!$C:$C,$C287,Status_Log!$D:$D,"Changed to the status of Fund accounting signed off")))</f>
        <v/>
      </c>
      <c r="I287" s="37" t="str">
        <f aca="false">IF($A287="","",IF(COUNTIFS(Status_Log!$A:$A,$A287,Status_Log!$B:$B,$B287,Status_Log!$C:$C,$C287,Status_Log!$D:$D,"Changed to the status of signed off")=0,"",_xlfn.MAXIFS(Status_Log!$E:$E,Status_Log!$A:$A,$A287,Status_Log!$B:$B,$B287,Status_Log!$C:$C,$C287,Status_Log!$D:$D,"Changed to the status of signed off")))</f>
        <v/>
      </c>
      <c r="J287" s="4" t="str">
        <f aca="false">IF($A287="","",COUNTIFS(Status_Log!$A:$A,$A287,Status_Log!$B:$B,$B287,Status_Log!$C:$C,$C287,Status_Log!$D:$D,"Changed to the status of Calculated"))</f>
        <v/>
      </c>
      <c r="K287" s="38" t="str">
        <f aca="false">IF($A287="","",IF(J287&lt;=1,0,ROUND((_xlfn.MAXIFS(Status_Log!$E:$E,Status_Log!$A:$A,$A287,Status_Log!$B:$B,$B287,Status_Log!$C:$C,$C287,Status_Log!$D:$D,"Changed to the status of Calculated")-F287)*1440,0)))</f>
        <v/>
      </c>
      <c r="L287" s="4" t="str">
        <f aca="false">IF($A287="","",IFERROR(INDEX(Status_Log!$F:$F,MATCH($A287&amp;"|"&amp;$B287&amp;"|"&amp;$C287&amp;"|Changed to the status of Calculated|"&amp;TEXT(_xlfn.MAXIFS(Status_Log!$E:$E,Status_Log!$A:$A,$A287,Status_Log!$B:$B,$B287,Status_Log!$C:$C,$C287,Status_Log!$D:$D,"Changed to the status of Calculated"),"0.000000"),Status_Log!$H:$H,0)),""))</f>
        <v/>
      </c>
      <c r="M287" s="4" t="str">
        <f aca="false">IF($A287="","",IF(E287="Client","n/a — no control step",IFERROR(INDEX(Status_Log!$F:$F,MATCH($A287&amp;"|"&amp;$B287&amp;"|"&amp;$C287&amp;"|Changed to the status of Controlled|"&amp;TEXT(_xlfn.MAXIFS(Status_Log!$E:$E,Status_Log!$A:$A,$A287,Status_Log!$B:$B,$B287,Status_Log!$C:$C,$C287,Status_Log!$D:$D,"Changed to the status of Controlled"),"0.000000"),Status_Log!$H:$H,0)),"")))</f>
        <v/>
      </c>
      <c r="N287" s="4" t="str">
        <f aca="false">IF($A287="","",IFERROR(VLOOKUP($C287,Dim_Fund!$A:$G,7,0),""))</f>
        <v/>
      </c>
      <c r="O287" s="4" t="str">
        <f aca="false">IF($A287="","",IF(L287=N287,"No","Yes"))</f>
        <v/>
      </c>
      <c r="P287" s="4" t="str">
        <f aca="false">IF($A287="","",IF(E287="Client","n/a",IF(L287=M287,"YES — four-eyes breach","No")))</f>
        <v/>
      </c>
      <c r="Q287" s="38" t="str">
        <f aca="false">IF($A287="","",IFERROR(VLOOKUP($C287,Dim_Fund!$A:$AB,28,0),""))</f>
        <v/>
      </c>
      <c r="R287" s="38" t="str">
        <f aca="false">IF($A287="","",IFERROR(VLOOKUP($C287,Dim_Fund!$A:$AC,29,0),""))</f>
        <v/>
      </c>
      <c r="S287" s="38" t="str">
        <f aca="false">IF($A287="","",IFERROR(VLOOKUP($C287,Dim_Fund!$A:$AD,30,0),""))</f>
        <v/>
      </c>
      <c r="T287" s="38" t="str">
        <f aca="false">IF($A287="","",IFERROR(VLOOKUP($C287,Dim_Fund!$A:$AL,38,0),""))</f>
        <v/>
      </c>
      <c r="U287" s="37" t="str">
        <f aca="false">IF($A287="","",IF(AL287="","",IFERROR(IF(COUNTIFS(Fact_Milestone!$A:$A,$B287,Fact_Milestone!$B:$B,AL287)=0,"",_xlfn.MAXIFS(Fact_Milestone!$C:$C,Fact_Milestone!$A:$A,$B287,Fact_Milestone!$B:$B,AL287)),"")))</f>
        <v/>
      </c>
      <c r="V287" s="37" t="str">
        <f aca="false">IF($A287="","",IFERROR(IF(VLOOKUP($C287,Dim_Fund!$A:$AI,35,0)&gt;0,$B287+VLOOKUP($C287,Dim_Fund!$A:$AI,35,0)/24,""),""))</f>
        <v/>
      </c>
      <c r="W287" s="37" t="str">
        <f aca="false">IF($A287="","",F287)</f>
        <v/>
      </c>
      <c r="X287" s="37" t="str">
        <f aca="false">IF($A287="","",IF(E287="Client",H287,G287))</f>
        <v/>
      </c>
      <c r="Y287" s="37" t="str">
        <f aca="false">IF($A287="","",I287)</f>
        <v/>
      </c>
      <c r="Z287" s="37" t="str">
        <f aca="false">IF($A287="","",IFERROR(W287-R287/1440,""))</f>
        <v/>
      </c>
      <c r="AA287" s="38" t="str">
        <f aca="false">IF($A287="","",IF(OR(U287="",V287=""),"",ROUND((V287-U287)*1440,0)))</f>
        <v/>
      </c>
      <c r="AB287" s="38" t="str">
        <f aca="false">IF($A287="","",IF(U287="","",ROUND((W287-U287)*1440,0)))</f>
        <v/>
      </c>
      <c r="AC287" s="38" t="str">
        <f aca="false">IF($A287="","",IF(AB287="","",MAX(0,AB287)))</f>
        <v/>
      </c>
      <c r="AD287" s="38" t="str">
        <f aca="false">IF($A287="","",IFERROR(ROUND((X287-W287)*1440,0),""))</f>
        <v/>
      </c>
      <c r="AE287" s="38" t="str">
        <f aca="false">IF($A287="","",IF(E287="Client","n/a",IFERROR(ROUND((H287-G287)*1440,0),"")))</f>
        <v/>
      </c>
      <c r="AF287" s="38" t="str">
        <f aca="false">IF($A287="","",IFERROR(ROUND((Y287-H287)*1440,0),""))</f>
        <v/>
      </c>
      <c r="AG287" s="38" t="str">
        <f aca="false">IF($A287="","",IFERROR(ROUND((H287-F287)*1440,0),""))</f>
        <v/>
      </c>
      <c r="AH287" s="38" t="str">
        <f aca="false">IF($A287="","",IFERROR(ROUND((Y287-V287)*1440,0),""))</f>
        <v/>
      </c>
      <c r="AI287" s="4" t="str">
        <f aca="false">IF($A287="","",IF(AH287="","",IF(AH287&gt;0,"Yes","No")))</f>
        <v/>
      </c>
      <c r="AJ287" s="4" t="str">
        <f aca="false">IF($A287="","",IF(AI287&lt;&gt;"Yes","On time",IF(N(AC287)&gt;=MAX(N(AF287),N(K287)),"Wait for analyst",IF(N(AF287)&gt;=N(K287),"External sign-off","Rework"))))</f>
        <v/>
      </c>
      <c r="AK287" s="4" t="str">
        <f aca="false">IF($A287="","",IF(OR(F287="",Y287="",ISNA(MATCH(L287,Dim_Analyst!$A:$A,0))),"CHECK","OK"))</f>
        <v/>
      </c>
      <c r="AL287" s="4" t="str">
        <f aca="false">IF($A287="","",IFERROR(VLOOKUP($C287,Dim_Fund!$A:$U,21,0),""))</f>
        <v/>
      </c>
      <c r="AM287" s="4" t="str">
        <f aca="false">IF($A287="","",IF($U287="","",IF($U287&gt;$B287+IFERROR(VLOOKUP($C287,Dim_Fund!$A:$AH,34,0),0)/24,"Yes","No")))</f>
        <v/>
      </c>
      <c r="AN287" s="22" t="str">
        <f aca="false">IF($A287="","",IFERROR(VLOOKUP($C287,Dim_Fund!$A:$AH,34,0),""))</f>
        <v/>
      </c>
      <c r="AO287" s="22" t="str">
        <f aca="false">IF($A287="","",IF($AL287="","",IFERROR(FLOOR(IF(COUNTIFS(Fact_Milestone!$A:$A,$B287,Fact_Milestone!$B:$B,$AL287,Fact_Milestone!$F:$F,"&gt;0")&gt;0,_xlfn.MINIFS(Fact_Milestone!$F:$F,Fact_Milestone!$A:$A,$B287,Fact_Milestone!$B:$B,$AL287,Fact_Milestone!$F:$F,"&gt;0"),VLOOKUP($AL287,Dim_TOP!$A:$E,5,0)),0.5),"")))</f>
        <v/>
      </c>
      <c r="AP287" s="22" t="str">
        <f aca="false">IF($A287="","",IF($U287="","",ROUND(($U287-INT($U287))*24,4)))</f>
        <v/>
      </c>
      <c r="AQ287" s="22" t="str">
        <f aca="false">IF($A287="","",IF($W287="","",ROUND(($W287-INT($W287))*24,4)))</f>
        <v/>
      </c>
      <c r="AR287" s="22" t="str">
        <f aca="false">IF($A287="","",IF($X287="","",ROUND(($X287-INT($X287))*24,4)))</f>
        <v/>
      </c>
      <c r="AS287" s="38" t="str">
        <f aca="false">IF($A287="","",IF(OR($AN287="",$V287="",$S287="",$T287=""),"",ROUND(($V287-($B287+$AN287/24))*1440-$S287-$T287,0)))</f>
        <v/>
      </c>
      <c r="AT287" s="38" t="str">
        <f aca="false">IF($A287="","",IF(OR($AN287="",$U287=""),"",ROUND(($U287-($B287+$AN287/24))*1440,0)))</f>
        <v/>
      </c>
      <c r="AU287" s="38" t="str">
        <f aca="false">IF($A287="","",IF(OR($AD287="",$S287=""),"",ROUND($AD287-$S287,0)))</f>
        <v/>
      </c>
      <c r="AV287" s="38" t="str">
        <f aca="false">IF($A287="","",N($AE287))</f>
        <v/>
      </c>
      <c r="AW287" s="38" t="str">
        <f aca="false">IF($A287="","",IF(OR($AF287="",$T287=""),"",$AF287-$T287))</f>
        <v/>
      </c>
      <c r="AX287" s="38" t="str">
        <f aca="false">IF($A287="","",IF(COUNT($AT287,$AB287,$AU287,$AW287,$AS287,$AH287)&lt;6,"",ROUND($AT287+$AB287+$AU287+$AV287+$AW287-$AS287-$AH287,0)))</f>
        <v/>
      </c>
      <c r="AY287" s="4" t="str">
        <f aca="false">IF($A287="","",IF($AX287="","No",IF(ABS($AX287)&lt;=2,"Yes","No")))</f>
        <v/>
      </c>
      <c r="AZ287" s="4" t="str">
        <f aca="false">IF($A287="","",IF($AI287&lt;&gt;"Yes","n/a",IF(OR($AA287="",$S287="",$T287=""),"Unknown",IF($AA287&lt;$S287+$T287,"Lost on arrival","Lost after arrival"))))</f>
        <v/>
      </c>
      <c r="BA287" s="10" t="str">
        <f aca="false">IF($A287="","",IFERROR(VLOOKUP($C287,Dim_Fund!$A:$D,4,0),""))</f>
        <v/>
      </c>
      <c r="BB287" s="10" t="str">
        <f aca="false">IF($A287="","",IF($AL287="","",IF(COUNTIFS(Fact_Milestone!$A:$A,$B287,Fact_Milestone!$B:$B,$AL287,Fact_Milestone!$I:$I,"No")&gt;0,"No",IF(COUNTIFS(Fact_Milestone!$A:$A,$B287,Fact_Milestone!$B:$B,$AL287,Fact_Milestone!$I:$I,"Yes")&gt;0,"Yes",""))))</f>
        <v/>
      </c>
      <c r="BC287" s="45" t="str">
        <f aca="false">IF($A287="","",IF(OR($L287="",$W287=""),"",IF(COUNTIFS($L:$L,$L287,$B:$B,$B287,$W:$W,"&lt;"&amp;$W287)=0,"",_xlfn.MAXIFS($W:$W,$L:$L,$L287,$B:$B,$B287,$W:$W,"&lt;"&amp;$W287))))</f>
        <v/>
      </c>
      <c r="BD287" s="39" t="str">
        <f aca="false">IF($A287="","",IF($AC287="","",IF(OR($L287="",$AC287=0),0,MIN($AC287,ROUND(ROUND(1440*SUMPRODUCT(($L$2:INDEX($L:$L,COUNTA($C:$C))=$L287)*($B$2:INDEX($B:$B,COUNTA($C:$C))=$B287)*(ROW($L$2:INDEX($L:$L,COUNTA($C:$C)))&lt;&gt;ROW())*((((($W287+$BT$2:INDEX($BT:$BT,COUNTA($C:$C))-ABS($W287-$BT$2:INDEX($BT:$BT,COUNTA($C:$C))))/2)-(($U287+$BS$2:INDEX($BS:$BS,COUNTA($C:$C))+ABS($U287-$BS$2:INDEX($BS:$BS,COUNTA($C:$C))))/2))+ABS(((($W287+$BT$2:INDEX($BT:$BT,COUNTA($C:$C))-ABS($W287-$BT$2:INDEX($BT:$BT,COUNTA($C:$C))))/2)-(($U287+$BS$2:INDEX($BS:$BS,COUNTA($C:$C))+ABS($U287-$BS$2:INDEX($BS:$BS,COUNTA($C:$C))))/2))))/2)),4),0)))))</f>
        <v/>
      </c>
      <c r="BE287" s="39" t="str">
        <f aca="false">IF($A287="","",IF($AC287="","",ROUND(MIN($AC287-$BD287,N($R287)),0)))</f>
        <v/>
      </c>
      <c r="BF287" s="10" t="str">
        <f aca="false">IF($A287="","",IFERROR(VLOOKUP($C287,Dim_Fund!$A:$BD,56,0),""))</f>
        <v/>
      </c>
      <c r="BG287" s="10" t="str">
        <f aca="false">IF($A287="","",IFERROR(VLOOKUP($C287,Dim_Fund!$A:$BH,60,0),""))</f>
        <v/>
      </c>
      <c r="BH287" s="10" t="str">
        <f aca="false">IF($A287="","",IF($AI287&lt;&gt;"Yes","Not breached",IF($AM287="Yes","Pricing late",IF($BG287="Thin custody slack","Thin custody slack",IF($BF287="Yes","Broker-dependent","None of these")))))</f>
        <v/>
      </c>
      <c r="BI287" s="23" t="str">
        <f aca="false">IF($A287="","",IFERROR(IF(VLOOKUP($C287,Dim_Fund!$A:$AI,35,0)&gt;0,VLOOKUP($C287,Dim_Fund!$A:$AI,35,0),""),""))</f>
        <v/>
      </c>
      <c r="BJ287" s="10" t="str">
        <f aca="false">IF($A287="","",$C287&amp;IF($E287="Client","*",""))</f>
        <v/>
      </c>
      <c r="BK287" s="39" t="str">
        <f aca="false">IF($A287="","",IFERROR(ROUND(($Y287-$X287)*1440,0),""))</f>
        <v/>
      </c>
      <c r="BL287" s="39" t="str">
        <f aca="false">IF($A287="","",IF($AH287="","",-$AH287))</f>
        <v/>
      </c>
      <c r="BM287" s="46" t="str">
        <f aca="false">IF($A287="","",IF($AQ287="","",IF($AP287="",$AQ287,MIN($AP287,$AQ287))))</f>
        <v/>
      </c>
      <c r="BN287" s="46" t="str">
        <f aca="false">IF($A287="","",IF($BM287="","",ROUND(N($AC287)/60,4)))</f>
        <v/>
      </c>
      <c r="BO287" s="46" t="str">
        <f aca="false">IF($A287="","",IF(OR($BM287="",$AD287=""),"",ROUND($AD287/60,4)))</f>
        <v/>
      </c>
      <c r="BP287" s="46" t="str">
        <f aca="false">IF($A287="","",IF($BM287="","",ROUND(N($AE287)/60,4)))</f>
        <v/>
      </c>
      <c r="BQ287" s="46" t="str">
        <f aca="false">IF($A287="","",IF(OR($BM287="",$AF287=""),"",ROUND($AF287/60,4)))</f>
        <v/>
      </c>
      <c r="BR287" s="39" t="str">
        <f aca="false">IF($A287="","",IF($AC287="","",$AC287-$BD287-$BE287))</f>
        <v/>
      </c>
      <c r="BS287" s="45" t="str">
        <f aca="false">IF($A287="","",IF(AND(ISNUMBER($Z287),ISNUMBER($W287)),$Z287,0))</f>
        <v/>
      </c>
      <c r="BT287" s="45" t="str">
        <f aca="false">IF($A287="","",IF(ISNUMBER($W287),$W287,0))</f>
        <v/>
      </c>
      <c r="BU287" s="23" t="str">
        <f aca="false">IF($A287="","",IF(ISNUMBER($W287),ROUND(($W287-$B287)*24,4),""))</f>
        <v/>
      </c>
      <c r="BV287" s="23" t="str">
        <f aca="false">IF($A287="","",IF(ISNUMBER($X287),ROUND(($X287-$B287)*24,4),""))</f>
        <v/>
      </c>
      <c r="BW287" s="10" t="str">
        <f aca="false">IF($A287="","",IF(NOT(ISNUMBER($W287)),"Missing Calculated",IF(NOT(ISNUMBER($X287)),IF($E287="Client","Missing FA signed off","Missing Controlled"),IF($X287&lt;$W287,"End before start","OK"))))</f>
        <v/>
      </c>
      <c r="BX287" s="23" t="str">
        <f aca="false">IF($A287="","",IF(NOT(ISNUMBER($Z287)),"",ROUND((IF(ISNUMBER($U287),MIN($U287,$Z287),$Z287)-$B287)*24,4)))</f>
        <v/>
      </c>
      <c r="BY287" s="23" t="str">
        <f aca="false">IF($A287="","",IF(ISNUMBER($Z287),ROUND(($Z287-$B287)*24,4),""))</f>
        <v/>
      </c>
      <c r="BZ287" s="23" t="str">
        <f aca="false">IF($A287="","",IF(AND(ISNUMBER($W287),ISNUMBER($S287)),ROUND(($W287+$S287/1440-$B287)*24,4),""))</f>
        <v/>
      </c>
    </row>
    <row r="288" customFormat="false" ht="15" hidden="false" customHeight="true" outlineLevel="0" collapsed="false">
      <c r="A288" s="47"/>
      <c r="B288" s="47"/>
      <c r="D288" s="4" t="str">
        <f aca="false">IF($A288="","",$B288-$A288)</f>
        <v/>
      </c>
      <c r="E288" s="4" t="str">
        <f aca="false">IF($A288="","",IFERROR(VLOOKUP($C288,Dim_Fund!$A:$X,24,0),""))</f>
        <v/>
      </c>
      <c r="F288" s="37" t="str">
        <f aca="false">IF($A288="","",IF(COUNTIFS(Status_Log!$A:$A,$A288,Status_Log!$B:$B,$B288,Status_Log!$C:$C,$C288,Status_Log!$D:$D,"Changed to the status of Calculated")=0,"",_xlfn.MINIFS(Status_Log!$E:$E,Status_Log!$A:$A,$A288,Status_Log!$B:$B,$B288,Status_Log!$C:$C,$C288,Status_Log!$D:$D,"Changed to the status of Calculated")))</f>
        <v/>
      </c>
      <c r="G288" s="37" t="str">
        <f aca="false">IF($A288="","",IF(COUNTIFS(Status_Log!$A:$A,$A288,Status_Log!$B:$B,$B288,Status_Log!$C:$C,$C288,Status_Log!$D:$D,"Changed to the status of Controlled")=0,"",_xlfn.MAXIFS(Status_Log!$E:$E,Status_Log!$A:$A,$A288,Status_Log!$B:$B,$B288,Status_Log!$C:$C,$C288,Status_Log!$D:$D,"Changed to the status of Controlled")))</f>
        <v/>
      </c>
      <c r="H288" s="37" t="str">
        <f aca="false">IF($A288="","",IF(COUNTIFS(Status_Log!$A:$A,$A288,Status_Log!$B:$B,$B288,Status_Log!$C:$C,$C288,Status_Log!$D:$D,"Changed to the status of Fund accounting signed off")=0,"",_xlfn.MAXIFS(Status_Log!$E:$E,Status_Log!$A:$A,$A288,Status_Log!$B:$B,$B288,Status_Log!$C:$C,$C288,Status_Log!$D:$D,"Changed to the status of Fund accounting signed off")))</f>
        <v/>
      </c>
      <c r="I288" s="37" t="str">
        <f aca="false">IF($A288="","",IF(COUNTIFS(Status_Log!$A:$A,$A288,Status_Log!$B:$B,$B288,Status_Log!$C:$C,$C288,Status_Log!$D:$D,"Changed to the status of signed off")=0,"",_xlfn.MAXIFS(Status_Log!$E:$E,Status_Log!$A:$A,$A288,Status_Log!$B:$B,$B288,Status_Log!$C:$C,$C288,Status_Log!$D:$D,"Changed to the status of signed off")))</f>
        <v/>
      </c>
      <c r="J288" s="4" t="str">
        <f aca="false">IF($A288="","",COUNTIFS(Status_Log!$A:$A,$A288,Status_Log!$B:$B,$B288,Status_Log!$C:$C,$C288,Status_Log!$D:$D,"Changed to the status of Calculated"))</f>
        <v/>
      </c>
      <c r="K288" s="38" t="str">
        <f aca="false">IF($A288="","",IF(J288&lt;=1,0,ROUND((_xlfn.MAXIFS(Status_Log!$E:$E,Status_Log!$A:$A,$A288,Status_Log!$B:$B,$B288,Status_Log!$C:$C,$C288,Status_Log!$D:$D,"Changed to the status of Calculated")-F288)*1440,0)))</f>
        <v/>
      </c>
      <c r="L288" s="4" t="str">
        <f aca="false">IF($A288="","",IFERROR(INDEX(Status_Log!$F:$F,MATCH($A288&amp;"|"&amp;$B288&amp;"|"&amp;$C288&amp;"|Changed to the status of Calculated|"&amp;TEXT(_xlfn.MAXIFS(Status_Log!$E:$E,Status_Log!$A:$A,$A288,Status_Log!$B:$B,$B288,Status_Log!$C:$C,$C288,Status_Log!$D:$D,"Changed to the status of Calculated"),"0.000000"),Status_Log!$H:$H,0)),""))</f>
        <v/>
      </c>
      <c r="M288" s="4" t="str">
        <f aca="false">IF($A288="","",IF(E288="Client","n/a — no control step",IFERROR(INDEX(Status_Log!$F:$F,MATCH($A288&amp;"|"&amp;$B288&amp;"|"&amp;$C288&amp;"|Changed to the status of Controlled|"&amp;TEXT(_xlfn.MAXIFS(Status_Log!$E:$E,Status_Log!$A:$A,$A288,Status_Log!$B:$B,$B288,Status_Log!$C:$C,$C288,Status_Log!$D:$D,"Changed to the status of Controlled"),"0.000000"),Status_Log!$H:$H,0)),"")))</f>
        <v/>
      </c>
      <c r="N288" s="4" t="str">
        <f aca="false">IF($A288="","",IFERROR(VLOOKUP($C288,Dim_Fund!$A:$G,7,0),""))</f>
        <v/>
      </c>
      <c r="O288" s="4" t="str">
        <f aca="false">IF($A288="","",IF(L288=N288,"No","Yes"))</f>
        <v/>
      </c>
      <c r="P288" s="4" t="str">
        <f aca="false">IF($A288="","",IF(E288="Client","n/a",IF(L288=M288,"YES — four-eyes breach","No")))</f>
        <v/>
      </c>
      <c r="Q288" s="38" t="str">
        <f aca="false">IF($A288="","",IFERROR(VLOOKUP($C288,Dim_Fund!$A:$AB,28,0),""))</f>
        <v/>
      </c>
      <c r="R288" s="38" t="str">
        <f aca="false">IF($A288="","",IFERROR(VLOOKUP($C288,Dim_Fund!$A:$AC,29,0),""))</f>
        <v/>
      </c>
      <c r="S288" s="38" t="str">
        <f aca="false">IF($A288="","",IFERROR(VLOOKUP($C288,Dim_Fund!$A:$AD,30,0),""))</f>
        <v/>
      </c>
      <c r="T288" s="38" t="str">
        <f aca="false">IF($A288="","",IFERROR(VLOOKUP($C288,Dim_Fund!$A:$AL,38,0),""))</f>
        <v/>
      </c>
      <c r="U288" s="37" t="str">
        <f aca="false">IF($A288="","",IF(AL288="","",IFERROR(IF(COUNTIFS(Fact_Milestone!$A:$A,$B288,Fact_Milestone!$B:$B,AL288)=0,"",_xlfn.MAXIFS(Fact_Milestone!$C:$C,Fact_Milestone!$A:$A,$B288,Fact_Milestone!$B:$B,AL288)),"")))</f>
        <v/>
      </c>
      <c r="V288" s="37" t="str">
        <f aca="false">IF($A288="","",IFERROR(IF(VLOOKUP($C288,Dim_Fund!$A:$AI,35,0)&gt;0,$B288+VLOOKUP($C288,Dim_Fund!$A:$AI,35,0)/24,""),""))</f>
        <v/>
      </c>
      <c r="W288" s="37" t="str">
        <f aca="false">IF($A288="","",F288)</f>
        <v/>
      </c>
      <c r="X288" s="37" t="str">
        <f aca="false">IF($A288="","",IF(E288="Client",H288,G288))</f>
        <v/>
      </c>
      <c r="Y288" s="37" t="str">
        <f aca="false">IF($A288="","",I288)</f>
        <v/>
      </c>
      <c r="Z288" s="37" t="str">
        <f aca="false">IF($A288="","",IFERROR(W288-R288/1440,""))</f>
        <v/>
      </c>
      <c r="AA288" s="38" t="str">
        <f aca="false">IF($A288="","",IF(OR(U288="",V288=""),"",ROUND((V288-U288)*1440,0)))</f>
        <v/>
      </c>
      <c r="AB288" s="38" t="str">
        <f aca="false">IF($A288="","",IF(U288="","",ROUND((W288-U288)*1440,0)))</f>
        <v/>
      </c>
      <c r="AC288" s="38" t="str">
        <f aca="false">IF($A288="","",IF(AB288="","",MAX(0,AB288)))</f>
        <v/>
      </c>
      <c r="AD288" s="38" t="str">
        <f aca="false">IF($A288="","",IFERROR(ROUND((X288-W288)*1440,0),""))</f>
        <v/>
      </c>
      <c r="AE288" s="38" t="str">
        <f aca="false">IF($A288="","",IF(E288="Client","n/a",IFERROR(ROUND((H288-G288)*1440,0),"")))</f>
        <v/>
      </c>
      <c r="AF288" s="38" t="str">
        <f aca="false">IF($A288="","",IFERROR(ROUND((Y288-H288)*1440,0),""))</f>
        <v/>
      </c>
      <c r="AG288" s="38" t="str">
        <f aca="false">IF($A288="","",IFERROR(ROUND((H288-F288)*1440,0),""))</f>
        <v/>
      </c>
      <c r="AH288" s="38" t="str">
        <f aca="false">IF($A288="","",IFERROR(ROUND((Y288-V288)*1440,0),""))</f>
        <v/>
      </c>
      <c r="AI288" s="4" t="str">
        <f aca="false">IF($A288="","",IF(AH288="","",IF(AH288&gt;0,"Yes","No")))</f>
        <v/>
      </c>
      <c r="AJ288" s="4" t="str">
        <f aca="false">IF($A288="","",IF(AI288&lt;&gt;"Yes","On time",IF(N(AC288)&gt;=MAX(N(AF288),N(K288)),"Wait for analyst",IF(N(AF288)&gt;=N(K288),"External sign-off","Rework"))))</f>
        <v/>
      </c>
      <c r="AK288" s="4" t="str">
        <f aca="false">IF($A288="","",IF(OR(F288="",Y288="",ISNA(MATCH(L288,Dim_Analyst!$A:$A,0))),"CHECK","OK"))</f>
        <v/>
      </c>
      <c r="AL288" s="4" t="str">
        <f aca="false">IF($A288="","",IFERROR(VLOOKUP($C288,Dim_Fund!$A:$U,21,0),""))</f>
        <v/>
      </c>
      <c r="AM288" s="4" t="str">
        <f aca="false">IF($A288="","",IF($U288="","",IF($U288&gt;$B288+IFERROR(VLOOKUP($C288,Dim_Fund!$A:$AH,34,0),0)/24,"Yes","No")))</f>
        <v/>
      </c>
      <c r="AN288" s="22" t="str">
        <f aca="false">IF($A288="","",IFERROR(VLOOKUP($C288,Dim_Fund!$A:$AH,34,0),""))</f>
        <v/>
      </c>
      <c r="AO288" s="22" t="str">
        <f aca="false">IF($A288="","",IF($AL288="","",IFERROR(FLOOR(IF(COUNTIFS(Fact_Milestone!$A:$A,$B288,Fact_Milestone!$B:$B,$AL288,Fact_Milestone!$F:$F,"&gt;0")&gt;0,_xlfn.MINIFS(Fact_Milestone!$F:$F,Fact_Milestone!$A:$A,$B288,Fact_Milestone!$B:$B,$AL288,Fact_Milestone!$F:$F,"&gt;0"),VLOOKUP($AL288,Dim_TOP!$A:$E,5,0)),0.5),"")))</f>
        <v/>
      </c>
      <c r="AP288" s="22" t="str">
        <f aca="false">IF($A288="","",IF($U288="","",ROUND(($U288-INT($U288))*24,4)))</f>
        <v/>
      </c>
      <c r="AQ288" s="22" t="str">
        <f aca="false">IF($A288="","",IF($W288="","",ROUND(($W288-INT($W288))*24,4)))</f>
        <v/>
      </c>
      <c r="AR288" s="22" t="str">
        <f aca="false">IF($A288="","",IF($X288="","",ROUND(($X288-INT($X288))*24,4)))</f>
        <v/>
      </c>
      <c r="AS288" s="38" t="str">
        <f aca="false">IF($A288="","",IF(OR($AN288="",$V288="",$S288="",$T288=""),"",ROUND(($V288-($B288+$AN288/24))*1440-$S288-$T288,0)))</f>
        <v/>
      </c>
      <c r="AT288" s="38" t="str">
        <f aca="false">IF($A288="","",IF(OR($AN288="",$U288=""),"",ROUND(($U288-($B288+$AN288/24))*1440,0)))</f>
        <v/>
      </c>
      <c r="AU288" s="38" t="str">
        <f aca="false">IF($A288="","",IF(OR($AD288="",$S288=""),"",ROUND($AD288-$S288,0)))</f>
        <v/>
      </c>
      <c r="AV288" s="38" t="str">
        <f aca="false">IF($A288="","",N($AE288))</f>
        <v/>
      </c>
      <c r="AW288" s="38" t="str">
        <f aca="false">IF($A288="","",IF(OR($AF288="",$T288=""),"",$AF288-$T288))</f>
        <v/>
      </c>
      <c r="AX288" s="38" t="str">
        <f aca="false">IF($A288="","",IF(COUNT($AT288,$AB288,$AU288,$AW288,$AS288,$AH288)&lt;6,"",ROUND($AT288+$AB288+$AU288+$AV288+$AW288-$AS288-$AH288,0)))</f>
        <v/>
      </c>
      <c r="AY288" s="4" t="str">
        <f aca="false">IF($A288="","",IF($AX288="","No",IF(ABS($AX288)&lt;=2,"Yes","No")))</f>
        <v/>
      </c>
      <c r="AZ288" s="4" t="str">
        <f aca="false">IF($A288="","",IF($AI288&lt;&gt;"Yes","n/a",IF(OR($AA288="",$S288="",$T288=""),"Unknown",IF($AA288&lt;$S288+$T288,"Lost on arrival","Lost after arrival"))))</f>
        <v/>
      </c>
      <c r="BA288" s="10" t="str">
        <f aca="false">IF($A288="","",IFERROR(VLOOKUP($C288,Dim_Fund!$A:$D,4,0),""))</f>
        <v/>
      </c>
      <c r="BB288" s="10" t="str">
        <f aca="false">IF($A288="","",IF($AL288="","",IF(COUNTIFS(Fact_Milestone!$A:$A,$B288,Fact_Milestone!$B:$B,$AL288,Fact_Milestone!$I:$I,"No")&gt;0,"No",IF(COUNTIFS(Fact_Milestone!$A:$A,$B288,Fact_Milestone!$B:$B,$AL288,Fact_Milestone!$I:$I,"Yes")&gt;0,"Yes",""))))</f>
        <v/>
      </c>
      <c r="BC288" s="45" t="str">
        <f aca="false">IF($A288="","",IF(OR($L288="",$W288=""),"",IF(COUNTIFS($L:$L,$L288,$B:$B,$B288,$W:$W,"&lt;"&amp;$W288)=0,"",_xlfn.MAXIFS($W:$W,$L:$L,$L288,$B:$B,$B288,$W:$W,"&lt;"&amp;$W288))))</f>
        <v/>
      </c>
      <c r="BD288" s="39" t="str">
        <f aca="false">IF($A288="","",IF($AC288="","",IF(OR($L288="",$AC288=0),0,MIN($AC288,ROUND(ROUND(1440*SUMPRODUCT(($L$2:INDEX($L:$L,COUNTA($C:$C))=$L288)*($B$2:INDEX($B:$B,COUNTA($C:$C))=$B288)*(ROW($L$2:INDEX($L:$L,COUNTA($C:$C)))&lt;&gt;ROW())*((((($W288+$BT$2:INDEX($BT:$BT,COUNTA($C:$C))-ABS($W288-$BT$2:INDEX($BT:$BT,COUNTA($C:$C))))/2)-(($U288+$BS$2:INDEX($BS:$BS,COUNTA($C:$C))+ABS($U288-$BS$2:INDEX($BS:$BS,COUNTA($C:$C))))/2))+ABS(((($W288+$BT$2:INDEX($BT:$BT,COUNTA($C:$C))-ABS($W288-$BT$2:INDEX($BT:$BT,COUNTA($C:$C))))/2)-(($U288+$BS$2:INDEX($BS:$BS,COUNTA($C:$C))+ABS($U288-$BS$2:INDEX($BS:$BS,COUNTA($C:$C))))/2))))/2)),4),0)))))</f>
        <v/>
      </c>
      <c r="BE288" s="39" t="str">
        <f aca="false">IF($A288="","",IF($AC288="","",ROUND(MIN($AC288-$BD288,N($R288)),0)))</f>
        <v/>
      </c>
      <c r="BF288" s="10" t="str">
        <f aca="false">IF($A288="","",IFERROR(VLOOKUP($C288,Dim_Fund!$A:$BD,56,0),""))</f>
        <v/>
      </c>
      <c r="BG288" s="10" t="str">
        <f aca="false">IF($A288="","",IFERROR(VLOOKUP($C288,Dim_Fund!$A:$BH,60,0),""))</f>
        <v/>
      </c>
      <c r="BH288" s="10" t="str">
        <f aca="false">IF($A288="","",IF($AI288&lt;&gt;"Yes","Not breached",IF($AM288="Yes","Pricing late",IF($BG288="Thin custody slack","Thin custody slack",IF($BF288="Yes","Broker-dependent","None of these")))))</f>
        <v/>
      </c>
      <c r="BI288" s="23" t="str">
        <f aca="false">IF($A288="","",IFERROR(IF(VLOOKUP($C288,Dim_Fund!$A:$AI,35,0)&gt;0,VLOOKUP($C288,Dim_Fund!$A:$AI,35,0),""),""))</f>
        <v/>
      </c>
      <c r="BJ288" s="10" t="str">
        <f aca="false">IF($A288="","",$C288&amp;IF($E288="Client","*",""))</f>
        <v/>
      </c>
      <c r="BK288" s="39" t="str">
        <f aca="false">IF($A288="","",IFERROR(ROUND(($Y288-$X288)*1440,0),""))</f>
        <v/>
      </c>
      <c r="BL288" s="39" t="str">
        <f aca="false">IF($A288="","",IF($AH288="","",-$AH288))</f>
        <v/>
      </c>
      <c r="BM288" s="46" t="str">
        <f aca="false">IF($A288="","",IF($AQ288="","",IF($AP288="",$AQ288,MIN($AP288,$AQ288))))</f>
        <v/>
      </c>
      <c r="BN288" s="46" t="str">
        <f aca="false">IF($A288="","",IF($BM288="","",ROUND(N($AC288)/60,4)))</f>
        <v/>
      </c>
      <c r="BO288" s="46" t="str">
        <f aca="false">IF($A288="","",IF(OR($BM288="",$AD288=""),"",ROUND($AD288/60,4)))</f>
        <v/>
      </c>
      <c r="BP288" s="46" t="str">
        <f aca="false">IF($A288="","",IF($BM288="","",ROUND(N($AE288)/60,4)))</f>
        <v/>
      </c>
      <c r="BQ288" s="46" t="str">
        <f aca="false">IF($A288="","",IF(OR($BM288="",$AF288=""),"",ROUND($AF288/60,4)))</f>
        <v/>
      </c>
      <c r="BR288" s="39" t="str">
        <f aca="false">IF($A288="","",IF($AC288="","",$AC288-$BD288-$BE288))</f>
        <v/>
      </c>
      <c r="BS288" s="45" t="str">
        <f aca="false">IF($A288="","",IF(AND(ISNUMBER($Z288),ISNUMBER($W288)),$Z288,0))</f>
        <v/>
      </c>
      <c r="BT288" s="45" t="str">
        <f aca="false">IF($A288="","",IF(ISNUMBER($W288),$W288,0))</f>
        <v/>
      </c>
      <c r="BU288" s="23" t="str">
        <f aca="false">IF($A288="","",IF(ISNUMBER($W288),ROUND(($W288-$B288)*24,4),""))</f>
        <v/>
      </c>
      <c r="BV288" s="23" t="str">
        <f aca="false">IF($A288="","",IF(ISNUMBER($X288),ROUND(($X288-$B288)*24,4),""))</f>
        <v/>
      </c>
      <c r="BW288" s="10" t="str">
        <f aca="false">IF($A288="","",IF(NOT(ISNUMBER($W288)),"Missing Calculated",IF(NOT(ISNUMBER($X288)),IF($E288="Client","Missing FA signed off","Missing Controlled"),IF($X288&lt;$W288,"End before start","OK"))))</f>
        <v/>
      </c>
      <c r="BX288" s="23" t="str">
        <f aca="false">IF($A288="","",IF(NOT(ISNUMBER($Z288)),"",ROUND((IF(ISNUMBER($U288),MIN($U288,$Z288),$Z288)-$B288)*24,4)))</f>
        <v/>
      </c>
      <c r="BY288" s="23" t="str">
        <f aca="false">IF($A288="","",IF(ISNUMBER($Z288),ROUND(($Z288-$B288)*24,4),""))</f>
        <v/>
      </c>
      <c r="BZ288" s="23" t="str">
        <f aca="false">IF($A288="","",IF(AND(ISNUMBER($W288),ISNUMBER($S288)),ROUND(($W288+$S288/1440-$B288)*24,4),""))</f>
        <v/>
      </c>
    </row>
    <row r="289" customFormat="false" ht="15" hidden="false" customHeight="true" outlineLevel="0" collapsed="false">
      <c r="A289" s="47"/>
      <c r="B289" s="47"/>
      <c r="D289" s="4" t="str">
        <f aca="false">IF($A289="","",$B289-$A289)</f>
        <v/>
      </c>
      <c r="E289" s="4" t="str">
        <f aca="false">IF($A289="","",IFERROR(VLOOKUP($C289,Dim_Fund!$A:$X,24,0),""))</f>
        <v/>
      </c>
      <c r="F289" s="37" t="str">
        <f aca="false">IF($A289="","",IF(COUNTIFS(Status_Log!$A:$A,$A289,Status_Log!$B:$B,$B289,Status_Log!$C:$C,$C289,Status_Log!$D:$D,"Changed to the status of Calculated")=0,"",_xlfn.MINIFS(Status_Log!$E:$E,Status_Log!$A:$A,$A289,Status_Log!$B:$B,$B289,Status_Log!$C:$C,$C289,Status_Log!$D:$D,"Changed to the status of Calculated")))</f>
        <v/>
      </c>
      <c r="G289" s="37" t="str">
        <f aca="false">IF($A289="","",IF(COUNTIFS(Status_Log!$A:$A,$A289,Status_Log!$B:$B,$B289,Status_Log!$C:$C,$C289,Status_Log!$D:$D,"Changed to the status of Controlled")=0,"",_xlfn.MAXIFS(Status_Log!$E:$E,Status_Log!$A:$A,$A289,Status_Log!$B:$B,$B289,Status_Log!$C:$C,$C289,Status_Log!$D:$D,"Changed to the status of Controlled")))</f>
        <v/>
      </c>
      <c r="H289" s="37" t="str">
        <f aca="false">IF($A289="","",IF(COUNTIFS(Status_Log!$A:$A,$A289,Status_Log!$B:$B,$B289,Status_Log!$C:$C,$C289,Status_Log!$D:$D,"Changed to the status of Fund accounting signed off")=0,"",_xlfn.MAXIFS(Status_Log!$E:$E,Status_Log!$A:$A,$A289,Status_Log!$B:$B,$B289,Status_Log!$C:$C,$C289,Status_Log!$D:$D,"Changed to the status of Fund accounting signed off")))</f>
        <v/>
      </c>
      <c r="I289" s="37" t="str">
        <f aca="false">IF($A289="","",IF(COUNTIFS(Status_Log!$A:$A,$A289,Status_Log!$B:$B,$B289,Status_Log!$C:$C,$C289,Status_Log!$D:$D,"Changed to the status of signed off")=0,"",_xlfn.MAXIFS(Status_Log!$E:$E,Status_Log!$A:$A,$A289,Status_Log!$B:$B,$B289,Status_Log!$C:$C,$C289,Status_Log!$D:$D,"Changed to the status of signed off")))</f>
        <v/>
      </c>
      <c r="J289" s="4" t="str">
        <f aca="false">IF($A289="","",COUNTIFS(Status_Log!$A:$A,$A289,Status_Log!$B:$B,$B289,Status_Log!$C:$C,$C289,Status_Log!$D:$D,"Changed to the status of Calculated"))</f>
        <v/>
      </c>
      <c r="K289" s="38" t="str">
        <f aca="false">IF($A289="","",IF(J289&lt;=1,0,ROUND((_xlfn.MAXIFS(Status_Log!$E:$E,Status_Log!$A:$A,$A289,Status_Log!$B:$B,$B289,Status_Log!$C:$C,$C289,Status_Log!$D:$D,"Changed to the status of Calculated")-F289)*1440,0)))</f>
        <v/>
      </c>
      <c r="L289" s="4" t="str">
        <f aca="false">IF($A289="","",IFERROR(INDEX(Status_Log!$F:$F,MATCH($A289&amp;"|"&amp;$B289&amp;"|"&amp;$C289&amp;"|Changed to the status of Calculated|"&amp;TEXT(_xlfn.MAXIFS(Status_Log!$E:$E,Status_Log!$A:$A,$A289,Status_Log!$B:$B,$B289,Status_Log!$C:$C,$C289,Status_Log!$D:$D,"Changed to the status of Calculated"),"0.000000"),Status_Log!$H:$H,0)),""))</f>
        <v/>
      </c>
      <c r="M289" s="4" t="str">
        <f aca="false">IF($A289="","",IF(E289="Client","n/a — no control step",IFERROR(INDEX(Status_Log!$F:$F,MATCH($A289&amp;"|"&amp;$B289&amp;"|"&amp;$C289&amp;"|Changed to the status of Controlled|"&amp;TEXT(_xlfn.MAXIFS(Status_Log!$E:$E,Status_Log!$A:$A,$A289,Status_Log!$B:$B,$B289,Status_Log!$C:$C,$C289,Status_Log!$D:$D,"Changed to the status of Controlled"),"0.000000"),Status_Log!$H:$H,0)),"")))</f>
        <v/>
      </c>
      <c r="N289" s="4" t="str">
        <f aca="false">IF($A289="","",IFERROR(VLOOKUP($C289,Dim_Fund!$A:$G,7,0),""))</f>
        <v/>
      </c>
      <c r="O289" s="4" t="str">
        <f aca="false">IF($A289="","",IF(L289=N289,"No","Yes"))</f>
        <v/>
      </c>
      <c r="P289" s="4" t="str">
        <f aca="false">IF($A289="","",IF(E289="Client","n/a",IF(L289=M289,"YES — four-eyes breach","No")))</f>
        <v/>
      </c>
      <c r="Q289" s="38" t="str">
        <f aca="false">IF($A289="","",IFERROR(VLOOKUP($C289,Dim_Fund!$A:$AB,28,0),""))</f>
        <v/>
      </c>
      <c r="R289" s="38" t="str">
        <f aca="false">IF($A289="","",IFERROR(VLOOKUP($C289,Dim_Fund!$A:$AC,29,0),""))</f>
        <v/>
      </c>
      <c r="S289" s="38" t="str">
        <f aca="false">IF($A289="","",IFERROR(VLOOKUP($C289,Dim_Fund!$A:$AD,30,0),""))</f>
        <v/>
      </c>
      <c r="T289" s="38" t="str">
        <f aca="false">IF($A289="","",IFERROR(VLOOKUP($C289,Dim_Fund!$A:$AL,38,0),""))</f>
        <v/>
      </c>
      <c r="U289" s="37" t="str">
        <f aca="false">IF($A289="","",IF(AL289="","",IFERROR(IF(COUNTIFS(Fact_Milestone!$A:$A,$B289,Fact_Milestone!$B:$B,AL289)=0,"",_xlfn.MAXIFS(Fact_Milestone!$C:$C,Fact_Milestone!$A:$A,$B289,Fact_Milestone!$B:$B,AL289)),"")))</f>
        <v/>
      </c>
      <c r="V289" s="37" t="str">
        <f aca="false">IF($A289="","",IFERROR(IF(VLOOKUP($C289,Dim_Fund!$A:$AI,35,0)&gt;0,$B289+VLOOKUP($C289,Dim_Fund!$A:$AI,35,0)/24,""),""))</f>
        <v/>
      </c>
      <c r="W289" s="37" t="str">
        <f aca="false">IF($A289="","",F289)</f>
        <v/>
      </c>
      <c r="X289" s="37" t="str">
        <f aca="false">IF($A289="","",IF(E289="Client",H289,G289))</f>
        <v/>
      </c>
      <c r="Y289" s="37" t="str">
        <f aca="false">IF($A289="","",I289)</f>
        <v/>
      </c>
      <c r="Z289" s="37" t="str">
        <f aca="false">IF($A289="","",IFERROR(W289-R289/1440,""))</f>
        <v/>
      </c>
      <c r="AA289" s="38" t="str">
        <f aca="false">IF($A289="","",IF(OR(U289="",V289=""),"",ROUND((V289-U289)*1440,0)))</f>
        <v/>
      </c>
      <c r="AB289" s="38" t="str">
        <f aca="false">IF($A289="","",IF(U289="","",ROUND((W289-U289)*1440,0)))</f>
        <v/>
      </c>
      <c r="AC289" s="38" t="str">
        <f aca="false">IF($A289="","",IF(AB289="","",MAX(0,AB289)))</f>
        <v/>
      </c>
      <c r="AD289" s="38" t="str">
        <f aca="false">IF($A289="","",IFERROR(ROUND((X289-W289)*1440,0),""))</f>
        <v/>
      </c>
      <c r="AE289" s="38" t="str">
        <f aca="false">IF($A289="","",IF(E289="Client","n/a",IFERROR(ROUND((H289-G289)*1440,0),"")))</f>
        <v/>
      </c>
      <c r="AF289" s="38" t="str">
        <f aca="false">IF($A289="","",IFERROR(ROUND((Y289-H289)*1440,0),""))</f>
        <v/>
      </c>
      <c r="AG289" s="38" t="str">
        <f aca="false">IF($A289="","",IFERROR(ROUND((H289-F289)*1440,0),""))</f>
        <v/>
      </c>
      <c r="AH289" s="38" t="str">
        <f aca="false">IF($A289="","",IFERROR(ROUND((Y289-V289)*1440,0),""))</f>
        <v/>
      </c>
      <c r="AI289" s="4" t="str">
        <f aca="false">IF($A289="","",IF(AH289="","",IF(AH289&gt;0,"Yes","No")))</f>
        <v/>
      </c>
      <c r="AJ289" s="4" t="str">
        <f aca="false">IF($A289="","",IF(AI289&lt;&gt;"Yes","On time",IF(N(AC289)&gt;=MAX(N(AF289),N(K289)),"Wait for analyst",IF(N(AF289)&gt;=N(K289),"External sign-off","Rework"))))</f>
        <v/>
      </c>
      <c r="AK289" s="4" t="str">
        <f aca="false">IF($A289="","",IF(OR(F289="",Y289="",ISNA(MATCH(L289,Dim_Analyst!$A:$A,0))),"CHECK","OK"))</f>
        <v/>
      </c>
      <c r="AL289" s="4" t="str">
        <f aca="false">IF($A289="","",IFERROR(VLOOKUP($C289,Dim_Fund!$A:$U,21,0),""))</f>
        <v/>
      </c>
      <c r="AM289" s="4" t="str">
        <f aca="false">IF($A289="","",IF($U289="","",IF($U289&gt;$B289+IFERROR(VLOOKUP($C289,Dim_Fund!$A:$AH,34,0),0)/24,"Yes","No")))</f>
        <v/>
      </c>
      <c r="AN289" s="22" t="str">
        <f aca="false">IF($A289="","",IFERROR(VLOOKUP($C289,Dim_Fund!$A:$AH,34,0),""))</f>
        <v/>
      </c>
      <c r="AO289" s="22" t="str">
        <f aca="false">IF($A289="","",IF($AL289="","",IFERROR(FLOOR(IF(COUNTIFS(Fact_Milestone!$A:$A,$B289,Fact_Milestone!$B:$B,$AL289,Fact_Milestone!$F:$F,"&gt;0")&gt;0,_xlfn.MINIFS(Fact_Milestone!$F:$F,Fact_Milestone!$A:$A,$B289,Fact_Milestone!$B:$B,$AL289,Fact_Milestone!$F:$F,"&gt;0"),VLOOKUP($AL289,Dim_TOP!$A:$E,5,0)),0.5),"")))</f>
        <v/>
      </c>
      <c r="AP289" s="22" t="str">
        <f aca="false">IF($A289="","",IF($U289="","",ROUND(($U289-INT($U289))*24,4)))</f>
        <v/>
      </c>
      <c r="AQ289" s="22" t="str">
        <f aca="false">IF($A289="","",IF($W289="","",ROUND(($W289-INT($W289))*24,4)))</f>
        <v/>
      </c>
      <c r="AR289" s="22" t="str">
        <f aca="false">IF($A289="","",IF($X289="","",ROUND(($X289-INT($X289))*24,4)))</f>
        <v/>
      </c>
      <c r="AS289" s="38" t="str">
        <f aca="false">IF($A289="","",IF(OR($AN289="",$V289="",$S289="",$T289=""),"",ROUND(($V289-($B289+$AN289/24))*1440-$S289-$T289,0)))</f>
        <v/>
      </c>
      <c r="AT289" s="38" t="str">
        <f aca="false">IF($A289="","",IF(OR($AN289="",$U289=""),"",ROUND(($U289-($B289+$AN289/24))*1440,0)))</f>
        <v/>
      </c>
      <c r="AU289" s="38" t="str">
        <f aca="false">IF($A289="","",IF(OR($AD289="",$S289=""),"",ROUND($AD289-$S289,0)))</f>
        <v/>
      </c>
      <c r="AV289" s="38" t="str">
        <f aca="false">IF($A289="","",N($AE289))</f>
        <v/>
      </c>
      <c r="AW289" s="38" t="str">
        <f aca="false">IF($A289="","",IF(OR($AF289="",$T289=""),"",$AF289-$T289))</f>
        <v/>
      </c>
      <c r="AX289" s="38" t="str">
        <f aca="false">IF($A289="","",IF(COUNT($AT289,$AB289,$AU289,$AW289,$AS289,$AH289)&lt;6,"",ROUND($AT289+$AB289+$AU289+$AV289+$AW289-$AS289-$AH289,0)))</f>
        <v/>
      </c>
      <c r="AY289" s="4" t="str">
        <f aca="false">IF($A289="","",IF($AX289="","No",IF(ABS($AX289)&lt;=2,"Yes","No")))</f>
        <v/>
      </c>
      <c r="AZ289" s="4" t="str">
        <f aca="false">IF($A289="","",IF($AI289&lt;&gt;"Yes","n/a",IF(OR($AA289="",$S289="",$T289=""),"Unknown",IF($AA289&lt;$S289+$T289,"Lost on arrival","Lost after arrival"))))</f>
        <v/>
      </c>
      <c r="BA289" s="10" t="str">
        <f aca="false">IF($A289="","",IFERROR(VLOOKUP($C289,Dim_Fund!$A:$D,4,0),""))</f>
        <v/>
      </c>
      <c r="BB289" s="10" t="str">
        <f aca="false">IF($A289="","",IF($AL289="","",IF(COUNTIFS(Fact_Milestone!$A:$A,$B289,Fact_Milestone!$B:$B,$AL289,Fact_Milestone!$I:$I,"No")&gt;0,"No",IF(COUNTIFS(Fact_Milestone!$A:$A,$B289,Fact_Milestone!$B:$B,$AL289,Fact_Milestone!$I:$I,"Yes")&gt;0,"Yes",""))))</f>
        <v/>
      </c>
      <c r="BC289" s="45" t="str">
        <f aca="false">IF($A289="","",IF(OR($L289="",$W289=""),"",IF(COUNTIFS($L:$L,$L289,$B:$B,$B289,$W:$W,"&lt;"&amp;$W289)=0,"",_xlfn.MAXIFS($W:$W,$L:$L,$L289,$B:$B,$B289,$W:$W,"&lt;"&amp;$W289))))</f>
        <v/>
      </c>
      <c r="BD289" s="39" t="str">
        <f aca="false">IF($A289="","",IF($AC289="","",IF(OR($L289="",$AC289=0),0,MIN($AC289,ROUND(ROUND(1440*SUMPRODUCT(($L$2:INDEX($L:$L,COUNTA($C:$C))=$L289)*($B$2:INDEX($B:$B,COUNTA($C:$C))=$B289)*(ROW($L$2:INDEX($L:$L,COUNTA($C:$C)))&lt;&gt;ROW())*((((($W289+$BT$2:INDEX($BT:$BT,COUNTA($C:$C))-ABS($W289-$BT$2:INDEX($BT:$BT,COUNTA($C:$C))))/2)-(($U289+$BS$2:INDEX($BS:$BS,COUNTA($C:$C))+ABS($U289-$BS$2:INDEX($BS:$BS,COUNTA($C:$C))))/2))+ABS(((($W289+$BT$2:INDEX($BT:$BT,COUNTA($C:$C))-ABS($W289-$BT$2:INDEX($BT:$BT,COUNTA($C:$C))))/2)-(($U289+$BS$2:INDEX($BS:$BS,COUNTA($C:$C))+ABS($U289-$BS$2:INDEX($BS:$BS,COUNTA($C:$C))))/2))))/2)),4),0)))))</f>
        <v/>
      </c>
      <c r="BE289" s="39" t="str">
        <f aca="false">IF($A289="","",IF($AC289="","",ROUND(MIN($AC289-$BD289,N($R289)),0)))</f>
        <v/>
      </c>
      <c r="BF289" s="10" t="str">
        <f aca="false">IF($A289="","",IFERROR(VLOOKUP($C289,Dim_Fund!$A:$BD,56,0),""))</f>
        <v/>
      </c>
      <c r="BG289" s="10" t="str">
        <f aca="false">IF($A289="","",IFERROR(VLOOKUP($C289,Dim_Fund!$A:$BH,60,0),""))</f>
        <v/>
      </c>
      <c r="BH289" s="10" t="str">
        <f aca="false">IF($A289="","",IF($AI289&lt;&gt;"Yes","Not breached",IF($AM289="Yes","Pricing late",IF($BG289="Thin custody slack","Thin custody slack",IF($BF289="Yes","Broker-dependent","None of these")))))</f>
        <v/>
      </c>
      <c r="BI289" s="23" t="str">
        <f aca="false">IF($A289="","",IFERROR(IF(VLOOKUP($C289,Dim_Fund!$A:$AI,35,0)&gt;0,VLOOKUP($C289,Dim_Fund!$A:$AI,35,0),""),""))</f>
        <v/>
      </c>
      <c r="BJ289" s="10" t="str">
        <f aca="false">IF($A289="","",$C289&amp;IF($E289="Client","*",""))</f>
        <v/>
      </c>
      <c r="BK289" s="39" t="str">
        <f aca="false">IF($A289="","",IFERROR(ROUND(($Y289-$X289)*1440,0),""))</f>
        <v/>
      </c>
      <c r="BL289" s="39" t="str">
        <f aca="false">IF($A289="","",IF($AH289="","",-$AH289))</f>
        <v/>
      </c>
      <c r="BM289" s="46" t="str">
        <f aca="false">IF($A289="","",IF($AQ289="","",IF($AP289="",$AQ289,MIN($AP289,$AQ289))))</f>
        <v/>
      </c>
      <c r="BN289" s="46" t="str">
        <f aca="false">IF($A289="","",IF($BM289="","",ROUND(N($AC289)/60,4)))</f>
        <v/>
      </c>
      <c r="BO289" s="46" t="str">
        <f aca="false">IF($A289="","",IF(OR($BM289="",$AD289=""),"",ROUND($AD289/60,4)))</f>
        <v/>
      </c>
      <c r="BP289" s="46" t="str">
        <f aca="false">IF($A289="","",IF($BM289="","",ROUND(N($AE289)/60,4)))</f>
        <v/>
      </c>
      <c r="BQ289" s="46" t="str">
        <f aca="false">IF($A289="","",IF(OR($BM289="",$AF289=""),"",ROUND($AF289/60,4)))</f>
        <v/>
      </c>
      <c r="BR289" s="39" t="str">
        <f aca="false">IF($A289="","",IF($AC289="","",$AC289-$BD289-$BE289))</f>
        <v/>
      </c>
      <c r="BS289" s="45" t="str">
        <f aca="false">IF($A289="","",IF(AND(ISNUMBER($Z289),ISNUMBER($W289)),$Z289,0))</f>
        <v/>
      </c>
      <c r="BT289" s="45" t="str">
        <f aca="false">IF($A289="","",IF(ISNUMBER($W289),$W289,0))</f>
        <v/>
      </c>
      <c r="BU289" s="23" t="str">
        <f aca="false">IF($A289="","",IF(ISNUMBER($W289),ROUND(($W289-$B289)*24,4),""))</f>
        <v/>
      </c>
      <c r="BV289" s="23" t="str">
        <f aca="false">IF($A289="","",IF(ISNUMBER($X289),ROUND(($X289-$B289)*24,4),""))</f>
        <v/>
      </c>
      <c r="BW289" s="10" t="str">
        <f aca="false">IF($A289="","",IF(NOT(ISNUMBER($W289)),"Missing Calculated",IF(NOT(ISNUMBER($X289)),IF($E289="Client","Missing FA signed off","Missing Controlled"),IF($X289&lt;$W289,"End before start","OK"))))</f>
        <v/>
      </c>
      <c r="BX289" s="23" t="str">
        <f aca="false">IF($A289="","",IF(NOT(ISNUMBER($Z289)),"",ROUND((IF(ISNUMBER($U289),MIN($U289,$Z289),$Z289)-$B289)*24,4)))</f>
        <v/>
      </c>
      <c r="BY289" s="23" t="str">
        <f aca="false">IF($A289="","",IF(ISNUMBER($Z289),ROUND(($Z289-$B289)*24,4),""))</f>
        <v/>
      </c>
      <c r="BZ289" s="23" t="str">
        <f aca="false">IF($A289="","",IF(AND(ISNUMBER($W289),ISNUMBER($S289)),ROUND(($W289+$S289/1440-$B289)*24,4),""))</f>
        <v/>
      </c>
    </row>
    <row r="290" customFormat="false" ht="15" hidden="false" customHeight="true" outlineLevel="0" collapsed="false">
      <c r="A290" s="47"/>
      <c r="B290" s="47"/>
      <c r="D290" s="4" t="str">
        <f aca="false">IF($A290="","",$B290-$A290)</f>
        <v/>
      </c>
      <c r="E290" s="4" t="str">
        <f aca="false">IF($A290="","",IFERROR(VLOOKUP($C290,Dim_Fund!$A:$X,24,0),""))</f>
        <v/>
      </c>
      <c r="F290" s="37" t="str">
        <f aca="false">IF($A290="","",IF(COUNTIFS(Status_Log!$A:$A,$A290,Status_Log!$B:$B,$B290,Status_Log!$C:$C,$C290,Status_Log!$D:$D,"Changed to the status of Calculated")=0,"",_xlfn.MINIFS(Status_Log!$E:$E,Status_Log!$A:$A,$A290,Status_Log!$B:$B,$B290,Status_Log!$C:$C,$C290,Status_Log!$D:$D,"Changed to the status of Calculated")))</f>
        <v/>
      </c>
      <c r="G290" s="37" t="str">
        <f aca="false">IF($A290="","",IF(COUNTIFS(Status_Log!$A:$A,$A290,Status_Log!$B:$B,$B290,Status_Log!$C:$C,$C290,Status_Log!$D:$D,"Changed to the status of Controlled")=0,"",_xlfn.MAXIFS(Status_Log!$E:$E,Status_Log!$A:$A,$A290,Status_Log!$B:$B,$B290,Status_Log!$C:$C,$C290,Status_Log!$D:$D,"Changed to the status of Controlled")))</f>
        <v/>
      </c>
      <c r="H290" s="37" t="str">
        <f aca="false">IF($A290="","",IF(COUNTIFS(Status_Log!$A:$A,$A290,Status_Log!$B:$B,$B290,Status_Log!$C:$C,$C290,Status_Log!$D:$D,"Changed to the status of Fund accounting signed off")=0,"",_xlfn.MAXIFS(Status_Log!$E:$E,Status_Log!$A:$A,$A290,Status_Log!$B:$B,$B290,Status_Log!$C:$C,$C290,Status_Log!$D:$D,"Changed to the status of Fund accounting signed off")))</f>
        <v/>
      </c>
      <c r="I290" s="37" t="str">
        <f aca="false">IF($A290="","",IF(COUNTIFS(Status_Log!$A:$A,$A290,Status_Log!$B:$B,$B290,Status_Log!$C:$C,$C290,Status_Log!$D:$D,"Changed to the status of signed off")=0,"",_xlfn.MAXIFS(Status_Log!$E:$E,Status_Log!$A:$A,$A290,Status_Log!$B:$B,$B290,Status_Log!$C:$C,$C290,Status_Log!$D:$D,"Changed to the status of signed off")))</f>
        <v/>
      </c>
      <c r="J290" s="4" t="str">
        <f aca="false">IF($A290="","",COUNTIFS(Status_Log!$A:$A,$A290,Status_Log!$B:$B,$B290,Status_Log!$C:$C,$C290,Status_Log!$D:$D,"Changed to the status of Calculated"))</f>
        <v/>
      </c>
      <c r="K290" s="38" t="str">
        <f aca="false">IF($A290="","",IF(J290&lt;=1,0,ROUND((_xlfn.MAXIFS(Status_Log!$E:$E,Status_Log!$A:$A,$A290,Status_Log!$B:$B,$B290,Status_Log!$C:$C,$C290,Status_Log!$D:$D,"Changed to the status of Calculated")-F290)*1440,0)))</f>
        <v/>
      </c>
      <c r="L290" s="4" t="str">
        <f aca="false">IF($A290="","",IFERROR(INDEX(Status_Log!$F:$F,MATCH($A290&amp;"|"&amp;$B290&amp;"|"&amp;$C290&amp;"|Changed to the status of Calculated|"&amp;TEXT(_xlfn.MAXIFS(Status_Log!$E:$E,Status_Log!$A:$A,$A290,Status_Log!$B:$B,$B290,Status_Log!$C:$C,$C290,Status_Log!$D:$D,"Changed to the status of Calculated"),"0.000000"),Status_Log!$H:$H,0)),""))</f>
        <v/>
      </c>
      <c r="M290" s="4" t="str">
        <f aca="false">IF($A290="","",IF(E290="Client","n/a — no control step",IFERROR(INDEX(Status_Log!$F:$F,MATCH($A290&amp;"|"&amp;$B290&amp;"|"&amp;$C290&amp;"|Changed to the status of Controlled|"&amp;TEXT(_xlfn.MAXIFS(Status_Log!$E:$E,Status_Log!$A:$A,$A290,Status_Log!$B:$B,$B290,Status_Log!$C:$C,$C290,Status_Log!$D:$D,"Changed to the status of Controlled"),"0.000000"),Status_Log!$H:$H,0)),"")))</f>
        <v/>
      </c>
      <c r="N290" s="4" t="str">
        <f aca="false">IF($A290="","",IFERROR(VLOOKUP($C290,Dim_Fund!$A:$G,7,0),""))</f>
        <v/>
      </c>
      <c r="O290" s="4" t="str">
        <f aca="false">IF($A290="","",IF(L290=N290,"No","Yes"))</f>
        <v/>
      </c>
      <c r="P290" s="4" t="str">
        <f aca="false">IF($A290="","",IF(E290="Client","n/a",IF(L290=M290,"YES — four-eyes breach","No")))</f>
        <v/>
      </c>
      <c r="Q290" s="38" t="str">
        <f aca="false">IF($A290="","",IFERROR(VLOOKUP($C290,Dim_Fund!$A:$AB,28,0),""))</f>
        <v/>
      </c>
      <c r="R290" s="38" t="str">
        <f aca="false">IF($A290="","",IFERROR(VLOOKUP($C290,Dim_Fund!$A:$AC,29,0),""))</f>
        <v/>
      </c>
      <c r="S290" s="38" t="str">
        <f aca="false">IF($A290="","",IFERROR(VLOOKUP($C290,Dim_Fund!$A:$AD,30,0),""))</f>
        <v/>
      </c>
      <c r="T290" s="38" t="str">
        <f aca="false">IF($A290="","",IFERROR(VLOOKUP($C290,Dim_Fund!$A:$AL,38,0),""))</f>
        <v/>
      </c>
      <c r="U290" s="37" t="str">
        <f aca="false">IF($A290="","",IF(AL290="","",IFERROR(IF(COUNTIFS(Fact_Milestone!$A:$A,$B290,Fact_Milestone!$B:$B,AL290)=0,"",_xlfn.MAXIFS(Fact_Milestone!$C:$C,Fact_Milestone!$A:$A,$B290,Fact_Milestone!$B:$B,AL290)),"")))</f>
        <v/>
      </c>
      <c r="V290" s="37" t="str">
        <f aca="false">IF($A290="","",IFERROR(IF(VLOOKUP($C290,Dim_Fund!$A:$AI,35,0)&gt;0,$B290+VLOOKUP($C290,Dim_Fund!$A:$AI,35,0)/24,""),""))</f>
        <v/>
      </c>
      <c r="W290" s="37" t="str">
        <f aca="false">IF($A290="","",F290)</f>
        <v/>
      </c>
      <c r="X290" s="37" t="str">
        <f aca="false">IF($A290="","",IF(E290="Client",H290,G290))</f>
        <v/>
      </c>
      <c r="Y290" s="37" t="str">
        <f aca="false">IF($A290="","",I290)</f>
        <v/>
      </c>
      <c r="Z290" s="37" t="str">
        <f aca="false">IF($A290="","",IFERROR(W290-R290/1440,""))</f>
        <v/>
      </c>
      <c r="AA290" s="38" t="str">
        <f aca="false">IF($A290="","",IF(OR(U290="",V290=""),"",ROUND((V290-U290)*1440,0)))</f>
        <v/>
      </c>
      <c r="AB290" s="38" t="str">
        <f aca="false">IF($A290="","",IF(U290="","",ROUND((W290-U290)*1440,0)))</f>
        <v/>
      </c>
      <c r="AC290" s="38" t="str">
        <f aca="false">IF($A290="","",IF(AB290="","",MAX(0,AB290)))</f>
        <v/>
      </c>
      <c r="AD290" s="38" t="str">
        <f aca="false">IF($A290="","",IFERROR(ROUND((X290-W290)*1440,0),""))</f>
        <v/>
      </c>
      <c r="AE290" s="38" t="str">
        <f aca="false">IF($A290="","",IF(E290="Client","n/a",IFERROR(ROUND((H290-G290)*1440,0),"")))</f>
        <v/>
      </c>
      <c r="AF290" s="38" t="str">
        <f aca="false">IF($A290="","",IFERROR(ROUND((Y290-H290)*1440,0),""))</f>
        <v/>
      </c>
      <c r="AG290" s="38" t="str">
        <f aca="false">IF($A290="","",IFERROR(ROUND((H290-F290)*1440,0),""))</f>
        <v/>
      </c>
      <c r="AH290" s="38" t="str">
        <f aca="false">IF($A290="","",IFERROR(ROUND((Y290-V290)*1440,0),""))</f>
        <v/>
      </c>
      <c r="AI290" s="4" t="str">
        <f aca="false">IF($A290="","",IF(AH290="","",IF(AH290&gt;0,"Yes","No")))</f>
        <v/>
      </c>
      <c r="AJ290" s="4" t="str">
        <f aca="false">IF($A290="","",IF(AI290&lt;&gt;"Yes","On time",IF(N(AC290)&gt;=MAX(N(AF290),N(K290)),"Wait for analyst",IF(N(AF290)&gt;=N(K290),"External sign-off","Rework"))))</f>
        <v/>
      </c>
      <c r="AK290" s="4" t="str">
        <f aca="false">IF($A290="","",IF(OR(F290="",Y290="",ISNA(MATCH(L290,Dim_Analyst!$A:$A,0))),"CHECK","OK"))</f>
        <v/>
      </c>
      <c r="AL290" s="4" t="str">
        <f aca="false">IF($A290="","",IFERROR(VLOOKUP($C290,Dim_Fund!$A:$U,21,0),""))</f>
        <v/>
      </c>
      <c r="AM290" s="4" t="str">
        <f aca="false">IF($A290="","",IF($U290="","",IF($U290&gt;$B290+IFERROR(VLOOKUP($C290,Dim_Fund!$A:$AH,34,0),0)/24,"Yes","No")))</f>
        <v/>
      </c>
      <c r="AN290" s="22" t="str">
        <f aca="false">IF($A290="","",IFERROR(VLOOKUP($C290,Dim_Fund!$A:$AH,34,0),""))</f>
        <v/>
      </c>
      <c r="AO290" s="22" t="str">
        <f aca="false">IF($A290="","",IF($AL290="","",IFERROR(FLOOR(IF(COUNTIFS(Fact_Milestone!$A:$A,$B290,Fact_Milestone!$B:$B,$AL290,Fact_Milestone!$F:$F,"&gt;0")&gt;0,_xlfn.MINIFS(Fact_Milestone!$F:$F,Fact_Milestone!$A:$A,$B290,Fact_Milestone!$B:$B,$AL290,Fact_Milestone!$F:$F,"&gt;0"),VLOOKUP($AL290,Dim_TOP!$A:$E,5,0)),0.5),"")))</f>
        <v/>
      </c>
      <c r="AP290" s="22" t="str">
        <f aca="false">IF($A290="","",IF($U290="","",ROUND(($U290-INT($U290))*24,4)))</f>
        <v/>
      </c>
      <c r="AQ290" s="22" t="str">
        <f aca="false">IF($A290="","",IF($W290="","",ROUND(($W290-INT($W290))*24,4)))</f>
        <v/>
      </c>
      <c r="AR290" s="22" t="str">
        <f aca="false">IF($A290="","",IF($X290="","",ROUND(($X290-INT($X290))*24,4)))</f>
        <v/>
      </c>
      <c r="AS290" s="38" t="str">
        <f aca="false">IF($A290="","",IF(OR($AN290="",$V290="",$S290="",$T290=""),"",ROUND(($V290-($B290+$AN290/24))*1440-$S290-$T290,0)))</f>
        <v/>
      </c>
      <c r="AT290" s="38" t="str">
        <f aca="false">IF($A290="","",IF(OR($AN290="",$U290=""),"",ROUND(($U290-($B290+$AN290/24))*1440,0)))</f>
        <v/>
      </c>
      <c r="AU290" s="38" t="str">
        <f aca="false">IF($A290="","",IF(OR($AD290="",$S290=""),"",ROUND($AD290-$S290,0)))</f>
        <v/>
      </c>
      <c r="AV290" s="38" t="str">
        <f aca="false">IF($A290="","",N($AE290))</f>
        <v/>
      </c>
      <c r="AW290" s="38" t="str">
        <f aca="false">IF($A290="","",IF(OR($AF290="",$T290=""),"",$AF290-$T290))</f>
        <v/>
      </c>
      <c r="AX290" s="38" t="str">
        <f aca="false">IF($A290="","",IF(COUNT($AT290,$AB290,$AU290,$AW290,$AS290,$AH290)&lt;6,"",ROUND($AT290+$AB290+$AU290+$AV290+$AW290-$AS290-$AH290,0)))</f>
        <v/>
      </c>
      <c r="AY290" s="4" t="str">
        <f aca="false">IF($A290="","",IF($AX290="","No",IF(ABS($AX290)&lt;=2,"Yes","No")))</f>
        <v/>
      </c>
      <c r="AZ290" s="4" t="str">
        <f aca="false">IF($A290="","",IF($AI290&lt;&gt;"Yes","n/a",IF(OR($AA290="",$S290="",$T290=""),"Unknown",IF($AA290&lt;$S290+$T290,"Lost on arrival","Lost after arrival"))))</f>
        <v/>
      </c>
      <c r="BA290" s="10" t="str">
        <f aca="false">IF($A290="","",IFERROR(VLOOKUP($C290,Dim_Fund!$A:$D,4,0),""))</f>
        <v/>
      </c>
      <c r="BB290" s="10" t="str">
        <f aca="false">IF($A290="","",IF($AL290="","",IF(COUNTIFS(Fact_Milestone!$A:$A,$B290,Fact_Milestone!$B:$B,$AL290,Fact_Milestone!$I:$I,"No")&gt;0,"No",IF(COUNTIFS(Fact_Milestone!$A:$A,$B290,Fact_Milestone!$B:$B,$AL290,Fact_Milestone!$I:$I,"Yes")&gt;0,"Yes",""))))</f>
        <v/>
      </c>
      <c r="BC290" s="45" t="str">
        <f aca="false">IF($A290="","",IF(OR($L290="",$W290=""),"",IF(COUNTIFS($L:$L,$L290,$B:$B,$B290,$W:$W,"&lt;"&amp;$W290)=0,"",_xlfn.MAXIFS($W:$W,$L:$L,$L290,$B:$B,$B290,$W:$W,"&lt;"&amp;$W290))))</f>
        <v/>
      </c>
      <c r="BD290" s="39" t="str">
        <f aca="false">IF($A290="","",IF($AC290="","",IF(OR($L290="",$AC290=0),0,MIN($AC290,ROUND(ROUND(1440*SUMPRODUCT(($L$2:INDEX($L:$L,COUNTA($C:$C))=$L290)*($B$2:INDEX($B:$B,COUNTA($C:$C))=$B290)*(ROW($L$2:INDEX($L:$L,COUNTA($C:$C)))&lt;&gt;ROW())*((((($W290+$BT$2:INDEX($BT:$BT,COUNTA($C:$C))-ABS($W290-$BT$2:INDEX($BT:$BT,COUNTA($C:$C))))/2)-(($U290+$BS$2:INDEX($BS:$BS,COUNTA($C:$C))+ABS($U290-$BS$2:INDEX($BS:$BS,COUNTA($C:$C))))/2))+ABS(((($W290+$BT$2:INDEX($BT:$BT,COUNTA($C:$C))-ABS($W290-$BT$2:INDEX($BT:$BT,COUNTA($C:$C))))/2)-(($U290+$BS$2:INDEX($BS:$BS,COUNTA($C:$C))+ABS($U290-$BS$2:INDEX($BS:$BS,COUNTA($C:$C))))/2))))/2)),4),0)))))</f>
        <v/>
      </c>
      <c r="BE290" s="39" t="str">
        <f aca="false">IF($A290="","",IF($AC290="","",ROUND(MIN($AC290-$BD290,N($R290)),0)))</f>
        <v/>
      </c>
      <c r="BF290" s="10" t="str">
        <f aca="false">IF($A290="","",IFERROR(VLOOKUP($C290,Dim_Fund!$A:$BD,56,0),""))</f>
        <v/>
      </c>
      <c r="BG290" s="10" t="str">
        <f aca="false">IF($A290="","",IFERROR(VLOOKUP($C290,Dim_Fund!$A:$BH,60,0),""))</f>
        <v/>
      </c>
      <c r="BH290" s="10" t="str">
        <f aca="false">IF($A290="","",IF($AI290&lt;&gt;"Yes","Not breached",IF($AM290="Yes","Pricing late",IF($BG290="Thin custody slack","Thin custody slack",IF($BF290="Yes","Broker-dependent","None of these")))))</f>
        <v/>
      </c>
      <c r="BI290" s="23" t="str">
        <f aca="false">IF($A290="","",IFERROR(IF(VLOOKUP($C290,Dim_Fund!$A:$AI,35,0)&gt;0,VLOOKUP($C290,Dim_Fund!$A:$AI,35,0),""),""))</f>
        <v/>
      </c>
      <c r="BJ290" s="10" t="str">
        <f aca="false">IF($A290="","",$C290&amp;IF($E290="Client","*",""))</f>
        <v/>
      </c>
      <c r="BK290" s="39" t="str">
        <f aca="false">IF($A290="","",IFERROR(ROUND(($Y290-$X290)*1440,0),""))</f>
        <v/>
      </c>
      <c r="BL290" s="39" t="str">
        <f aca="false">IF($A290="","",IF($AH290="","",-$AH290))</f>
        <v/>
      </c>
      <c r="BM290" s="46" t="str">
        <f aca="false">IF($A290="","",IF($AQ290="","",IF($AP290="",$AQ290,MIN($AP290,$AQ290))))</f>
        <v/>
      </c>
      <c r="BN290" s="46" t="str">
        <f aca="false">IF($A290="","",IF($BM290="","",ROUND(N($AC290)/60,4)))</f>
        <v/>
      </c>
      <c r="BO290" s="46" t="str">
        <f aca="false">IF($A290="","",IF(OR($BM290="",$AD290=""),"",ROUND($AD290/60,4)))</f>
        <v/>
      </c>
      <c r="BP290" s="46" t="str">
        <f aca="false">IF($A290="","",IF($BM290="","",ROUND(N($AE290)/60,4)))</f>
        <v/>
      </c>
      <c r="BQ290" s="46" t="str">
        <f aca="false">IF($A290="","",IF(OR($BM290="",$AF290=""),"",ROUND($AF290/60,4)))</f>
        <v/>
      </c>
      <c r="BR290" s="39" t="str">
        <f aca="false">IF($A290="","",IF($AC290="","",$AC290-$BD290-$BE290))</f>
        <v/>
      </c>
      <c r="BS290" s="45" t="str">
        <f aca="false">IF($A290="","",IF(AND(ISNUMBER($Z290),ISNUMBER($W290)),$Z290,0))</f>
        <v/>
      </c>
      <c r="BT290" s="45" t="str">
        <f aca="false">IF($A290="","",IF(ISNUMBER($W290),$W290,0))</f>
        <v/>
      </c>
      <c r="BU290" s="23" t="str">
        <f aca="false">IF($A290="","",IF(ISNUMBER($W290),ROUND(($W290-$B290)*24,4),""))</f>
        <v/>
      </c>
      <c r="BV290" s="23" t="str">
        <f aca="false">IF($A290="","",IF(ISNUMBER($X290),ROUND(($X290-$B290)*24,4),""))</f>
        <v/>
      </c>
      <c r="BW290" s="10" t="str">
        <f aca="false">IF($A290="","",IF(NOT(ISNUMBER($W290)),"Missing Calculated",IF(NOT(ISNUMBER($X290)),IF($E290="Client","Missing FA signed off","Missing Controlled"),IF($X290&lt;$W290,"End before start","OK"))))</f>
        <v/>
      </c>
      <c r="BX290" s="23" t="str">
        <f aca="false">IF($A290="","",IF(NOT(ISNUMBER($Z290)),"",ROUND((IF(ISNUMBER($U290),MIN($U290,$Z290),$Z290)-$B290)*24,4)))</f>
        <v/>
      </c>
      <c r="BY290" s="23" t="str">
        <f aca="false">IF($A290="","",IF(ISNUMBER($Z290),ROUND(($Z290-$B290)*24,4),""))</f>
        <v/>
      </c>
      <c r="BZ290" s="23" t="str">
        <f aca="false">IF($A290="","",IF(AND(ISNUMBER($W290),ISNUMBER($S290)),ROUND(($W290+$S290/1440-$B290)*24,4),""))</f>
        <v/>
      </c>
    </row>
    <row r="291" customFormat="false" ht="15" hidden="false" customHeight="true" outlineLevel="0" collapsed="false">
      <c r="A291" s="47"/>
      <c r="B291" s="47"/>
      <c r="D291" s="4" t="str">
        <f aca="false">IF($A291="","",$B291-$A291)</f>
        <v/>
      </c>
      <c r="E291" s="4" t="str">
        <f aca="false">IF($A291="","",IFERROR(VLOOKUP($C291,Dim_Fund!$A:$X,24,0),""))</f>
        <v/>
      </c>
      <c r="F291" s="37" t="str">
        <f aca="false">IF($A291="","",IF(COUNTIFS(Status_Log!$A:$A,$A291,Status_Log!$B:$B,$B291,Status_Log!$C:$C,$C291,Status_Log!$D:$D,"Changed to the status of Calculated")=0,"",_xlfn.MINIFS(Status_Log!$E:$E,Status_Log!$A:$A,$A291,Status_Log!$B:$B,$B291,Status_Log!$C:$C,$C291,Status_Log!$D:$D,"Changed to the status of Calculated")))</f>
        <v/>
      </c>
      <c r="G291" s="37" t="str">
        <f aca="false">IF($A291="","",IF(COUNTIFS(Status_Log!$A:$A,$A291,Status_Log!$B:$B,$B291,Status_Log!$C:$C,$C291,Status_Log!$D:$D,"Changed to the status of Controlled")=0,"",_xlfn.MAXIFS(Status_Log!$E:$E,Status_Log!$A:$A,$A291,Status_Log!$B:$B,$B291,Status_Log!$C:$C,$C291,Status_Log!$D:$D,"Changed to the status of Controlled")))</f>
        <v/>
      </c>
      <c r="H291" s="37" t="str">
        <f aca="false">IF($A291="","",IF(COUNTIFS(Status_Log!$A:$A,$A291,Status_Log!$B:$B,$B291,Status_Log!$C:$C,$C291,Status_Log!$D:$D,"Changed to the status of Fund accounting signed off")=0,"",_xlfn.MAXIFS(Status_Log!$E:$E,Status_Log!$A:$A,$A291,Status_Log!$B:$B,$B291,Status_Log!$C:$C,$C291,Status_Log!$D:$D,"Changed to the status of Fund accounting signed off")))</f>
        <v/>
      </c>
      <c r="I291" s="37" t="str">
        <f aca="false">IF($A291="","",IF(COUNTIFS(Status_Log!$A:$A,$A291,Status_Log!$B:$B,$B291,Status_Log!$C:$C,$C291,Status_Log!$D:$D,"Changed to the status of signed off")=0,"",_xlfn.MAXIFS(Status_Log!$E:$E,Status_Log!$A:$A,$A291,Status_Log!$B:$B,$B291,Status_Log!$C:$C,$C291,Status_Log!$D:$D,"Changed to the status of signed off")))</f>
        <v/>
      </c>
      <c r="J291" s="4" t="str">
        <f aca="false">IF($A291="","",COUNTIFS(Status_Log!$A:$A,$A291,Status_Log!$B:$B,$B291,Status_Log!$C:$C,$C291,Status_Log!$D:$D,"Changed to the status of Calculated"))</f>
        <v/>
      </c>
      <c r="K291" s="38" t="str">
        <f aca="false">IF($A291="","",IF(J291&lt;=1,0,ROUND((_xlfn.MAXIFS(Status_Log!$E:$E,Status_Log!$A:$A,$A291,Status_Log!$B:$B,$B291,Status_Log!$C:$C,$C291,Status_Log!$D:$D,"Changed to the status of Calculated")-F291)*1440,0)))</f>
        <v/>
      </c>
      <c r="L291" s="4" t="str">
        <f aca="false">IF($A291="","",IFERROR(INDEX(Status_Log!$F:$F,MATCH($A291&amp;"|"&amp;$B291&amp;"|"&amp;$C291&amp;"|Changed to the status of Calculated|"&amp;TEXT(_xlfn.MAXIFS(Status_Log!$E:$E,Status_Log!$A:$A,$A291,Status_Log!$B:$B,$B291,Status_Log!$C:$C,$C291,Status_Log!$D:$D,"Changed to the status of Calculated"),"0.000000"),Status_Log!$H:$H,0)),""))</f>
        <v/>
      </c>
      <c r="M291" s="4" t="str">
        <f aca="false">IF($A291="","",IF(E291="Client","n/a — no control step",IFERROR(INDEX(Status_Log!$F:$F,MATCH($A291&amp;"|"&amp;$B291&amp;"|"&amp;$C291&amp;"|Changed to the status of Controlled|"&amp;TEXT(_xlfn.MAXIFS(Status_Log!$E:$E,Status_Log!$A:$A,$A291,Status_Log!$B:$B,$B291,Status_Log!$C:$C,$C291,Status_Log!$D:$D,"Changed to the status of Controlled"),"0.000000"),Status_Log!$H:$H,0)),"")))</f>
        <v/>
      </c>
      <c r="N291" s="4" t="str">
        <f aca="false">IF($A291="","",IFERROR(VLOOKUP($C291,Dim_Fund!$A:$G,7,0),""))</f>
        <v/>
      </c>
      <c r="O291" s="4" t="str">
        <f aca="false">IF($A291="","",IF(L291=N291,"No","Yes"))</f>
        <v/>
      </c>
      <c r="P291" s="4" t="str">
        <f aca="false">IF($A291="","",IF(E291="Client","n/a",IF(L291=M291,"YES — four-eyes breach","No")))</f>
        <v/>
      </c>
      <c r="Q291" s="38" t="str">
        <f aca="false">IF($A291="","",IFERROR(VLOOKUP($C291,Dim_Fund!$A:$AB,28,0),""))</f>
        <v/>
      </c>
      <c r="R291" s="38" t="str">
        <f aca="false">IF($A291="","",IFERROR(VLOOKUP($C291,Dim_Fund!$A:$AC,29,0),""))</f>
        <v/>
      </c>
      <c r="S291" s="38" t="str">
        <f aca="false">IF($A291="","",IFERROR(VLOOKUP($C291,Dim_Fund!$A:$AD,30,0),""))</f>
        <v/>
      </c>
      <c r="T291" s="38" t="str">
        <f aca="false">IF($A291="","",IFERROR(VLOOKUP($C291,Dim_Fund!$A:$AL,38,0),""))</f>
        <v/>
      </c>
      <c r="U291" s="37" t="str">
        <f aca="false">IF($A291="","",IF(AL291="","",IFERROR(IF(COUNTIFS(Fact_Milestone!$A:$A,$B291,Fact_Milestone!$B:$B,AL291)=0,"",_xlfn.MAXIFS(Fact_Milestone!$C:$C,Fact_Milestone!$A:$A,$B291,Fact_Milestone!$B:$B,AL291)),"")))</f>
        <v/>
      </c>
      <c r="V291" s="37" t="str">
        <f aca="false">IF($A291="","",IFERROR(IF(VLOOKUP($C291,Dim_Fund!$A:$AI,35,0)&gt;0,$B291+VLOOKUP($C291,Dim_Fund!$A:$AI,35,0)/24,""),""))</f>
        <v/>
      </c>
      <c r="W291" s="37" t="str">
        <f aca="false">IF($A291="","",F291)</f>
        <v/>
      </c>
      <c r="X291" s="37" t="str">
        <f aca="false">IF($A291="","",IF(E291="Client",H291,G291))</f>
        <v/>
      </c>
      <c r="Y291" s="37" t="str">
        <f aca="false">IF($A291="","",I291)</f>
        <v/>
      </c>
      <c r="Z291" s="37" t="str">
        <f aca="false">IF($A291="","",IFERROR(W291-R291/1440,""))</f>
        <v/>
      </c>
      <c r="AA291" s="38" t="str">
        <f aca="false">IF($A291="","",IF(OR(U291="",V291=""),"",ROUND((V291-U291)*1440,0)))</f>
        <v/>
      </c>
      <c r="AB291" s="38" t="str">
        <f aca="false">IF($A291="","",IF(U291="","",ROUND((W291-U291)*1440,0)))</f>
        <v/>
      </c>
      <c r="AC291" s="38" t="str">
        <f aca="false">IF($A291="","",IF(AB291="","",MAX(0,AB291)))</f>
        <v/>
      </c>
      <c r="AD291" s="38" t="str">
        <f aca="false">IF($A291="","",IFERROR(ROUND((X291-W291)*1440,0),""))</f>
        <v/>
      </c>
      <c r="AE291" s="38" t="str">
        <f aca="false">IF($A291="","",IF(E291="Client","n/a",IFERROR(ROUND((H291-G291)*1440,0),"")))</f>
        <v/>
      </c>
      <c r="AF291" s="38" t="str">
        <f aca="false">IF($A291="","",IFERROR(ROUND((Y291-H291)*1440,0),""))</f>
        <v/>
      </c>
      <c r="AG291" s="38" t="str">
        <f aca="false">IF($A291="","",IFERROR(ROUND((H291-F291)*1440,0),""))</f>
        <v/>
      </c>
      <c r="AH291" s="38" t="str">
        <f aca="false">IF($A291="","",IFERROR(ROUND((Y291-V291)*1440,0),""))</f>
        <v/>
      </c>
      <c r="AI291" s="4" t="str">
        <f aca="false">IF($A291="","",IF(AH291="","",IF(AH291&gt;0,"Yes","No")))</f>
        <v/>
      </c>
      <c r="AJ291" s="4" t="str">
        <f aca="false">IF($A291="","",IF(AI291&lt;&gt;"Yes","On time",IF(N(AC291)&gt;=MAX(N(AF291),N(K291)),"Wait for analyst",IF(N(AF291)&gt;=N(K291),"External sign-off","Rework"))))</f>
        <v/>
      </c>
      <c r="AK291" s="4" t="str">
        <f aca="false">IF($A291="","",IF(OR(F291="",Y291="",ISNA(MATCH(L291,Dim_Analyst!$A:$A,0))),"CHECK","OK"))</f>
        <v/>
      </c>
      <c r="AL291" s="4" t="str">
        <f aca="false">IF($A291="","",IFERROR(VLOOKUP($C291,Dim_Fund!$A:$U,21,0),""))</f>
        <v/>
      </c>
      <c r="AM291" s="4" t="str">
        <f aca="false">IF($A291="","",IF($U291="","",IF($U291&gt;$B291+IFERROR(VLOOKUP($C291,Dim_Fund!$A:$AH,34,0),0)/24,"Yes","No")))</f>
        <v/>
      </c>
      <c r="AN291" s="22" t="str">
        <f aca="false">IF($A291="","",IFERROR(VLOOKUP($C291,Dim_Fund!$A:$AH,34,0),""))</f>
        <v/>
      </c>
      <c r="AO291" s="22" t="str">
        <f aca="false">IF($A291="","",IF($AL291="","",IFERROR(FLOOR(IF(COUNTIFS(Fact_Milestone!$A:$A,$B291,Fact_Milestone!$B:$B,$AL291,Fact_Milestone!$F:$F,"&gt;0")&gt;0,_xlfn.MINIFS(Fact_Milestone!$F:$F,Fact_Milestone!$A:$A,$B291,Fact_Milestone!$B:$B,$AL291,Fact_Milestone!$F:$F,"&gt;0"),VLOOKUP($AL291,Dim_TOP!$A:$E,5,0)),0.5),"")))</f>
        <v/>
      </c>
      <c r="AP291" s="22" t="str">
        <f aca="false">IF($A291="","",IF($U291="","",ROUND(($U291-INT($U291))*24,4)))</f>
        <v/>
      </c>
      <c r="AQ291" s="22" t="str">
        <f aca="false">IF($A291="","",IF($W291="","",ROUND(($W291-INT($W291))*24,4)))</f>
        <v/>
      </c>
      <c r="AR291" s="22" t="str">
        <f aca="false">IF($A291="","",IF($X291="","",ROUND(($X291-INT($X291))*24,4)))</f>
        <v/>
      </c>
      <c r="AS291" s="38" t="str">
        <f aca="false">IF($A291="","",IF(OR($AN291="",$V291="",$S291="",$T291=""),"",ROUND(($V291-($B291+$AN291/24))*1440-$S291-$T291,0)))</f>
        <v/>
      </c>
      <c r="AT291" s="38" t="str">
        <f aca="false">IF($A291="","",IF(OR($AN291="",$U291=""),"",ROUND(($U291-($B291+$AN291/24))*1440,0)))</f>
        <v/>
      </c>
      <c r="AU291" s="38" t="str">
        <f aca="false">IF($A291="","",IF(OR($AD291="",$S291=""),"",ROUND($AD291-$S291,0)))</f>
        <v/>
      </c>
      <c r="AV291" s="38" t="str">
        <f aca="false">IF($A291="","",N($AE291))</f>
        <v/>
      </c>
      <c r="AW291" s="38" t="str">
        <f aca="false">IF($A291="","",IF(OR($AF291="",$T291=""),"",$AF291-$T291))</f>
        <v/>
      </c>
      <c r="AX291" s="38" t="str">
        <f aca="false">IF($A291="","",IF(COUNT($AT291,$AB291,$AU291,$AW291,$AS291,$AH291)&lt;6,"",ROUND($AT291+$AB291+$AU291+$AV291+$AW291-$AS291-$AH291,0)))</f>
        <v/>
      </c>
      <c r="AY291" s="4" t="str">
        <f aca="false">IF($A291="","",IF($AX291="","No",IF(ABS($AX291)&lt;=2,"Yes","No")))</f>
        <v/>
      </c>
      <c r="AZ291" s="4" t="str">
        <f aca="false">IF($A291="","",IF($AI291&lt;&gt;"Yes","n/a",IF(OR($AA291="",$S291="",$T291=""),"Unknown",IF($AA291&lt;$S291+$T291,"Lost on arrival","Lost after arrival"))))</f>
        <v/>
      </c>
      <c r="BA291" s="10" t="str">
        <f aca="false">IF($A291="","",IFERROR(VLOOKUP($C291,Dim_Fund!$A:$D,4,0),""))</f>
        <v/>
      </c>
      <c r="BB291" s="10" t="str">
        <f aca="false">IF($A291="","",IF($AL291="","",IF(COUNTIFS(Fact_Milestone!$A:$A,$B291,Fact_Milestone!$B:$B,$AL291,Fact_Milestone!$I:$I,"No")&gt;0,"No",IF(COUNTIFS(Fact_Milestone!$A:$A,$B291,Fact_Milestone!$B:$B,$AL291,Fact_Milestone!$I:$I,"Yes")&gt;0,"Yes",""))))</f>
        <v/>
      </c>
      <c r="BC291" s="45" t="str">
        <f aca="false">IF($A291="","",IF(OR($L291="",$W291=""),"",IF(COUNTIFS($L:$L,$L291,$B:$B,$B291,$W:$W,"&lt;"&amp;$W291)=0,"",_xlfn.MAXIFS($W:$W,$L:$L,$L291,$B:$B,$B291,$W:$W,"&lt;"&amp;$W291))))</f>
        <v/>
      </c>
      <c r="BD291" s="39" t="str">
        <f aca="false">IF($A291="","",IF($AC291="","",IF(OR($L291="",$AC291=0),0,MIN($AC291,ROUND(ROUND(1440*SUMPRODUCT(($L$2:INDEX($L:$L,COUNTA($C:$C))=$L291)*($B$2:INDEX($B:$B,COUNTA($C:$C))=$B291)*(ROW($L$2:INDEX($L:$L,COUNTA($C:$C)))&lt;&gt;ROW())*((((($W291+$BT$2:INDEX($BT:$BT,COUNTA($C:$C))-ABS($W291-$BT$2:INDEX($BT:$BT,COUNTA($C:$C))))/2)-(($U291+$BS$2:INDEX($BS:$BS,COUNTA($C:$C))+ABS($U291-$BS$2:INDEX($BS:$BS,COUNTA($C:$C))))/2))+ABS(((($W291+$BT$2:INDEX($BT:$BT,COUNTA($C:$C))-ABS($W291-$BT$2:INDEX($BT:$BT,COUNTA($C:$C))))/2)-(($U291+$BS$2:INDEX($BS:$BS,COUNTA($C:$C))+ABS($U291-$BS$2:INDEX($BS:$BS,COUNTA($C:$C))))/2))))/2)),4),0)))))</f>
        <v/>
      </c>
      <c r="BE291" s="39" t="str">
        <f aca="false">IF($A291="","",IF($AC291="","",ROUND(MIN($AC291-$BD291,N($R291)),0)))</f>
        <v/>
      </c>
      <c r="BF291" s="10" t="str">
        <f aca="false">IF($A291="","",IFERROR(VLOOKUP($C291,Dim_Fund!$A:$BD,56,0),""))</f>
        <v/>
      </c>
      <c r="BG291" s="10" t="str">
        <f aca="false">IF($A291="","",IFERROR(VLOOKUP($C291,Dim_Fund!$A:$BH,60,0),""))</f>
        <v/>
      </c>
      <c r="BH291" s="10" t="str">
        <f aca="false">IF($A291="","",IF($AI291&lt;&gt;"Yes","Not breached",IF($AM291="Yes","Pricing late",IF($BG291="Thin custody slack","Thin custody slack",IF($BF291="Yes","Broker-dependent","None of these")))))</f>
        <v/>
      </c>
      <c r="BI291" s="23" t="str">
        <f aca="false">IF($A291="","",IFERROR(IF(VLOOKUP($C291,Dim_Fund!$A:$AI,35,0)&gt;0,VLOOKUP($C291,Dim_Fund!$A:$AI,35,0),""),""))</f>
        <v/>
      </c>
      <c r="BJ291" s="10" t="str">
        <f aca="false">IF($A291="","",$C291&amp;IF($E291="Client","*",""))</f>
        <v/>
      </c>
      <c r="BK291" s="39" t="str">
        <f aca="false">IF($A291="","",IFERROR(ROUND(($Y291-$X291)*1440,0),""))</f>
        <v/>
      </c>
      <c r="BL291" s="39" t="str">
        <f aca="false">IF($A291="","",IF($AH291="","",-$AH291))</f>
        <v/>
      </c>
      <c r="BM291" s="46" t="str">
        <f aca="false">IF($A291="","",IF($AQ291="","",IF($AP291="",$AQ291,MIN($AP291,$AQ291))))</f>
        <v/>
      </c>
      <c r="BN291" s="46" t="str">
        <f aca="false">IF($A291="","",IF($BM291="","",ROUND(N($AC291)/60,4)))</f>
        <v/>
      </c>
      <c r="BO291" s="46" t="str">
        <f aca="false">IF($A291="","",IF(OR($BM291="",$AD291=""),"",ROUND($AD291/60,4)))</f>
        <v/>
      </c>
      <c r="BP291" s="46" t="str">
        <f aca="false">IF($A291="","",IF($BM291="","",ROUND(N($AE291)/60,4)))</f>
        <v/>
      </c>
      <c r="BQ291" s="46" t="str">
        <f aca="false">IF($A291="","",IF(OR($BM291="",$AF291=""),"",ROUND($AF291/60,4)))</f>
        <v/>
      </c>
      <c r="BR291" s="39" t="str">
        <f aca="false">IF($A291="","",IF($AC291="","",$AC291-$BD291-$BE291))</f>
        <v/>
      </c>
      <c r="BS291" s="45" t="str">
        <f aca="false">IF($A291="","",IF(AND(ISNUMBER($Z291),ISNUMBER($W291)),$Z291,0))</f>
        <v/>
      </c>
      <c r="BT291" s="45" t="str">
        <f aca="false">IF($A291="","",IF(ISNUMBER($W291),$W291,0))</f>
        <v/>
      </c>
      <c r="BU291" s="23" t="str">
        <f aca="false">IF($A291="","",IF(ISNUMBER($W291),ROUND(($W291-$B291)*24,4),""))</f>
        <v/>
      </c>
      <c r="BV291" s="23" t="str">
        <f aca="false">IF($A291="","",IF(ISNUMBER($X291),ROUND(($X291-$B291)*24,4),""))</f>
        <v/>
      </c>
      <c r="BW291" s="10" t="str">
        <f aca="false">IF($A291="","",IF(NOT(ISNUMBER($W291)),"Missing Calculated",IF(NOT(ISNUMBER($X291)),IF($E291="Client","Missing FA signed off","Missing Controlled"),IF($X291&lt;$W291,"End before start","OK"))))</f>
        <v/>
      </c>
      <c r="BX291" s="23" t="str">
        <f aca="false">IF($A291="","",IF(NOT(ISNUMBER($Z291)),"",ROUND((IF(ISNUMBER($U291),MIN($U291,$Z291),$Z291)-$B291)*24,4)))</f>
        <v/>
      </c>
      <c r="BY291" s="23" t="str">
        <f aca="false">IF($A291="","",IF(ISNUMBER($Z291),ROUND(($Z291-$B291)*24,4),""))</f>
        <v/>
      </c>
      <c r="BZ291" s="23" t="str">
        <f aca="false">IF($A291="","",IF(AND(ISNUMBER($W291),ISNUMBER($S291)),ROUND(($W291+$S291/1440-$B291)*24,4),""))</f>
        <v/>
      </c>
    </row>
    <row r="292" customFormat="false" ht="15" hidden="false" customHeight="true" outlineLevel="0" collapsed="false">
      <c r="A292" s="47"/>
      <c r="B292" s="47"/>
      <c r="D292" s="4" t="str">
        <f aca="false">IF($A292="","",$B292-$A292)</f>
        <v/>
      </c>
      <c r="E292" s="4" t="str">
        <f aca="false">IF($A292="","",IFERROR(VLOOKUP($C292,Dim_Fund!$A:$X,24,0),""))</f>
        <v/>
      </c>
      <c r="F292" s="37" t="str">
        <f aca="false">IF($A292="","",IF(COUNTIFS(Status_Log!$A:$A,$A292,Status_Log!$B:$B,$B292,Status_Log!$C:$C,$C292,Status_Log!$D:$D,"Changed to the status of Calculated")=0,"",_xlfn.MINIFS(Status_Log!$E:$E,Status_Log!$A:$A,$A292,Status_Log!$B:$B,$B292,Status_Log!$C:$C,$C292,Status_Log!$D:$D,"Changed to the status of Calculated")))</f>
        <v/>
      </c>
      <c r="G292" s="37" t="str">
        <f aca="false">IF($A292="","",IF(COUNTIFS(Status_Log!$A:$A,$A292,Status_Log!$B:$B,$B292,Status_Log!$C:$C,$C292,Status_Log!$D:$D,"Changed to the status of Controlled")=0,"",_xlfn.MAXIFS(Status_Log!$E:$E,Status_Log!$A:$A,$A292,Status_Log!$B:$B,$B292,Status_Log!$C:$C,$C292,Status_Log!$D:$D,"Changed to the status of Controlled")))</f>
        <v/>
      </c>
      <c r="H292" s="37" t="str">
        <f aca="false">IF($A292="","",IF(COUNTIFS(Status_Log!$A:$A,$A292,Status_Log!$B:$B,$B292,Status_Log!$C:$C,$C292,Status_Log!$D:$D,"Changed to the status of Fund accounting signed off")=0,"",_xlfn.MAXIFS(Status_Log!$E:$E,Status_Log!$A:$A,$A292,Status_Log!$B:$B,$B292,Status_Log!$C:$C,$C292,Status_Log!$D:$D,"Changed to the status of Fund accounting signed off")))</f>
        <v/>
      </c>
      <c r="I292" s="37" t="str">
        <f aca="false">IF($A292="","",IF(COUNTIFS(Status_Log!$A:$A,$A292,Status_Log!$B:$B,$B292,Status_Log!$C:$C,$C292,Status_Log!$D:$D,"Changed to the status of signed off")=0,"",_xlfn.MAXIFS(Status_Log!$E:$E,Status_Log!$A:$A,$A292,Status_Log!$B:$B,$B292,Status_Log!$C:$C,$C292,Status_Log!$D:$D,"Changed to the status of signed off")))</f>
        <v/>
      </c>
      <c r="J292" s="4" t="str">
        <f aca="false">IF($A292="","",COUNTIFS(Status_Log!$A:$A,$A292,Status_Log!$B:$B,$B292,Status_Log!$C:$C,$C292,Status_Log!$D:$D,"Changed to the status of Calculated"))</f>
        <v/>
      </c>
      <c r="K292" s="38" t="str">
        <f aca="false">IF($A292="","",IF(J292&lt;=1,0,ROUND((_xlfn.MAXIFS(Status_Log!$E:$E,Status_Log!$A:$A,$A292,Status_Log!$B:$B,$B292,Status_Log!$C:$C,$C292,Status_Log!$D:$D,"Changed to the status of Calculated")-F292)*1440,0)))</f>
        <v/>
      </c>
      <c r="L292" s="4" t="str">
        <f aca="false">IF($A292="","",IFERROR(INDEX(Status_Log!$F:$F,MATCH($A292&amp;"|"&amp;$B292&amp;"|"&amp;$C292&amp;"|Changed to the status of Calculated|"&amp;TEXT(_xlfn.MAXIFS(Status_Log!$E:$E,Status_Log!$A:$A,$A292,Status_Log!$B:$B,$B292,Status_Log!$C:$C,$C292,Status_Log!$D:$D,"Changed to the status of Calculated"),"0.000000"),Status_Log!$H:$H,0)),""))</f>
        <v/>
      </c>
      <c r="M292" s="4" t="str">
        <f aca="false">IF($A292="","",IF(E292="Client","n/a — no control step",IFERROR(INDEX(Status_Log!$F:$F,MATCH($A292&amp;"|"&amp;$B292&amp;"|"&amp;$C292&amp;"|Changed to the status of Controlled|"&amp;TEXT(_xlfn.MAXIFS(Status_Log!$E:$E,Status_Log!$A:$A,$A292,Status_Log!$B:$B,$B292,Status_Log!$C:$C,$C292,Status_Log!$D:$D,"Changed to the status of Controlled"),"0.000000"),Status_Log!$H:$H,0)),"")))</f>
        <v/>
      </c>
      <c r="N292" s="4" t="str">
        <f aca="false">IF($A292="","",IFERROR(VLOOKUP($C292,Dim_Fund!$A:$G,7,0),""))</f>
        <v/>
      </c>
      <c r="O292" s="4" t="str">
        <f aca="false">IF($A292="","",IF(L292=N292,"No","Yes"))</f>
        <v/>
      </c>
      <c r="P292" s="4" t="str">
        <f aca="false">IF($A292="","",IF(E292="Client","n/a",IF(L292=M292,"YES — four-eyes breach","No")))</f>
        <v/>
      </c>
      <c r="Q292" s="38" t="str">
        <f aca="false">IF($A292="","",IFERROR(VLOOKUP($C292,Dim_Fund!$A:$AB,28,0),""))</f>
        <v/>
      </c>
      <c r="R292" s="38" t="str">
        <f aca="false">IF($A292="","",IFERROR(VLOOKUP($C292,Dim_Fund!$A:$AC,29,0),""))</f>
        <v/>
      </c>
      <c r="S292" s="38" t="str">
        <f aca="false">IF($A292="","",IFERROR(VLOOKUP($C292,Dim_Fund!$A:$AD,30,0),""))</f>
        <v/>
      </c>
      <c r="T292" s="38" t="str">
        <f aca="false">IF($A292="","",IFERROR(VLOOKUP($C292,Dim_Fund!$A:$AL,38,0),""))</f>
        <v/>
      </c>
      <c r="U292" s="37" t="str">
        <f aca="false">IF($A292="","",IF(AL292="","",IFERROR(IF(COUNTIFS(Fact_Milestone!$A:$A,$B292,Fact_Milestone!$B:$B,AL292)=0,"",_xlfn.MAXIFS(Fact_Milestone!$C:$C,Fact_Milestone!$A:$A,$B292,Fact_Milestone!$B:$B,AL292)),"")))</f>
        <v/>
      </c>
      <c r="V292" s="37" t="str">
        <f aca="false">IF($A292="","",IFERROR(IF(VLOOKUP($C292,Dim_Fund!$A:$AI,35,0)&gt;0,$B292+VLOOKUP($C292,Dim_Fund!$A:$AI,35,0)/24,""),""))</f>
        <v/>
      </c>
      <c r="W292" s="37" t="str">
        <f aca="false">IF($A292="","",F292)</f>
        <v/>
      </c>
      <c r="X292" s="37" t="str">
        <f aca="false">IF($A292="","",IF(E292="Client",H292,G292))</f>
        <v/>
      </c>
      <c r="Y292" s="37" t="str">
        <f aca="false">IF($A292="","",I292)</f>
        <v/>
      </c>
      <c r="Z292" s="37" t="str">
        <f aca="false">IF($A292="","",IFERROR(W292-R292/1440,""))</f>
        <v/>
      </c>
      <c r="AA292" s="38" t="str">
        <f aca="false">IF($A292="","",IF(OR(U292="",V292=""),"",ROUND((V292-U292)*1440,0)))</f>
        <v/>
      </c>
      <c r="AB292" s="38" t="str">
        <f aca="false">IF($A292="","",IF(U292="","",ROUND((W292-U292)*1440,0)))</f>
        <v/>
      </c>
      <c r="AC292" s="38" t="str">
        <f aca="false">IF($A292="","",IF(AB292="","",MAX(0,AB292)))</f>
        <v/>
      </c>
      <c r="AD292" s="38" t="str">
        <f aca="false">IF($A292="","",IFERROR(ROUND((X292-W292)*1440,0),""))</f>
        <v/>
      </c>
      <c r="AE292" s="38" t="str">
        <f aca="false">IF($A292="","",IF(E292="Client","n/a",IFERROR(ROUND((H292-G292)*1440,0),"")))</f>
        <v/>
      </c>
      <c r="AF292" s="38" t="str">
        <f aca="false">IF($A292="","",IFERROR(ROUND((Y292-H292)*1440,0),""))</f>
        <v/>
      </c>
      <c r="AG292" s="38" t="str">
        <f aca="false">IF($A292="","",IFERROR(ROUND((H292-F292)*1440,0),""))</f>
        <v/>
      </c>
      <c r="AH292" s="38" t="str">
        <f aca="false">IF($A292="","",IFERROR(ROUND((Y292-V292)*1440,0),""))</f>
        <v/>
      </c>
      <c r="AI292" s="4" t="str">
        <f aca="false">IF($A292="","",IF(AH292="","",IF(AH292&gt;0,"Yes","No")))</f>
        <v/>
      </c>
      <c r="AJ292" s="4" t="str">
        <f aca="false">IF($A292="","",IF(AI292&lt;&gt;"Yes","On time",IF(N(AC292)&gt;=MAX(N(AF292),N(K292)),"Wait for analyst",IF(N(AF292)&gt;=N(K292),"External sign-off","Rework"))))</f>
        <v/>
      </c>
      <c r="AK292" s="4" t="str">
        <f aca="false">IF($A292="","",IF(OR(F292="",Y292="",ISNA(MATCH(L292,Dim_Analyst!$A:$A,0))),"CHECK","OK"))</f>
        <v/>
      </c>
      <c r="AL292" s="4" t="str">
        <f aca="false">IF($A292="","",IFERROR(VLOOKUP($C292,Dim_Fund!$A:$U,21,0),""))</f>
        <v/>
      </c>
      <c r="AM292" s="4" t="str">
        <f aca="false">IF($A292="","",IF($U292="","",IF($U292&gt;$B292+IFERROR(VLOOKUP($C292,Dim_Fund!$A:$AH,34,0),0)/24,"Yes","No")))</f>
        <v/>
      </c>
      <c r="AN292" s="22" t="str">
        <f aca="false">IF($A292="","",IFERROR(VLOOKUP($C292,Dim_Fund!$A:$AH,34,0),""))</f>
        <v/>
      </c>
      <c r="AO292" s="22" t="str">
        <f aca="false">IF($A292="","",IF($AL292="","",IFERROR(FLOOR(IF(COUNTIFS(Fact_Milestone!$A:$A,$B292,Fact_Milestone!$B:$B,$AL292,Fact_Milestone!$F:$F,"&gt;0")&gt;0,_xlfn.MINIFS(Fact_Milestone!$F:$F,Fact_Milestone!$A:$A,$B292,Fact_Milestone!$B:$B,$AL292,Fact_Milestone!$F:$F,"&gt;0"),VLOOKUP($AL292,Dim_TOP!$A:$E,5,0)),0.5),"")))</f>
        <v/>
      </c>
      <c r="AP292" s="22" t="str">
        <f aca="false">IF($A292="","",IF($U292="","",ROUND(($U292-INT($U292))*24,4)))</f>
        <v/>
      </c>
      <c r="AQ292" s="22" t="str">
        <f aca="false">IF($A292="","",IF($W292="","",ROUND(($W292-INT($W292))*24,4)))</f>
        <v/>
      </c>
      <c r="AR292" s="22" t="str">
        <f aca="false">IF($A292="","",IF($X292="","",ROUND(($X292-INT($X292))*24,4)))</f>
        <v/>
      </c>
      <c r="AS292" s="38" t="str">
        <f aca="false">IF($A292="","",IF(OR($AN292="",$V292="",$S292="",$T292=""),"",ROUND(($V292-($B292+$AN292/24))*1440-$S292-$T292,0)))</f>
        <v/>
      </c>
      <c r="AT292" s="38" t="str">
        <f aca="false">IF($A292="","",IF(OR($AN292="",$U292=""),"",ROUND(($U292-($B292+$AN292/24))*1440,0)))</f>
        <v/>
      </c>
      <c r="AU292" s="38" t="str">
        <f aca="false">IF($A292="","",IF(OR($AD292="",$S292=""),"",ROUND($AD292-$S292,0)))</f>
        <v/>
      </c>
      <c r="AV292" s="38" t="str">
        <f aca="false">IF($A292="","",N($AE292))</f>
        <v/>
      </c>
      <c r="AW292" s="38" t="str">
        <f aca="false">IF($A292="","",IF(OR($AF292="",$T292=""),"",$AF292-$T292))</f>
        <v/>
      </c>
      <c r="AX292" s="38" t="str">
        <f aca="false">IF($A292="","",IF(COUNT($AT292,$AB292,$AU292,$AW292,$AS292,$AH292)&lt;6,"",ROUND($AT292+$AB292+$AU292+$AV292+$AW292-$AS292-$AH292,0)))</f>
        <v/>
      </c>
      <c r="AY292" s="4" t="str">
        <f aca="false">IF($A292="","",IF($AX292="","No",IF(ABS($AX292)&lt;=2,"Yes","No")))</f>
        <v/>
      </c>
      <c r="AZ292" s="4" t="str">
        <f aca="false">IF($A292="","",IF($AI292&lt;&gt;"Yes","n/a",IF(OR($AA292="",$S292="",$T292=""),"Unknown",IF($AA292&lt;$S292+$T292,"Lost on arrival","Lost after arrival"))))</f>
        <v/>
      </c>
      <c r="BA292" s="10" t="str">
        <f aca="false">IF($A292="","",IFERROR(VLOOKUP($C292,Dim_Fund!$A:$D,4,0),""))</f>
        <v/>
      </c>
      <c r="BB292" s="10" t="str">
        <f aca="false">IF($A292="","",IF($AL292="","",IF(COUNTIFS(Fact_Milestone!$A:$A,$B292,Fact_Milestone!$B:$B,$AL292,Fact_Milestone!$I:$I,"No")&gt;0,"No",IF(COUNTIFS(Fact_Milestone!$A:$A,$B292,Fact_Milestone!$B:$B,$AL292,Fact_Milestone!$I:$I,"Yes")&gt;0,"Yes",""))))</f>
        <v/>
      </c>
      <c r="BC292" s="45" t="str">
        <f aca="false">IF($A292="","",IF(OR($L292="",$W292=""),"",IF(COUNTIFS($L:$L,$L292,$B:$B,$B292,$W:$W,"&lt;"&amp;$W292)=0,"",_xlfn.MAXIFS($W:$W,$L:$L,$L292,$B:$B,$B292,$W:$W,"&lt;"&amp;$W292))))</f>
        <v/>
      </c>
      <c r="BD292" s="39" t="str">
        <f aca="false">IF($A292="","",IF($AC292="","",IF(OR($L292="",$AC292=0),0,MIN($AC292,ROUND(ROUND(1440*SUMPRODUCT(($L$2:INDEX($L:$L,COUNTA($C:$C))=$L292)*($B$2:INDEX($B:$B,COUNTA($C:$C))=$B292)*(ROW($L$2:INDEX($L:$L,COUNTA($C:$C)))&lt;&gt;ROW())*((((($W292+$BT$2:INDEX($BT:$BT,COUNTA($C:$C))-ABS($W292-$BT$2:INDEX($BT:$BT,COUNTA($C:$C))))/2)-(($U292+$BS$2:INDEX($BS:$BS,COUNTA($C:$C))+ABS($U292-$BS$2:INDEX($BS:$BS,COUNTA($C:$C))))/2))+ABS(((($W292+$BT$2:INDEX($BT:$BT,COUNTA($C:$C))-ABS($W292-$BT$2:INDEX($BT:$BT,COUNTA($C:$C))))/2)-(($U292+$BS$2:INDEX($BS:$BS,COUNTA($C:$C))+ABS($U292-$BS$2:INDEX($BS:$BS,COUNTA($C:$C))))/2))))/2)),4),0)))))</f>
        <v/>
      </c>
      <c r="BE292" s="39" t="str">
        <f aca="false">IF($A292="","",IF($AC292="","",ROUND(MIN($AC292-$BD292,N($R292)),0)))</f>
        <v/>
      </c>
      <c r="BF292" s="10" t="str">
        <f aca="false">IF($A292="","",IFERROR(VLOOKUP($C292,Dim_Fund!$A:$BD,56,0),""))</f>
        <v/>
      </c>
      <c r="BG292" s="10" t="str">
        <f aca="false">IF($A292="","",IFERROR(VLOOKUP($C292,Dim_Fund!$A:$BH,60,0),""))</f>
        <v/>
      </c>
      <c r="BH292" s="10" t="str">
        <f aca="false">IF($A292="","",IF($AI292&lt;&gt;"Yes","Not breached",IF($AM292="Yes","Pricing late",IF($BG292="Thin custody slack","Thin custody slack",IF($BF292="Yes","Broker-dependent","None of these")))))</f>
        <v/>
      </c>
      <c r="BI292" s="23" t="str">
        <f aca="false">IF($A292="","",IFERROR(IF(VLOOKUP($C292,Dim_Fund!$A:$AI,35,0)&gt;0,VLOOKUP($C292,Dim_Fund!$A:$AI,35,0),""),""))</f>
        <v/>
      </c>
      <c r="BJ292" s="10" t="str">
        <f aca="false">IF($A292="","",$C292&amp;IF($E292="Client","*",""))</f>
        <v/>
      </c>
      <c r="BK292" s="39" t="str">
        <f aca="false">IF($A292="","",IFERROR(ROUND(($Y292-$X292)*1440,0),""))</f>
        <v/>
      </c>
      <c r="BL292" s="39" t="str">
        <f aca="false">IF($A292="","",IF($AH292="","",-$AH292))</f>
        <v/>
      </c>
      <c r="BM292" s="46" t="str">
        <f aca="false">IF($A292="","",IF($AQ292="","",IF($AP292="",$AQ292,MIN($AP292,$AQ292))))</f>
        <v/>
      </c>
      <c r="BN292" s="46" t="str">
        <f aca="false">IF($A292="","",IF($BM292="","",ROUND(N($AC292)/60,4)))</f>
        <v/>
      </c>
      <c r="BO292" s="46" t="str">
        <f aca="false">IF($A292="","",IF(OR($BM292="",$AD292=""),"",ROUND($AD292/60,4)))</f>
        <v/>
      </c>
      <c r="BP292" s="46" t="str">
        <f aca="false">IF($A292="","",IF($BM292="","",ROUND(N($AE292)/60,4)))</f>
        <v/>
      </c>
      <c r="BQ292" s="46" t="str">
        <f aca="false">IF($A292="","",IF(OR($BM292="",$AF292=""),"",ROUND($AF292/60,4)))</f>
        <v/>
      </c>
      <c r="BR292" s="39" t="str">
        <f aca="false">IF($A292="","",IF($AC292="","",$AC292-$BD292-$BE292))</f>
        <v/>
      </c>
      <c r="BS292" s="45" t="str">
        <f aca="false">IF($A292="","",IF(AND(ISNUMBER($Z292),ISNUMBER($W292)),$Z292,0))</f>
        <v/>
      </c>
      <c r="BT292" s="45" t="str">
        <f aca="false">IF($A292="","",IF(ISNUMBER($W292),$W292,0))</f>
        <v/>
      </c>
      <c r="BU292" s="23" t="str">
        <f aca="false">IF($A292="","",IF(ISNUMBER($W292),ROUND(($W292-$B292)*24,4),""))</f>
        <v/>
      </c>
      <c r="BV292" s="23" t="str">
        <f aca="false">IF($A292="","",IF(ISNUMBER($X292),ROUND(($X292-$B292)*24,4),""))</f>
        <v/>
      </c>
      <c r="BW292" s="10" t="str">
        <f aca="false">IF($A292="","",IF(NOT(ISNUMBER($W292)),"Missing Calculated",IF(NOT(ISNUMBER($X292)),IF($E292="Client","Missing FA signed off","Missing Controlled"),IF($X292&lt;$W292,"End before start","OK"))))</f>
        <v/>
      </c>
      <c r="BX292" s="23" t="str">
        <f aca="false">IF($A292="","",IF(NOT(ISNUMBER($Z292)),"",ROUND((IF(ISNUMBER($U292),MIN($U292,$Z292),$Z292)-$B292)*24,4)))</f>
        <v/>
      </c>
      <c r="BY292" s="23" t="str">
        <f aca="false">IF($A292="","",IF(ISNUMBER($Z292),ROUND(($Z292-$B292)*24,4),""))</f>
        <v/>
      </c>
      <c r="BZ292" s="23" t="str">
        <f aca="false">IF($A292="","",IF(AND(ISNUMBER($W292),ISNUMBER($S292)),ROUND(($W292+$S292/1440-$B292)*24,4),""))</f>
        <v/>
      </c>
    </row>
    <row r="293" customFormat="false" ht="15" hidden="false" customHeight="true" outlineLevel="0" collapsed="false">
      <c r="A293" s="47"/>
      <c r="B293" s="47"/>
      <c r="D293" s="4" t="str">
        <f aca="false">IF($A293="","",$B293-$A293)</f>
        <v/>
      </c>
      <c r="E293" s="4" t="str">
        <f aca="false">IF($A293="","",IFERROR(VLOOKUP($C293,Dim_Fund!$A:$X,24,0),""))</f>
        <v/>
      </c>
      <c r="F293" s="37" t="str">
        <f aca="false">IF($A293="","",IF(COUNTIFS(Status_Log!$A:$A,$A293,Status_Log!$B:$B,$B293,Status_Log!$C:$C,$C293,Status_Log!$D:$D,"Changed to the status of Calculated")=0,"",_xlfn.MINIFS(Status_Log!$E:$E,Status_Log!$A:$A,$A293,Status_Log!$B:$B,$B293,Status_Log!$C:$C,$C293,Status_Log!$D:$D,"Changed to the status of Calculated")))</f>
        <v/>
      </c>
      <c r="G293" s="37" t="str">
        <f aca="false">IF($A293="","",IF(COUNTIFS(Status_Log!$A:$A,$A293,Status_Log!$B:$B,$B293,Status_Log!$C:$C,$C293,Status_Log!$D:$D,"Changed to the status of Controlled")=0,"",_xlfn.MAXIFS(Status_Log!$E:$E,Status_Log!$A:$A,$A293,Status_Log!$B:$B,$B293,Status_Log!$C:$C,$C293,Status_Log!$D:$D,"Changed to the status of Controlled")))</f>
        <v/>
      </c>
      <c r="H293" s="37" t="str">
        <f aca="false">IF($A293="","",IF(COUNTIFS(Status_Log!$A:$A,$A293,Status_Log!$B:$B,$B293,Status_Log!$C:$C,$C293,Status_Log!$D:$D,"Changed to the status of Fund accounting signed off")=0,"",_xlfn.MAXIFS(Status_Log!$E:$E,Status_Log!$A:$A,$A293,Status_Log!$B:$B,$B293,Status_Log!$C:$C,$C293,Status_Log!$D:$D,"Changed to the status of Fund accounting signed off")))</f>
        <v/>
      </c>
      <c r="I293" s="37" t="str">
        <f aca="false">IF($A293="","",IF(COUNTIFS(Status_Log!$A:$A,$A293,Status_Log!$B:$B,$B293,Status_Log!$C:$C,$C293,Status_Log!$D:$D,"Changed to the status of signed off")=0,"",_xlfn.MAXIFS(Status_Log!$E:$E,Status_Log!$A:$A,$A293,Status_Log!$B:$B,$B293,Status_Log!$C:$C,$C293,Status_Log!$D:$D,"Changed to the status of signed off")))</f>
        <v/>
      </c>
      <c r="J293" s="4" t="str">
        <f aca="false">IF($A293="","",COUNTIFS(Status_Log!$A:$A,$A293,Status_Log!$B:$B,$B293,Status_Log!$C:$C,$C293,Status_Log!$D:$D,"Changed to the status of Calculated"))</f>
        <v/>
      </c>
      <c r="K293" s="38" t="str">
        <f aca="false">IF($A293="","",IF(J293&lt;=1,0,ROUND((_xlfn.MAXIFS(Status_Log!$E:$E,Status_Log!$A:$A,$A293,Status_Log!$B:$B,$B293,Status_Log!$C:$C,$C293,Status_Log!$D:$D,"Changed to the status of Calculated")-F293)*1440,0)))</f>
        <v/>
      </c>
      <c r="L293" s="4" t="str">
        <f aca="false">IF($A293="","",IFERROR(INDEX(Status_Log!$F:$F,MATCH($A293&amp;"|"&amp;$B293&amp;"|"&amp;$C293&amp;"|Changed to the status of Calculated|"&amp;TEXT(_xlfn.MAXIFS(Status_Log!$E:$E,Status_Log!$A:$A,$A293,Status_Log!$B:$B,$B293,Status_Log!$C:$C,$C293,Status_Log!$D:$D,"Changed to the status of Calculated"),"0.000000"),Status_Log!$H:$H,0)),""))</f>
        <v/>
      </c>
      <c r="M293" s="4" t="str">
        <f aca="false">IF($A293="","",IF(E293="Client","n/a — no control step",IFERROR(INDEX(Status_Log!$F:$F,MATCH($A293&amp;"|"&amp;$B293&amp;"|"&amp;$C293&amp;"|Changed to the status of Controlled|"&amp;TEXT(_xlfn.MAXIFS(Status_Log!$E:$E,Status_Log!$A:$A,$A293,Status_Log!$B:$B,$B293,Status_Log!$C:$C,$C293,Status_Log!$D:$D,"Changed to the status of Controlled"),"0.000000"),Status_Log!$H:$H,0)),"")))</f>
        <v/>
      </c>
      <c r="N293" s="4" t="str">
        <f aca="false">IF($A293="","",IFERROR(VLOOKUP($C293,Dim_Fund!$A:$G,7,0),""))</f>
        <v/>
      </c>
      <c r="O293" s="4" t="str">
        <f aca="false">IF($A293="","",IF(L293=N293,"No","Yes"))</f>
        <v/>
      </c>
      <c r="P293" s="4" t="str">
        <f aca="false">IF($A293="","",IF(E293="Client","n/a",IF(L293=M293,"YES — four-eyes breach","No")))</f>
        <v/>
      </c>
      <c r="Q293" s="38" t="str">
        <f aca="false">IF($A293="","",IFERROR(VLOOKUP($C293,Dim_Fund!$A:$AB,28,0),""))</f>
        <v/>
      </c>
      <c r="R293" s="38" t="str">
        <f aca="false">IF($A293="","",IFERROR(VLOOKUP($C293,Dim_Fund!$A:$AC,29,0),""))</f>
        <v/>
      </c>
      <c r="S293" s="38" t="str">
        <f aca="false">IF($A293="","",IFERROR(VLOOKUP($C293,Dim_Fund!$A:$AD,30,0),""))</f>
        <v/>
      </c>
      <c r="T293" s="38" t="str">
        <f aca="false">IF($A293="","",IFERROR(VLOOKUP($C293,Dim_Fund!$A:$AL,38,0),""))</f>
        <v/>
      </c>
      <c r="U293" s="37" t="str">
        <f aca="false">IF($A293="","",IF(AL293="","",IFERROR(IF(COUNTIFS(Fact_Milestone!$A:$A,$B293,Fact_Milestone!$B:$B,AL293)=0,"",_xlfn.MAXIFS(Fact_Milestone!$C:$C,Fact_Milestone!$A:$A,$B293,Fact_Milestone!$B:$B,AL293)),"")))</f>
        <v/>
      </c>
      <c r="V293" s="37" t="str">
        <f aca="false">IF($A293="","",IFERROR(IF(VLOOKUP($C293,Dim_Fund!$A:$AI,35,0)&gt;0,$B293+VLOOKUP($C293,Dim_Fund!$A:$AI,35,0)/24,""),""))</f>
        <v/>
      </c>
      <c r="W293" s="37" t="str">
        <f aca="false">IF($A293="","",F293)</f>
        <v/>
      </c>
      <c r="X293" s="37" t="str">
        <f aca="false">IF($A293="","",IF(E293="Client",H293,G293))</f>
        <v/>
      </c>
      <c r="Y293" s="37" t="str">
        <f aca="false">IF($A293="","",I293)</f>
        <v/>
      </c>
      <c r="Z293" s="37" t="str">
        <f aca="false">IF($A293="","",IFERROR(W293-R293/1440,""))</f>
        <v/>
      </c>
      <c r="AA293" s="38" t="str">
        <f aca="false">IF($A293="","",IF(OR(U293="",V293=""),"",ROUND((V293-U293)*1440,0)))</f>
        <v/>
      </c>
      <c r="AB293" s="38" t="str">
        <f aca="false">IF($A293="","",IF(U293="","",ROUND((W293-U293)*1440,0)))</f>
        <v/>
      </c>
      <c r="AC293" s="38" t="str">
        <f aca="false">IF($A293="","",IF(AB293="","",MAX(0,AB293)))</f>
        <v/>
      </c>
      <c r="AD293" s="38" t="str">
        <f aca="false">IF($A293="","",IFERROR(ROUND((X293-W293)*1440,0),""))</f>
        <v/>
      </c>
      <c r="AE293" s="38" t="str">
        <f aca="false">IF($A293="","",IF(E293="Client","n/a",IFERROR(ROUND((H293-G293)*1440,0),"")))</f>
        <v/>
      </c>
      <c r="AF293" s="38" t="str">
        <f aca="false">IF($A293="","",IFERROR(ROUND((Y293-H293)*1440,0),""))</f>
        <v/>
      </c>
      <c r="AG293" s="38" t="str">
        <f aca="false">IF($A293="","",IFERROR(ROUND((H293-F293)*1440,0),""))</f>
        <v/>
      </c>
      <c r="AH293" s="38" t="str">
        <f aca="false">IF($A293="","",IFERROR(ROUND((Y293-V293)*1440,0),""))</f>
        <v/>
      </c>
      <c r="AI293" s="4" t="str">
        <f aca="false">IF($A293="","",IF(AH293="","",IF(AH293&gt;0,"Yes","No")))</f>
        <v/>
      </c>
      <c r="AJ293" s="4" t="str">
        <f aca="false">IF($A293="","",IF(AI293&lt;&gt;"Yes","On time",IF(N(AC293)&gt;=MAX(N(AF293),N(K293)),"Wait for analyst",IF(N(AF293)&gt;=N(K293),"External sign-off","Rework"))))</f>
        <v/>
      </c>
      <c r="AK293" s="4" t="str">
        <f aca="false">IF($A293="","",IF(OR(F293="",Y293="",ISNA(MATCH(L293,Dim_Analyst!$A:$A,0))),"CHECK","OK"))</f>
        <v/>
      </c>
      <c r="AL293" s="4" t="str">
        <f aca="false">IF($A293="","",IFERROR(VLOOKUP($C293,Dim_Fund!$A:$U,21,0),""))</f>
        <v/>
      </c>
      <c r="AM293" s="4" t="str">
        <f aca="false">IF($A293="","",IF($U293="","",IF($U293&gt;$B293+IFERROR(VLOOKUP($C293,Dim_Fund!$A:$AH,34,0),0)/24,"Yes","No")))</f>
        <v/>
      </c>
      <c r="AN293" s="22" t="str">
        <f aca="false">IF($A293="","",IFERROR(VLOOKUP($C293,Dim_Fund!$A:$AH,34,0),""))</f>
        <v/>
      </c>
      <c r="AO293" s="22" t="str">
        <f aca="false">IF($A293="","",IF($AL293="","",IFERROR(FLOOR(IF(COUNTIFS(Fact_Milestone!$A:$A,$B293,Fact_Milestone!$B:$B,$AL293,Fact_Milestone!$F:$F,"&gt;0")&gt;0,_xlfn.MINIFS(Fact_Milestone!$F:$F,Fact_Milestone!$A:$A,$B293,Fact_Milestone!$B:$B,$AL293,Fact_Milestone!$F:$F,"&gt;0"),VLOOKUP($AL293,Dim_TOP!$A:$E,5,0)),0.5),"")))</f>
        <v/>
      </c>
      <c r="AP293" s="22" t="str">
        <f aca="false">IF($A293="","",IF($U293="","",ROUND(($U293-INT($U293))*24,4)))</f>
        <v/>
      </c>
      <c r="AQ293" s="22" t="str">
        <f aca="false">IF($A293="","",IF($W293="","",ROUND(($W293-INT($W293))*24,4)))</f>
        <v/>
      </c>
      <c r="AR293" s="22" t="str">
        <f aca="false">IF($A293="","",IF($X293="","",ROUND(($X293-INT($X293))*24,4)))</f>
        <v/>
      </c>
      <c r="AS293" s="38" t="str">
        <f aca="false">IF($A293="","",IF(OR($AN293="",$V293="",$S293="",$T293=""),"",ROUND(($V293-($B293+$AN293/24))*1440-$S293-$T293,0)))</f>
        <v/>
      </c>
      <c r="AT293" s="38" t="str">
        <f aca="false">IF($A293="","",IF(OR($AN293="",$U293=""),"",ROUND(($U293-($B293+$AN293/24))*1440,0)))</f>
        <v/>
      </c>
      <c r="AU293" s="38" t="str">
        <f aca="false">IF($A293="","",IF(OR($AD293="",$S293=""),"",ROUND($AD293-$S293,0)))</f>
        <v/>
      </c>
      <c r="AV293" s="38" t="str">
        <f aca="false">IF($A293="","",N($AE293))</f>
        <v/>
      </c>
      <c r="AW293" s="38" t="str">
        <f aca="false">IF($A293="","",IF(OR($AF293="",$T293=""),"",$AF293-$T293))</f>
        <v/>
      </c>
      <c r="AX293" s="38" t="str">
        <f aca="false">IF($A293="","",IF(COUNT($AT293,$AB293,$AU293,$AW293,$AS293,$AH293)&lt;6,"",ROUND($AT293+$AB293+$AU293+$AV293+$AW293-$AS293-$AH293,0)))</f>
        <v/>
      </c>
      <c r="AY293" s="4" t="str">
        <f aca="false">IF($A293="","",IF($AX293="","No",IF(ABS($AX293)&lt;=2,"Yes","No")))</f>
        <v/>
      </c>
      <c r="AZ293" s="4" t="str">
        <f aca="false">IF($A293="","",IF($AI293&lt;&gt;"Yes","n/a",IF(OR($AA293="",$S293="",$T293=""),"Unknown",IF($AA293&lt;$S293+$T293,"Lost on arrival","Lost after arrival"))))</f>
        <v/>
      </c>
      <c r="BA293" s="10" t="str">
        <f aca="false">IF($A293="","",IFERROR(VLOOKUP($C293,Dim_Fund!$A:$D,4,0),""))</f>
        <v/>
      </c>
      <c r="BB293" s="10" t="str">
        <f aca="false">IF($A293="","",IF($AL293="","",IF(COUNTIFS(Fact_Milestone!$A:$A,$B293,Fact_Milestone!$B:$B,$AL293,Fact_Milestone!$I:$I,"No")&gt;0,"No",IF(COUNTIFS(Fact_Milestone!$A:$A,$B293,Fact_Milestone!$B:$B,$AL293,Fact_Milestone!$I:$I,"Yes")&gt;0,"Yes",""))))</f>
        <v/>
      </c>
      <c r="BC293" s="45" t="str">
        <f aca="false">IF($A293="","",IF(OR($L293="",$W293=""),"",IF(COUNTIFS($L:$L,$L293,$B:$B,$B293,$W:$W,"&lt;"&amp;$W293)=0,"",_xlfn.MAXIFS($W:$W,$L:$L,$L293,$B:$B,$B293,$W:$W,"&lt;"&amp;$W293))))</f>
        <v/>
      </c>
      <c r="BD293" s="39" t="str">
        <f aca="false">IF($A293="","",IF($AC293="","",IF(OR($L293="",$AC293=0),0,MIN($AC293,ROUND(ROUND(1440*SUMPRODUCT(($L$2:INDEX($L:$L,COUNTA($C:$C))=$L293)*($B$2:INDEX($B:$B,COUNTA($C:$C))=$B293)*(ROW($L$2:INDEX($L:$L,COUNTA($C:$C)))&lt;&gt;ROW())*((((($W293+$BT$2:INDEX($BT:$BT,COUNTA($C:$C))-ABS($W293-$BT$2:INDEX($BT:$BT,COUNTA($C:$C))))/2)-(($U293+$BS$2:INDEX($BS:$BS,COUNTA($C:$C))+ABS($U293-$BS$2:INDEX($BS:$BS,COUNTA($C:$C))))/2))+ABS(((($W293+$BT$2:INDEX($BT:$BT,COUNTA($C:$C))-ABS($W293-$BT$2:INDEX($BT:$BT,COUNTA($C:$C))))/2)-(($U293+$BS$2:INDEX($BS:$BS,COUNTA($C:$C))+ABS($U293-$BS$2:INDEX($BS:$BS,COUNTA($C:$C))))/2))))/2)),4),0)))))</f>
        <v/>
      </c>
      <c r="BE293" s="39" t="str">
        <f aca="false">IF($A293="","",IF($AC293="","",ROUND(MIN($AC293-$BD293,N($R293)),0)))</f>
        <v/>
      </c>
      <c r="BF293" s="10" t="str">
        <f aca="false">IF($A293="","",IFERROR(VLOOKUP($C293,Dim_Fund!$A:$BD,56,0),""))</f>
        <v/>
      </c>
      <c r="BG293" s="10" t="str">
        <f aca="false">IF($A293="","",IFERROR(VLOOKUP($C293,Dim_Fund!$A:$BH,60,0),""))</f>
        <v/>
      </c>
      <c r="BH293" s="10" t="str">
        <f aca="false">IF($A293="","",IF($AI293&lt;&gt;"Yes","Not breached",IF($AM293="Yes","Pricing late",IF($BG293="Thin custody slack","Thin custody slack",IF($BF293="Yes","Broker-dependent","None of these")))))</f>
        <v/>
      </c>
      <c r="BI293" s="23" t="str">
        <f aca="false">IF($A293="","",IFERROR(IF(VLOOKUP($C293,Dim_Fund!$A:$AI,35,0)&gt;0,VLOOKUP($C293,Dim_Fund!$A:$AI,35,0),""),""))</f>
        <v/>
      </c>
      <c r="BJ293" s="10" t="str">
        <f aca="false">IF($A293="","",$C293&amp;IF($E293="Client","*",""))</f>
        <v/>
      </c>
      <c r="BK293" s="39" t="str">
        <f aca="false">IF($A293="","",IFERROR(ROUND(($Y293-$X293)*1440,0),""))</f>
        <v/>
      </c>
      <c r="BL293" s="39" t="str">
        <f aca="false">IF($A293="","",IF($AH293="","",-$AH293))</f>
        <v/>
      </c>
      <c r="BM293" s="46" t="str">
        <f aca="false">IF($A293="","",IF($AQ293="","",IF($AP293="",$AQ293,MIN($AP293,$AQ293))))</f>
        <v/>
      </c>
      <c r="BN293" s="46" t="str">
        <f aca="false">IF($A293="","",IF($BM293="","",ROUND(N($AC293)/60,4)))</f>
        <v/>
      </c>
      <c r="BO293" s="46" t="str">
        <f aca="false">IF($A293="","",IF(OR($BM293="",$AD293=""),"",ROUND($AD293/60,4)))</f>
        <v/>
      </c>
      <c r="BP293" s="46" t="str">
        <f aca="false">IF($A293="","",IF($BM293="","",ROUND(N($AE293)/60,4)))</f>
        <v/>
      </c>
      <c r="BQ293" s="46" t="str">
        <f aca="false">IF($A293="","",IF(OR($BM293="",$AF293=""),"",ROUND($AF293/60,4)))</f>
        <v/>
      </c>
      <c r="BR293" s="39" t="str">
        <f aca="false">IF($A293="","",IF($AC293="","",$AC293-$BD293-$BE293))</f>
        <v/>
      </c>
      <c r="BS293" s="45" t="str">
        <f aca="false">IF($A293="","",IF(AND(ISNUMBER($Z293),ISNUMBER($W293)),$Z293,0))</f>
        <v/>
      </c>
      <c r="BT293" s="45" t="str">
        <f aca="false">IF($A293="","",IF(ISNUMBER($W293),$W293,0))</f>
        <v/>
      </c>
      <c r="BU293" s="23" t="str">
        <f aca="false">IF($A293="","",IF(ISNUMBER($W293),ROUND(($W293-$B293)*24,4),""))</f>
        <v/>
      </c>
      <c r="BV293" s="23" t="str">
        <f aca="false">IF($A293="","",IF(ISNUMBER($X293),ROUND(($X293-$B293)*24,4),""))</f>
        <v/>
      </c>
      <c r="BW293" s="10" t="str">
        <f aca="false">IF($A293="","",IF(NOT(ISNUMBER($W293)),"Missing Calculated",IF(NOT(ISNUMBER($X293)),IF($E293="Client","Missing FA signed off","Missing Controlled"),IF($X293&lt;$W293,"End before start","OK"))))</f>
        <v/>
      </c>
      <c r="BX293" s="23" t="str">
        <f aca="false">IF($A293="","",IF(NOT(ISNUMBER($Z293)),"",ROUND((IF(ISNUMBER($U293),MIN($U293,$Z293),$Z293)-$B293)*24,4)))</f>
        <v/>
      </c>
      <c r="BY293" s="23" t="str">
        <f aca="false">IF($A293="","",IF(ISNUMBER($Z293),ROUND(($Z293-$B293)*24,4),""))</f>
        <v/>
      </c>
      <c r="BZ293" s="23" t="str">
        <f aca="false">IF($A293="","",IF(AND(ISNUMBER($W293),ISNUMBER($S293)),ROUND(($W293+$S293/1440-$B293)*24,4),""))</f>
        <v/>
      </c>
    </row>
    <row r="294" customFormat="false" ht="15" hidden="false" customHeight="true" outlineLevel="0" collapsed="false">
      <c r="A294" s="47"/>
      <c r="B294" s="47"/>
      <c r="D294" s="4" t="str">
        <f aca="false">IF($A294="","",$B294-$A294)</f>
        <v/>
      </c>
      <c r="E294" s="4" t="str">
        <f aca="false">IF($A294="","",IFERROR(VLOOKUP($C294,Dim_Fund!$A:$X,24,0),""))</f>
        <v/>
      </c>
      <c r="F294" s="37" t="str">
        <f aca="false">IF($A294="","",IF(COUNTIFS(Status_Log!$A:$A,$A294,Status_Log!$B:$B,$B294,Status_Log!$C:$C,$C294,Status_Log!$D:$D,"Changed to the status of Calculated")=0,"",_xlfn.MINIFS(Status_Log!$E:$E,Status_Log!$A:$A,$A294,Status_Log!$B:$B,$B294,Status_Log!$C:$C,$C294,Status_Log!$D:$D,"Changed to the status of Calculated")))</f>
        <v/>
      </c>
      <c r="G294" s="37" t="str">
        <f aca="false">IF($A294="","",IF(COUNTIFS(Status_Log!$A:$A,$A294,Status_Log!$B:$B,$B294,Status_Log!$C:$C,$C294,Status_Log!$D:$D,"Changed to the status of Controlled")=0,"",_xlfn.MAXIFS(Status_Log!$E:$E,Status_Log!$A:$A,$A294,Status_Log!$B:$B,$B294,Status_Log!$C:$C,$C294,Status_Log!$D:$D,"Changed to the status of Controlled")))</f>
        <v/>
      </c>
      <c r="H294" s="37" t="str">
        <f aca="false">IF($A294="","",IF(COUNTIFS(Status_Log!$A:$A,$A294,Status_Log!$B:$B,$B294,Status_Log!$C:$C,$C294,Status_Log!$D:$D,"Changed to the status of Fund accounting signed off")=0,"",_xlfn.MAXIFS(Status_Log!$E:$E,Status_Log!$A:$A,$A294,Status_Log!$B:$B,$B294,Status_Log!$C:$C,$C294,Status_Log!$D:$D,"Changed to the status of Fund accounting signed off")))</f>
        <v/>
      </c>
      <c r="I294" s="37" t="str">
        <f aca="false">IF($A294="","",IF(COUNTIFS(Status_Log!$A:$A,$A294,Status_Log!$B:$B,$B294,Status_Log!$C:$C,$C294,Status_Log!$D:$D,"Changed to the status of signed off")=0,"",_xlfn.MAXIFS(Status_Log!$E:$E,Status_Log!$A:$A,$A294,Status_Log!$B:$B,$B294,Status_Log!$C:$C,$C294,Status_Log!$D:$D,"Changed to the status of signed off")))</f>
        <v/>
      </c>
      <c r="J294" s="4" t="str">
        <f aca="false">IF($A294="","",COUNTIFS(Status_Log!$A:$A,$A294,Status_Log!$B:$B,$B294,Status_Log!$C:$C,$C294,Status_Log!$D:$D,"Changed to the status of Calculated"))</f>
        <v/>
      </c>
      <c r="K294" s="38" t="str">
        <f aca="false">IF($A294="","",IF(J294&lt;=1,0,ROUND((_xlfn.MAXIFS(Status_Log!$E:$E,Status_Log!$A:$A,$A294,Status_Log!$B:$B,$B294,Status_Log!$C:$C,$C294,Status_Log!$D:$D,"Changed to the status of Calculated")-F294)*1440,0)))</f>
        <v/>
      </c>
      <c r="L294" s="4" t="str">
        <f aca="false">IF($A294="","",IFERROR(INDEX(Status_Log!$F:$F,MATCH($A294&amp;"|"&amp;$B294&amp;"|"&amp;$C294&amp;"|Changed to the status of Calculated|"&amp;TEXT(_xlfn.MAXIFS(Status_Log!$E:$E,Status_Log!$A:$A,$A294,Status_Log!$B:$B,$B294,Status_Log!$C:$C,$C294,Status_Log!$D:$D,"Changed to the status of Calculated"),"0.000000"),Status_Log!$H:$H,0)),""))</f>
        <v/>
      </c>
      <c r="M294" s="4" t="str">
        <f aca="false">IF($A294="","",IF(E294="Client","n/a — no control step",IFERROR(INDEX(Status_Log!$F:$F,MATCH($A294&amp;"|"&amp;$B294&amp;"|"&amp;$C294&amp;"|Changed to the status of Controlled|"&amp;TEXT(_xlfn.MAXIFS(Status_Log!$E:$E,Status_Log!$A:$A,$A294,Status_Log!$B:$B,$B294,Status_Log!$C:$C,$C294,Status_Log!$D:$D,"Changed to the status of Controlled"),"0.000000"),Status_Log!$H:$H,0)),"")))</f>
        <v/>
      </c>
      <c r="N294" s="4" t="str">
        <f aca="false">IF($A294="","",IFERROR(VLOOKUP($C294,Dim_Fund!$A:$G,7,0),""))</f>
        <v/>
      </c>
      <c r="O294" s="4" t="str">
        <f aca="false">IF($A294="","",IF(L294=N294,"No","Yes"))</f>
        <v/>
      </c>
      <c r="P294" s="4" t="str">
        <f aca="false">IF($A294="","",IF(E294="Client","n/a",IF(L294=M294,"YES — four-eyes breach","No")))</f>
        <v/>
      </c>
      <c r="Q294" s="38" t="str">
        <f aca="false">IF($A294="","",IFERROR(VLOOKUP($C294,Dim_Fund!$A:$AB,28,0),""))</f>
        <v/>
      </c>
      <c r="R294" s="38" t="str">
        <f aca="false">IF($A294="","",IFERROR(VLOOKUP($C294,Dim_Fund!$A:$AC,29,0),""))</f>
        <v/>
      </c>
      <c r="S294" s="38" t="str">
        <f aca="false">IF($A294="","",IFERROR(VLOOKUP($C294,Dim_Fund!$A:$AD,30,0),""))</f>
        <v/>
      </c>
      <c r="T294" s="38" t="str">
        <f aca="false">IF($A294="","",IFERROR(VLOOKUP($C294,Dim_Fund!$A:$AL,38,0),""))</f>
        <v/>
      </c>
      <c r="U294" s="37" t="str">
        <f aca="false">IF($A294="","",IF(AL294="","",IFERROR(IF(COUNTIFS(Fact_Milestone!$A:$A,$B294,Fact_Milestone!$B:$B,AL294)=0,"",_xlfn.MAXIFS(Fact_Milestone!$C:$C,Fact_Milestone!$A:$A,$B294,Fact_Milestone!$B:$B,AL294)),"")))</f>
        <v/>
      </c>
      <c r="V294" s="37" t="str">
        <f aca="false">IF($A294="","",IFERROR(IF(VLOOKUP($C294,Dim_Fund!$A:$AI,35,0)&gt;0,$B294+VLOOKUP($C294,Dim_Fund!$A:$AI,35,0)/24,""),""))</f>
        <v/>
      </c>
      <c r="W294" s="37" t="str">
        <f aca="false">IF($A294="","",F294)</f>
        <v/>
      </c>
      <c r="X294" s="37" t="str">
        <f aca="false">IF($A294="","",IF(E294="Client",H294,G294))</f>
        <v/>
      </c>
      <c r="Y294" s="37" t="str">
        <f aca="false">IF($A294="","",I294)</f>
        <v/>
      </c>
      <c r="Z294" s="37" t="str">
        <f aca="false">IF($A294="","",IFERROR(W294-R294/1440,""))</f>
        <v/>
      </c>
      <c r="AA294" s="38" t="str">
        <f aca="false">IF($A294="","",IF(OR(U294="",V294=""),"",ROUND((V294-U294)*1440,0)))</f>
        <v/>
      </c>
      <c r="AB294" s="38" t="str">
        <f aca="false">IF($A294="","",IF(U294="","",ROUND((W294-U294)*1440,0)))</f>
        <v/>
      </c>
      <c r="AC294" s="38" t="str">
        <f aca="false">IF($A294="","",IF(AB294="","",MAX(0,AB294)))</f>
        <v/>
      </c>
      <c r="AD294" s="38" t="str">
        <f aca="false">IF($A294="","",IFERROR(ROUND((X294-W294)*1440,0),""))</f>
        <v/>
      </c>
      <c r="AE294" s="38" t="str">
        <f aca="false">IF($A294="","",IF(E294="Client","n/a",IFERROR(ROUND((H294-G294)*1440,0),"")))</f>
        <v/>
      </c>
      <c r="AF294" s="38" t="str">
        <f aca="false">IF($A294="","",IFERROR(ROUND((Y294-H294)*1440,0),""))</f>
        <v/>
      </c>
      <c r="AG294" s="38" t="str">
        <f aca="false">IF($A294="","",IFERROR(ROUND((H294-F294)*1440,0),""))</f>
        <v/>
      </c>
      <c r="AH294" s="38" t="str">
        <f aca="false">IF($A294="","",IFERROR(ROUND((Y294-V294)*1440,0),""))</f>
        <v/>
      </c>
      <c r="AI294" s="4" t="str">
        <f aca="false">IF($A294="","",IF(AH294="","",IF(AH294&gt;0,"Yes","No")))</f>
        <v/>
      </c>
      <c r="AJ294" s="4" t="str">
        <f aca="false">IF($A294="","",IF(AI294&lt;&gt;"Yes","On time",IF(N(AC294)&gt;=MAX(N(AF294),N(K294)),"Wait for analyst",IF(N(AF294)&gt;=N(K294),"External sign-off","Rework"))))</f>
        <v/>
      </c>
      <c r="AK294" s="4" t="str">
        <f aca="false">IF($A294="","",IF(OR(F294="",Y294="",ISNA(MATCH(L294,Dim_Analyst!$A:$A,0))),"CHECK","OK"))</f>
        <v/>
      </c>
      <c r="AL294" s="4" t="str">
        <f aca="false">IF($A294="","",IFERROR(VLOOKUP($C294,Dim_Fund!$A:$U,21,0),""))</f>
        <v/>
      </c>
      <c r="AM294" s="4" t="str">
        <f aca="false">IF($A294="","",IF($U294="","",IF($U294&gt;$B294+IFERROR(VLOOKUP($C294,Dim_Fund!$A:$AH,34,0),0)/24,"Yes","No")))</f>
        <v/>
      </c>
      <c r="AN294" s="22" t="str">
        <f aca="false">IF($A294="","",IFERROR(VLOOKUP($C294,Dim_Fund!$A:$AH,34,0),""))</f>
        <v/>
      </c>
      <c r="AO294" s="22" t="str">
        <f aca="false">IF($A294="","",IF($AL294="","",IFERROR(FLOOR(IF(COUNTIFS(Fact_Milestone!$A:$A,$B294,Fact_Milestone!$B:$B,$AL294,Fact_Milestone!$F:$F,"&gt;0")&gt;0,_xlfn.MINIFS(Fact_Milestone!$F:$F,Fact_Milestone!$A:$A,$B294,Fact_Milestone!$B:$B,$AL294,Fact_Milestone!$F:$F,"&gt;0"),VLOOKUP($AL294,Dim_TOP!$A:$E,5,0)),0.5),"")))</f>
        <v/>
      </c>
      <c r="AP294" s="22" t="str">
        <f aca="false">IF($A294="","",IF($U294="","",ROUND(($U294-INT($U294))*24,4)))</f>
        <v/>
      </c>
      <c r="AQ294" s="22" t="str">
        <f aca="false">IF($A294="","",IF($W294="","",ROUND(($W294-INT($W294))*24,4)))</f>
        <v/>
      </c>
      <c r="AR294" s="22" t="str">
        <f aca="false">IF($A294="","",IF($X294="","",ROUND(($X294-INT($X294))*24,4)))</f>
        <v/>
      </c>
      <c r="AS294" s="38" t="str">
        <f aca="false">IF($A294="","",IF(OR($AN294="",$V294="",$S294="",$T294=""),"",ROUND(($V294-($B294+$AN294/24))*1440-$S294-$T294,0)))</f>
        <v/>
      </c>
      <c r="AT294" s="38" t="str">
        <f aca="false">IF($A294="","",IF(OR($AN294="",$U294=""),"",ROUND(($U294-($B294+$AN294/24))*1440,0)))</f>
        <v/>
      </c>
      <c r="AU294" s="38" t="str">
        <f aca="false">IF($A294="","",IF(OR($AD294="",$S294=""),"",ROUND($AD294-$S294,0)))</f>
        <v/>
      </c>
      <c r="AV294" s="38" t="str">
        <f aca="false">IF($A294="","",N($AE294))</f>
        <v/>
      </c>
      <c r="AW294" s="38" t="str">
        <f aca="false">IF($A294="","",IF(OR($AF294="",$T294=""),"",$AF294-$T294))</f>
        <v/>
      </c>
      <c r="AX294" s="38" t="str">
        <f aca="false">IF($A294="","",IF(COUNT($AT294,$AB294,$AU294,$AW294,$AS294,$AH294)&lt;6,"",ROUND($AT294+$AB294+$AU294+$AV294+$AW294-$AS294-$AH294,0)))</f>
        <v/>
      </c>
      <c r="AY294" s="4" t="str">
        <f aca="false">IF($A294="","",IF($AX294="","No",IF(ABS($AX294)&lt;=2,"Yes","No")))</f>
        <v/>
      </c>
      <c r="AZ294" s="4" t="str">
        <f aca="false">IF($A294="","",IF($AI294&lt;&gt;"Yes","n/a",IF(OR($AA294="",$S294="",$T294=""),"Unknown",IF($AA294&lt;$S294+$T294,"Lost on arrival","Lost after arrival"))))</f>
        <v/>
      </c>
      <c r="BA294" s="10" t="str">
        <f aca="false">IF($A294="","",IFERROR(VLOOKUP($C294,Dim_Fund!$A:$D,4,0),""))</f>
        <v/>
      </c>
      <c r="BB294" s="10" t="str">
        <f aca="false">IF($A294="","",IF($AL294="","",IF(COUNTIFS(Fact_Milestone!$A:$A,$B294,Fact_Milestone!$B:$B,$AL294,Fact_Milestone!$I:$I,"No")&gt;0,"No",IF(COUNTIFS(Fact_Milestone!$A:$A,$B294,Fact_Milestone!$B:$B,$AL294,Fact_Milestone!$I:$I,"Yes")&gt;0,"Yes",""))))</f>
        <v/>
      </c>
      <c r="BC294" s="45" t="str">
        <f aca="false">IF($A294="","",IF(OR($L294="",$W294=""),"",IF(COUNTIFS($L:$L,$L294,$B:$B,$B294,$W:$W,"&lt;"&amp;$W294)=0,"",_xlfn.MAXIFS($W:$W,$L:$L,$L294,$B:$B,$B294,$W:$W,"&lt;"&amp;$W294))))</f>
        <v/>
      </c>
      <c r="BD294" s="39" t="str">
        <f aca="false">IF($A294="","",IF($AC294="","",IF(OR($L294="",$AC294=0),0,MIN($AC294,ROUND(ROUND(1440*SUMPRODUCT(($L$2:INDEX($L:$L,COUNTA($C:$C))=$L294)*($B$2:INDEX($B:$B,COUNTA($C:$C))=$B294)*(ROW($L$2:INDEX($L:$L,COUNTA($C:$C)))&lt;&gt;ROW())*((((($W294+$BT$2:INDEX($BT:$BT,COUNTA($C:$C))-ABS($W294-$BT$2:INDEX($BT:$BT,COUNTA($C:$C))))/2)-(($U294+$BS$2:INDEX($BS:$BS,COUNTA($C:$C))+ABS($U294-$BS$2:INDEX($BS:$BS,COUNTA($C:$C))))/2))+ABS(((($W294+$BT$2:INDEX($BT:$BT,COUNTA($C:$C))-ABS($W294-$BT$2:INDEX($BT:$BT,COUNTA($C:$C))))/2)-(($U294+$BS$2:INDEX($BS:$BS,COUNTA($C:$C))+ABS($U294-$BS$2:INDEX($BS:$BS,COUNTA($C:$C))))/2))))/2)),4),0)))))</f>
        <v/>
      </c>
      <c r="BE294" s="39" t="str">
        <f aca="false">IF($A294="","",IF($AC294="","",ROUND(MIN($AC294-$BD294,N($R294)),0)))</f>
        <v/>
      </c>
      <c r="BF294" s="10" t="str">
        <f aca="false">IF($A294="","",IFERROR(VLOOKUP($C294,Dim_Fund!$A:$BD,56,0),""))</f>
        <v/>
      </c>
      <c r="BG294" s="10" t="str">
        <f aca="false">IF($A294="","",IFERROR(VLOOKUP($C294,Dim_Fund!$A:$BH,60,0),""))</f>
        <v/>
      </c>
      <c r="BH294" s="10" t="str">
        <f aca="false">IF($A294="","",IF($AI294&lt;&gt;"Yes","Not breached",IF($AM294="Yes","Pricing late",IF($BG294="Thin custody slack","Thin custody slack",IF($BF294="Yes","Broker-dependent","None of these")))))</f>
        <v/>
      </c>
      <c r="BI294" s="23" t="str">
        <f aca="false">IF($A294="","",IFERROR(IF(VLOOKUP($C294,Dim_Fund!$A:$AI,35,0)&gt;0,VLOOKUP($C294,Dim_Fund!$A:$AI,35,0),""),""))</f>
        <v/>
      </c>
      <c r="BJ294" s="10" t="str">
        <f aca="false">IF($A294="","",$C294&amp;IF($E294="Client","*",""))</f>
        <v/>
      </c>
      <c r="BK294" s="39" t="str">
        <f aca="false">IF($A294="","",IFERROR(ROUND(($Y294-$X294)*1440,0),""))</f>
        <v/>
      </c>
      <c r="BL294" s="39" t="str">
        <f aca="false">IF($A294="","",IF($AH294="","",-$AH294))</f>
        <v/>
      </c>
      <c r="BM294" s="46" t="str">
        <f aca="false">IF($A294="","",IF($AQ294="","",IF($AP294="",$AQ294,MIN($AP294,$AQ294))))</f>
        <v/>
      </c>
      <c r="BN294" s="46" t="str">
        <f aca="false">IF($A294="","",IF($BM294="","",ROUND(N($AC294)/60,4)))</f>
        <v/>
      </c>
      <c r="BO294" s="46" t="str">
        <f aca="false">IF($A294="","",IF(OR($BM294="",$AD294=""),"",ROUND($AD294/60,4)))</f>
        <v/>
      </c>
      <c r="BP294" s="46" t="str">
        <f aca="false">IF($A294="","",IF($BM294="","",ROUND(N($AE294)/60,4)))</f>
        <v/>
      </c>
      <c r="BQ294" s="46" t="str">
        <f aca="false">IF($A294="","",IF(OR($BM294="",$AF294=""),"",ROUND($AF294/60,4)))</f>
        <v/>
      </c>
      <c r="BR294" s="39" t="str">
        <f aca="false">IF($A294="","",IF($AC294="","",$AC294-$BD294-$BE294))</f>
        <v/>
      </c>
      <c r="BS294" s="45" t="str">
        <f aca="false">IF($A294="","",IF(AND(ISNUMBER($Z294),ISNUMBER($W294)),$Z294,0))</f>
        <v/>
      </c>
      <c r="BT294" s="45" t="str">
        <f aca="false">IF($A294="","",IF(ISNUMBER($W294),$W294,0))</f>
        <v/>
      </c>
      <c r="BU294" s="23" t="str">
        <f aca="false">IF($A294="","",IF(ISNUMBER($W294),ROUND(($W294-$B294)*24,4),""))</f>
        <v/>
      </c>
      <c r="BV294" s="23" t="str">
        <f aca="false">IF($A294="","",IF(ISNUMBER($X294),ROUND(($X294-$B294)*24,4),""))</f>
        <v/>
      </c>
      <c r="BW294" s="10" t="str">
        <f aca="false">IF($A294="","",IF(NOT(ISNUMBER($W294)),"Missing Calculated",IF(NOT(ISNUMBER($X294)),IF($E294="Client","Missing FA signed off","Missing Controlled"),IF($X294&lt;$W294,"End before start","OK"))))</f>
        <v/>
      </c>
      <c r="BX294" s="23" t="str">
        <f aca="false">IF($A294="","",IF(NOT(ISNUMBER($Z294)),"",ROUND((IF(ISNUMBER($U294),MIN($U294,$Z294),$Z294)-$B294)*24,4)))</f>
        <v/>
      </c>
      <c r="BY294" s="23" t="str">
        <f aca="false">IF($A294="","",IF(ISNUMBER($Z294),ROUND(($Z294-$B294)*24,4),""))</f>
        <v/>
      </c>
      <c r="BZ294" s="23" t="str">
        <f aca="false">IF($A294="","",IF(AND(ISNUMBER($W294),ISNUMBER($S294)),ROUND(($W294+$S294/1440-$B294)*24,4),""))</f>
        <v/>
      </c>
    </row>
    <row r="295" customFormat="false" ht="15" hidden="false" customHeight="true" outlineLevel="0" collapsed="false">
      <c r="A295" s="47"/>
      <c r="B295" s="47"/>
      <c r="D295" s="4" t="str">
        <f aca="false">IF($A295="","",$B295-$A295)</f>
        <v/>
      </c>
      <c r="E295" s="4" t="str">
        <f aca="false">IF($A295="","",IFERROR(VLOOKUP($C295,Dim_Fund!$A:$X,24,0),""))</f>
        <v/>
      </c>
      <c r="F295" s="37" t="str">
        <f aca="false">IF($A295="","",IF(COUNTIFS(Status_Log!$A:$A,$A295,Status_Log!$B:$B,$B295,Status_Log!$C:$C,$C295,Status_Log!$D:$D,"Changed to the status of Calculated")=0,"",_xlfn.MINIFS(Status_Log!$E:$E,Status_Log!$A:$A,$A295,Status_Log!$B:$B,$B295,Status_Log!$C:$C,$C295,Status_Log!$D:$D,"Changed to the status of Calculated")))</f>
        <v/>
      </c>
      <c r="G295" s="37" t="str">
        <f aca="false">IF($A295="","",IF(COUNTIFS(Status_Log!$A:$A,$A295,Status_Log!$B:$B,$B295,Status_Log!$C:$C,$C295,Status_Log!$D:$D,"Changed to the status of Controlled")=0,"",_xlfn.MAXIFS(Status_Log!$E:$E,Status_Log!$A:$A,$A295,Status_Log!$B:$B,$B295,Status_Log!$C:$C,$C295,Status_Log!$D:$D,"Changed to the status of Controlled")))</f>
        <v/>
      </c>
      <c r="H295" s="37" t="str">
        <f aca="false">IF($A295="","",IF(COUNTIFS(Status_Log!$A:$A,$A295,Status_Log!$B:$B,$B295,Status_Log!$C:$C,$C295,Status_Log!$D:$D,"Changed to the status of Fund accounting signed off")=0,"",_xlfn.MAXIFS(Status_Log!$E:$E,Status_Log!$A:$A,$A295,Status_Log!$B:$B,$B295,Status_Log!$C:$C,$C295,Status_Log!$D:$D,"Changed to the status of Fund accounting signed off")))</f>
        <v/>
      </c>
      <c r="I295" s="37" t="str">
        <f aca="false">IF($A295="","",IF(COUNTIFS(Status_Log!$A:$A,$A295,Status_Log!$B:$B,$B295,Status_Log!$C:$C,$C295,Status_Log!$D:$D,"Changed to the status of signed off")=0,"",_xlfn.MAXIFS(Status_Log!$E:$E,Status_Log!$A:$A,$A295,Status_Log!$B:$B,$B295,Status_Log!$C:$C,$C295,Status_Log!$D:$D,"Changed to the status of signed off")))</f>
        <v/>
      </c>
      <c r="J295" s="4" t="str">
        <f aca="false">IF($A295="","",COUNTIFS(Status_Log!$A:$A,$A295,Status_Log!$B:$B,$B295,Status_Log!$C:$C,$C295,Status_Log!$D:$D,"Changed to the status of Calculated"))</f>
        <v/>
      </c>
      <c r="K295" s="38" t="str">
        <f aca="false">IF($A295="","",IF(J295&lt;=1,0,ROUND((_xlfn.MAXIFS(Status_Log!$E:$E,Status_Log!$A:$A,$A295,Status_Log!$B:$B,$B295,Status_Log!$C:$C,$C295,Status_Log!$D:$D,"Changed to the status of Calculated")-F295)*1440,0)))</f>
        <v/>
      </c>
      <c r="L295" s="4" t="str">
        <f aca="false">IF($A295="","",IFERROR(INDEX(Status_Log!$F:$F,MATCH($A295&amp;"|"&amp;$B295&amp;"|"&amp;$C295&amp;"|Changed to the status of Calculated|"&amp;TEXT(_xlfn.MAXIFS(Status_Log!$E:$E,Status_Log!$A:$A,$A295,Status_Log!$B:$B,$B295,Status_Log!$C:$C,$C295,Status_Log!$D:$D,"Changed to the status of Calculated"),"0.000000"),Status_Log!$H:$H,0)),""))</f>
        <v/>
      </c>
      <c r="M295" s="4" t="str">
        <f aca="false">IF($A295="","",IF(E295="Client","n/a — no control step",IFERROR(INDEX(Status_Log!$F:$F,MATCH($A295&amp;"|"&amp;$B295&amp;"|"&amp;$C295&amp;"|Changed to the status of Controlled|"&amp;TEXT(_xlfn.MAXIFS(Status_Log!$E:$E,Status_Log!$A:$A,$A295,Status_Log!$B:$B,$B295,Status_Log!$C:$C,$C295,Status_Log!$D:$D,"Changed to the status of Controlled"),"0.000000"),Status_Log!$H:$H,0)),"")))</f>
        <v/>
      </c>
      <c r="N295" s="4" t="str">
        <f aca="false">IF($A295="","",IFERROR(VLOOKUP($C295,Dim_Fund!$A:$G,7,0),""))</f>
        <v/>
      </c>
      <c r="O295" s="4" t="str">
        <f aca="false">IF($A295="","",IF(L295=N295,"No","Yes"))</f>
        <v/>
      </c>
      <c r="P295" s="4" t="str">
        <f aca="false">IF($A295="","",IF(E295="Client","n/a",IF(L295=M295,"YES — four-eyes breach","No")))</f>
        <v/>
      </c>
      <c r="Q295" s="38" t="str">
        <f aca="false">IF($A295="","",IFERROR(VLOOKUP($C295,Dim_Fund!$A:$AB,28,0),""))</f>
        <v/>
      </c>
      <c r="R295" s="38" t="str">
        <f aca="false">IF($A295="","",IFERROR(VLOOKUP($C295,Dim_Fund!$A:$AC,29,0),""))</f>
        <v/>
      </c>
      <c r="S295" s="38" t="str">
        <f aca="false">IF($A295="","",IFERROR(VLOOKUP($C295,Dim_Fund!$A:$AD,30,0),""))</f>
        <v/>
      </c>
      <c r="T295" s="38" t="str">
        <f aca="false">IF($A295="","",IFERROR(VLOOKUP($C295,Dim_Fund!$A:$AL,38,0),""))</f>
        <v/>
      </c>
      <c r="U295" s="37" t="str">
        <f aca="false">IF($A295="","",IF(AL295="","",IFERROR(IF(COUNTIFS(Fact_Milestone!$A:$A,$B295,Fact_Milestone!$B:$B,AL295)=0,"",_xlfn.MAXIFS(Fact_Milestone!$C:$C,Fact_Milestone!$A:$A,$B295,Fact_Milestone!$B:$B,AL295)),"")))</f>
        <v/>
      </c>
      <c r="V295" s="37" t="str">
        <f aca="false">IF($A295="","",IFERROR(IF(VLOOKUP($C295,Dim_Fund!$A:$AI,35,0)&gt;0,$B295+VLOOKUP($C295,Dim_Fund!$A:$AI,35,0)/24,""),""))</f>
        <v/>
      </c>
      <c r="W295" s="37" t="str">
        <f aca="false">IF($A295="","",F295)</f>
        <v/>
      </c>
      <c r="X295" s="37" t="str">
        <f aca="false">IF($A295="","",IF(E295="Client",H295,G295))</f>
        <v/>
      </c>
      <c r="Y295" s="37" t="str">
        <f aca="false">IF($A295="","",I295)</f>
        <v/>
      </c>
      <c r="Z295" s="37" t="str">
        <f aca="false">IF($A295="","",IFERROR(W295-R295/1440,""))</f>
        <v/>
      </c>
      <c r="AA295" s="38" t="str">
        <f aca="false">IF($A295="","",IF(OR(U295="",V295=""),"",ROUND((V295-U295)*1440,0)))</f>
        <v/>
      </c>
      <c r="AB295" s="38" t="str">
        <f aca="false">IF($A295="","",IF(U295="","",ROUND((W295-U295)*1440,0)))</f>
        <v/>
      </c>
      <c r="AC295" s="38" t="str">
        <f aca="false">IF($A295="","",IF(AB295="","",MAX(0,AB295)))</f>
        <v/>
      </c>
      <c r="AD295" s="38" t="str">
        <f aca="false">IF($A295="","",IFERROR(ROUND((X295-W295)*1440,0),""))</f>
        <v/>
      </c>
      <c r="AE295" s="38" t="str">
        <f aca="false">IF($A295="","",IF(E295="Client","n/a",IFERROR(ROUND((H295-G295)*1440,0),"")))</f>
        <v/>
      </c>
      <c r="AF295" s="38" t="str">
        <f aca="false">IF($A295="","",IFERROR(ROUND((Y295-H295)*1440,0),""))</f>
        <v/>
      </c>
      <c r="AG295" s="38" t="str">
        <f aca="false">IF($A295="","",IFERROR(ROUND((H295-F295)*1440,0),""))</f>
        <v/>
      </c>
      <c r="AH295" s="38" t="str">
        <f aca="false">IF($A295="","",IFERROR(ROUND((Y295-V295)*1440,0),""))</f>
        <v/>
      </c>
      <c r="AI295" s="4" t="str">
        <f aca="false">IF($A295="","",IF(AH295="","",IF(AH295&gt;0,"Yes","No")))</f>
        <v/>
      </c>
      <c r="AJ295" s="4" t="str">
        <f aca="false">IF($A295="","",IF(AI295&lt;&gt;"Yes","On time",IF(N(AC295)&gt;=MAX(N(AF295),N(K295)),"Wait for analyst",IF(N(AF295)&gt;=N(K295),"External sign-off","Rework"))))</f>
        <v/>
      </c>
      <c r="AK295" s="4" t="str">
        <f aca="false">IF($A295="","",IF(OR(F295="",Y295="",ISNA(MATCH(L295,Dim_Analyst!$A:$A,0))),"CHECK","OK"))</f>
        <v/>
      </c>
      <c r="AL295" s="4" t="str">
        <f aca="false">IF($A295="","",IFERROR(VLOOKUP($C295,Dim_Fund!$A:$U,21,0),""))</f>
        <v/>
      </c>
      <c r="AM295" s="4" t="str">
        <f aca="false">IF($A295="","",IF($U295="","",IF($U295&gt;$B295+IFERROR(VLOOKUP($C295,Dim_Fund!$A:$AH,34,0),0)/24,"Yes","No")))</f>
        <v/>
      </c>
      <c r="AN295" s="22" t="str">
        <f aca="false">IF($A295="","",IFERROR(VLOOKUP($C295,Dim_Fund!$A:$AH,34,0),""))</f>
        <v/>
      </c>
      <c r="AO295" s="22" t="str">
        <f aca="false">IF($A295="","",IF($AL295="","",IFERROR(FLOOR(IF(COUNTIFS(Fact_Milestone!$A:$A,$B295,Fact_Milestone!$B:$B,$AL295,Fact_Milestone!$F:$F,"&gt;0")&gt;0,_xlfn.MINIFS(Fact_Milestone!$F:$F,Fact_Milestone!$A:$A,$B295,Fact_Milestone!$B:$B,$AL295,Fact_Milestone!$F:$F,"&gt;0"),VLOOKUP($AL295,Dim_TOP!$A:$E,5,0)),0.5),"")))</f>
        <v/>
      </c>
      <c r="AP295" s="22" t="str">
        <f aca="false">IF($A295="","",IF($U295="","",ROUND(($U295-INT($U295))*24,4)))</f>
        <v/>
      </c>
      <c r="AQ295" s="22" t="str">
        <f aca="false">IF($A295="","",IF($W295="","",ROUND(($W295-INT($W295))*24,4)))</f>
        <v/>
      </c>
      <c r="AR295" s="22" t="str">
        <f aca="false">IF($A295="","",IF($X295="","",ROUND(($X295-INT($X295))*24,4)))</f>
        <v/>
      </c>
      <c r="AS295" s="38" t="str">
        <f aca="false">IF($A295="","",IF(OR($AN295="",$V295="",$S295="",$T295=""),"",ROUND(($V295-($B295+$AN295/24))*1440-$S295-$T295,0)))</f>
        <v/>
      </c>
      <c r="AT295" s="38" t="str">
        <f aca="false">IF($A295="","",IF(OR($AN295="",$U295=""),"",ROUND(($U295-($B295+$AN295/24))*1440,0)))</f>
        <v/>
      </c>
      <c r="AU295" s="38" t="str">
        <f aca="false">IF($A295="","",IF(OR($AD295="",$S295=""),"",ROUND($AD295-$S295,0)))</f>
        <v/>
      </c>
      <c r="AV295" s="38" t="str">
        <f aca="false">IF($A295="","",N($AE295))</f>
        <v/>
      </c>
      <c r="AW295" s="38" t="str">
        <f aca="false">IF($A295="","",IF(OR($AF295="",$T295=""),"",$AF295-$T295))</f>
        <v/>
      </c>
      <c r="AX295" s="38" t="str">
        <f aca="false">IF($A295="","",IF(COUNT($AT295,$AB295,$AU295,$AW295,$AS295,$AH295)&lt;6,"",ROUND($AT295+$AB295+$AU295+$AV295+$AW295-$AS295-$AH295,0)))</f>
        <v/>
      </c>
      <c r="AY295" s="4" t="str">
        <f aca="false">IF($A295="","",IF($AX295="","No",IF(ABS($AX295)&lt;=2,"Yes","No")))</f>
        <v/>
      </c>
      <c r="AZ295" s="4" t="str">
        <f aca="false">IF($A295="","",IF($AI295&lt;&gt;"Yes","n/a",IF(OR($AA295="",$S295="",$T295=""),"Unknown",IF($AA295&lt;$S295+$T295,"Lost on arrival","Lost after arrival"))))</f>
        <v/>
      </c>
      <c r="BA295" s="10" t="str">
        <f aca="false">IF($A295="","",IFERROR(VLOOKUP($C295,Dim_Fund!$A:$D,4,0),""))</f>
        <v/>
      </c>
      <c r="BB295" s="10" t="str">
        <f aca="false">IF($A295="","",IF($AL295="","",IF(COUNTIFS(Fact_Milestone!$A:$A,$B295,Fact_Milestone!$B:$B,$AL295,Fact_Milestone!$I:$I,"No")&gt;0,"No",IF(COUNTIFS(Fact_Milestone!$A:$A,$B295,Fact_Milestone!$B:$B,$AL295,Fact_Milestone!$I:$I,"Yes")&gt;0,"Yes",""))))</f>
        <v/>
      </c>
      <c r="BC295" s="45" t="str">
        <f aca="false">IF($A295="","",IF(OR($L295="",$W295=""),"",IF(COUNTIFS($L:$L,$L295,$B:$B,$B295,$W:$W,"&lt;"&amp;$W295)=0,"",_xlfn.MAXIFS($W:$W,$L:$L,$L295,$B:$B,$B295,$W:$W,"&lt;"&amp;$W295))))</f>
        <v/>
      </c>
      <c r="BD295" s="39" t="str">
        <f aca="false">IF($A295="","",IF($AC295="","",IF(OR($L295="",$AC295=0),0,MIN($AC295,ROUND(ROUND(1440*SUMPRODUCT(($L$2:INDEX($L:$L,COUNTA($C:$C))=$L295)*($B$2:INDEX($B:$B,COUNTA($C:$C))=$B295)*(ROW($L$2:INDEX($L:$L,COUNTA($C:$C)))&lt;&gt;ROW())*((((($W295+$BT$2:INDEX($BT:$BT,COUNTA($C:$C))-ABS($W295-$BT$2:INDEX($BT:$BT,COUNTA($C:$C))))/2)-(($U295+$BS$2:INDEX($BS:$BS,COUNTA($C:$C))+ABS($U295-$BS$2:INDEX($BS:$BS,COUNTA($C:$C))))/2))+ABS(((($W295+$BT$2:INDEX($BT:$BT,COUNTA($C:$C))-ABS($W295-$BT$2:INDEX($BT:$BT,COUNTA($C:$C))))/2)-(($U295+$BS$2:INDEX($BS:$BS,COUNTA($C:$C))+ABS($U295-$BS$2:INDEX($BS:$BS,COUNTA($C:$C))))/2))))/2)),4),0)))))</f>
        <v/>
      </c>
      <c r="BE295" s="39" t="str">
        <f aca="false">IF($A295="","",IF($AC295="","",ROUND(MIN($AC295-$BD295,N($R295)),0)))</f>
        <v/>
      </c>
      <c r="BF295" s="10" t="str">
        <f aca="false">IF($A295="","",IFERROR(VLOOKUP($C295,Dim_Fund!$A:$BD,56,0),""))</f>
        <v/>
      </c>
      <c r="BG295" s="10" t="str">
        <f aca="false">IF($A295="","",IFERROR(VLOOKUP($C295,Dim_Fund!$A:$BH,60,0),""))</f>
        <v/>
      </c>
      <c r="BH295" s="10" t="str">
        <f aca="false">IF($A295="","",IF($AI295&lt;&gt;"Yes","Not breached",IF($AM295="Yes","Pricing late",IF($BG295="Thin custody slack","Thin custody slack",IF($BF295="Yes","Broker-dependent","None of these")))))</f>
        <v/>
      </c>
      <c r="BI295" s="23" t="str">
        <f aca="false">IF($A295="","",IFERROR(IF(VLOOKUP($C295,Dim_Fund!$A:$AI,35,0)&gt;0,VLOOKUP($C295,Dim_Fund!$A:$AI,35,0),""),""))</f>
        <v/>
      </c>
      <c r="BJ295" s="10" t="str">
        <f aca="false">IF($A295="","",$C295&amp;IF($E295="Client","*",""))</f>
        <v/>
      </c>
      <c r="BK295" s="39" t="str">
        <f aca="false">IF($A295="","",IFERROR(ROUND(($Y295-$X295)*1440,0),""))</f>
        <v/>
      </c>
      <c r="BL295" s="39" t="str">
        <f aca="false">IF($A295="","",IF($AH295="","",-$AH295))</f>
        <v/>
      </c>
      <c r="BM295" s="46" t="str">
        <f aca="false">IF($A295="","",IF($AQ295="","",IF($AP295="",$AQ295,MIN($AP295,$AQ295))))</f>
        <v/>
      </c>
      <c r="BN295" s="46" t="str">
        <f aca="false">IF($A295="","",IF($BM295="","",ROUND(N($AC295)/60,4)))</f>
        <v/>
      </c>
      <c r="BO295" s="46" t="str">
        <f aca="false">IF($A295="","",IF(OR($BM295="",$AD295=""),"",ROUND($AD295/60,4)))</f>
        <v/>
      </c>
      <c r="BP295" s="46" t="str">
        <f aca="false">IF($A295="","",IF($BM295="","",ROUND(N($AE295)/60,4)))</f>
        <v/>
      </c>
      <c r="BQ295" s="46" t="str">
        <f aca="false">IF($A295="","",IF(OR($BM295="",$AF295=""),"",ROUND($AF295/60,4)))</f>
        <v/>
      </c>
      <c r="BR295" s="39" t="str">
        <f aca="false">IF($A295="","",IF($AC295="","",$AC295-$BD295-$BE295))</f>
        <v/>
      </c>
      <c r="BS295" s="45" t="str">
        <f aca="false">IF($A295="","",IF(AND(ISNUMBER($Z295),ISNUMBER($W295)),$Z295,0))</f>
        <v/>
      </c>
      <c r="BT295" s="45" t="str">
        <f aca="false">IF($A295="","",IF(ISNUMBER($W295),$W295,0))</f>
        <v/>
      </c>
      <c r="BU295" s="23" t="str">
        <f aca="false">IF($A295="","",IF(ISNUMBER($W295),ROUND(($W295-$B295)*24,4),""))</f>
        <v/>
      </c>
      <c r="BV295" s="23" t="str">
        <f aca="false">IF($A295="","",IF(ISNUMBER($X295),ROUND(($X295-$B295)*24,4),""))</f>
        <v/>
      </c>
      <c r="BW295" s="10" t="str">
        <f aca="false">IF($A295="","",IF(NOT(ISNUMBER($W295)),"Missing Calculated",IF(NOT(ISNUMBER($X295)),IF($E295="Client","Missing FA signed off","Missing Controlled"),IF($X295&lt;$W295,"End before start","OK"))))</f>
        <v/>
      </c>
      <c r="BX295" s="23" t="str">
        <f aca="false">IF($A295="","",IF(NOT(ISNUMBER($Z295)),"",ROUND((IF(ISNUMBER($U295),MIN($U295,$Z295),$Z295)-$B295)*24,4)))</f>
        <v/>
      </c>
      <c r="BY295" s="23" t="str">
        <f aca="false">IF($A295="","",IF(ISNUMBER($Z295),ROUND(($Z295-$B295)*24,4),""))</f>
        <v/>
      </c>
      <c r="BZ295" s="23" t="str">
        <f aca="false">IF($A295="","",IF(AND(ISNUMBER($W295),ISNUMBER($S295)),ROUND(($W295+$S295/1440-$B295)*24,4),""))</f>
        <v/>
      </c>
    </row>
    <row r="296" customFormat="false" ht="15" hidden="false" customHeight="true" outlineLevel="0" collapsed="false">
      <c r="A296" s="47"/>
      <c r="B296" s="47"/>
      <c r="D296" s="4" t="str">
        <f aca="false">IF($A296="","",$B296-$A296)</f>
        <v/>
      </c>
      <c r="E296" s="4" t="str">
        <f aca="false">IF($A296="","",IFERROR(VLOOKUP($C296,Dim_Fund!$A:$X,24,0),""))</f>
        <v/>
      </c>
      <c r="F296" s="37" t="str">
        <f aca="false">IF($A296="","",IF(COUNTIFS(Status_Log!$A:$A,$A296,Status_Log!$B:$B,$B296,Status_Log!$C:$C,$C296,Status_Log!$D:$D,"Changed to the status of Calculated")=0,"",_xlfn.MINIFS(Status_Log!$E:$E,Status_Log!$A:$A,$A296,Status_Log!$B:$B,$B296,Status_Log!$C:$C,$C296,Status_Log!$D:$D,"Changed to the status of Calculated")))</f>
        <v/>
      </c>
      <c r="G296" s="37" t="str">
        <f aca="false">IF($A296="","",IF(COUNTIFS(Status_Log!$A:$A,$A296,Status_Log!$B:$B,$B296,Status_Log!$C:$C,$C296,Status_Log!$D:$D,"Changed to the status of Controlled")=0,"",_xlfn.MAXIFS(Status_Log!$E:$E,Status_Log!$A:$A,$A296,Status_Log!$B:$B,$B296,Status_Log!$C:$C,$C296,Status_Log!$D:$D,"Changed to the status of Controlled")))</f>
        <v/>
      </c>
      <c r="H296" s="37" t="str">
        <f aca="false">IF($A296="","",IF(COUNTIFS(Status_Log!$A:$A,$A296,Status_Log!$B:$B,$B296,Status_Log!$C:$C,$C296,Status_Log!$D:$D,"Changed to the status of Fund accounting signed off")=0,"",_xlfn.MAXIFS(Status_Log!$E:$E,Status_Log!$A:$A,$A296,Status_Log!$B:$B,$B296,Status_Log!$C:$C,$C296,Status_Log!$D:$D,"Changed to the status of Fund accounting signed off")))</f>
        <v/>
      </c>
      <c r="I296" s="37" t="str">
        <f aca="false">IF($A296="","",IF(COUNTIFS(Status_Log!$A:$A,$A296,Status_Log!$B:$B,$B296,Status_Log!$C:$C,$C296,Status_Log!$D:$D,"Changed to the status of signed off")=0,"",_xlfn.MAXIFS(Status_Log!$E:$E,Status_Log!$A:$A,$A296,Status_Log!$B:$B,$B296,Status_Log!$C:$C,$C296,Status_Log!$D:$D,"Changed to the status of signed off")))</f>
        <v/>
      </c>
      <c r="J296" s="4" t="str">
        <f aca="false">IF($A296="","",COUNTIFS(Status_Log!$A:$A,$A296,Status_Log!$B:$B,$B296,Status_Log!$C:$C,$C296,Status_Log!$D:$D,"Changed to the status of Calculated"))</f>
        <v/>
      </c>
      <c r="K296" s="38" t="str">
        <f aca="false">IF($A296="","",IF(J296&lt;=1,0,ROUND((_xlfn.MAXIFS(Status_Log!$E:$E,Status_Log!$A:$A,$A296,Status_Log!$B:$B,$B296,Status_Log!$C:$C,$C296,Status_Log!$D:$D,"Changed to the status of Calculated")-F296)*1440,0)))</f>
        <v/>
      </c>
      <c r="L296" s="4" t="str">
        <f aca="false">IF($A296="","",IFERROR(INDEX(Status_Log!$F:$F,MATCH($A296&amp;"|"&amp;$B296&amp;"|"&amp;$C296&amp;"|Changed to the status of Calculated|"&amp;TEXT(_xlfn.MAXIFS(Status_Log!$E:$E,Status_Log!$A:$A,$A296,Status_Log!$B:$B,$B296,Status_Log!$C:$C,$C296,Status_Log!$D:$D,"Changed to the status of Calculated"),"0.000000"),Status_Log!$H:$H,0)),""))</f>
        <v/>
      </c>
      <c r="M296" s="4" t="str">
        <f aca="false">IF($A296="","",IF(E296="Client","n/a — no control step",IFERROR(INDEX(Status_Log!$F:$F,MATCH($A296&amp;"|"&amp;$B296&amp;"|"&amp;$C296&amp;"|Changed to the status of Controlled|"&amp;TEXT(_xlfn.MAXIFS(Status_Log!$E:$E,Status_Log!$A:$A,$A296,Status_Log!$B:$B,$B296,Status_Log!$C:$C,$C296,Status_Log!$D:$D,"Changed to the status of Controlled"),"0.000000"),Status_Log!$H:$H,0)),"")))</f>
        <v/>
      </c>
      <c r="N296" s="4" t="str">
        <f aca="false">IF($A296="","",IFERROR(VLOOKUP($C296,Dim_Fund!$A:$G,7,0),""))</f>
        <v/>
      </c>
      <c r="O296" s="4" t="str">
        <f aca="false">IF($A296="","",IF(L296=N296,"No","Yes"))</f>
        <v/>
      </c>
      <c r="P296" s="4" t="str">
        <f aca="false">IF($A296="","",IF(E296="Client","n/a",IF(L296=M296,"YES — four-eyes breach","No")))</f>
        <v/>
      </c>
      <c r="Q296" s="38" t="str">
        <f aca="false">IF($A296="","",IFERROR(VLOOKUP($C296,Dim_Fund!$A:$AB,28,0),""))</f>
        <v/>
      </c>
      <c r="R296" s="38" t="str">
        <f aca="false">IF($A296="","",IFERROR(VLOOKUP($C296,Dim_Fund!$A:$AC,29,0),""))</f>
        <v/>
      </c>
      <c r="S296" s="38" t="str">
        <f aca="false">IF($A296="","",IFERROR(VLOOKUP($C296,Dim_Fund!$A:$AD,30,0),""))</f>
        <v/>
      </c>
      <c r="T296" s="38" t="str">
        <f aca="false">IF($A296="","",IFERROR(VLOOKUP($C296,Dim_Fund!$A:$AL,38,0),""))</f>
        <v/>
      </c>
      <c r="U296" s="37" t="str">
        <f aca="false">IF($A296="","",IF(AL296="","",IFERROR(IF(COUNTIFS(Fact_Milestone!$A:$A,$B296,Fact_Milestone!$B:$B,AL296)=0,"",_xlfn.MAXIFS(Fact_Milestone!$C:$C,Fact_Milestone!$A:$A,$B296,Fact_Milestone!$B:$B,AL296)),"")))</f>
        <v/>
      </c>
      <c r="V296" s="37" t="str">
        <f aca="false">IF($A296="","",IFERROR(IF(VLOOKUP($C296,Dim_Fund!$A:$AI,35,0)&gt;0,$B296+VLOOKUP($C296,Dim_Fund!$A:$AI,35,0)/24,""),""))</f>
        <v/>
      </c>
      <c r="W296" s="37" t="str">
        <f aca="false">IF($A296="","",F296)</f>
        <v/>
      </c>
      <c r="X296" s="37" t="str">
        <f aca="false">IF($A296="","",IF(E296="Client",H296,G296))</f>
        <v/>
      </c>
      <c r="Y296" s="37" t="str">
        <f aca="false">IF($A296="","",I296)</f>
        <v/>
      </c>
      <c r="Z296" s="37" t="str">
        <f aca="false">IF($A296="","",IFERROR(W296-R296/1440,""))</f>
        <v/>
      </c>
      <c r="AA296" s="38" t="str">
        <f aca="false">IF($A296="","",IF(OR(U296="",V296=""),"",ROUND((V296-U296)*1440,0)))</f>
        <v/>
      </c>
      <c r="AB296" s="38" t="str">
        <f aca="false">IF($A296="","",IF(U296="","",ROUND((W296-U296)*1440,0)))</f>
        <v/>
      </c>
      <c r="AC296" s="38" t="str">
        <f aca="false">IF($A296="","",IF(AB296="","",MAX(0,AB296)))</f>
        <v/>
      </c>
      <c r="AD296" s="38" t="str">
        <f aca="false">IF($A296="","",IFERROR(ROUND((X296-W296)*1440,0),""))</f>
        <v/>
      </c>
      <c r="AE296" s="38" t="str">
        <f aca="false">IF($A296="","",IF(E296="Client","n/a",IFERROR(ROUND((H296-G296)*1440,0),"")))</f>
        <v/>
      </c>
      <c r="AF296" s="38" t="str">
        <f aca="false">IF($A296="","",IFERROR(ROUND((Y296-H296)*1440,0),""))</f>
        <v/>
      </c>
      <c r="AG296" s="38" t="str">
        <f aca="false">IF($A296="","",IFERROR(ROUND((H296-F296)*1440,0),""))</f>
        <v/>
      </c>
      <c r="AH296" s="38" t="str">
        <f aca="false">IF($A296="","",IFERROR(ROUND((Y296-V296)*1440,0),""))</f>
        <v/>
      </c>
      <c r="AI296" s="4" t="str">
        <f aca="false">IF($A296="","",IF(AH296="","",IF(AH296&gt;0,"Yes","No")))</f>
        <v/>
      </c>
      <c r="AJ296" s="4" t="str">
        <f aca="false">IF($A296="","",IF(AI296&lt;&gt;"Yes","On time",IF(N(AC296)&gt;=MAX(N(AF296),N(K296)),"Wait for analyst",IF(N(AF296)&gt;=N(K296),"External sign-off","Rework"))))</f>
        <v/>
      </c>
      <c r="AK296" s="4" t="str">
        <f aca="false">IF($A296="","",IF(OR(F296="",Y296="",ISNA(MATCH(L296,Dim_Analyst!$A:$A,0))),"CHECK","OK"))</f>
        <v/>
      </c>
      <c r="AL296" s="4" t="str">
        <f aca="false">IF($A296="","",IFERROR(VLOOKUP($C296,Dim_Fund!$A:$U,21,0),""))</f>
        <v/>
      </c>
      <c r="AM296" s="4" t="str">
        <f aca="false">IF($A296="","",IF($U296="","",IF($U296&gt;$B296+IFERROR(VLOOKUP($C296,Dim_Fund!$A:$AH,34,0),0)/24,"Yes","No")))</f>
        <v/>
      </c>
      <c r="AN296" s="22" t="str">
        <f aca="false">IF($A296="","",IFERROR(VLOOKUP($C296,Dim_Fund!$A:$AH,34,0),""))</f>
        <v/>
      </c>
      <c r="AO296" s="22" t="str">
        <f aca="false">IF($A296="","",IF($AL296="","",IFERROR(FLOOR(IF(COUNTIFS(Fact_Milestone!$A:$A,$B296,Fact_Milestone!$B:$B,$AL296,Fact_Milestone!$F:$F,"&gt;0")&gt;0,_xlfn.MINIFS(Fact_Milestone!$F:$F,Fact_Milestone!$A:$A,$B296,Fact_Milestone!$B:$B,$AL296,Fact_Milestone!$F:$F,"&gt;0"),VLOOKUP($AL296,Dim_TOP!$A:$E,5,0)),0.5),"")))</f>
        <v/>
      </c>
      <c r="AP296" s="22" t="str">
        <f aca="false">IF($A296="","",IF($U296="","",ROUND(($U296-INT($U296))*24,4)))</f>
        <v/>
      </c>
      <c r="AQ296" s="22" t="str">
        <f aca="false">IF($A296="","",IF($W296="","",ROUND(($W296-INT($W296))*24,4)))</f>
        <v/>
      </c>
      <c r="AR296" s="22" t="str">
        <f aca="false">IF($A296="","",IF($X296="","",ROUND(($X296-INT($X296))*24,4)))</f>
        <v/>
      </c>
      <c r="AS296" s="38" t="str">
        <f aca="false">IF($A296="","",IF(OR($AN296="",$V296="",$S296="",$T296=""),"",ROUND(($V296-($B296+$AN296/24))*1440-$S296-$T296,0)))</f>
        <v/>
      </c>
      <c r="AT296" s="38" t="str">
        <f aca="false">IF($A296="","",IF(OR($AN296="",$U296=""),"",ROUND(($U296-($B296+$AN296/24))*1440,0)))</f>
        <v/>
      </c>
      <c r="AU296" s="38" t="str">
        <f aca="false">IF($A296="","",IF(OR($AD296="",$S296=""),"",ROUND($AD296-$S296,0)))</f>
        <v/>
      </c>
      <c r="AV296" s="38" t="str">
        <f aca="false">IF($A296="","",N($AE296))</f>
        <v/>
      </c>
      <c r="AW296" s="38" t="str">
        <f aca="false">IF($A296="","",IF(OR($AF296="",$T296=""),"",$AF296-$T296))</f>
        <v/>
      </c>
      <c r="AX296" s="38" t="str">
        <f aca="false">IF($A296="","",IF(COUNT($AT296,$AB296,$AU296,$AW296,$AS296,$AH296)&lt;6,"",ROUND($AT296+$AB296+$AU296+$AV296+$AW296-$AS296-$AH296,0)))</f>
        <v/>
      </c>
      <c r="AY296" s="4" t="str">
        <f aca="false">IF($A296="","",IF($AX296="","No",IF(ABS($AX296)&lt;=2,"Yes","No")))</f>
        <v/>
      </c>
      <c r="AZ296" s="4" t="str">
        <f aca="false">IF($A296="","",IF($AI296&lt;&gt;"Yes","n/a",IF(OR($AA296="",$S296="",$T296=""),"Unknown",IF($AA296&lt;$S296+$T296,"Lost on arrival","Lost after arrival"))))</f>
        <v/>
      </c>
      <c r="BA296" s="10" t="str">
        <f aca="false">IF($A296="","",IFERROR(VLOOKUP($C296,Dim_Fund!$A:$D,4,0),""))</f>
        <v/>
      </c>
      <c r="BB296" s="10" t="str">
        <f aca="false">IF($A296="","",IF($AL296="","",IF(COUNTIFS(Fact_Milestone!$A:$A,$B296,Fact_Milestone!$B:$B,$AL296,Fact_Milestone!$I:$I,"No")&gt;0,"No",IF(COUNTIFS(Fact_Milestone!$A:$A,$B296,Fact_Milestone!$B:$B,$AL296,Fact_Milestone!$I:$I,"Yes")&gt;0,"Yes",""))))</f>
        <v/>
      </c>
      <c r="BC296" s="45" t="str">
        <f aca="false">IF($A296="","",IF(OR($L296="",$W296=""),"",IF(COUNTIFS($L:$L,$L296,$B:$B,$B296,$W:$W,"&lt;"&amp;$W296)=0,"",_xlfn.MAXIFS($W:$W,$L:$L,$L296,$B:$B,$B296,$W:$W,"&lt;"&amp;$W296))))</f>
        <v/>
      </c>
      <c r="BD296" s="39" t="str">
        <f aca="false">IF($A296="","",IF($AC296="","",IF(OR($L296="",$AC296=0),0,MIN($AC296,ROUND(ROUND(1440*SUMPRODUCT(($L$2:INDEX($L:$L,COUNTA($C:$C))=$L296)*($B$2:INDEX($B:$B,COUNTA($C:$C))=$B296)*(ROW($L$2:INDEX($L:$L,COUNTA($C:$C)))&lt;&gt;ROW())*((((($W296+$BT$2:INDEX($BT:$BT,COUNTA($C:$C))-ABS($W296-$BT$2:INDEX($BT:$BT,COUNTA($C:$C))))/2)-(($U296+$BS$2:INDEX($BS:$BS,COUNTA($C:$C))+ABS($U296-$BS$2:INDEX($BS:$BS,COUNTA($C:$C))))/2))+ABS(((($W296+$BT$2:INDEX($BT:$BT,COUNTA($C:$C))-ABS($W296-$BT$2:INDEX($BT:$BT,COUNTA($C:$C))))/2)-(($U296+$BS$2:INDEX($BS:$BS,COUNTA($C:$C))+ABS($U296-$BS$2:INDEX($BS:$BS,COUNTA($C:$C))))/2))))/2)),4),0)))))</f>
        <v/>
      </c>
      <c r="BE296" s="39" t="str">
        <f aca="false">IF($A296="","",IF($AC296="","",ROUND(MIN($AC296-$BD296,N($R296)),0)))</f>
        <v/>
      </c>
      <c r="BF296" s="10" t="str">
        <f aca="false">IF($A296="","",IFERROR(VLOOKUP($C296,Dim_Fund!$A:$BD,56,0),""))</f>
        <v/>
      </c>
      <c r="BG296" s="10" t="str">
        <f aca="false">IF($A296="","",IFERROR(VLOOKUP($C296,Dim_Fund!$A:$BH,60,0),""))</f>
        <v/>
      </c>
      <c r="BH296" s="10" t="str">
        <f aca="false">IF($A296="","",IF($AI296&lt;&gt;"Yes","Not breached",IF($AM296="Yes","Pricing late",IF($BG296="Thin custody slack","Thin custody slack",IF($BF296="Yes","Broker-dependent","None of these")))))</f>
        <v/>
      </c>
      <c r="BI296" s="23" t="str">
        <f aca="false">IF($A296="","",IFERROR(IF(VLOOKUP($C296,Dim_Fund!$A:$AI,35,0)&gt;0,VLOOKUP($C296,Dim_Fund!$A:$AI,35,0),""),""))</f>
        <v/>
      </c>
      <c r="BJ296" s="10" t="str">
        <f aca="false">IF($A296="","",$C296&amp;IF($E296="Client","*",""))</f>
        <v/>
      </c>
      <c r="BK296" s="39" t="str">
        <f aca="false">IF($A296="","",IFERROR(ROUND(($Y296-$X296)*1440,0),""))</f>
        <v/>
      </c>
      <c r="BL296" s="39" t="str">
        <f aca="false">IF($A296="","",IF($AH296="","",-$AH296))</f>
        <v/>
      </c>
      <c r="BM296" s="46" t="str">
        <f aca="false">IF($A296="","",IF($AQ296="","",IF($AP296="",$AQ296,MIN($AP296,$AQ296))))</f>
        <v/>
      </c>
      <c r="BN296" s="46" t="str">
        <f aca="false">IF($A296="","",IF($BM296="","",ROUND(N($AC296)/60,4)))</f>
        <v/>
      </c>
      <c r="BO296" s="46" t="str">
        <f aca="false">IF($A296="","",IF(OR($BM296="",$AD296=""),"",ROUND($AD296/60,4)))</f>
        <v/>
      </c>
      <c r="BP296" s="46" t="str">
        <f aca="false">IF($A296="","",IF($BM296="","",ROUND(N($AE296)/60,4)))</f>
        <v/>
      </c>
      <c r="BQ296" s="46" t="str">
        <f aca="false">IF($A296="","",IF(OR($BM296="",$AF296=""),"",ROUND($AF296/60,4)))</f>
        <v/>
      </c>
      <c r="BR296" s="39" t="str">
        <f aca="false">IF($A296="","",IF($AC296="","",$AC296-$BD296-$BE296))</f>
        <v/>
      </c>
      <c r="BS296" s="45" t="str">
        <f aca="false">IF($A296="","",IF(AND(ISNUMBER($Z296),ISNUMBER($W296)),$Z296,0))</f>
        <v/>
      </c>
      <c r="BT296" s="45" t="str">
        <f aca="false">IF($A296="","",IF(ISNUMBER($W296),$W296,0))</f>
        <v/>
      </c>
      <c r="BU296" s="23" t="str">
        <f aca="false">IF($A296="","",IF(ISNUMBER($W296),ROUND(($W296-$B296)*24,4),""))</f>
        <v/>
      </c>
      <c r="BV296" s="23" t="str">
        <f aca="false">IF($A296="","",IF(ISNUMBER($X296),ROUND(($X296-$B296)*24,4),""))</f>
        <v/>
      </c>
      <c r="BW296" s="10" t="str">
        <f aca="false">IF($A296="","",IF(NOT(ISNUMBER($W296)),"Missing Calculated",IF(NOT(ISNUMBER($X296)),IF($E296="Client","Missing FA signed off","Missing Controlled"),IF($X296&lt;$W296,"End before start","OK"))))</f>
        <v/>
      </c>
      <c r="BX296" s="23" t="str">
        <f aca="false">IF($A296="","",IF(NOT(ISNUMBER($Z296)),"",ROUND((IF(ISNUMBER($U296),MIN($U296,$Z296),$Z296)-$B296)*24,4)))</f>
        <v/>
      </c>
      <c r="BY296" s="23" t="str">
        <f aca="false">IF($A296="","",IF(ISNUMBER($Z296),ROUND(($Z296-$B296)*24,4),""))</f>
        <v/>
      </c>
      <c r="BZ296" s="23" t="str">
        <f aca="false">IF($A296="","",IF(AND(ISNUMBER($W296),ISNUMBER($S296)),ROUND(($W296+$S296/1440-$B296)*24,4),""))</f>
        <v/>
      </c>
    </row>
    <row r="297" customFormat="false" ht="15" hidden="false" customHeight="true" outlineLevel="0" collapsed="false">
      <c r="A297" s="47"/>
      <c r="B297" s="47"/>
      <c r="D297" s="4" t="str">
        <f aca="false">IF($A297="","",$B297-$A297)</f>
        <v/>
      </c>
      <c r="E297" s="4" t="str">
        <f aca="false">IF($A297="","",IFERROR(VLOOKUP($C297,Dim_Fund!$A:$X,24,0),""))</f>
        <v/>
      </c>
      <c r="F297" s="37" t="str">
        <f aca="false">IF($A297="","",IF(COUNTIFS(Status_Log!$A:$A,$A297,Status_Log!$B:$B,$B297,Status_Log!$C:$C,$C297,Status_Log!$D:$D,"Changed to the status of Calculated")=0,"",_xlfn.MINIFS(Status_Log!$E:$E,Status_Log!$A:$A,$A297,Status_Log!$B:$B,$B297,Status_Log!$C:$C,$C297,Status_Log!$D:$D,"Changed to the status of Calculated")))</f>
        <v/>
      </c>
      <c r="G297" s="37" t="str">
        <f aca="false">IF($A297="","",IF(COUNTIFS(Status_Log!$A:$A,$A297,Status_Log!$B:$B,$B297,Status_Log!$C:$C,$C297,Status_Log!$D:$D,"Changed to the status of Controlled")=0,"",_xlfn.MAXIFS(Status_Log!$E:$E,Status_Log!$A:$A,$A297,Status_Log!$B:$B,$B297,Status_Log!$C:$C,$C297,Status_Log!$D:$D,"Changed to the status of Controlled")))</f>
        <v/>
      </c>
      <c r="H297" s="37" t="str">
        <f aca="false">IF($A297="","",IF(COUNTIFS(Status_Log!$A:$A,$A297,Status_Log!$B:$B,$B297,Status_Log!$C:$C,$C297,Status_Log!$D:$D,"Changed to the status of Fund accounting signed off")=0,"",_xlfn.MAXIFS(Status_Log!$E:$E,Status_Log!$A:$A,$A297,Status_Log!$B:$B,$B297,Status_Log!$C:$C,$C297,Status_Log!$D:$D,"Changed to the status of Fund accounting signed off")))</f>
        <v/>
      </c>
      <c r="I297" s="37" t="str">
        <f aca="false">IF($A297="","",IF(COUNTIFS(Status_Log!$A:$A,$A297,Status_Log!$B:$B,$B297,Status_Log!$C:$C,$C297,Status_Log!$D:$D,"Changed to the status of signed off")=0,"",_xlfn.MAXIFS(Status_Log!$E:$E,Status_Log!$A:$A,$A297,Status_Log!$B:$B,$B297,Status_Log!$C:$C,$C297,Status_Log!$D:$D,"Changed to the status of signed off")))</f>
        <v/>
      </c>
      <c r="J297" s="4" t="str">
        <f aca="false">IF($A297="","",COUNTIFS(Status_Log!$A:$A,$A297,Status_Log!$B:$B,$B297,Status_Log!$C:$C,$C297,Status_Log!$D:$D,"Changed to the status of Calculated"))</f>
        <v/>
      </c>
      <c r="K297" s="38" t="str">
        <f aca="false">IF($A297="","",IF(J297&lt;=1,0,ROUND((_xlfn.MAXIFS(Status_Log!$E:$E,Status_Log!$A:$A,$A297,Status_Log!$B:$B,$B297,Status_Log!$C:$C,$C297,Status_Log!$D:$D,"Changed to the status of Calculated")-F297)*1440,0)))</f>
        <v/>
      </c>
      <c r="L297" s="4" t="str">
        <f aca="false">IF($A297="","",IFERROR(INDEX(Status_Log!$F:$F,MATCH($A297&amp;"|"&amp;$B297&amp;"|"&amp;$C297&amp;"|Changed to the status of Calculated|"&amp;TEXT(_xlfn.MAXIFS(Status_Log!$E:$E,Status_Log!$A:$A,$A297,Status_Log!$B:$B,$B297,Status_Log!$C:$C,$C297,Status_Log!$D:$D,"Changed to the status of Calculated"),"0.000000"),Status_Log!$H:$H,0)),""))</f>
        <v/>
      </c>
      <c r="M297" s="4" t="str">
        <f aca="false">IF($A297="","",IF(E297="Client","n/a — no control step",IFERROR(INDEX(Status_Log!$F:$F,MATCH($A297&amp;"|"&amp;$B297&amp;"|"&amp;$C297&amp;"|Changed to the status of Controlled|"&amp;TEXT(_xlfn.MAXIFS(Status_Log!$E:$E,Status_Log!$A:$A,$A297,Status_Log!$B:$B,$B297,Status_Log!$C:$C,$C297,Status_Log!$D:$D,"Changed to the status of Controlled"),"0.000000"),Status_Log!$H:$H,0)),"")))</f>
        <v/>
      </c>
      <c r="N297" s="4" t="str">
        <f aca="false">IF($A297="","",IFERROR(VLOOKUP($C297,Dim_Fund!$A:$G,7,0),""))</f>
        <v/>
      </c>
      <c r="O297" s="4" t="str">
        <f aca="false">IF($A297="","",IF(L297=N297,"No","Yes"))</f>
        <v/>
      </c>
      <c r="P297" s="4" t="str">
        <f aca="false">IF($A297="","",IF(E297="Client","n/a",IF(L297=M297,"YES — four-eyes breach","No")))</f>
        <v/>
      </c>
      <c r="Q297" s="38" t="str">
        <f aca="false">IF($A297="","",IFERROR(VLOOKUP($C297,Dim_Fund!$A:$AB,28,0),""))</f>
        <v/>
      </c>
      <c r="R297" s="38" t="str">
        <f aca="false">IF($A297="","",IFERROR(VLOOKUP($C297,Dim_Fund!$A:$AC,29,0),""))</f>
        <v/>
      </c>
      <c r="S297" s="38" t="str">
        <f aca="false">IF($A297="","",IFERROR(VLOOKUP($C297,Dim_Fund!$A:$AD,30,0),""))</f>
        <v/>
      </c>
      <c r="T297" s="38" t="str">
        <f aca="false">IF($A297="","",IFERROR(VLOOKUP($C297,Dim_Fund!$A:$AL,38,0),""))</f>
        <v/>
      </c>
      <c r="U297" s="37" t="str">
        <f aca="false">IF($A297="","",IF(AL297="","",IFERROR(IF(COUNTIFS(Fact_Milestone!$A:$A,$B297,Fact_Milestone!$B:$B,AL297)=0,"",_xlfn.MAXIFS(Fact_Milestone!$C:$C,Fact_Milestone!$A:$A,$B297,Fact_Milestone!$B:$B,AL297)),"")))</f>
        <v/>
      </c>
      <c r="V297" s="37" t="str">
        <f aca="false">IF($A297="","",IFERROR(IF(VLOOKUP($C297,Dim_Fund!$A:$AI,35,0)&gt;0,$B297+VLOOKUP($C297,Dim_Fund!$A:$AI,35,0)/24,""),""))</f>
        <v/>
      </c>
      <c r="W297" s="37" t="str">
        <f aca="false">IF($A297="","",F297)</f>
        <v/>
      </c>
      <c r="X297" s="37" t="str">
        <f aca="false">IF($A297="","",IF(E297="Client",H297,G297))</f>
        <v/>
      </c>
      <c r="Y297" s="37" t="str">
        <f aca="false">IF($A297="","",I297)</f>
        <v/>
      </c>
      <c r="Z297" s="37" t="str">
        <f aca="false">IF($A297="","",IFERROR(W297-R297/1440,""))</f>
        <v/>
      </c>
      <c r="AA297" s="38" t="str">
        <f aca="false">IF($A297="","",IF(OR(U297="",V297=""),"",ROUND((V297-U297)*1440,0)))</f>
        <v/>
      </c>
      <c r="AB297" s="38" t="str">
        <f aca="false">IF($A297="","",IF(U297="","",ROUND((W297-U297)*1440,0)))</f>
        <v/>
      </c>
      <c r="AC297" s="38" t="str">
        <f aca="false">IF($A297="","",IF(AB297="","",MAX(0,AB297)))</f>
        <v/>
      </c>
      <c r="AD297" s="38" t="str">
        <f aca="false">IF($A297="","",IFERROR(ROUND((X297-W297)*1440,0),""))</f>
        <v/>
      </c>
      <c r="AE297" s="38" t="str">
        <f aca="false">IF($A297="","",IF(E297="Client","n/a",IFERROR(ROUND((H297-G297)*1440,0),"")))</f>
        <v/>
      </c>
      <c r="AF297" s="38" t="str">
        <f aca="false">IF($A297="","",IFERROR(ROUND((Y297-H297)*1440,0),""))</f>
        <v/>
      </c>
      <c r="AG297" s="38" t="str">
        <f aca="false">IF($A297="","",IFERROR(ROUND((H297-F297)*1440,0),""))</f>
        <v/>
      </c>
      <c r="AH297" s="38" t="str">
        <f aca="false">IF($A297="","",IFERROR(ROUND((Y297-V297)*1440,0),""))</f>
        <v/>
      </c>
      <c r="AI297" s="4" t="str">
        <f aca="false">IF($A297="","",IF(AH297="","",IF(AH297&gt;0,"Yes","No")))</f>
        <v/>
      </c>
      <c r="AJ297" s="4" t="str">
        <f aca="false">IF($A297="","",IF(AI297&lt;&gt;"Yes","On time",IF(N(AC297)&gt;=MAX(N(AF297),N(K297)),"Wait for analyst",IF(N(AF297)&gt;=N(K297),"External sign-off","Rework"))))</f>
        <v/>
      </c>
      <c r="AK297" s="4" t="str">
        <f aca="false">IF($A297="","",IF(OR(F297="",Y297="",ISNA(MATCH(L297,Dim_Analyst!$A:$A,0))),"CHECK","OK"))</f>
        <v/>
      </c>
      <c r="AL297" s="4" t="str">
        <f aca="false">IF($A297="","",IFERROR(VLOOKUP($C297,Dim_Fund!$A:$U,21,0),""))</f>
        <v/>
      </c>
      <c r="AM297" s="4" t="str">
        <f aca="false">IF($A297="","",IF($U297="","",IF($U297&gt;$B297+IFERROR(VLOOKUP($C297,Dim_Fund!$A:$AH,34,0),0)/24,"Yes","No")))</f>
        <v/>
      </c>
      <c r="AN297" s="22" t="str">
        <f aca="false">IF($A297="","",IFERROR(VLOOKUP($C297,Dim_Fund!$A:$AH,34,0),""))</f>
        <v/>
      </c>
      <c r="AO297" s="22" t="str">
        <f aca="false">IF($A297="","",IF($AL297="","",IFERROR(FLOOR(IF(COUNTIFS(Fact_Milestone!$A:$A,$B297,Fact_Milestone!$B:$B,$AL297,Fact_Milestone!$F:$F,"&gt;0")&gt;0,_xlfn.MINIFS(Fact_Milestone!$F:$F,Fact_Milestone!$A:$A,$B297,Fact_Milestone!$B:$B,$AL297,Fact_Milestone!$F:$F,"&gt;0"),VLOOKUP($AL297,Dim_TOP!$A:$E,5,0)),0.5),"")))</f>
        <v/>
      </c>
      <c r="AP297" s="22" t="str">
        <f aca="false">IF($A297="","",IF($U297="","",ROUND(($U297-INT($U297))*24,4)))</f>
        <v/>
      </c>
      <c r="AQ297" s="22" t="str">
        <f aca="false">IF($A297="","",IF($W297="","",ROUND(($W297-INT($W297))*24,4)))</f>
        <v/>
      </c>
      <c r="AR297" s="22" t="str">
        <f aca="false">IF($A297="","",IF($X297="","",ROUND(($X297-INT($X297))*24,4)))</f>
        <v/>
      </c>
      <c r="AS297" s="38" t="str">
        <f aca="false">IF($A297="","",IF(OR($AN297="",$V297="",$S297="",$T297=""),"",ROUND(($V297-($B297+$AN297/24))*1440-$S297-$T297,0)))</f>
        <v/>
      </c>
      <c r="AT297" s="38" t="str">
        <f aca="false">IF($A297="","",IF(OR($AN297="",$U297=""),"",ROUND(($U297-($B297+$AN297/24))*1440,0)))</f>
        <v/>
      </c>
      <c r="AU297" s="38" t="str">
        <f aca="false">IF($A297="","",IF(OR($AD297="",$S297=""),"",ROUND($AD297-$S297,0)))</f>
        <v/>
      </c>
      <c r="AV297" s="38" t="str">
        <f aca="false">IF($A297="","",N($AE297))</f>
        <v/>
      </c>
      <c r="AW297" s="38" t="str">
        <f aca="false">IF($A297="","",IF(OR($AF297="",$T297=""),"",$AF297-$T297))</f>
        <v/>
      </c>
      <c r="AX297" s="38" t="str">
        <f aca="false">IF($A297="","",IF(COUNT($AT297,$AB297,$AU297,$AW297,$AS297,$AH297)&lt;6,"",ROUND($AT297+$AB297+$AU297+$AV297+$AW297-$AS297-$AH297,0)))</f>
        <v/>
      </c>
      <c r="AY297" s="4" t="str">
        <f aca="false">IF($A297="","",IF($AX297="","No",IF(ABS($AX297)&lt;=2,"Yes","No")))</f>
        <v/>
      </c>
      <c r="AZ297" s="4" t="str">
        <f aca="false">IF($A297="","",IF($AI297&lt;&gt;"Yes","n/a",IF(OR($AA297="",$S297="",$T297=""),"Unknown",IF($AA297&lt;$S297+$T297,"Lost on arrival","Lost after arrival"))))</f>
        <v/>
      </c>
      <c r="BA297" s="10" t="str">
        <f aca="false">IF($A297="","",IFERROR(VLOOKUP($C297,Dim_Fund!$A:$D,4,0),""))</f>
        <v/>
      </c>
      <c r="BB297" s="10" t="str">
        <f aca="false">IF($A297="","",IF($AL297="","",IF(COUNTIFS(Fact_Milestone!$A:$A,$B297,Fact_Milestone!$B:$B,$AL297,Fact_Milestone!$I:$I,"No")&gt;0,"No",IF(COUNTIFS(Fact_Milestone!$A:$A,$B297,Fact_Milestone!$B:$B,$AL297,Fact_Milestone!$I:$I,"Yes")&gt;0,"Yes",""))))</f>
        <v/>
      </c>
      <c r="BC297" s="45" t="str">
        <f aca="false">IF($A297="","",IF(OR($L297="",$W297=""),"",IF(COUNTIFS($L:$L,$L297,$B:$B,$B297,$W:$W,"&lt;"&amp;$W297)=0,"",_xlfn.MAXIFS($W:$W,$L:$L,$L297,$B:$B,$B297,$W:$W,"&lt;"&amp;$W297))))</f>
        <v/>
      </c>
      <c r="BD297" s="39" t="str">
        <f aca="false">IF($A297="","",IF($AC297="","",IF(OR($L297="",$AC297=0),0,MIN($AC297,ROUND(ROUND(1440*SUMPRODUCT(($L$2:INDEX($L:$L,COUNTA($C:$C))=$L297)*($B$2:INDEX($B:$B,COUNTA($C:$C))=$B297)*(ROW($L$2:INDEX($L:$L,COUNTA($C:$C)))&lt;&gt;ROW())*((((($W297+$BT$2:INDEX($BT:$BT,COUNTA($C:$C))-ABS($W297-$BT$2:INDEX($BT:$BT,COUNTA($C:$C))))/2)-(($U297+$BS$2:INDEX($BS:$BS,COUNTA($C:$C))+ABS($U297-$BS$2:INDEX($BS:$BS,COUNTA($C:$C))))/2))+ABS(((($W297+$BT$2:INDEX($BT:$BT,COUNTA($C:$C))-ABS($W297-$BT$2:INDEX($BT:$BT,COUNTA($C:$C))))/2)-(($U297+$BS$2:INDEX($BS:$BS,COUNTA($C:$C))+ABS($U297-$BS$2:INDEX($BS:$BS,COUNTA($C:$C))))/2))))/2)),4),0)))))</f>
        <v/>
      </c>
      <c r="BE297" s="39" t="str">
        <f aca="false">IF($A297="","",IF($AC297="","",ROUND(MIN($AC297-$BD297,N($R297)),0)))</f>
        <v/>
      </c>
      <c r="BF297" s="10" t="str">
        <f aca="false">IF($A297="","",IFERROR(VLOOKUP($C297,Dim_Fund!$A:$BD,56,0),""))</f>
        <v/>
      </c>
      <c r="BG297" s="10" t="str">
        <f aca="false">IF($A297="","",IFERROR(VLOOKUP($C297,Dim_Fund!$A:$BH,60,0),""))</f>
        <v/>
      </c>
      <c r="BH297" s="10" t="str">
        <f aca="false">IF($A297="","",IF($AI297&lt;&gt;"Yes","Not breached",IF($AM297="Yes","Pricing late",IF($BG297="Thin custody slack","Thin custody slack",IF($BF297="Yes","Broker-dependent","None of these")))))</f>
        <v/>
      </c>
      <c r="BI297" s="23" t="str">
        <f aca="false">IF($A297="","",IFERROR(IF(VLOOKUP($C297,Dim_Fund!$A:$AI,35,0)&gt;0,VLOOKUP($C297,Dim_Fund!$A:$AI,35,0),""),""))</f>
        <v/>
      </c>
      <c r="BJ297" s="10" t="str">
        <f aca="false">IF($A297="","",$C297&amp;IF($E297="Client","*",""))</f>
        <v/>
      </c>
      <c r="BK297" s="39" t="str">
        <f aca="false">IF($A297="","",IFERROR(ROUND(($Y297-$X297)*1440,0),""))</f>
        <v/>
      </c>
      <c r="BL297" s="39" t="str">
        <f aca="false">IF($A297="","",IF($AH297="","",-$AH297))</f>
        <v/>
      </c>
      <c r="BM297" s="46" t="str">
        <f aca="false">IF($A297="","",IF($AQ297="","",IF($AP297="",$AQ297,MIN($AP297,$AQ297))))</f>
        <v/>
      </c>
      <c r="BN297" s="46" t="str">
        <f aca="false">IF($A297="","",IF($BM297="","",ROUND(N($AC297)/60,4)))</f>
        <v/>
      </c>
      <c r="BO297" s="46" t="str">
        <f aca="false">IF($A297="","",IF(OR($BM297="",$AD297=""),"",ROUND($AD297/60,4)))</f>
        <v/>
      </c>
      <c r="BP297" s="46" t="str">
        <f aca="false">IF($A297="","",IF($BM297="","",ROUND(N($AE297)/60,4)))</f>
        <v/>
      </c>
      <c r="BQ297" s="46" t="str">
        <f aca="false">IF($A297="","",IF(OR($BM297="",$AF297=""),"",ROUND($AF297/60,4)))</f>
        <v/>
      </c>
      <c r="BR297" s="39" t="str">
        <f aca="false">IF($A297="","",IF($AC297="","",$AC297-$BD297-$BE297))</f>
        <v/>
      </c>
      <c r="BS297" s="45" t="str">
        <f aca="false">IF($A297="","",IF(AND(ISNUMBER($Z297),ISNUMBER($W297)),$Z297,0))</f>
        <v/>
      </c>
      <c r="BT297" s="45" t="str">
        <f aca="false">IF($A297="","",IF(ISNUMBER($W297),$W297,0))</f>
        <v/>
      </c>
      <c r="BU297" s="23" t="str">
        <f aca="false">IF($A297="","",IF(ISNUMBER($W297),ROUND(($W297-$B297)*24,4),""))</f>
        <v/>
      </c>
      <c r="BV297" s="23" t="str">
        <f aca="false">IF($A297="","",IF(ISNUMBER($X297),ROUND(($X297-$B297)*24,4),""))</f>
        <v/>
      </c>
      <c r="BW297" s="10" t="str">
        <f aca="false">IF($A297="","",IF(NOT(ISNUMBER($W297)),"Missing Calculated",IF(NOT(ISNUMBER($X297)),IF($E297="Client","Missing FA signed off","Missing Controlled"),IF($X297&lt;$W297,"End before start","OK"))))</f>
        <v/>
      </c>
      <c r="BX297" s="23" t="str">
        <f aca="false">IF($A297="","",IF(NOT(ISNUMBER($Z297)),"",ROUND((IF(ISNUMBER($U297),MIN($U297,$Z297),$Z297)-$B297)*24,4)))</f>
        <v/>
      </c>
      <c r="BY297" s="23" t="str">
        <f aca="false">IF($A297="","",IF(ISNUMBER($Z297),ROUND(($Z297-$B297)*24,4),""))</f>
        <v/>
      </c>
      <c r="BZ297" s="23" t="str">
        <f aca="false">IF($A297="","",IF(AND(ISNUMBER($W297),ISNUMBER($S297)),ROUND(($W297+$S297/1440-$B297)*24,4),""))</f>
        <v/>
      </c>
    </row>
    <row r="298" customFormat="false" ht="15" hidden="false" customHeight="true" outlineLevel="0" collapsed="false">
      <c r="A298" s="47"/>
      <c r="B298" s="47"/>
      <c r="D298" s="4" t="str">
        <f aca="false">IF($A298="","",$B298-$A298)</f>
        <v/>
      </c>
      <c r="E298" s="4" t="str">
        <f aca="false">IF($A298="","",IFERROR(VLOOKUP($C298,Dim_Fund!$A:$X,24,0),""))</f>
        <v/>
      </c>
      <c r="F298" s="37" t="str">
        <f aca="false">IF($A298="","",IF(COUNTIFS(Status_Log!$A:$A,$A298,Status_Log!$B:$B,$B298,Status_Log!$C:$C,$C298,Status_Log!$D:$D,"Changed to the status of Calculated")=0,"",_xlfn.MINIFS(Status_Log!$E:$E,Status_Log!$A:$A,$A298,Status_Log!$B:$B,$B298,Status_Log!$C:$C,$C298,Status_Log!$D:$D,"Changed to the status of Calculated")))</f>
        <v/>
      </c>
      <c r="G298" s="37" t="str">
        <f aca="false">IF($A298="","",IF(COUNTIFS(Status_Log!$A:$A,$A298,Status_Log!$B:$B,$B298,Status_Log!$C:$C,$C298,Status_Log!$D:$D,"Changed to the status of Controlled")=0,"",_xlfn.MAXIFS(Status_Log!$E:$E,Status_Log!$A:$A,$A298,Status_Log!$B:$B,$B298,Status_Log!$C:$C,$C298,Status_Log!$D:$D,"Changed to the status of Controlled")))</f>
        <v/>
      </c>
      <c r="H298" s="37" t="str">
        <f aca="false">IF($A298="","",IF(COUNTIFS(Status_Log!$A:$A,$A298,Status_Log!$B:$B,$B298,Status_Log!$C:$C,$C298,Status_Log!$D:$D,"Changed to the status of Fund accounting signed off")=0,"",_xlfn.MAXIFS(Status_Log!$E:$E,Status_Log!$A:$A,$A298,Status_Log!$B:$B,$B298,Status_Log!$C:$C,$C298,Status_Log!$D:$D,"Changed to the status of Fund accounting signed off")))</f>
        <v/>
      </c>
      <c r="I298" s="37" t="str">
        <f aca="false">IF($A298="","",IF(COUNTIFS(Status_Log!$A:$A,$A298,Status_Log!$B:$B,$B298,Status_Log!$C:$C,$C298,Status_Log!$D:$D,"Changed to the status of signed off")=0,"",_xlfn.MAXIFS(Status_Log!$E:$E,Status_Log!$A:$A,$A298,Status_Log!$B:$B,$B298,Status_Log!$C:$C,$C298,Status_Log!$D:$D,"Changed to the status of signed off")))</f>
        <v/>
      </c>
      <c r="J298" s="4" t="str">
        <f aca="false">IF($A298="","",COUNTIFS(Status_Log!$A:$A,$A298,Status_Log!$B:$B,$B298,Status_Log!$C:$C,$C298,Status_Log!$D:$D,"Changed to the status of Calculated"))</f>
        <v/>
      </c>
      <c r="K298" s="38" t="str">
        <f aca="false">IF($A298="","",IF(J298&lt;=1,0,ROUND((_xlfn.MAXIFS(Status_Log!$E:$E,Status_Log!$A:$A,$A298,Status_Log!$B:$B,$B298,Status_Log!$C:$C,$C298,Status_Log!$D:$D,"Changed to the status of Calculated")-F298)*1440,0)))</f>
        <v/>
      </c>
      <c r="L298" s="4" t="str">
        <f aca="false">IF($A298="","",IFERROR(INDEX(Status_Log!$F:$F,MATCH($A298&amp;"|"&amp;$B298&amp;"|"&amp;$C298&amp;"|Changed to the status of Calculated|"&amp;TEXT(_xlfn.MAXIFS(Status_Log!$E:$E,Status_Log!$A:$A,$A298,Status_Log!$B:$B,$B298,Status_Log!$C:$C,$C298,Status_Log!$D:$D,"Changed to the status of Calculated"),"0.000000"),Status_Log!$H:$H,0)),""))</f>
        <v/>
      </c>
      <c r="M298" s="4" t="str">
        <f aca="false">IF($A298="","",IF(E298="Client","n/a — no control step",IFERROR(INDEX(Status_Log!$F:$F,MATCH($A298&amp;"|"&amp;$B298&amp;"|"&amp;$C298&amp;"|Changed to the status of Controlled|"&amp;TEXT(_xlfn.MAXIFS(Status_Log!$E:$E,Status_Log!$A:$A,$A298,Status_Log!$B:$B,$B298,Status_Log!$C:$C,$C298,Status_Log!$D:$D,"Changed to the status of Controlled"),"0.000000"),Status_Log!$H:$H,0)),"")))</f>
        <v/>
      </c>
      <c r="N298" s="4" t="str">
        <f aca="false">IF($A298="","",IFERROR(VLOOKUP($C298,Dim_Fund!$A:$G,7,0),""))</f>
        <v/>
      </c>
      <c r="O298" s="4" t="str">
        <f aca="false">IF($A298="","",IF(L298=N298,"No","Yes"))</f>
        <v/>
      </c>
      <c r="P298" s="4" t="str">
        <f aca="false">IF($A298="","",IF(E298="Client","n/a",IF(L298=M298,"YES — four-eyes breach","No")))</f>
        <v/>
      </c>
      <c r="Q298" s="38" t="str">
        <f aca="false">IF($A298="","",IFERROR(VLOOKUP($C298,Dim_Fund!$A:$AB,28,0),""))</f>
        <v/>
      </c>
      <c r="R298" s="38" t="str">
        <f aca="false">IF($A298="","",IFERROR(VLOOKUP($C298,Dim_Fund!$A:$AC,29,0),""))</f>
        <v/>
      </c>
      <c r="S298" s="38" t="str">
        <f aca="false">IF($A298="","",IFERROR(VLOOKUP($C298,Dim_Fund!$A:$AD,30,0),""))</f>
        <v/>
      </c>
      <c r="T298" s="38" t="str">
        <f aca="false">IF($A298="","",IFERROR(VLOOKUP($C298,Dim_Fund!$A:$AL,38,0),""))</f>
        <v/>
      </c>
      <c r="U298" s="37" t="str">
        <f aca="false">IF($A298="","",IF(AL298="","",IFERROR(IF(COUNTIFS(Fact_Milestone!$A:$A,$B298,Fact_Milestone!$B:$B,AL298)=0,"",_xlfn.MAXIFS(Fact_Milestone!$C:$C,Fact_Milestone!$A:$A,$B298,Fact_Milestone!$B:$B,AL298)),"")))</f>
        <v/>
      </c>
      <c r="V298" s="37" t="str">
        <f aca="false">IF($A298="","",IFERROR(IF(VLOOKUP($C298,Dim_Fund!$A:$AI,35,0)&gt;0,$B298+VLOOKUP($C298,Dim_Fund!$A:$AI,35,0)/24,""),""))</f>
        <v/>
      </c>
      <c r="W298" s="37" t="str">
        <f aca="false">IF($A298="","",F298)</f>
        <v/>
      </c>
      <c r="X298" s="37" t="str">
        <f aca="false">IF($A298="","",IF(E298="Client",H298,G298))</f>
        <v/>
      </c>
      <c r="Y298" s="37" t="str">
        <f aca="false">IF($A298="","",I298)</f>
        <v/>
      </c>
      <c r="Z298" s="37" t="str">
        <f aca="false">IF($A298="","",IFERROR(W298-R298/1440,""))</f>
        <v/>
      </c>
      <c r="AA298" s="38" t="str">
        <f aca="false">IF($A298="","",IF(OR(U298="",V298=""),"",ROUND((V298-U298)*1440,0)))</f>
        <v/>
      </c>
      <c r="AB298" s="38" t="str">
        <f aca="false">IF($A298="","",IF(U298="","",ROUND((W298-U298)*1440,0)))</f>
        <v/>
      </c>
      <c r="AC298" s="38" t="str">
        <f aca="false">IF($A298="","",IF(AB298="","",MAX(0,AB298)))</f>
        <v/>
      </c>
      <c r="AD298" s="38" t="str">
        <f aca="false">IF($A298="","",IFERROR(ROUND((X298-W298)*1440,0),""))</f>
        <v/>
      </c>
      <c r="AE298" s="38" t="str">
        <f aca="false">IF($A298="","",IF(E298="Client","n/a",IFERROR(ROUND((H298-G298)*1440,0),"")))</f>
        <v/>
      </c>
      <c r="AF298" s="38" t="str">
        <f aca="false">IF($A298="","",IFERROR(ROUND((Y298-H298)*1440,0),""))</f>
        <v/>
      </c>
      <c r="AG298" s="38" t="str">
        <f aca="false">IF($A298="","",IFERROR(ROUND((H298-F298)*1440,0),""))</f>
        <v/>
      </c>
      <c r="AH298" s="38" t="str">
        <f aca="false">IF($A298="","",IFERROR(ROUND((Y298-V298)*1440,0),""))</f>
        <v/>
      </c>
      <c r="AI298" s="4" t="str">
        <f aca="false">IF($A298="","",IF(AH298="","",IF(AH298&gt;0,"Yes","No")))</f>
        <v/>
      </c>
      <c r="AJ298" s="4" t="str">
        <f aca="false">IF($A298="","",IF(AI298&lt;&gt;"Yes","On time",IF(N(AC298)&gt;=MAX(N(AF298),N(K298)),"Wait for analyst",IF(N(AF298)&gt;=N(K298),"External sign-off","Rework"))))</f>
        <v/>
      </c>
      <c r="AK298" s="4" t="str">
        <f aca="false">IF($A298="","",IF(OR(F298="",Y298="",ISNA(MATCH(L298,Dim_Analyst!$A:$A,0))),"CHECK","OK"))</f>
        <v/>
      </c>
      <c r="AL298" s="4" t="str">
        <f aca="false">IF($A298="","",IFERROR(VLOOKUP($C298,Dim_Fund!$A:$U,21,0),""))</f>
        <v/>
      </c>
      <c r="AM298" s="4" t="str">
        <f aca="false">IF($A298="","",IF($U298="","",IF($U298&gt;$B298+IFERROR(VLOOKUP($C298,Dim_Fund!$A:$AH,34,0),0)/24,"Yes","No")))</f>
        <v/>
      </c>
      <c r="AN298" s="22" t="str">
        <f aca="false">IF($A298="","",IFERROR(VLOOKUP($C298,Dim_Fund!$A:$AH,34,0),""))</f>
        <v/>
      </c>
      <c r="AO298" s="22" t="str">
        <f aca="false">IF($A298="","",IF($AL298="","",IFERROR(FLOOR(IF(COUNTIFS(Fact_Milestone!$A:$A,$B298,Fact_Milestone!$B:$B,$AL298,Fact_Milestone!$F:$F,"&gt;0")&gt;0,_xlfn.MINIFS(Fact_Milestone!$F:$F,Fact_Milestone!$A:$A,$B298,Fact_Milestone!$B:$B,$AL298,Fact_Milestone!$F:$F,"&gt;0"),VLOOKUP($AL298,Dim_TOP!$A:$E,5,0)),0.5),"")))</f>
        <v/>
      </c>
      <c r="AP298" s="22" t="str">
        <f aca="false">IF($A298="","",IF($U298="","",ROUND(($U298-INT($U298))*24,4)))</f>
        <v/>
      </c>
      <c r="AQ298" s="22" t="str">
        <f aca="false">IF($A298="","",IF($W298="","",ROUND(($W298-INT($W298))*24,4)))</f>
        <v/>
      </c>
      <c r="AR298" s="22" t="str">
        <f aca="false">IF($A298="","",IF($X298="","",ROUND(($X298-INT($X298))*24,4)))</f>
        <v/>
      </c>
      <c r="AS298" s="38" t="str">
        <f aca="false">IF($A298="","",IF(OR($AN298="",$V298="",$S298="",$T298=""),"",ROUND(($V298-($B298+$AN298/24))*1440-$S298-$T298,0)))</f>
        <v/>
      </c>
      <c r="AT298" s="38" t="str">
        <f aca="false">IF($A298="","",IF(OR($AN298="",$U298=""),"",ROUND(($U298-($B298+$AN298/24))*1440,0)))</f>
        <v/>
      </c>
      <c r="AU298" s="38" t="str">
        <f aca="false">IF($A298="","",IF(OR($AD298="",$S298=""),"",ROUND($AD298-$S298,0)))</f>
        <v/>
      </c>
      <c r="AV298" s="38" t="str">
        <f aca="false">IF($A298="","",N($AE298))</f>
        <v/>
      </c>
      <c r="AW298" s="38" t="str">
        <f aca="false">IF($A298="","",IF(OR($AF298="",$T298=""),"",$AF298-$T298))</f>
        <v/>
      </c>
      <c r="AX298" s="38" t="str">
        <f aca="false">IF($A298="","",IF(COUNT($AT298,$AB298,$AU298,$AW298,$AS298,$AH298)&lt;6,"",ROUND($AT298+$AB298+$AU298+$AV298+$AW298-$AS298-$AH298,0)))</f>
        <v/>
      </c>
      <c r="AY298" s="4" t="str">
        <f aca="false">IF($A298="","",IF($AX298="","No",IF(ABS($AX298)&lt;=2,"Yes","No")))</f>
        <v/>
      </c>
      <c r="AZ298" s="4" t="str">
        <f aca="false">IF($A298="","",IF($AI298&lt;&gt;"Yes","n/a",IF(OR($AA298="",$S298="",$T298=""),"Unknown",IF($AA298&lt;$S298+$T298,"Lost on arrival","Lost after arrival"))))</f>
        <v/>
      </c>
      <c r="BA298" s="10" t="str">
        <f aca="false">IF($A298="","",IFERROR(VLOOKUP($C298,Dim_Fund!$A:$D,4,0),""))</f>
        <v/>
      </c>
      <c r="BB298" s="10" t="str">
        <f aca="false">IF($A298="","",IF($AL298="","",IF(COUNTIFS(Fact_Milestone!$A:$A,$B298,Fact_Milestone!$B:$B,$AL298,Fact_Milestone!$I:$I,"No")&gt;0,"No",IF(COUNTIFS(Fact_Milestone!$A:$A,$B298,Fact_Milestone!$B:$B,$AL298,Fact_Milestone!$I:$I,"Yes")&gt;0,"Yes",""))))</f>
        <v/>
      </c>
      <c r="BC298" s="45" t="str">
        <f aca="false">IF($A298="","",IF(OR($L298="",$W298=""),"",IF(COUNTIFS($L:$L,$L298,$B:$B,$B298,$W:$W,"&lt;"&amp;$W298)=0,"",_xlfn.MAXIFS($W:$W,$L:$L,$L298,$B:$B,$B298,$W:$W,"&lt;"&amp;$W298))))</f>
        <v/>
      </c>
      <c r="BD298" s="39" t="str">
        <f aca="false">IF($A298="","",IF($AC298="","",IF(OR($L298="",$AC298=0),0,MIN($AC298,ROUND(ROUND(1440*SUMPRODUCT(($L$2:INDEX($L:$L,COUNTA($C:$C))=$L298)*($B$2:INDEX($B:$B,COUNTA($C:$C))=$B298)*(ROW($L$2:INDEX($L:$L,COUNTA($C:$C)))&lt;&gt;ROW())*((((($W298+$BT$2:INDEX($BT:$BT,COUNTA($C:$C))-ABS($W298-$BT$2:INDEX($BT:$BT,COUNTA($C:$C))))/2)-(($U298+$BS$2:INDEX($BS:$BS,COUNTA($C:$C))+ABS($U298-$BS$2:INDEX($BS:$BS,COUNTA($C:$C))))/2))+ABS(((($W298+$BT$2:INDEX($BT:$BT,COUNTA($C:$C))-ABS($W298-$BT$2:INDEX($BT:$BT,COUNTA($C:$C))))/2)-(($U298+$BS$2:INDEX($BS:$BS,COUNTA($C:$C))+ABS($U298-$BS$2:INDEX($BS:$BS,COUNTA($C:$C))))/2))))/2)),4),0)))))</f>
        <v/>
      </c>
      <c r="BE298" s="39" t="str">
        <f aca="false">IF($A298="","",IF($AC298="","",ROUND(MIN($AC298-$BD298,N($R298)),0)))</f>
        <v/>
      </c>
      <c r="BF298" s="10" t="str">
        <f aca="false">IF($A298="","",IFERROR(VLOOKUP($C298,Dim_Fund!$A:$BD,56,0),""))</f>
        <v/>
      </c>
      <c r="BG298" s="10" t="str">
        <f aca="false">IF($A298="","",IFERROR(VLOOKUP($C298,Dim_Fund!$A:$BH,60,0),""))</f>
        <v/>
      </c>
      <c r="BH298" s="10" t="str">
        <f aca="false">IF($A298="","",IF($AI298&lt;&gt;"Yes","Not breached",IF($AM298="Yes","Pricing late",IF($BG298="Thin custody slack","Thin custody slack",IF($BF298="Yes","Broker-dependent","None of these")))))</f>
        <v/>
      </c>
      <c r="BI298" s="23" t="str">
        <f aca="false">IF($A298="","",IFERROR(IF(VLOOKUP($C298,Dim_Fund!$A:$AI,35,0)&gt;0,VLOOKUP($C298,Dim_Fund!$A:$AI,35,0),""),""))</f>
        <v/>
      </c>
      <c r="BJ298" s="10" t="str">
        <f aca="false">IF($A298="","",$C298&amp;IF($E298="Client","*",""))</f>
        <v/>
      </c>
      <c r="BK298" s="39" t="str">
        <f aca="false">IF($A298="","",IFERROR(ROUND(($Y298-$X298)*1440,0),""))</f>
        <v/>
      </c>
      <c r="BL298" s="39" t="str">
        <f aca="false">IF($A298="","",IF($AH298="","",-$AH298))</f>
        <v/>
      </c>
      <c r="BM298" s="46" t="str">
        <f aca="false">IF($A298="","",IF($AQ298="","",IF($AP298="",$AQ298,MIN($AP298,$AQ298))))</f>
        <v/>
      </c>
      <c r="BN298" s="46" t="str">
        <f aca="false">IF($A298="","",IF($BM298="","",ROUND(N($AC298)/60,4)))</f>
        <v/>
      </c>
      <c r="BO298" s="46" t="str">
        <f aca="false">IF($A298="","",IF(OR($BM298="",$AD298=""),"",ROUND($AD298/60,4)))</f>
        <v/>
      </c>
      <c r="BP298" s="46" t="str">
        <f aca="false">IF($A298="","",IF($BM298="","",ROUND(N($AE298)/60,4)))</f>
        <v/>
      </c>
      <c r="BQ298" s="46" t="str">
        <f aca="false">IF($A298="","",IF(OR($BM298="",$AF298=""),"",ROUND($AF298/60,4)))</f>
        <v/>
      </c>
      <c r="BR298" s="39" t="str">
        <f aca="false">IF($A298="","",IF($AC298="","",$AC298-$BD298-$BE298))</f>
        <v/>
      </c>
      <c r="BS298" s="45" t="str">
        <f aca="false">IF($A298="","",IF(AND(ISNUMBER($Z298),ISNUMBER($W298)),$Z298,0))</f>
        <v/>
      </c>
      <c r="BT298" s="45" t="str">
        <f aca="false">IF($A298="","",IF(ISNUMBER($W298),$W298,0))</f>
        <v/>
      </c>
      <c r="BU298" s="23" t="str">
        <f aca="false">IF($A298="","",IF(ISNUMBER($W298),ROUND(($W298-$B298)*24,4),""))</f>
        <v/>
      </c>
      <c r="BV298" s="23" t="str">
        <f aca="false">IF($A298="","",IF(ISNUMBER($X298),ROUND(($X298-$B298)*24,4),""))</f>
        <v/>
      </c>
      <c r="BW298" s="10" t="str">
        <f aca="false">IF($A298="","",IF(NOT(ISNUMBER($W298)),"Missing Calculated",IF(NOT(ISNUMBER($X298)),IF($E298="Client","Missing FA signed off","Missing Controlled"),IF($X298&lt;$W298,"End before start","OK"))))</f>
        <v/>
      </c>
      <c r="BX298" s="23" t="str">
        <f aca="false">IF($A298="","",IF(NOT(ISNUMBER($Z298)),"",ROUND((IF(ISNUMBER($U298),MIN($U298,$Z298),$Z298)-$B298)*24,4)))</f>
        <v/>
      </c>
      <c r="BY298" s="23" t="str">
        <f aca="false">IF($A298="","",IF(ISNUMBER($Z298),ROUND(($Z298-$B298)*24,4),""))</f>
        <v/>
      </c>
      <c r="BZ298" s="23" t="str">
        <f aca="false">IF($A298="","",IF(AND(ISNUMBER($W298),ISNUMBER($S298)),ROUND(($W298+$S298/1440-$B298)*24,4),""))</f>
        <v/>
      </c>
    </row>
    <row r="299" customFormat="false" ht="15" hidden="false" customHeight="true" outlineLevel="0" collapsed="false">
      <c r="A299" s="47"/>
      <c r="B299" s="47"/>
      <c r="D299" s="4" t="str">
        <f aca="false">IF($A299="","",$B299-$A299)</f>
        <v/>
      </c>
      <c r="E299" s="4" t="str">
        <f aca="false">IF($A299="","",IFERROR(VLOOKUP($C299,Dim_Fund!$A:$X,24,0),""))</f>
        <v/>
      </c>
      <c r="F299" s="37" t="str">
        <f aca="false">IF($A299="","",IF(COUNTIFS(Status_Log!$A:$A,$A299,Status_Log!$B:$B,$B299,Status_Log!$C:$C,$C299,Status_Log!$D:$D,"Changed to the status of Calculated")=0,"",_xlfn.MINIFS(Status_Log!$E:$E,Status_Log!$A:$A,$A299,Status_Log!$B:$B,$B299,Status_Log!$C:$C,$C299,Status_Log!$D:$D,"Changed to the status of Calculated")))</f>
        <v/>
      </c>
      <c r="G299" s="37" t="str">
        <f aca="false">IF($A299="","",IF(COUNTIFS(Status_Log!$A:$A,$A299,Status_Log!$B:$B,$B299,Status_Log!$C:$C,$C299,Status_Log!$D:$D,"Changed to the status of Controlled")=0,"",_xlfn.MAXIFS(Status_Log!$E:$E,Status_Log!$A:$A,$A299,Status_Log!$B:$B,$B299,Status_Log!$C:$C,$C299,Status_Log!$D:$D,"Changed to the status of Controlled")))</f>
        <v/>
      </c>
      <c r="H299" s="37" t="str">
        <f aca="false">IF($A299="","",IF(COUNTIFS(Status_Log!$A:$A,$A299,Status_Log!$B:$B,$B299,Status_Log!$C:$C,$C299,Status_Log!$D:$D,"Changed to the status of Fund accounting signed off")=0,"",_xlfn.MAXIFS(Status_Log!$E:$E,Status_Log!$A:$A,$A299,Status_Log!$B:$B,$B299,Status_Log!$C:$C,$C299,Status_Log!$D:$D,"Changed to the status of Fund accounting signed off")))</f>
        <v/>
      </c>
      <c r="I299" s="37" t="str">
        <f aca="false">IF($A299="","",IF(COUNTIFS(Status_Log!$A:$A,$A299,Status_Log!$B:$B,$B299,Status_Log!$C:$C,$C299,Status_Log!$D:$D,"Changed to the status of signed off")=0,"",_xlfn.MAXIFS(Status_Log!$E:$E,Status_Log!$A:$A,$A299,Status_Log!$B:$B,$B299,Status_Log!$C:$C,$C299,Status_Log!$D:$D,"Changed to the status of signed off")))</f>
        <v/>
      </c>
      <c r="J299" s="4" t="str">
        <f aca="false">IF($A299="","",COUNTIFS(Status_Log!$A:$A,$A299,Status_Log!$B:$B,$B299,Status_Log!$C:$C,$C299,Status_Log!$D:$D,"Changed to the status of Calculated"))</f>
        <v/>
      </c>
      <c r="K299" s="38" t="str">
        <f aca="false">IF($A299="","",IF(J299&lt;=1,0,ROUND((_xlfn.MAXIFS(Status_Log!$E:$E,Status_Log!$A:$A,$A299,Status_Log!$B:$B,$B299,Status_Log!$C:$C,$C299,Status_Log!$D:$D,"Changed to the status of Calculated")-F299)*1440,0)))</f>
        <v/>
      </c>
      <c r="L299" s="4" t="str">
        <f aca="false">IF($A299="","",IFERROR(INDEX(Status_Log!$F:$F,MATCH($A299&amp;"|"&amp;$B299&amp;"|"&amp;$C299&amp;"|Changed to the status of Calculated|"&amp;TEXT(_xlfn.MAXIFS(Status_Log!$E:$E,Status_Log!$A:$A,$A299,Status_Log!$B:$B,$B299,Status_Log!$C:$C,$C299,Status_Log!$D:$D,"Changed to the status of Calculated"),"0.000000"),Status_Log!$H:$H,0)),""))</f>
        <v/>
      </c>
      <c r="M299" s="4" t="str">
        <f aca="false">IF($A299="","",IF(E299="Client","n/a — no control step",IFERROR(INDEX(Status_Log!$F:$F,MATCH($A299&amp;"|"&amp;$B299&amp;"|"&amp;$C299&amp;"|Changed to the status of Controlled|"&amp;TEXT(_xlfn.MAXIFS(Status_Log!$E:$E,Status_Log!$A:$A,$A299,Status_Log!$B:$B,$B299,Status_Log!$C:$C,$C299,Status_Log!$D:$D,"Changed to the status of Controlled"),"0.000000"),Status_Log!$H:$H,0)),"")))</f>
        <v/>
      </c>
      <c r="N299" s="4" t="str">
        <f aca="false">IF($A299="","",IFERROR(VLOOKUP($C299,Dim_Fund!$A:$G,7,0),""))</f>
        <v/>
      </c>
      <c r="O299" s="4" t="str">
        <f aca="false">IF($A299="","",IF(L299=N299,"No","Yes"))</f>
        <v/>
      </c>
      <c r="P299" s="4" t="str">
        <f aca="false">IF($A299="","",IF(E299="Client","n/a",IF(L299=M299,"YES — four-eyes breach","No")))</f>
        <v/>
      </c>
      <c r="Q299" s="38" t="str">
        <f aca="false">IF($A299="","",IFERROR(VLOOKUP($C299,Dim_Fund!$A:$AB,28,0),""))</f>
        <v/>
      </c>
      <c r="R299" s="38" t="str">
        <f aca="false">IF($A299="","",IFERROR(VLOOKUP($C299,Dim_Fund!$A:$AC,29,0),""))</f>
        <v/>
      </c>
      <c r="S299" s="38" t="str">
        <f aca="false">IF($A299="","",IFERROR(VLOOKUP($C299,Dim_Fund!$A:$AD,30,0),""))</f>
        <v/>
      </c>
      <c r="T299" s="38" t="str">
        <f aca="false">IF($A299="","",IFERROR(VLOOKUP($C299,Dim_Fund!$A:$AL,38,0),""))</f>
        <v/>
      </c>
      <c r="U299" s="37" t="str">
        <f aca="false">IF($A299="","",IF(AL299="","",IFERROR(IF(COUNTIFS(Fact_Milestone!$A:$A,$B299,Fact_Milestone!$B:$B,AL299)=0,"",_xlfn.MAXIFS(Fact_Milestone!$C:$C,Fact_Milestone!$A:$A,$B299,Fact_Milestone!$B:$B,AL299)),"")))</f>
        <v/>
      </c>
      <c r="V299" s="37" t="str">
        <f aca="false">IF($A299="","",IFERROR(IF(VLOOKUP($C299,Dim_Fund!$A:$AI,35,0)&gt;0,$B299+VLOOKUP($C299,Dim_Fund!$A:$AI,35,0)/24,""),""))</f>
        <v/>
      </c>
      <c r="W299" s="37" t="str">
        <f aca="false">IF($A299="","",F299)</f>
        <v/>
      </c>
      <c r="X299" s="37" t="str">
        <f aca="false">IF($A299="","",IF(E299="Client",H299,G299))</f>
        <v/>
      </c>
      <c r="Y299" s="37" t="str">
        <f aca="false">IF($A299="","",I299)</f>
        <v/>
      </c>
      <c r="Z299" s="37" t="str">
        <f aca="false">IF($A299="","",IFERROR(W299-R299/1440,""))</f>
        <v/>
      </c>
      <c r="AA299" s="38" t="str">
        <f aca="false">IF($A299="","",IF(OR(U299="",V299=""),"",ROUND((V299-U299)*1440,0)))</f>
        <v/>
      </c>
      <c r="AB299" s="38" t="str">
        <f aca="false">IF($A299="","",IF(U299="","",ROUND((W299-U299)*1440,0)))</f>
        <v/>
      </c>
      <c r="AC299" s="38" t="str">
        <f aca="false">IF($A299="","",IF(AB299="","",MAX(0,AB299)))</f>
        <v/>
      </c>
      <c r="AD299" s="38" t="str">
        <f aca="false">IF($A299="","",IFERROR(ROUND((X299-W299)*1440,0),""))</f>
        <v/>
      </c>
      <c r="AE299" s="38" t="str">
        <f aca="false">IF($A299="","",IF(E299="Client","n/a",IFERROR(ROUND((H299-G299)*1440,0),"")))</f>
        <v/>
      </c>
      <c r="AF299" s="38" t="str">
        <f aca="false">IF($A299="","",IFERROR(ROUND((Y299-H299)*1440,0),""))</f>
        <v/>
      </c>
      <c r="AG299" s="38" t="str">
        <f aca="false">IF($A299="","",IFERROR(ROUND((H299-F299)*1440,0),""))</f>
        <v/>
      </c>
      <c r="AH299" s="38" t="str">
        <f aca="false">IF($A299="","",IFERROR(ROUND((Y299-V299)*1440,0),""))</f>
        <v/>
      </c>
      <c r="AI299" s="4" t="str">
        <f aca="false">IF($A299="","",IF(AH299="","",IF(AH299&gt;0,"Yes","No")))</f>
        <v/>
      </c>
      <c r="AJ299" s="4" t="str">
        <f aca="false">IF($A299="","",IF(AI299&lt;&gt;"Yes","On time",IF(N(AC299)&gt;=MAX(N(AF299),N(K299)),"Wait for analyst",IF(N(AF299)&gt;=N(K299),"External sign-off","Rework"))))</f>
        <v/>
      </c>
      <c r="AK299" s="4" t="str">
        <f aca="false">IF($A299="","",IF(OR(F299="",Y299="",ISNA(MATCH(L299,Dim_Analyst!$A:$A,0))),"CHECK","OK"))</f>
        <v/>
      </c>
      <c r="AL299" s="4" t="str">
        <f aca="false">IF($A299="","",IFERROR(VLOOKUP($C299,Dim_Fund!$A:$U,21,0),""))</f>
        <v/>
      </c>
      <c r="AM299" s="4" t="str">
        <f aca="false">IF($A299="","",IF($U299="","",IF($U299&gt;$B299+IFERROR(VLOOKUP($C299,Dim_Fund!$A:$AH,34,0),0)/24,"Yes","No")))</f>
        <v/>
      </c>
      <c r="AN299" s="22" t="str">
        <f aca="false">IF($A299="","",IFERROR(VLOOKUP($C299,Dim_Fund!$A:$AH,34,0),""))</f>
        <v/>
      </c>
      <c r="AO299" s="22" t="str">
        <f aca="false">IF($A299="","",IF($AL299="","",IFERROR(FLOOR(IF(COUNTIFS(Fact_Milestone!$A:$A,$B299,Fact_Milestone!$B:$B,$AL299,Fact_Milestone!$F:$F,"&gt;0")&gt;0,_xlfn.MINIFS(Fact_Milestone!$F:$F,Fact_Milestone!$A:$A,$B299,Fact_Milestone!$B:$B,$AL299,Fact_Milestone!$F:$F,"&gt;0"),VLOOKUP($AL299,Dim_TOP!$A:$E,5,0)),0.5),"")))</f>
        <v/>
      </c>
      <c r="AP299" s="22" t="str">
        <f aca="false">IF($A299="","",IF($U299="","",ROUND(($U299-INT($U299))*24,4)))</f>
        <v/>
      </c>
      <c r="AQ299" s="22" t="str">
        <f aca="false">IF($A299="","",IF($W299="","",ROUND(($W299-INT($W299))*24,4)))</f>
        <v/>
      </c>
      <c r="AR299" s="22" t="str">
        <f aca="false">IF($A299="","",IF($X299="","",ROUND(($X299-INT($X299))*24,4)))</f>
        <v/>
      </c>
      <c r="AS299" s="38" t="str">
        <f aca="false">IF($A299="","",IF(OR($AN299="",$V299="",$S299="",$T299=""),"",ROUND(($V299-($B299+$AN299/24))*1440-$S299-$T299,0)))</f>
        <v/>
      </c>
      <c r="AT299" s="38" t="str">
        <f aca="false">IF($A299="","",IF(OR($AN299="",$U299=""),"",ROUND(($U299-($B299+$AN299/24))*1440,0)))</f>
        <v/>
      </c>
      <c r="AU299" s="38" t="str">
        <f aca="false">IF($A299="","",IF(OR($AD299="",$S299=""),"",ROUND($AD299-$S299,0)))</f>
        <v/>
      </c>
      <c r="AV299" s="38" t="str">
        <f aca="false">IF($A299="","",N($AE299))</f>
        <v/>
      </c>
      <c r="AW299" s="38" t="str">
        <f aca="false">IF($A299="","",IF(OR($AF299="",$T299=""),"",$AF299-$T299))</f>
        <v/>
      </c>
      <c r="AX299" s="38" t="str">
        <f aca="false">IF($A299="","",IF(COUNT($AT299,$AB299,$AU299,$AW299,$AS299,$AH299)&lt;6,"",ROUND($AT299+$AB299+$AU299+$AV299+$AW299-$AS299-$AH299,0)))</f>
        <v/>
      </c>
      <c r="AY299" s="4" t="str">
        <f aca="false">IF($A299="","",IF($AX299="","No",IF(ABS($AX299)&lt;=2,"Yes","No")))</f>
        <v/>
      </c>
      <c r="AZ299" s="4" t="str">
        <f aca="false">IF($A299="","",IF($AI299&lt;&gt;"Yes","n/a",IF(OR($AA299="",$S299="",$T299=""),"Unknown",IF($AA299&lt;$S299+$T299,"Lost on arrival","Lost after arrival"))))</f>
        <v/>
      </c>
      <c r="BA299" s="10" t="str">
        <f aca="false">IF($A299="","",IFERROR(VLOOKUP($C299,Dim_Fund!$A:$D,4,0),""))</f>
        <v/>
      </c>
      <c r="BB299" s="10" t="str">
        <f aca="false">IF($A299="","",IF($AL299="","",IF(COUNTIFS(Fact_Milestone!$A:$A,$B299,Fact_Milestone!$B:$B,$AL299,Fact_Milestone!$I:$I,"No")&gt;0,"No",IF(COUNTIFS(Fact_Milestone!$A:$A,$B299,Fact_Milestone!$B:$B,$AL299,Fact_Milestone!$I:$I,"Yes")&gt;0,"Yes",""))))</f>
        <v/>
      </c>
      <c r="BC299" s="45" t="str">
        <f aca="false">IF($A299="","",IF(OR($L299="",$W299=""),"",IF(COUNTIFS($L:$L,$L299,$B:$B,$B299,$W:$W,"&lt;"&amp;$W299)=0,"",_xlfn.MAXIFS($W:$W,$L:$L,$L299,$B:$B,$B299,$W:$W,"&lt;"&amp;$W299))))</f>
        <v/>
      </c>
      <c r="BD299" s="39" t="str">
        <f aca="false">IF($A299="","",IF($AC299="","",IF(OR($L299="",$AC299=0),0,MIN($AC299,ROUND(ROUND(1440*SUMPRODUCT(($L$2:INDEX($L:$L,COUNTA($C:$C))=$L299)*($B$2:INDEX($B:$B,COUNTA($C:$C))=$B299)*(ROW($L$2:INDEX($L:$L,COUNTA($C:$C)))&lt;&gt;ROW())*((((($W299+$BT$2:INDEX($BT:$BT,COUNTA($C:$C))-ABS($W299-$BT$2:INDEX($BT:$BT,COUNTA($C:$C))))/2)-(($U299+$BS$2:INDEX($BS:$BS,COUNTA($C:$C))+ABS($U299-$BS$2:INDEX($BS:$BS,COUNTA($C:$C))))/2))+ABS(((($W299+$BT$2:INDEX($BT:$BT,COUNTA($C:$C))-ABS($W299-$BT$2:INDEX($BT:$BT,COUNTA($C:$C))))/2)-(($U299+$BS$2:INDEX($BS:$BS,COUNTA($C:$C))+ABS($U299-$BS$2:INDEX($BS:$BS,COUNTA($C:$C))))/2))))/2)),4),0)))))</f>
        <v/>
      </c>
      <c r="BE299" s="39" t="str">
        <f aca="false">IF($A299="","",IF($AC299="","",ROUND(MIN($AC299-$BD299,N($R299)),0)))</f>
        <v/>
      </c>
      <c r="BF299" s="10" t="str">
        <f aca="false">IF($A299="","",IFERROR(VLOOKUP($C299,Dim_Fund!$A:$BD,56,0),""))</f>
        <v/>
      </c>
      <c r="BG299" s="10" t="str">
        <f aca="false">IF($A299="","",IFERROR(VLOOKUP($C299,Dim_Fund!$A:$BH,60,0),""))</f>
        <v/>
      </c>
      <c r="BH299" s="10" t="str">
        <f aca="false">IF($A299="","",IF($AI299&lt;&gt;"Yes","Not breached",IF($AM299="Yes","Pricing late",IF($BG299="Thin custody slack","Thin custody slack",IF($BF299="Yes","Broker-dependent","None of these")))))</f>
        <v/>
      </c>
      <c r="BI299" s="23" t="str">
        <f aca="false">IF($A299="","",IFERROR(IF(VLOOKUP($C299,Dim_Fund!$A:$AI,35,0)&gt;0,VLOOKUP($C299,Dim_Fund!$A:$AI,35,0),""),""))</f>
        <v/>
      </c>
      <c r="BJ299" s="10" t="str">
        <f aca="false">IF($A299="","",$C299&amp;IF($E299="Client","*",""))</f>
        <v/>
      </c>
      <c r="BK299" s="39" t="str">
        <f aca="false">IF($A299="","",IFERROR(ROUND(($Y299-$X299)*1440,0),""))</f>
        <v/>
      </c>
      <c r="BL299" s="39" t="str">
        <f aca="false">IF($A299="","",IF($AH299="","",-$AH299))</f>
        <v/>
      </c>
      <c r="BM299" s="46" t="str">
        <f aca="false">IF($A299="","",IF($AQ299="","",IF($AP299="",$AQ299,MIN($AP299,$AQ299))))</f>
        <v/>
      </c>
      <c r="BN299" s="46" t="str">
        <f aca="false">IF($A299="","",IF($BM299="","",ROUND(N($AC299)/60,4)))</f>
        <v/>
      </c>
      <c r="BO299" s="46" t="str">
        <f aca="false">IF($A299="","",IF(OR($BM299="",$AD299=""),"",ROUND($AD299/60,4)))</f>
        <v/>
      </c>
      <c r="BP299" s="46" t="str">
        <f aca="false">IF($A299="","",IF($BM299="","",ROUND(N($AE299)/60,4)))</f>
        <v/>
      </c>
      <c r="BQ299" s="46" t="str">
        <f aca="false">IF($A299="","",IF(OR($BM299="",$AF299=""),"",ROUND($AF299/60,4)))</f>
        <v/>
      </c>
      <c r="BR299" s="39" t="str">
        <f aca="false">IF($A299="","",IF($AC299="","",$AC299-$BD299-$BE299))</f>
        <v/>
      </c>
      <c r="BS299" s="45" t="str">
        <f aca="false">IF($A299="","",IF(AND(ISNUMBER($Z299),ISNUMBER($W299)),$Z299,0))</f>
        <v/>
      </c>
      <c r="BT299" s="45" t="str">
        <f aca="false">IF($A299="","",IF(ISNUMBER($W299),$W299,0))</f>
        <v/>
      </c>
      <c r="BU299" s="23" t="str">
        <f aca="false">IF($A299="","",IF(ISNUMBER($W299),ROUND(($W299-$B299)*24,4),""))</f>
        <v/>
      </c>
      <c r="BV299" s="23" t="str">
        <f aca="false">IF($A299="","",IF(ISNUMBER($X299),ROUND(($X299-$B299)*24,4),""))</f>
        <v/>
      </c>
      <c r="BW299" s="10" t="str">
        <f aca="false">IF($A299="","",IF(NOT(ISNUMBER($W299)),"Missing Calculated",IF(NOT(ISNUMBER($X299)),IF($E299="Client","Missing FA signed off","Missing Controlled"),IF($X299&lt;$W299,"End before start","OK"))))</f>
        <v/>
      </c>
      <c r="BX299" s="23" t="str">
        <f aca="false">IF($A299="","",IF(NOT(ISNUMBER($Z299)),"",ROUND((IF(ISNUMBER($U299),MIN($U299,$Z299),$Z299)-$B299)*24,4)))</f>
        <v/>
      </c>
      <c r="BY299" s="23" t="str">
        <f aca="false">IF($A299="","",IF(ISNUMBER($Z299),ROUND(($Z299-$B299)*24,4),""))</f>
        <v/>
      </c>
      <c r="BZ299" s="23" t="str">
        <f aca="false">IF($A299="","",IF(AND(ISNUMBER($W299),ISNUMBER($S299)),ROUND(($W299+$S299/1440-$B299)*24,4),""))</f>
        <v/>
      </c>
    </row>
    <row r="300" customFormat="false" ht="15" hidden="false" customHeight="true" outlineLevel="0" collapsed="false">
      <c r="A300" s="47"/>
      <c r="B300" s="47"/>
      <c r="D300" s="4" t="str">
        <f aca="false">IF($A300="","",$B300-$A300)</f>
        <v/>
      </c>
      <c r="E300" s="4" t="str">
        <f aca="false">IF($A300="","",IFERROR(VLOOKUP($C300,Dim_Fund!$A:$X,24,0),""))</f>
        <v/>
      </c>
      <c r="F300" s="37" t="str">
        <f aca="false">IF($A300="","",IF(COUNTIFS(Status_Log!$A:$A,$A300,Status_Log!$B:$B,$B300,Status_Log!$C:$C,$C300,Status_Log!$D:$D,"Changed to the status of Calculated")=0,"",_xlfn.MINIFS(Status_Log!$E:$E,Status_Log!$A:$A,$A300,Status_Log!$B:$B,$B300,Status_Log!$C:$C,$C300,Status_Log!$D:$D,"Changed to the status of Calculated")))</f>
        <v/>
      </c>
      <c r="G300" s="37" t="str">
        <f aca="false">IF($A300="","",IF(COUNTIFS(Status_Log!$A:$A,$A300,Status_Log!$B:$B,$B300,Status_Log!$C:$C,$C300,Status_Log!$D:$D,"Changed to the status of Controlled")=0,"",_xlfn.MAXIFS(Status_Log!$E:$E,Status_Log!$A:$A,$A300,Status_Log!$B:$B,$B300,Status_Log!$C:$C,$C300,Status_Log!$D:$D,"Changed to the status of Controlled")))</f>
        <v/>
      </c>
      <c r="H300" s="37" t="str">
        <f aca="false">IF($A300="","",IF(COUNTIFS(Status_Log!$A:$A,$A300,Status_Log!$B:$B,$B300,Status_Log!$C:$C,$C300,Status_Log!$D:$D,"Changed to the status of Fund accounting signed off")=0,"",_xlfn.MAXIFS(Status_Log!$E:$E,Status_Log!$A:$A,$A300,Status_Log!$B:$B,$B300,Status_Log!$C:$C,$C300,Status_Log!$D:$D,"Changed to the status of Fund accounting signed off")))</f>
        <v/>
      </c>
      <c r="I300" s="37" t="str">
        <f aca="false">IF($A300="","",IF(COUNTIFS(Status_Log!$A:$A,$A300,Status_Log!$B:$B,$B300,Status_Log!$C:$C,$C300,Status_Log!$D:$D,"Changed to the status of signed off")=0,"",_xlfn.MAXIFS(Status_Log!$E:$E,Status_Log!$A:$A,$A300,Status_Log!$B:$B,$B300,Status_Log!$C:$C,$C300,Status_Log!$D:$D,"Changed to the status of signed off")))</f>
        <v/>
      </c>
      <c r="J300" s="4" t="str">
        <f aca="false">IF($A300="","",COUNTIFS(Status_Log!$A:$A,$A300,Status_Log!$B:$B,$B300,Status_Log!$C:$C,$C300,Status_Log!$D:$D,"Changed to the status of Calculated"))</f>
        <v/>
      </c>
      <c r="K300" s="38" t="str">
        <f aca="false">IF($A300="","",IF(J300&lt;=1,0,ROUND((_xlfn.MAXIFS(Status_Log!$E:$E,Status_Log!$A:$A,$A300,Status_Log!$B:$B,$B300,Status_Log!$C:$C,$C300,Status_Log!$D:$D,"Changed to the status of Calculated")-F300)*1440,0)))</f>
        <v/>
      </c>
      <c r="L300" s="4" t="str">
        <f aca="false">IF($A300="","",IFERROR(INDEX(Status_Log!$F:$F,MATCH($A300&amp;"|"&amp;$B300&amp;"|"&amp;$C300&amp;"|Changed to the status of Calculated|"&amp;TEXT(_xlfn.MAXIFS(Status_Log!$E:$E,Status_Log!$A:$A,$A300,Status_Log!$B:$B,$B300,Status_Log!$C:$C,$C300,Status_Log!$D:$D,"Changed to the status of Calculated"),"0.000000"),Status_Log!$H:$H,0)),""))</f>
        <v/>
      </c>
      <c r="M300" s="4" t="str">
        <f aca="false">IF($A300="","",IF(E300="Client","n/a — no control step",IFERROR(INDEX(Status_Log!$F:$F,MATCH($A300&amp;"|"&amp;$B300&amp;"|"&amp;$C300&amp;"|Changed to the status of Controlled|"&amp;TEXT(_xlfn.MAXIFS(Status_Log!$E:$E,Status_Log!$A:$A,$A300,Status_Log!$B:$B,$B300,Status_Log!$C:$C,$C300,Status_Log!$D:$D,"Changed to the status of Controlled"),"0.000000"),Status_Log!$H:$H,0)),"")))</f>
        <v/>
      </c>
      <c r="N300" s="4" t="str">
        <f aca="false">IF($A300="","",IFERROR(VLOOKUP($C300,Dim_Fund!$A:$G,7,0),""))</f>
        <v/>
      </c>
      <c r="O300" s="4" t="str">
        <f aca="false">IF($A300="","",IF(L300=N300,"No","Yes"))</f>
        <v/>
      </c>
      <c r="P300" s="4" t="str">
        <f aca="false">IF($A300="","",IF(E300="Client","n/a",IF(L300=M300,"YES — four-eyes breach","No")))</f>
        <v/>
      </c>
      <c r="Q300" s="38" t="str">
        <f aca="false">IF($A300="","",IFERROR(VLOOKUP($C300,Dim_Fund!$A:$AB,28,0),""))</f>
        <v/>
      </c>
      <c r="R300" s="38" t="str">
        <f aca="false">IF($A300="","",IFERROR(VLOOKUP($C300,Dim_Fund!$A:$AC,29,0),""))</f>
        <v/>
      </c>
      <c r="S300" s="38" t="str">
        <f aca="false">IF($A300="","",IFERROR(VLOOKUP($C300,Dim_Fund!$A:$AD,30,0),""))</f>
        <v/>
      </c>
      <c r="T300" s="38" t="str">
        <f aca="false">IF($A300="","",IFERROR(VLOOKUP($C300,Dim_Fund!$A:$AL,38,0),""))</f>
        <v/>
      </c>
      <c r="U300" s="37" t="str">
        <f aca="false">IF($A300="","",IF(AL300="","",IFERROR(IF(COUNTIFS(Fact_Milestone!$A:$A,$B300,Fact_Milestone!$B:$B,AL300)=0,"",_xlfn.MAXIFS(Fact_Milestone!$C:$C,Fact_Milestone!$A:$A,$B300,Fact_Milestone!$B:$B,AL300)),"")))</f>
        <v/>
      </c>
      <c r="V300" s="37" t="str">
        <f aca="false">IF($A300="","",IFERROR(IF(VLOOKUP($C300,Dim_Fund!$A:$AI,35,0)&gt;0,$B300+VLOOKUP($C300,Dim_Fund!$A:$AI,35,0)/24,""),""))</f>
        <v/>
      </c>
      <c r="W300" s="37" t="str">
        <f aca="false">IF($A300="","",F300)</f>
        <v/>
      </c>
      <c r="X300" s="37" t="str">
        <f aca="false">IF($A300="","",IF(E300="Client",H300,G300))</f>
        <v/>
      </c>
      <c r="Y300" s="37" t="str">
        <f aca="false">IF($A300="","",I300)</f>
        <v/>
      </c>
      <c r="Z300" s="37" t="str">
        <f aca="false">IF($A300="","",IFERROR(W300-R300/1440,""))</f>
        <v/>
      </c>
      <c r="AA300" s="38" t="str">
        <f aca="false">IF($A300="","",IF(OR(U300="",V300=""),"",ROUND((V300-U300)*1440,0)))</f>
        <v/>
      </c>
      <c r="AB300" s="38" t="str">
        <f aca="false">IF($A300="","",IF(U300="","",ROUND((W300-U300)*1440,0)))</f>
        <v/>
      </c>
      <c r="AC300" s="38" t="str">
        <f aca="false">IF($A300="","",IF(AB300="","",MAX(0,AB300)))</f>
        <v/>
      </c>
      <c r="AD300" s="38" t="str">
        <f aca="false">IF($A300="","",IFERROR(ROUND((X300-W300)*1440,0),""))</f>
        <v/>
      </c>
      <c r="AE300" s="38" t="str">
        <f aca="false">IF($A300="","",IF(E300="Client","n/a",IFERROR(ROUND((H300-G300)*1440,0),"")))</f>
        <v/>
      </c>
      <c r="AF300" s="38" t="str">
        <f aca="false">IF($A300="","",IFERROR(ROUND((Y300-H300)*1440,0),""))</f>
        <v/>
      </c>
      <c r="AG300" s="38" t="str">
        <f aca="false">IF($A300="","",IFERROR(ROUND((H300-F300)*1440,0),""))</f>
        <v/>
      </c>
      <c r="AH300" s="38" t="str">
        <f aca="false">IF($A300="","",IFERROR(ROUND((Y300-V300)*1440,0),""))</f>
        <v/>
      </c>
      <c r="AI300" s="4" t="str">
        <f aca="false">IF($A300="","",IF(AH300="","",IF(AH300&gt;0,"Yes","No")))</f>
        <v/>
      </c>
      <c r="AJ300" s="4" t="str">
        <f aca="false">IF($A300="","",IF(AI300&lt;&gt;"Yes","On time",IF(N(AC300)&gt;=MAX(N(AF300),N(K300)),"Wait for analyst",IF(N(AF300)&gt;=N(K300),"External sign-off","Rework"))))</f>
        <v/>
      </c>
      <c r="AK300" s="4" t="str">
        <f aca="false">IF($A300="","",IF(OR(F300="",Y300="",ISNA(MATCH(L300,Dim_Analyst!$A:$A,0))),"CHECK","OK"))</f>
        <v/>
      </c>
      <c r="AL300" s="4" t="str">
        <f aca="false">IF($A300="","",IFERROR(VLOOKUP($C300,Dim_Fund!$A:$U,21,0),""))</f>
        <v/>
      </c>
      <c r="AM300" s="4" t="str">
        <f aca="false">IF($A300="","",IF($U300="","",IF($U300&gt;$B300+IFERROR(VLOOKUP($C300,Dim_Fund!$A:$AH,34,0),0)/24,"Yes","No")))</f>
        <v/>
      </c>
      <c r="AN300" s="22" t="str">
        <f aca="false">IF($A300="","",IFERROR(VLOOKUP($C300,Dim_Fund!$A:$AH,34,0),""))</f>
        <v/>
      </c>
      <c r="AO300" s="22" t="str">
        <f aca="false">IF($A300="","",IF($AL300="","",IFERROR(FLOOR(IF(COUNTIFS(Fact_Milestone!$A:$A,$B300,Fact_Milestone!$B:$B,$AL300,Fact_Milestone!$F:$F,"&gt;0")&gt;0,_xlfn.MINIFS(Fact_Milestone!$F:$F,Fact_Milestone!$A:$A,$B300,Fact_Milestone!$B:$B,$AL300,Fact_Milestone!$F:$F,"&gt;0"),VLOOKUP($AL300,Dim_TOP!$A:$E,5,0)),0.5),"")))</f>
        <v/>
      </c>
      <c r="AP300" s="22" t="str">
        <f aca="false">IF($A300="","",IF($U300="","",ROUND(($U300-INT($U300))*24,4)))</f>
        <v/>
      </c>
      <c r="AQ300" s="22" t="str">
        <f aca="false">IF($A300="","",IF($W300="","",ROUND(($W300-INT($W300))*24,4)))</f>
        <v/>
      </c>
      <c r="AR300" s="22" t="str">
        <f aca="false">IF($A300="","",IF($X300="","",ROUND(($X300-INT($X300))*24,4)))</f>
        <v/>
      </c>
      <c r="AS300" s="38" t="str">
        <f aca="false">IF($A300="","",IF(OR($AN300="",$V300="",$S300="",$T300=""),"",ROUND(($V300-($B300+$AN300/24))*1440-$S300-$T300,0)))</f>
        <v/>
      </c>
      <c r="AT300" s="38" t="str">
        <f aca="false">IF($A300="","",IF(OR($AN300="",$U300=""),"",ROUND(($U300-($B300+$AN300/24))*1440,0)))</f>
        <v/>
      </c>
      <c r="AU300" s="38" t="str">
        <f aca="false">IF($A300="","",IF(OR($AD300="",$S300=""),"",ROUND($AD300-$S300,0)))</f>
        <v/>
      </c>
      <c r="AV300" s="38" t="str">
        <f aca="false">IF($A300="","",N($AE300))</f>
        <v/>
      </c>
      <c r="AW300" s="38" t="str">
        <f aca="false">IF($A300="","",IF(OR($AF300="",$T300=""),"",$AF300-$T300))</f>
        <v/>
      </c>
      <c r="AX300" s="38" t="str">
        <f aca="false">IF($A300="","",IF(COUNT($AT300,$AB300,$AU300,$AW300,$AS300,$AH300)&lt;6,"",ROUND($AT300+$AB300+$AU300+$AV300+$AW300-$AS300-$AH300,0)))</f>
        <v/>
      </c>
      <c r="AY300" s="4" t="str">
        <f aca="false">IF($A300="","",IF($AX300="","No",IF(ABS($AX300)&lt;=2,"Yes","No")))</f>
        <v/>
      </c>
      <c r="AZ300" s="4" t="str">
        <f aca="false">IF($A300="","",IF($AI300&lt;&gt;"Yes","n/a",IF(OR($AA300="",$S300="",$T300=""),"Unknown",IF($AA300&lt;$S300+$T300,"Lost on arrival","Lost after arrival"))))</f>
        <v/>
      </c>
      <c r="BA300" s="10" t="str">
        <f aca="false">IF($A300="","",IFERROR(VLOOKUP($C300,Dim_Fund!$A:$D,4,0),""))</f>
        <v/>
      </c>
      <c r="BB300" s="10" t="str">
        <f aca="false">IF($A300="","",IF($AL300="","",IF(COUNTIFS(Fact_Milestone!$A:$A,$B300,Fact_Milestone!$B:$B,$AL300,Fact_Milestone!$I:$I,"No")&gt;0,"No",IF(COUNTIFS(Fact_Milestone!$A:$A,$B300,Fact_Milestone!$B:$B,$AL300,Fact_Milestone!$I:$I,"Yes")&gt;0,"Yes",""))))</f>
        <v/>
      </c>
      <c r="BC300" s="45" t="str">
        <f aca="false">IF($A300="","",IF(OR($L300="",$W300=""),"",IF(COUNTIFS($L:$L,$L300,$B:$B,$B300,$W:$W,"&lt;"&amp;$W300)=0,"",_xlfn.MAXIFS($W:$W,$L:$L,$L300,$B:$B,$B300,$W:$W,"&lt;"&amp;$W300))))</f>
        <v/>
      </c>
      <c r="BD300" s="39" t="str">
        <f aca="false">IF($A300="","",IF($AC300="","",IF(OR($L300="",$AC300=0),0,MIN($AC300,ROUND(ROUND(1440*SUMPRODUCT(($L$2:INDEX($L:$L,COUNTA($C:$C))=$L300)*($B$2:INDEX($B:$B,COUNTA($C:$C))=$B300)*(ROW($L$2:INDEX($L:$L,COUNTA($C:$C)))&lt;&gt;ROW())*((((($W300+$BT$2:INDEX($BT:$BT,COUNTA($C:$C))-ABS($W300-$BT$2:INDEX($BT:$BT,COUNTA($C:$C))))/2)-(($U300+$BS$2:INDEX($BS:$BS,COUNTA($C:$C))+ABS($U300-$BS$2:INDEX($BS:$BS,COUNTA($C:$C))))/2))+ABS(((($W300+$BT$2:INDEX($BT:$BT,COUNTA($C:$C))-ABS($W300-$BT$2:INDEX($BT:$BT,COUNTA($C:$C))))/2)-(($U300+$BS$2:INDEX($BS:$BS,COUNTA($C:$C))+ABS($U300-$BS$2:INDEX($BS:$BS,COUNTA($C:$C))))/2))))/2)),4),0)))))</f>
        <v/>
      </c>
      <c r="BE300" s="39" t="str">
        <f aca="false">IF($A300="","",IF($AC300="","",ROUND(MIN($AC300-$BD300,N($R300)),0)))</f>
        <v/>
      </c>
      <c r="BF300" s="10" t="str">
        <f aca="false">IF($A300="","",IFERROR(VLOOKUP($C300,Dim_Fund!$A:$BD,56,0),""))</f>
        <v/>
      </c>
      <c r="BG300" s="10" t="str">
        <f aca="false">IF($A300="","",IFERROR(VLOOKUP($C300,Dim_Fund!$A:$BH,60,0),""))</f>
        <v/>
      </c>
      <c r="BH300" s="10" t="str">
        <f aca="false">IF($A300="","",IF($AI300&lt;&gt;"Yes","Not breached",IF($AM300="Yes","Pricing late",IF($BG300="Thin custody slack","Thin custody slack",IF($BF300="Yes","Broker-dependent","None of these")))))</f>
        <v/>
      </c>
      <c r="BI300" s="23" t="str">
        <f aca="false">IF($A300="","",IFERROR(IF(VLOOKUP($C300,Dim_Fund!$A:$AI,35,0)&gt;0,VLOOKUP($C300,Dim_Fund!$A:$AI,35,0),""),""))</f>
        <v/>
      </c>
      <c r="BJ300" s="10" t="str">
        <f aca="false">IF($A300="","",$C300&amp;IF($E300="Client","*",""))</f>
        <v/>
      </c>
      <c r="BK300" s="39" t="str">
        <f aca="false">IF($A300="","",IFERROR(ROUND(($Y300-$X300)*1440,0),""))</f>
        <v/>
      </c>
      <c r="BL300" s="39" t="str">
        <f aca="false">IF($A300="","",IF($AH300="","",-$AH300))</f>
        <v/>
      </c>
      <c r="BM300" s="46" t="str">
        <f aca="false">IF($A300="","",IF($AQ300="","",IF($AP300="",$AQ300,MIN($AP300,$AQ300))))</f>
        <v/>
      </c>
      <c r="BN300" s="46" t="str">
        <f aca="false">IF($A300="","",IF($BM300="","",ROUND(N($AC300)/60,4)))</f>
        <v/>
      </c>
      <c r="BO300" s="46" t="str">
        <f aca="false">IF($A300="","",IF(OR($BM300="",$AD300=""),"",ROUND($AD300/60,4)))</f>
        <v/>
      </c>
      <c r="BP300" s="46" t="str">
        <f aca="false">IF($A300="","",IF($BM300="","",ROUND(N($AE300)/60,4)))</f>
        <v/>
      </c>
      <c r="BQ300" s="46" t="str">
        <f aca="false">IF($A300="","",IF(OR($BM300="",$AF300=""),"",ROUND($AF300/60,4)))</f>
        <v/>
      </c>
      <c r="BR300" s="39" t="str">
        <f aca="false">IF($A300="","",IF($AC300="","",$AC300-$BD300-$BE300))</f>
        <v/>
      </c>
      <c r="BS300" s="45" t="str">
        <f aca="false">IF($A300="","",IF(AND(ISNUMBER($Z300),ISNUMBER($W300)),$Z300,0))</f>
        <v/>
      </c>
      <c r="BT300" s="45" t="str">
        <f aca="false">IF($A300="","",IF(ISNUMBER($W300),$W300,0))</f>
        <v/>
      </c>
      <c r="BU300" s="23" t="str">
        <f aca="false">IF($A300="","",IF(ISNUMBER($W300),ROUND(($W300-$B300)*24,4),""))</f>
        <v/>
      </c>
      <c r="BV300" s="23" t="str">
        <f aca="false">IF($A300="","",IF(ISNUMBER($X300),ROUND(($X300-$B300)*24,4),""))</f>
        <v/>
      </c>
      <c r="BW300" s="10" t="str">
        <f aca="false">IF($A300="","",IF(NOT(ISNUMBER($W300)),"Missing Calculated",IF(NOT(ISNUMBER($X300)),IF($E300="Client","Missing FA signed off","Missing Controlled"),IF($X300&lt;$W300,"End before start","OK"))))</f>
        <v/>
      </c>
      <c r="BX300" s="23" t="str">
        <f aca="false">IF($A300="","",IF(NOT(ISNUMBER($Z300)),"",ROUND((IF(ISNUMBER($U300),MIN($U300,$Z300),$Z300)-$B300)*24,4)))</f>
        <v/>
      </c>
      <c r="BY300" s="23" t="str">
        <f aca="false">IF($A300="","",IF(ISNUMBER($Z300),ROUND(($Z300-$B300)*24,4),""))</f>
        <v/>
      </c>
      <c r="BZ300" s="23" t="str">
        <f aca="false">IF($A300="","",IF(AND(ISNUMBER($W300),ISNUMBER($S300)),ROUND(($W300+$S300/1440-$B300)*24,4),""))</f>
        <v/>
      </c>
    </row>
    <row r="301" customFormat="false" ht="15" hidden="false" customHeight="true" outlineLevel="0" collapsed="false">
      <c r="A301" s="47"/>
      <c r="B301" s="47"/>
      <c r="D301" s="4" t="str">
        <f aca="false">IF($A301="","",$B301-$A301)</f>
        <v/>
      </c>
      <c r="E301" s="4" t="str">
        <f aca="false">IF($A301="","",IFERROR(VLOOKUP($C301,Dim_Fund!$A:$X,24,0),""))</f>
        <v/>
      </c>
      <c r="F301" s="37" t="str">
        <f aca="false">IF($A301="","",IF(COUNTIFS(Status_Log!$A:$A,$A301,Status_Log!$B:$B,$B301,Status_Log!$C:$C,$C301,Status_Log!$D:$D,"Changed to the status of Calculated")=0,"",_xlfn.MINIFS(Status_Log!$E:$E,Status_Log!$A:$A,$A301,Status_Log!$B:$B,$B301,Status_Log!$C:$C,$C301,Status_Log!$D:$D,"Changed to the status of Calculated")))</f>
        <v/>
      </c>
      <c r="G301" s="37" t="str">
        <f aca="false">IF($A301="","",IF(COUNTIFS(Status_Log!$A:$A,$A301,Status_Log!$B:$B,$B301,Status_Log!$C:$C,$C301,Status_Log!$D:$D,"Changed to the status of Controlled")=0,"",_xlfn.MAXIFS(Status_Log!$E:$E,Status_Log!$A:$A,$A301,Status_Log!$B:$B,$B301,Status_Log!$C:$C,$C301,Status_Log!$D:$D,"Changed to the status of Controlled")))</f>
        <v/>
      </c>
      <c r="H301" s="37" t="str">
        <f aca="false">IF($A301="","",IF(COUNTIFS(Status_Log!$A:$A,$A301,Status_Log!$B:$B,$B301,Status_Log!$C:$C,$C301,Status_Log!$D:$D,"Changed to the status of Fund accounting signed off")=0,"",_xlfn.MAXIFS(Status_Log!$E:$E,Status_Log!$A:$A,$A301,Status_Log!$B:$B,$B301,Status_Log!$C:$C,$C301,Status_Log!$D:$D,"Changed to the status of Fund accounting signed off")))</f>
        <v/>
      </c>
      <c r="I301" s="37" t="str">
        <f aca="false">IF($A301="","",IF(COUNTIFS(Status_Log!$A:$A,$A301,Status_Log!$B:$B,$B301,Status_Log!$C:$C,$C301,Status_Log!$D:$D,"Changed to the status of signed off")=0,"",_xlfn.MAXIFS(Status_Log!$E:$E,Status_Log!$A:$A,$A301,Status_Log!$B:$B,$B301,Status_Log!$C:$C,$C301,Status_Log!$D:$D,"Changed to the status of signed off")))</f>
        <v/>
      </c>
      <c r="J301" s="4" t="str">
        <f aca="false">IF($A301="","",COUNTIFS(Status_Log!$A:$A,$A301,Status_Log!$B:$B,$B301,Status_Log!$C:$C,$C301,Status_Log!$D:$D,"Changed to the status of Calculated"))</f>
        <v/>
      </c>
      <c r="K301" s="38" t="str">
        <f aca="false">IF($A301="","",IF(J301&lt;=1,0,ROUND((_xlfn.MAXIFS(Status_Log!$E:$E,Status_Log!$A:$A,$A301,Status_Log!$B:$B,$B301,Status_Log!$C:$C,$C301,Status_Log!$D:$D,"Changed to the status of Calculated")-F301)*1440,0)))</f>
        <v/>
      </c>
      <c r="L301" s="4" t="str">
        <f aca="false">IF($A301="","",IFERROR(INDEX(Status_Log!$F:$F,MATCH($A301&amp;"|"&amp;$B301&amp;"|"&amp;$C301&amp;"|Changed to the status of Calculated|"&amp;TEXT(_xlfn.MAXIFS(Status_Log!$E:$E,Status_Log!$A:$A,$A301,Status_Log!$B:$B,$B301,Status_Log!$C:$C,$C301,Status_Log!$D:$D,"Changed to the status of Calculated"),"0.000000"),Status_Log!$H:$H,0)),""))</f>
        <v/>
      </c>
      <c r="M301" s="4" t="str">
        <f aca="false">IF($A301="","",IF(E301="Client","n/a — no control step",IFERROR(INDEX(Status_Log!$F:$F,MATCH($A301&amp;"|"&amp;$B301&amp;"|"&amp;$C301&amp;"|Changed to the status of Controlled|"&amp;TEXT(_xlfn.MAXIFS(Status_Log!$E:$E,Status_Log!$A:$A,$A301,Status_Log!$B:$B,$B301,Status_Log!$C:$C,$C301,Status_Log!$D:$D,"Changed to the status of Controlled"),"0.000000"),Status_Log!$H:$H,0)),"")))</f>
        <v/>
      </c>
      <c r="N301" s="4" t="str">
        <f aca="false">IF($A301="","",IFERROR(VLOOKUP($C301,Dim_Fund!$A:$G,7,0),""))</f>
        <v/>
      </c>
      <c r="O301" s="4" t="str">
        <f aca="false">IF($A301="","",IF(L301=N301,"No","Yes"))</f>
        <v/>
      </c>
      <c r="P301" s="4" t="str">
        <f aca="false">IF($A301="","",IF(E301="Client","n/a",IF(L301=M301,"YES — four-eyes breach","No")))</f>
        <v/>
      </c>
      <c r="Q301" s="38" t="str">
        <f aca="false">IF($A301="","",IFERROR(VLOOKUP($C301,Dim_Fund!$A:$AB,28,0),""))</f>
        <v/>
      </c>
      <c r="R301" s="38" t="str">
        <f aca="false">IF($A301="","",IFERROR(VLOOKUP($C301,Dim_Fund!$A:$AC,29,0),""))</f>
        <v/>
      </c>
      <c r="S301" s="38" t="str">
        <f aca="false">IF($A301="","",IFERROR(VLOOKUP($C301,Dim_Fund!$A:$AD,30,0),""))</f>
        <v/>
      </c>
      <c r="T301" s="38" t="str">
        <f aca="false">IF($A301="","",IFERROR(VLOOKUP($C301,Dim_Fund!$A:$AL,38,0),""))</f>
        <v/>
      </c>
      <c r="U301" s="37" t="str">
        <f aca="false">IF($A301="","",IF(AL301="","",IFERROR(IF(COUNTIFS(Fact_Milestone!$A:$A,$B301,Fact_Milestone!$B:$B,AL301)=0,"",_xlfn.MAXIFS(Fact_Milestone!$C:$C,Fact_Milestone!$A:$A,$B301,Fact_Milestone!$B:$B,AL301)),"")))</f>
        <v/>
      </c>
      <c r="V301" s="37" t="str">
        <f aca="false">IF($A301="","",IFERROR(IF(VLOOKUP($C301,Dim_Fund!$A:$AI,35,0)&gt;0,$B301+VLOOKUP($C301,Dim_Fund!$A:$AI,35,0)/24,""),""))</f>
        <v/>
      </c>
      <c r="W301" s="37" t="str">
        <f aca="false">IF($A301="","",F301)</f>
        <v/>
      </c>
      <c r="X301" s="37" t="str">
        <f aca="false">IF($A301="","",IF(E301="Client",H301,G301))</f>
        <v/>
      </c>
      <c r="Y301" s="37" t="str">
        <f aca="false">IF($A301="","",I301)</f>
        <v/>
      </c>
      <c r="Z301" s="37" t="str">
        <f aca="false">IF($A301="","",IFERROR(W301-R301/1440,""))</f>
        <v/>
      </c>
      <c r="AA301" s="38" t="str">
        <f aca="false">IF($A301="","",IF(OR(U301="",V301=""),"",ROUND((V301-U301)*1440,0)))</f>
        <v/>
      </c>
      <c r="AB301" s="38" t="str">
        <f aca="false">IF($A301="","",IF(U301="","",ROUND((W301-U301)*1440,0)))</f>
        <v/>
      </c>
      <c r="AC301" s="38" t="str">
        <f aca="false">IF($A301="","",IF(AB301="","",MAX(0,AB301)))</f>
        <v/>
      </c>
      <c r="AD301" s="38" t="str">
        <f aca="false">IF($A301="","",IFERROR(ROUND((X301-W301)*1440,0),""))</f>
        <v/>
      </c>
      <c r="AE301" s="38" t="str">
        <f aca="false">IF($A301="","",IF(E301="Client","n/a",IFERROR(ROUND((H301-G301)*1440,0),"")))</f>
        <v/>
      </c>
      <c r="AF301" s="38" t="str">
        <f aca="false">IF($A301="","",IFERROR(ROUND((Y301-H301)*1440,0),""))</f>
        <v/>
      </c>
      <c r="AG301" s="38" t="str">
        <f aca="false">IF($A301="","",IFERROR(ROUND((H301-F301)*1440,0),""))</f>
        <v/>
      </c>
      <c r="AH301" s="38" t="str">
        <f aca="false">IF($A301="","",IFERROR(ROUND((Y301-V301)*1440,0),""))</f>
        <v/>
      </c>
      <c r="AI301" s="4" t="str">
        <f aca="false">IF($A301="","",IF(AH301="","",IF(AH301&gt;0,"Yes","No")))</f>
        <v/>
      </c>
      <c r="AJ301" s="4" t="str">
        <f aca="false">IF($A301="","",IF(AI301&lt;&gt;"Yes","On time",IF(N(AC301)&gt;=MAX(N(AF301),N(K301)),"Wait for analyst",IF(N(AF301)&gt;=N(K301),"External sign-off","Rework"))))</f>
        <v/>
      </c>
      <c r="AK301" s="4" t="str">
        <f aca="false">IF($A301="","",IF(OR(F301="",Y301="",ISNA(MATCH(L301,Dim_Analyst!$A:$A,0))),"CHECK","OK"))</f>
        <v/>
      </c>
      <c r="AL301" s="4" t="str">
        <f aca="false">IF($A301="","",IFERROR(VLOOKUP($C301,Dim_Fund!$A:$U,21,0),""))</f>
        <v/>
      </c>
      <c r="AM301" s="4" t="str">
        <f aca="false">IF($A301="","",IF($U301="","",IF($U301&gt;$B301+IFERROR(VLOOKUP($C301,Dim_Fund!$A:$AH,34,0),0)/24,"Yes","No")))</f>
        <v/>
      </c>
      <c r="AN301" s="22" t="str">
        <f aca="false">IF($A301="","",IFERROR(VLOOKUP($C301,Dim_Fund!$A:$AH,34,0),""))</f>
        <v/>
      </c>
      <c r="AO301" s="22" t="str">
        <f aca="false">IF($A301="","",IF($AL301="","",IFERROR(FLOOR(IF(COUNTIFS(Fact_Milestone!$A:$A,$B301,Fact_Milestone!$B:$B,$AL301,Fact_Milestone!$F:$F,"&gt;0")&gt;0,_xlfn.MINIFS(Fact_Milestone!$F:$F,Fact_Milestone!$A:$A,$B301,Fact_Milestone!$B:$B,$AL301,Fact_Milestone!$F:$F,"&gt;0"),VLOOKUP($AL301,Dim_TOP!$A:$E,5,0)),0.5),"")))</f>
        <v/>
      </c>
      <c r="AP301" s="22" t="str">
        <f aca="false">IF($A301="","",IF($U301="","",ROUND(($U301-INT($U301))*24,4)))</f>
        <v/>
      </c>
      <c r="AQ301" s="22" t="str">
        <f aca="false">IF($A301="","",IF($W301="","",ROUND(($W301-INT($W301))*24,4)))</f>
        <v/>
      </c>
      <c r="AR301" s="22" t="str">
        <f aca="false">IF($A301="","",IF($X301="","",ROUND(($X301-INT($X301))*24,4)))</f>
        <v/>
      </c>
      <c r="AS301" s="38" t="str">
        <f aca="false">IF($A301="","",IF(OR($AN301="",$V301="",$S301="",$T301=""),"",ROUND(($V301-($B301+$AN301/24))*1440-$S301-$T301,0)))</f>
        <v/>
      </c>
      <c r="AT301" s="38" t="str">
        <f aca="false">IF($A301="","",IF(OR($AN301="",$U301=""),"",ROUND(($U301-($B301+$AN301/24))*1440,0)))</f>
        <v/>
      </c>
      <c r="AU301" s="38" t="str">
        <f aca="false">IF($A301="","",IF(OR($AD301="",$S301=""),"",ROUND($AD301-$S301,0)))</f>
        <v/>
      </c>
      <c r="AV301" s="38" t="str">
        <f aca="false">IF($A301="","",N($AE301))</f>
        <v/>
      </c>
      <c r="AW301" s="38" t="str">
        <f aca="false">IF($A301="","",IF(OR($AF301="",$T301=""),"",$AF301-$T301))</f>
        <v/>
      </c>
      <c r="AX301" s="38" t="str">
        <f aca="false">IF($A301="","",IF(COUNT($AT301,$AB301,$AU301,$AW301,$AS301,$AH301)&lt;6,"",ROUND($AT301+$AB301+$AU301+$AV301+$AW301-$AS301-$AH301,0)))</f>
        <v/>
      </c>
      <c r="AY301" s="4" t="str">
        <f aca="false">IF($A301="","",IF($AX301="","No",IF(ABS($AX301)&lt;=2,"Yes","No")))</f>
        <v/>
      </c>
      <c r="AZ301" s="4" t="str">
        <f aca="false">IF($A301="","",IF($AI301&lt;&gt;"Yes","n/a",IF(OR($AA301="",$S301="",$T301=""),"Unknown",IF($AA301&lt;$S301+$T301,"Lost on arrival","Lost after arrival"))))</f>
        <v/>
      </c>
      <c r="BA301" s="10" t="str">
        <f aca="false">IF($A301="","",IFERROR(VLOOKUP($C301,Dim_Fund!$A:$D,4,0),""))</f>
        <v/>
      </c>
      <c r="BB301" s="10" t="str">
        <f aca="false">IF($A301="","",IF($AL301="","",IF(COUNTIFS(Fact_Milestone!$A:$A,$B301,Fact_Milestone!$B:$B,$AL301,Fact_Milestone!$I:$I,"No")&gt;0,"No",IF(COUNTIFS(Fact_Milestone!$A:$A,$B301,Fact_Milestone!$B:$B,$AL301,Fact_Milestone!$I:$I,"Yes")&gt;0,"Yes",""))))</f>
        <v/>
      </c>
      <c r="BC301" s="45" t="str">
        <f aca="false">IF($A301="","",IF(OR($L301="",$W301=""),"",IF(COUNTIFS($L:$L,$L301,$B:$B,$B301,$W:$W,"&lt;"&amp;$W301)=0,"",_xlfn.MAXIFS($W:$W,$L:$L,$L301,$B:$B,$B301,$W:$W,"&lt;"&amp;$W301))))</f>
        <v/>
      </c>
      <c r="BD301" s="39" t="str">
        <f aca="false">IF($A301="","",IF($AC301="","",IF(OR($L301="",$AC301=0),0,MIN($AC301,ROUND(ROUND(1440*SUMPRODUCT(($L$2:INDEX($L:$L,COUNTA($C:$C))=$L301)*($B$2:INDEX($B:$B,COUNTA($C:$C))=$B301)*(ROW($L$2:INDEX($L:$L,COUNTA($C:$C)))&lt;&gt;ROW())*((((($W301+$BT$2:INDEX($BT:$BT,COUNTA($C:$C))-ABS($W301-$BT$2:INDEX($BT:$BT,COUNTA($C:$C))))/2)-(($U301+$BS$2:INDEX($BS:$BS,COUNTA($C:$C))+ABS($U301-$BS$2:INDEX($BS:$BS,COUNTA($C:$C))))/2))+ABS(((($W301+$BT$2:INDEX($BT:$BT,COUNTA($C:$C))-ABS($W301-$BT$2:INDEX($BT:$BT,COUNTA($C:$C))))/2)-(($U301+$BS$2:INDEX($BS:$BS,COUNTA($C:$C))+ABS($U301-$BS$2:INDEX($BS:$BS,COUNTA($C:$C))))/2))))/2)),4),0)))))</f>
        <v/>
      </c>
      <c r="BE301" s="39" t="str">
        <f aca="false">IF($A301="","",IF($AC301="","",ROUND(MIN($AC301-$BD301,N($R301)),0)))</f>
        <v/>
      </c>
      <c r="BF301" s="10" t="str">
        <f aca="false">IF($A301="","",IFERROR(VLOOKUP($C301,Dim_Fund!$A:$BD,56,0),""))</f>
        <v/>
      </c>
      <c r="BG301" s="10" t="str">
        <f aca="false">IF($A301="","",IFERROR(VLOOKUP($C301,Dim_Fund!$A:$BH,60,0),""))</f>
        <v/>
      </c>
      <c r="BH301" s="10" t="str">
        <f aca="false">IF($A301="","",IF($AI301&lt;&gt;"Yes","Not breached",IF($AM301="Yes","Pricing late",IF($BG301="Thin custody slack","Thin custody slack",IF($BF301="Yes","Broker-dependent","None of these")))))</f>
        <v/>
      </c>
      <c r="BI301" s="23" t="str">
        <f aca="false">IF($A301="","",IFERROR(IF(VLOOKUP($C301,Dim_Fund!$A:$AI,35,0)&gt;0,VLOOKUP($C301,Dim_Fund!$A:$AI,35,0),""),""))</f>
        <v/>
      </c>
      <c r="BJ301" s="10" t="str">
        <f aca="false">IF($A301="","",$C301&amp;IF($E301="Client","*",""))</f>
        <v/>
      </c>
      <c r="BK301" s="39" t="str">
        <f aca="false">IF($A301="","",IFERROR(ROUND(($Y301-$X301)*1440,0),""))</f>
        <v/>
      </c>
      <c r="BL301" s="39" t="str">
        <f aca="false">IF($A301="","",IF($AH301="","",-$AH301))</f>
        <v/>
      </c>
      <c r="BM301" s="46" t="str">
        <f aca="false">IF($A301="","",IF($AQ301="","",IF($AP301="",$AQ301,MIN($AP301,$AQ301))))</f>
        <v/>
      </c>
      <c r="BN301" s="46" t="str">
        <f aca="false">IF($A301="","",IF($BM301="","",ROUND(N($AC301)/60,4)))</f>
        <v/>
      </c>
      <c r="BO301" s="46" t="str">
        <f aca="false">IF($A301="","",IF(OR($BM301="",$AD301=""),"",ROUND($AD301/60,4)))</f>
        <v/>
      </c>
      <c r="BP301" s="46" t="str">
        <f aca="false">IF($A301="","",IF($BM301="","",ROUND(N($AE301)/60,4)))</f>
        <v/>
      </c>
      <c r="BQ301" s="46" t="str">
        <f aca="false">IF($A301="","",IF(OR($BM301="",$AF301=""),"",ROUND($AF301/60,4)))</f>
        <v/>
      </c>
      <c r="BR301" s="39" t="str">
        <f aca="false">IF($A301="","",IF($AC301="","",$AC301-$BD301-$BE301))</f>
        <v/>
      </c>
      <c r="BS301" s="45" t="str">
        <f aca="false">IF($A301="","",IF(AND(ISNUMBER($Z301),ISNUMBER($W301)),$Z301,0))</f>
        <v/>
      </c>
      <c r="BT301" s="45" t="str">
        <f aca="false">IF($A301="","",IF(ISNUMBER($W301),$W301,0))</f>
        <v/>
      </c>
      <c r="BU301" s="23" t="str">
        <f aca="false">IF($A301="","",IF(ISNUMBER($W301),ROUND(($W301-$B301)*24,4),""))</f>
        <v/>
      </c>
      <c r="BV301" s="23" t="str">
        <f aca="false">IF($A301="","",IF(ISNUMBER($X301),ROUND(($X301-$B301)*24,4),""))</f>
        <v/>
      </c>
      <c r="BW301" s="10" t="str">
        <f aca="false">IF($A301="","",IF(NOT(ISNUMBER($W301)),"Missing Calculated",IF(NOT(ISNUMBER($X301)),IF($E301="Client","Missing FA signed off","Missing Controlled"),IF($X301&lt;$W301,"End before start","OK"))))</f>
        <v/>
      </c>
      <c r="BX301" s="23" t="str">
        <f aca="false">IF($A301="","",IF(NOT(ISNUMBER($Z301)),"",ROUND((IF(ISNUMBER($U301),MIN($U301,$Z301),$Z301)-$B301)*24,4)))</f>
        <v/>
      </c>
      <c r="BY301" s="23" t="str">
        <f aca="false">IF($A301="","",IF(ISNUMBER($Z301),ROUND(($Z301-$B301)*24,4),""))</f>
        <v/>
      </c>
      <c r="BZ301" s="23" t="str">
        <f aca="false">IF($A301="","",IF(AND(ISNUMBER($W301),ISNUMBER($S301)),ROUND(($W301+$S301/1440-$B301)*24,4),""))</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5"/>
    <col collapsed="false" customWidth="true" hidden="false" outlineLevel="0" max="3" min="3" style="1" width="86"/>
  </cols>
  <sheetData>
    <row r="1" customFormat="false" ht="15" hidden="false" customHeight="true" outlineLevel="0" collapsed="false">
      <c r="A1" s="2" t="s">
        <v>517</v>
      </c>
      <c r="B1" s="3"/>
      <c r="C1" s="3"/>
    </row>
    <row r="2" customFormat="false" ht="15" hidden="false" customHeight="true" outlineLevel="0" collapsed="false">
      <c r="A2" s="26" t="s">
        <v>518</v>
      </c>
      <c r="B2" s="5"/>
      <c r="C2" s="6"/>
    </row>
    <row r="3" customFormat="false" ht="15" hidden="false" customHeight="true" outlineLevel="0" collapsed="false">
      <c r="A3" s="4"/>
      <c r="B3" s="5"/>
      <c r="C3" s="6"/>
    </row>
    <row r="4" customFormat="false" ht="15" hidden="false" customHeight="true" outlineLevel="0" collapsed="false">
      <c r="A4" s="2" t="s">
        <v>519</v>
      </c>
      <c r="B4" s="3" t="s">
        <v>520</v>
      </c>
      <c r="C4" s="3" t="s">
        <v>521</v>
      </c>
    </row>
    <row r="5" customFormat="false" ht="15" hidden="false" customHeight="true" outlineLevel="0" collapsed="false">
      <c r="A5" s="4" t="s">
        <v>522</v>
      </c>
      <c r="B5" s="5" t="n">
        <f aca="false">COUNTA(Dim_Fund!$A:$A)-1</f>
        <v>12</v>
      </c>
      <c r="C5" s="6"/>
    </row>
    <row r="6" customFormat="false" ht="15" hidden="false" customHeight="true" outlineLevel="0" collapsed="false">
      <c r="A6" s="4" t="s">
        <v>523</v>
      </c>
      <c r="B6" s="5" t="n">
        <f aca="false">COUNTIFS(Dim_Fund!$A:$A,"&lt;&gt;",Dim_Fund!$G:$G,"")</f>
        <v>0</v>
      </c>
      <c r="C6" s="6" t="s">
        <v>524</v>
      </c>
    </row>
    <row r="7" customFormat="false" ht="15" hidden="false" customHeight="true" outlineLevel="0" collapsed="false">
      <c r="A7" s="4" t="s">
        <v>525</v>
      </c>
      <c r="B7" s="5" t="n">
        <f aca="false">COUNTIF(Dim_Fund!$AT:$AT,"REVIEW")</f>
        <v>0</v>
      </c>
      <c r="C7" s="6" t="s">
        <v>526</v>
      </c>
    </row>
    <row r="8" customFormat="false" ht="23.25" hidden="false" customHeight="true" outlineLevel="0" collapsed="false">
      <c r="A8" s="4" t="s">
        <v>527</v>
      </c>
      <c r="B8" s="5" t="n">
        <f aca="false">COUNTIF(Dim_Fund!$AU:$AU,"CAPTURE")</f>
        <v>2</v>
      </c>
      <c r="C8" s="6" t="s">
        <v>528</v>
      </c>
    </row>
    <row r="9" customFormat="false" ht="15" hidden="false" customHeight="true" outlineLevel="0" collapsed="false">
      <c r="A9" s="4" t="s">
        <v>529</v>
      </c>
      <c r="B9" s="5" t="n">
        <f aca="false">COUNTIF(Dim_Fund!$E:$E,"Yes")</f>
        <v>8</v>
      </c>
      <c r="C9" s="6" t="s">
        <v>530</v>
      </c>
    </row>
    <row r="10" customFormat="false" ht="23.25" hidden="false" customHeight="true" outlineLevel="0" collapsed="false">
      <c r="A10" s="4" t="s">
        <v>531</v>
      </c>
      <c r="B10" s="5" t="n">
        <f aca="false">COUNTIF(Dim_Fund!$Y:$Y,"Estimated")</f>
        <v>2</v>
      </c>
      <c r="C10" s="6" t="s">
        <v>532</v>
      </c>
    </row>
    <row r="11" customFormat="false" ht="15" hidden="false" customHeight="true" outlineLevel="0" collapsed="false">
      <c r="A11" s="4" t="s">
        <v>533</v>
      </c>
      <c r="B11" s="5" t="n">
        <f aca="false">COUNTIF(Dim_Fund!$P:$P,"No")</f>
        <v>2</v>
      </c>
      <c r="C11" s="6" t="s">
        <v>534</v>
      </c>
    </row>
    <row r="12" customFormat="false" ht="15" hidden="false" customHeight="true" outlineLevel="0" collapsed="false">
      <c r="A12" s="4" t="s">
        <v>535</v>
      </c>
      <c r="B12" s="5" t="n">
        <f aca="false">COUNTIF(Dim_Fund!$O:$O,"No")</f>
        <v>3</v>
      </c>
      <c r="C12" s="6"/>
    </row>
    <row r="13" customFormat="false" ht="15" hidden="false" customHeight="true" outlineLevel="0" collapsed="false">
      <c r="A13" s="4"/>
      <c r="B13" s="5"/>
      <c r="C13" s="6"/>
    </row>
    <row r="14" customFormat="false" ht="15" hidden="false" customHeight="true" outlineLevel="0" collapsed="false">
      <c r="A14" s="2" t="s">
        <v>536</v>
      </c>
      <c r="B14" s="3"/>
      <c r="C14" s="3"/>
    </row>
    <row r="15" customFormat="false" ht="15" hidden="false" customHeight="true" outlineLevel="0" collapsed="false">
      <c r="A15" s="4" t="s">
        <v>537</v>
      </c>
      <c r="B15" s="5" t="n">
        <f aca="false">COUNTA(Fact_Milestone!$A:$A)-1</f>
        <v>12</v>
      </c>
      <c r="C15" s="6"/>
    </row>
    <row r="16" customFormat="false" ht="15" hidden="false" customHeight="true" outlineLevel="0" collapsed="false">
      <c r="A16" s="4" t="s">
        <v>538</v>
      </c>
      <c r="B16" s="5" t="n">
        <f aca="false">COUNTIFS(Fact_Milestone!$A:$A,"&lt;&gt;",Fact_Milestone!$C:$C,"")</f>
        <v>0</v>
      </c>
      <c r="C16" s="6" t="s">
        <v>539</v>
      </c>
    </row>
    <row r="17" customFormat="false" ht="15" hidden="false" customHeight="true" outlineLevel="0" collapsed="false">
      <c r="A17" s="4" t="s">
        <v>540</v>
      </c>
      <c r="B17" s="5" t="n">
        <f aca="false">COUNTIF(Fact_Milestone!$I:$I,"No")</f>
        <v>2</v>
      </c>
      <c r="C17" s="6" t="s">
        <v>541</v>
      </c>
    </row>
    <row r="18" customFormat="false" ht="15" hidden="false" customHeight="true" outlineLevel="0" collapsed="false">
      <c r="A18" s="4" t="s">
        <v>542</v>
      </c>
      <c r="B18" s="48" t="n">
        <f aca="false">SUM(Fact_Milestone!$J:$J)</f>
        <v>5</v>
      </c>
      <c r="C18" s="6" t="s">
        <v>543</v>
      </c>
    </row>
    <row r="19" customFormat="false" ht="15" hidden="false" customHeight="true" outlineLevel="0" collapsed="false">
      <c r="A19" s="4"/>
      <c r="B19" s="5"/>
      <c r="C19" s="6"/>
    </row>
    <row r="20" customFormat="false" ht="15" hidden="false" customHeight="true" outlineLevel="0" collapsed="false">
      <c r="A20" s="2" t="s">
        <v>544</v>
      </c>
      <c r="B20" s="3"/>
      <c r="C20" s="3"/>
    </row>
    <row r="21" customFormat="false" ht="15" hidden="false" customHeight="true" outlineLevel="0" collapsed="false">
      <c r="A21" s="4" t="s">
        <v>545</v>
      </c>
      <c r="B21" s="5" t="n">
        <f aca="false">COUNTIF(Status_Log!$D:$D,"Changed to the status of*")</f>
        <v>106</v>
      </c>
      <c r="C21" s="6"/>
    </row>
    <row r="22" customFormat="false" ht="15" hidden="false" customHeight="true" outlineLevel="0" collapsed="false">
      <c r="A22" s="4" t="s">
        <v>546</v>
      </c>
      <c r="B22" s="5" t="n">
        <f aca="false">COUNTA(Fact_Work!$C:$C)-1</f>
        <v>26</v>
      </c>
      <c r="C22" s="6" t="s">
        <v>547</v>
      </c>
    </row>
    <row r="23" customFormat="false" ht="15" hidden="false" customHeight="true" outlineLevel="0" collapsed="false">
      <c r="A23" s="4" t="s">
        <v>548</v>
      </c>
      <c r="B23" s="5" t="n">
        <f aca="false">COUNTIF(Fact_Work!$AK:$AK,"CHECK")</f>
        <v>0</v>
      </c>
      <c r="C23" s="6" t="s">
        <v>549</v>
      </c>
    </row>
    <row r="24" customFormat="false" ht="15" hidden="false" customHeight="true" outlineLevel="0" collapsed="false">
      <c r="A24" s="4" t="s">
        <v>550</v>
      </c>
      <c r="B24" s="5" t="str">
        <f aca="false">IF(COUNT(Fact_Work!$D:$D)=0,"",MIN(Fact_Work!$D:$D)&amp;" to "&amp;MAX(Fact_Work!$D:$D)&amp;" days")</f>
        <v>1 to 30 days</v>
      </c>
      <c r="C24" s="6" t="s">
        <v>551</v>
      </c>
    </row>
    <row r="25" customFormat="false" ht="15" hidden="false" customHeight="true" outlineLevel="0" collapsed="false">
      <c r="A25" s="4" t="s">
        <v>552</v>
      </c>
      <c r="B25" s="5" t="n">
        <f aca="false">COUNTIF(Fact_Work!$AI:$AI,"Yes")</f>
        <v>6</v>
      </c>
      <c r="C25" s="6"/>
    </row>
    <row r="26" customFormat="false" ht="23.25" hidden="false" customHeight="true" outlineLevel="0" collapsed="false">
      <c r="A26" s="4" t="s">
        <v>553</v>
      </c>
      <c r="B26" s="48" t="n">
        <f aca="false">IFERROR(COUNTIF(Fact_Work!$O:$O,"Yes")/(COUNTA(Fact_Work!$C:$C)-1),"")</f>
        <v>0.115384615384615</v>
      </c>
      <c r="C26" s="6" t="s">
        <v>554</v>
      </c>
    </row>
    <row r="27" customFormat="false" ht="15" hidden="false" customHeight="true" outlineLevel="0" collapsed="false">
      <c r="A27" s="4" t="s">
        <v>555</v>
      </c>
      <c r="B27" s="49" t="n">
        <f aca="false">COUNTIF(Fact_Work!$J:$J,"&gt;1")</f>
        <v>6</v>
      </c>
      <c r="C27" s="6" t="s">
        <v>556</v>
      </c>
    </row>
    <row r="28" customFormat="false" ht="23.25" hidden="false" customHeight="true" outlineLevel="0" collapsed="false">
      <c r="A28" s="50" t="s">
        <v>557</v>
      </c>
      <c r="B28" s="50" t="n">
        <f aca="false">COUNTIF(Fact_Work!$P:$P,"YES*")</f>
        <v>2</v>
      </c>
      <c r="C28" s="51" t="s">
        <v>558</v>
      </c>
    </row>
    <row r="29" customFormat="false" ht="15" hidden="false" customHeight="true" outlineLevel="0" collapsed="false">
      <c r="A29" s="4" t="s">
        <v>559</v>
      </c>
      <c r="B29" s="4" t="n">
        <f aca="false">SUMPRODUCT((Fact_Work!$L$2:INDEX(Fact_Work!$L:$L,COUNTA(Fact_Work!$C:$C))&lt;&gt;"")*ISNA(MATCH(Fact_Work!$L$2:INDEX(Fact_Work!$L:$L,COUNTA(Fact_Work!$C:$C)),Dim_Analyst!$A:$A,0)))</f>
        <v>0</v>
      </c>
      <c r="C29" s="6" t="s">
        <v>560</v>
      </c>
    </row>
    <row r="30" customFormat="false" ht="15" hidden="false" customHeight="true" outlineLevel="0" collapsed="false">
      <c r="A30" s="4" t="s">
        <v>561</v>
      </c>
      <c r="B30" s="4" t="n">
        <f aca="false">COUNTIF(Dim_Analyst!$P:$P,"OVER")</f>
        <v>0</v>
      </c>
      <c r="C30" s="6" t="s">
        <v>562</v>
      </c>
    </row>
    <row r="31" customFormat="false" ht="15" hidden="false" customHeight="true" outlineLevel="0" collapsed="false">
      <c r="A31" s="4" t="s">
        <v>563</v>
      </c>
      <c r="B31" s="4" t="n">
        <f aca="false">IFERROR(ROUND(AVERAGEIF(Fact_Work!$AC:$AC,"&gt;=0"),0),"")</f>
        <v>193</v>
      </c>
      <c r="C31" s="6" t="s">
        <v>564</v>
      </c>
    </row>
    <row r="32" customFormat="false" ht="15" hidden="false" customHeight="true" outlineLevel="0" collapsed="false">
      <c r="A32" s="4" t="s">
        <v>565</v>
      </c>
      <c r="B32" s="4" t="n">
        <f aca="false">COUNTIF(Dim_Fund!$AY:$AY,"Not seen")</f>
        <v>0</v>
      </c>
      <c r="C32" s="6" t="s">
        <v>566</v>
      </c>
    </row>
    <row r="34" customFormat="false" ht="15" hidden="false" customHeight="true" outlineLevel="0" collapsed="false">
      <c r="A34" s="2" t="s">
        <v>567</v>
      </c>
      <c r="B34" s="2"/>
      <c r="C34" s="3"/>
    </row>
    <row r="35" customFormat="false" ht="15" hidden="false" customHeight="true" outlineLevel="0" collapsed="false">
      <c r="A35" s="4" t="s">
        <v>568</v>
      </c>
      <c r="B35" s="4" t="n">
        <f aca="false">COUNTA(Dim_TOP!$B:$B)-1</f>
        <v>4</v>
      </c>
      <c r="C35" s="6"/>
    </row>
    <row r="36" customFormat="false" ht="15" hidden="false" customHeight="true" outlineLevel="0" collapsed="false">
      <c r="A36" s="4" t="s">
        <v>569</v>
      </c>
      <c r="B36" s="4" t="n">
        <f aca="false">COUNTIFS(Dim_Fund!$A:$A,"&lt;&gt;",Dim_Fund!$U:$U,"")</f>
        <v>0</v>
      </c>
      <c r="C36" s="6" t="s">
        <v>570</v>
      </c>
    </row>
    <row r="37" customFormat="false" ht="15" hidden="false" customHeight="true" outlineLevel="0" collapsed="false">
      <c r="A37" s="4" t="s">
        <v>571</v>
      </c>
      <c r="B37" s="4" t="n">
        <f aca="false">COUNTIF(Dim_TOP!$I:$I,"HIGH*")</f>
        <v>0</v>
      </c>
      <c r="C37" s="6" t="s">
        <v>572</v>
      </c>
    </row>
    <row r="38" customFormat="false" ht="23.25" hidden="false" customHeight="true" outlineLevel="0" collapsed="false">
      <c r="A38" s="4" t="s">
        <v>573</v>
      </c>
      <c r="B38" s="4" t="str">
        <f aca="false">IFERROR(MAX(Dim_TOP!$G:$G)&amp;" min","")</f>
        <v>84 min</v>
      </c>
      <c r="C38" s="6" t="s">
        <v>574</v>
      </c>
    </row>
    <row r="39" customFormat="false" ht="15" hidden="false" customHeight="true" outlineLevel="0" collapsed="false">
      <c r="A39" s="4" t="s">
        <v>575</v>
      </c>
      <c r="B39" s="4" t="n">
        <f aca="false">COUNTIF(Dim_Fund!$BB:$BB,"Later*")</f>
        <v>8</v>
      </c>
      <c r="C39" s="6" t="s">
        <v>576</v>
      </c>
    </row>
    <row r="40" customFormat="false" ht="15" hidden="false" customHeight="true" outlineLevel="0" collapsed="false">
      <c r="A40" s="4" t="s">
        <v>577</v>
      </c>
      <c r="B40" s="4" t="n">
        <f aca="false">COUNTIF(Fact_Work!$AM:$AM,"Yes")</f>
        <v>3</v>
      </c>
      <c r="C40" s="6" t="s">
        <v>578</v>
      </c>
    </row>
    <row r="41" customFormat="false" ht="23.25" hidden="false" customHeight="true" outlineLevel="0" collapsed="false">
      <c r="A41" s="4" t="s">
        <v>579</v>
      </c>
      <c r="B41" s="4" t="n">
        <f aca="false">COUNTIF(Fact_Milestone!$E:$E,0)</f>
        <v>0</v>
      </c>
      <c r="C41" s="6" t="s">
        <v>580</v>
      </c>
    </row>
    <row r="43" customFormat="false" ht="15" hidden="false" customHeight="true" outlineLevel="0" collapsed="false">
      <c r="A43" s="2" t="s">
        <v>581</v>
      </c>
      <c r="B43" s="2"/>
      <c r="C43" s="3"/>
    </row>
    <row r="44" customFormat="false" ht="23.25" hidden="false" customHeight="true" outlineLevel="0" collapsed="false">
      <c r="A44" s="4" t="s">
        <v>582</v>
      </c>
      <c r="B44" s="4" t="n">
        <f aca="false">SUM(Dim_Slot!$E$2:$E$33)</f>
        <v>26</v>
      </c>
      <c r="C44" s="6" t="s">
        <v>583</v>
      </c>
    </row>
    <row r="45" customFormat="false" ht="23.25" hidden="false" customHeight="true" outlineLevel="0" collapsed="false">
      <c r="A45" s="4" t="s">
        <v>584</v>
      </c>
      <c r="B45" s="4" t="n">
        <f aca="false">COUNTIF(Fact_Work!$AY:$AY,"No")</f>
        <v>0</v>
      </c>
      <c r="C45" s="6" t="s">
        <v>585</v>
      </c>
    </row>
    <row r="46" customFormat="false" ht="15" hidden="false" customHeight="true" outlineLevel="0" collapsed="false">
      <c r="A46" s="4" t="s">
        <v>586</v>
      </c>
      <c r="B46" s="4" t="n">
        <f aca="false">COUNTIF(Fact_Work!$AZ:$AZ,"Lost on arrival")</f>
        <v>0</v>
      </c>
      <c r="C46" s="6" t="s">
        <v>587</v>
      </c>
    </row>
    <row r="47" customFormat="false" ht="15" hidden="false" customHeight="true" outlineLevel="0" collapsed="false">
      <c r="A47" s="4" t="s">
        <v>588</v>
      </c>
      <c r="B47" s="4" t="n">
        <f aca="false">COUNTIF(Dim_Slot!$H$2:$H$33,"Peak")</f>
        <v>1</v>
      </c>
      <c r="C47" s="6" t="s">
        <v>589</v>
      </c>
    </row>
    <row r="49" customFormat="false" ht="15" hidden="false" customHeight="true" outlineLevel="0" collapsed="false">
      <c r="A49" s="2" t="s">
        <v>590</v>
      </c>
      <c r="B49" s="2"/>
      <c r="C49" s="3"/>
    </row>
    <row r="50" customFormat="false" ht="23.25" hidden="false" customHeight="true" outlineLevel="0" collapsed="false">
      <c r="A50" s="4" t="s">
        <v>591</v>
      </c>
      <c r="B50" s="4" t="n">
        <f aca="false">COUNT(Fact_Work!$A:$A)-(COUNTIF(Fact_Work!$E:$E,"?*")-1)</f>
        <v>0</v>
      </c>
      <c r="C50" s="6" t="s">
        <v>592</v>
      </c>
    </row>
    <row r="51" customFormat="false" ht="15" hidden="false" customHeight="true" outlineLevel="0" collapsed="false">
      <c r="A51" s="4" t="s">
        <v>593</v>
      </c>
      <c r="B51" s="4" t="n">
        <f aca="false">COUNT(Fact_Milestone!$A:$A)-(COUNTIF(Fact_Milestone!$D:$D,"?*")-1)</f>
        <v>0</v>
      </c>
      <c r="C51" s="6" t="s">
        <v>594</v>
      </c>
    </row>
    <row r="52" customFormat="false" ht="15" hidden="false" customHeight="true" outlineLevel="0" collapsed="false">
      <c r="A52" s="4" t="s">
        <v>595</v>
      </c>
      <c r="B52" s="4" t="n">
        <f aca="false">COUNTA(Dim_Fund!$A:$A)-1-COUNT(Dim_Fund!$Z:$Z)</f>
        <v>0</v>
      </c>
      <c r="C52" s="6" t="s">
        <v>596</v>
      </c>
    </row>
    <row r="53" customFormat="false" ht="23.25" hidden="false" customHeight="true" outlineLevel="0" collapsed="false">
      <c r="A53" s="4" t="s">
        <v>597</v>
      </c>
      <c r="B53" s="4" t="n">
        <f aca="false">COUNTIF(Status_Log!$D:$D,"Changed to the status of*")-(COUNTIF(Status_Log!$H:$H,"?*")-1)</f>
        <v>0</v>
      </c>
      <c r="C53" s="6" t="s">
        <v>598</v>
      </c>
    </row>
    <row r="54" customFormat="false" ht="15" hidden="false" customHeight="true" outlineLevel="0" collapsed="false">
      <c r="A54" s="4" t="s">
        <v>599</v>
      </c>
      <c r="B54" s="4" t="n">
        <f aca="false">COUNTA(Raw_Fund_Import!$A:$A)-1-(COUNTIF(Dim_Fund_Staging!$Y:$Y,"?*")-1)</f>
        <v>0</v>
      </c>
      <c r="C54" s="6" t="s">
        <v>600</v>
      </c>
    </row>
    <row r="56" customFormat="false" ht="15" hidden="false" customHeight="false" outlineLevel="0" collapsed="false">
      <c r="A56" s="8" t="s">
        <v>601</v>
      </c>
      <c r="B56" s="9"/>
      <c r="C56" s="9"/>
    </row>
    <row r="57" customFormat="false" ht="15" hidden="false" customHeight="false" outlineLevel="0" collapsed="false">
      <c r="A57" s="10" t="s">
        <v>602</v>
      </c>
      <c r="B57" s="10" t="n">
        <f aca="false">COUNT(Fact_Work!$A:$A)-(COUNTIF(Fact_Work!$BJ:$BJ,"?*")-1)</f>
        <v>0</v>
      </c>
      <c r="C57" s="6" t="s">
        <v>603</v>
      </c>
    </row>
    <row r="58" customFormat="false" ht="23.85" hidden="false" customHeight="false" outlineLevel="0" collapsed="false">
      <c r="A58" s="10" t="s">
        <v>604</v>
      </c>
      <c r="B58" s="10" t="n">
        <f aca="false">COUNTIFS(Fact_Work!$A:$A,"&lt;&gt;",Fact_Work!$V:$V,"")</f>
        <v>0</v>
      </c>
      <c r="C58" s="6" t="s">
        <v>605</v>
      </c>
    </row>
    <row r="59" customFormat="false" ht="15" hidden="false" customHeight="false" outlineLevel="0" collapsed="false">
      <c r="A59" s="10" t="s">
        <v>606</v>
      </c>
      <c r="B59" s="10" t="n">
        <f aca="false">COUNTIF(Fact_Work!$BR:$BR,"&lt;0")</f>
        <v>0</v>
      </c>
      <c r="C59" s="6" t="s">
        <v>607</v>
      </c>
    </row>
    <row r="60" customFormat="false" ht="15" hidden="false" customHeight="false" outlineLevel="0" collapsed="false">
      <c r="A60" s="10" t="s">
        <v>608</v>
      </c>
      <c r="B60" s="32" t="n">
        <f aca="false">IFERROR(SUM(Fact_Work!$BD:$BD)/SUM(Fact_Work!$AC:$AC),"")</f>
        <v>0.055001992825827</v>
      </c>
      <c r="C60" s="6" t="s">
        <v>609</v>
      </c>
    </row>
    <row r="61" customFormat="false" ht="15" hidden="false" customHeight="false" outlineLevel="0" collapsed="false">
      <c r="A61" s="10" t="s">
        <v>610</v>
      </c>
      <c r="B61" s="32" t="n">
        <f aca="false">IFERROR(SUM(Fact_Work!$BE:$BE)/SUM(Fact_Work!$AC:$AC),"")</f>
        <v>0.115185332801913</v>
      </c>
      <c r="C61" s="6" t="s">
        <v>611</v>
      </c>
    </row>
    <row r="62" customFormat="false" ht="15" hidden="false" customHeight="false" outlineLevel="0" collapsed="false">
      <c r="A62" s="10" t="s">
        <v>612</v>
      </c>
      <c r="B62" s="32" t="n">
        <f aca="false">IFERROR(SUM(Fact_Work!$BR:$BR)/SUM(Fact_Work!$AC:$AC),"")</f>
        <v>0.82981267437226</v>
      </c>
      <c r="C62" s="6" t="s">
        <v>613</v>
      </c>
    </row>
    <row r="63" customFormat="false" ht="15" hidden="false" customHeight="false" outlineLevel="0" collapsed="false">
      <c r="A63" s="10" t="s">
        <v>614</v>
      </c>
      <c r="B63" s="10" t="n">
        <f aca="false">COUNTIF(Dim_Fund!$BE:$BE,"Yes")</f>
        <v>0</v>
      </c>
      <c r="C63" s="6" t="s">
        <v>615</v>
      </c>
    </row>
    <row r="64" customFormat="false" ht="15" hidden="false" customHeight="false" outlineLevel="0" collapsed="false">
      <c r="A64" s="10" t="s">
        <v>616</v>
      </c>
      <c r="B64" s="10" t="n">
        <f aca="false">COUNTIF(Dim_Fund!$BF:$BF,"Yes")</f>
        <v>0</v>
      </c>
      <c r="C64" s="6" t="s">
        <v>617</v>
      </c>
    </row>
    <row r="65" customFormat="false" ht="15" hidden="false" customHeight="false" outlineLevel="0" collapsed="false">
      <c r="A65" s="10" t="s">
        <v>618</v>
      </c>
      <c r="B65" s="10" t="n">
        <f aca="false">COUNTIF(Dim_Fund!$BD:$BD,"Yes")</f>
        <v>10</v>
      </c>
      <c r="C65" s="6" t="s">
        <v>619</v>
      </c>
    </row>
    <row r="66" customFormat="false" ht="15" hidden="false" customHeight="false" outlineLevel="0" collapsed="false">
      <c r="A66" s="10" t="s">
        <v>620</v>
      </c>
      <c r="B66" s="10" t="n">
        <f aca="false">COUNTIFS(Fact_Work!$BH:$BH,"?*",Fact_Work!$BH:$BH,"&lt;&gt;Not breached")-COUNTIF(Fact_Work!$BH:$BH,"Possible_Cause")</f>
        <v>6</v>
      </c>
      <c r="C66" s="6" t="s">
        <v>621</v>
      </c>
    </row>
    <row r="67" customFormat="false" ht="23.85" hidden="false" customHeight="false" outlineLevel="0" collapsed="false">
      <c r="A67" s="10" t="s">
        <v>622</v>
      </c>
      <c r="B67" s="10" t="n">
        <f aca="false">COUNTIF(Fact_Work!$BW:$BW,"Missing*")+COUNTIF(Fact_Work!$BW:$BW,"End before start")</f>
        <v>0</v>
      </c>
      <c r="C67" s="6" t="s">
        <v>623</v>
      </c>
    </row>
    <row r="68" customFormat="false" ht="23.85" hidden="false" customHeight="false" outlineLevel="0" collapsed="false">
      <c r="A68" s="10" t="s">
        <v>624</v>
      </c>
      <c r="B68" s="10" t="n">
        <f aca="false">COUNTIFS(Fact_Work!$BI:$BI,"&lt;"&amp;MIN(Dim_Hour!$A:$A))+COUNTIFS(Fact_Work!$BI:$BI,"&gt;="&amp;(MAX(Dim_Hour!$A:$A)+1))</f>
        <v>0</v>
      </c>
      <c r="C68" s="6" t="s">
        <v>625</v>
      </c>
    </row>
    <row r="69" customFormat="false" ht="15" hidden="false" customHeight="false" outlineLevel="0" collapsed="false">
      <c r="A69" s="10" t="s">
        <v>626</v>
      </c>
      <c r="B69" s="10" t="n">
        <f aca="false">COUNTIFS(Fact_Work!$A:$A,"&lt;&gt;",Fact_Work!$BZ:$BZ,"")</f>
        <v>0</v>
      </c>
      <c r="C69" s="6" t="s">
        <v>627</v>
      </c>
    </row>
    <row r="70" customFormat="false" ht="15" hidden="false" customHeight="false" outlineLevel="0" collapsed="false">
      <c r="A70" s="10" t="s">
        <v>628</v>
      </c>
      <c r="B70" s="10" t="n">
        <f aca="false">COUNTIF(Dim_Team!$D:$D,"&gt;1")</f>
        <v>1</v>
      </c>
      <c r="C70" s="6" t="s">
        <v>629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4" min="2" style="1" width="13"/>
    <col collapsed="false" customWidth="true" hidden="false" outlineLevel="0" max="5" min="5" style="1" width="16"/>
    <col collapsed="false" customWidth="true" hidden="false" outlineLevel="0" max="6" min="6" style="1" width="15"/>
    <col collapsed="false" customWidth="true" hidden="false" outlineLevel="0" max="9" min="7" style="1" width="23"/>
    <col collapsed="false" customWidth="true" hidden="false" outlineLevel="0" max="10" min="10" style="1" width="20"/>
    <col collapsed="false" customWidth="true" hidden="false" outlineLevel="0" max="11" min="11" style="1" width="22"/>
    <col collapsed="false" customWidth="true" hidden="false" outlineLevel="0" max="12" min="12" style="1" width="19"/>
    <col collapsed="false" customWidth="true" hidden="false" outlineLevel="0" max="13" min="13" style="1" width="16"/>
    <col collapsed="false" customWidth="true" hidden="false" outlineLevel="0" max="15" min="14" style="1" width="18"/>
    <col collapsed="false" customWidth="true" hidden="false" outlineLevel="0" max="16" min="16" style="1" width="15"/>
    <col collapsed="false" customWidth="true" hidden="false" outlineLevel="0" max="17" min="17" style="0" width="12"/>
  </cols>
  <sheetData>
    <row r="1" customFormat="false" ht="37.5" hidden="false" customHeight="true" outlineLevel="0" collapsed="false">
      <c r="A1" s="17" t="s">
        <v>630</v>
      </c>
      <c r="B1" s="17" t="s">
        <v>222</v>
      </c>
      <c r="C1" s="17" t="s">
        <v>631</v>
      </c>
      <c r="D1" s="18" t="s">
        <v>223</v>
      </c>
      <c r="E1" s="18" t="s">
        <v>227</v>
      </c>
      <c r="F1" s="18" t="s">
        <v>632</v>
      </c>
      <c r="G1" s="18" t="s">
        <v>633</v>
      </c>
      <c r="H1" s="18" t="s">
        <v>634</v>
      </c>
      <c r="I1" s="18" t="s">
        <v>635</v>
      </c>
      <c r="J1" s="18" t="s">
        <v>636</v>
      </c>
      <c r="K1" s="18" t="s">
        <v>637</v>
      </c>
      <c r="L1" s="18" t="s">
        <v>638</v>
      </c>
      <c r="M1" s="18" t="s">
        <v>639</v>
      </c>
      <c r="N1" s="18" t="s">
        <v>640</v>
      </c>
      <c r="O1" s="18" t="s">
        <v>641</v>
      </c>
      <c r="P1" s="18" t="s">
        <v>642</v>
      </c>
      <c r="Q1" s="19" t="s">
        <v>228</v>
      </c>
    </row>
    <row r="2" customFormat="false" ht="15" hidden="false" customHeight="true" outlineLevel="0" collapsed="false">
      <c r="A2" s="13" t="s">
        <v>313</v>
      </c>
      <c r="B2" s="13" t="s">
        <v>229</v>
      </c>
      <c r="C2" s="13" t="s">
        <v>312</v>
      </c>
      <c r="D2" s="4" t="str">
        <f aca="false">IF($A2="","",IFERROR(VLOOKUP($B2,Dim_Team!$A:$B,2,0),"external"))</f>
        <v>Equity Ops</v>
      </c>
      <c r="E2" s="22" t="n">
        <f aca="false">IF($A2="","",IFERROR(VLOOKUP($B2,Dim_Team!$A:$F,6,0),""))</f>
        <v>9</v>
      </c>
      <c r="F2" s="31" t="n">
        <f aca="false">IF($A2="","",IFERROR(VLOOKUP($B2,Dim_Team!$A:$E,5,0),0))</f>
        <v>450</v>
      </c>
      <c r="G2" s="4" t="n">
        <f aca="false">IF($A2="","",COUNTIF(Dim_Fund!$G:$G,$A2))</f>
        <v>2</v>
      </c>
      <c r="H2" s="31" t="n">
        <f aca="false">IF($A2="","",IFERROR(ROUND(SUMIF(Fact_Work!$N:$N,$A2,Fact_Work!$Q:$Q)/Constants!$B$13,0),0))</f>
        <v>77</v>
      </c>
      <c r="I2" s="31" t="n">
        <f aca="false">IF($A2="","",IFERROR(ROUND(SUMIF(Fact_Work!$L:$L,$A2,Fact_Work!$Q:$Q)/Constants!$B$13,0),0))</f>
        <v>73</v>
      </c>
      <c r="J2" s="49" t="n">
        <f aca="false">IF($A2="","",IFERROR($I2/$F2,""))</f>
        <v>0.162222222222222</v>
      </c>
      <c r="K2" s="4" t="n">
        <f aca="false">IF($A2="","",IFERROR(ROUND(COUNTIF(Fact_Work!$M:$M,$A2)/Constants!$B$13,1),0))</f>
        <v>1.7</v>
      </c>
      <c r="L2" s="31" t="n">
        <f aca="false">IF($A2="","",IFERROR(ROUND(SUMIF(Fact_Work!$M:$M,$A2,Fact_Work!$AE:$AE)/Constants!$B$13,0),0))</f>
        <v>19</v>
      </c>
      <c r="M2" s="31" t="n">
        <f aca="false">IF($A2="","",$I2+$L2)</f>
        <v>92</v>
      </c>
      <c r="N2" s="49" t="n">
        <f aca="false">IF($A2="","",IFERROR($M2/$F2,""))</f>
        <v>0.204444444444444</v>
      </c>
      <c r="O2" s="4" t="n">
        <f aca="false">IF($A2="","",COUNTIFS(Fact_Work!$L:$L,$A2,Fact_Work!$O:$O,"Yes"))</f>
        <v>1</v>
      </c>
      <c r="P2" s="4" t="str">
        <f aca="false">IF($A2="","",IF($C2&lt;&gt;"Yes","n/a",IF($M2&gt;$F2,"OVER","OK")))</f>
        <v>OK</v>
      </c>
      <c r="Q2" s="23" t="n">
        <f aca="false">IF($A2="","",IFERROR(VLOOKUP($B2,Dim_Team!$A:$G,7,0),""))</f>
        <v>18</v>
      </c>
    </row>
    <row r="3" customFormat="false" ht="15" hidden="false" customHeight="true" outlineLevel="0" collapsed="false">
      <c r="A3" s="13" t="s">
        <v>321</v>
      </c>
      <c r="B3" s="13" t="s">
        <v>229</v>
      </c>
      <c r="C3" s="13" t="s">
        <v>312</v>
      </c>
      <c r="D3" s="4" t="str">
        <f aca="false">IF($A3="","",IFERROR(VLOOKUP($B3,Dim_Team!$A:$B,2,0),"external"))</f>
        <v>Equity Ops</v>
      </c>
      <c r="E3" s="22" t="n">
        <f aca="false">IF($A3="","",IFERROR(VLOOKUP($B3,Dim_Team!$A:$F,6,0),""))</f>
        <v>9</v>
      </c>
      <c r="F3" s="31" t="n">
        <f aca="false">IF($A3="","",IFERROR(VLOOKUP($B3,Dim_Team!$A:$E,5,0),0))</f>
        <v>450</v>
      </c>
      <c r="G3" s="4" t="n">
        <f aca="false">IF($A3="","",COUNTIF(Dim_Fund!$G:$G,$A3))</f>
        <v>2</v>
      </c>
      <c r="H3" s="31" t="n">
        <f aca="false">IF($A3="","",IFERROR(ROUND(SUMIF(Fact_Work!$N:$N,$A3,Fact_Work!$Q:$Q)/Constants!$B$13,0),0))</f>
        <v>40</v>
      </c>
      <c r="I3" s="31" t="n">
        <f aca="false">IF($A3="","",IFERROR(ROUND(SUMIF(Fact_Work!$L:$L,$A3,Fact_Work!$Q:$Q)/Constants!$B$13,0),0))</f>
        <v>40</v>
      </c>
      <c r="J3" s="49" t="n">
        <f aca="false">IF($A3="","",IFERROR($I3/$F3,""))</f>
        <v>0.0888888888888889</v>
      </c>
      <c r="K3" s="4" t="n">
        <f aca="false">IF($A3="","",IFERROR(ROUND(COUNTIF(Fact_Work!$M:$M,$A3)/Constants!$B$13,1),0))</f>
        <v>1</v>
      </c>
      <c r="L3" s="31" t="n">
        <f aca="false">IF($A3="","",IFERROR(ROUND(SUMIF(Fact_Work!$M:$M,$A3,Fact_Work!$AE:$AE)/Constants!$B$13,0),0))</f>
        <v>7</v>
      </c>
      <c r="M3" s="31" t="n">
        <f aca="false">IF($A3="","",$I3+$L3)</f>
        <v>47</v>
      </c>
      <c r="N3" s="49" t="n">
        <f aca="false">IF($A3="","",IFERROR($M3/$F3,""))</f>
        <v>0.104444444444444</v>
      </c>
      <c r="O3" s="4" t="n">
        <f aca="false">IF($A3="","",COUNTIFS(Fact_Work!$L:$L,$A3,Fact_Work!$O:$O,"Yes"))</f>
        <v>0</v>
      </c>
      <c r="P3" s="4" t="str">
        <f aca="false">IF($A3="","",IF($C3&lt;&gt;"Yes","n/a",IF($M3&gt;$F3,"OVER","OK")))</f>
        <v>OK</v>
      </c>
      <c r="Q3" s="23" t="n">
        <f aca="false">IF($A3="","",IFERROR(VLOOKUP($B3,Dim_Team!$A:$G,7,0),""))</f>
        <v>18</v>
      </c>
    </row>
    <row r="4" customFormat="false" ht="15" hidden="false" customHeight="true" outlineLevel="0" collapsed="false">
      <c r="A4" s="13" t="s">
        <v>328</v>
      </c>
      <c r="B4" s="13" t="s">
        <v>231</v>
      </c>
      <c r="C4" s="13" t="s">
        <v>312</v>
      </c>
      <c r="D4" s="4" t="str">
        <f aca="false">IF($A4="","",IFERROR(VLOOKUP($B4,Dim_Team!$A:$B,2,0),"external"))</f>
        <v>Fixed Income Ops</v>
      </c>
      <c r="E4" s="22" t="n">
        <f aca="false">IF($A4="","",IFERROR(VLOOKUP($B4,Dim_Team!$A:$F,6,0),""))</f>
        <v>9</v>
      </c>
      <c r="F4" s="31" t="n">
        <f aca="false">IF($A4="","",IFERROR(VLOOKUP($B4,Dim_Team!$A:$E,5,0),0))</f>
        <v>450</v>
      </c>
      <c r="G4" s="4" t="n">
        <f aca="false">IF($A4="","",COUNTIF(Dim_Fund!$G:$G,$A4))</f>
        <v>2</v>
      </c>
      <c r="H4" s="31" t="n">
        <f aca="false">IF($A4="","",IFERROR(ROUND(SUMIF(Fact_Work!$N:$N,$A4,Fact_Work!$Q:$Q)/Constants!$B$13,0),0))</f>
        <v>57</v>
      </c>
      <c r="I4" s="31" t="n">
        <f aca="false">IF($A4="","",IFERROR(ROUND(SUMIF(Fact_Work!$L:$L,$A4,Fact_Work!$Q:$Q)/Constants!$B$13,0),0))</f>
        <v>57</v>
      </c>
      <c r="J4" s="49" t="n">
        <f aca="false">IF($A4="","",IFERROR($I4/$F4,""))</f>
        <v>0.126666666666667</v>
      </c>
      <c r="K4" s="4" t="n">
        <f aca="false">IF($A4="","",IFERROR(ROUND(COUNTIF(Fact_Work!$M:$M,$A4)/Constants!$B$13,1),0))</f>
        <v>2.3</v>
      </c>
      <c r="L4" s="31" t="n">
        <f aca="false">IF($A4="","",IFERROR(ROUND(SUMIF(Fact_Work!$M:$M,$A4,Fact_Work!$AE:$AE)/Constants!$B$13,0),0))</f>
        <v>30</v>
      </c>
      <c r="M4" s="31" t="n">
        <f aca="false">IF($A4="","",$I4+$L4)</f>
        <v>87</v>
      </c>
      <c r="N4" s="49" t="n">
        <f aca="false">IF($A4="","",IFERROR($M4/$F4,""))</f>
        <v>0.193333333333333</v>
      </c>
      <c r="O4" s="4" t="n">
        <f aca="false">IF($A4="","",COUNTIFS(Fact_Work!$L:$L,$A4,Fact_Work!$O:$O,"Yes"))</f>
        <v>1</v>
      </c>
      <c r="P4" s="4" t="str">
        <f aca="false">IF($A4="","",IF($C4&lt;&gt;"Yes","n/a",IF($M4&gt;$F4,"OVER","OK")))</f>
        <v>OK</v>
      </c>
      <c r="Q4" s="23" t="n">
        <f aca="false">IF($A4="","",IFERROR(VLOOKUP($B4,Dim_Team!$A:$G,7,0),""))</f>
        <v>18</v>
      </c>
    </row>
    <row r="5" customFormat="false" ht="15" hidden="false" customHeight="true" outlineLevel="0" collapsed="false">
      <c r="A5" s="13" t="s">
        <v>332</v>
      </c>
      <c r="B5" s="13" t="s">
        <v>233</v>
      </c>
      <c r="C5" s="13" t="s">
        <v>312</v>
      </c>
      <c r="D5" s="4" t="str">
        <f aca="false">IF($A5="","",IFERROR(VLOOKUP($B5,Dim_Team!$A:$B,2,0),"external"))</f>
        <v>Multi-Asset Ops</v>
      </c>
      <c r="E5" s="22" t="n">
        <f aca="false">IF($A5="","",IFERROR(VLOOKUP($B5,Dim_Team!$A:$F,6,0),""))</f>
        <v>10</v>
      </c>
      <c r="F5" s="31" t="n">
        <f aca="false">IF($A5="","",IFERROR(VLOOKUP($B5,Dim_Team!$A:$E,5,0),0))</f>
        <v>450</v>
      </c>
      <c r="G5" s="4" t="n">
        <f aca="false">IF($A5="","",COUNTIF(Dim_Fund!$G:$G,$A5))</f>
        <v>2</v>
      </c>
      <c r="H5" s="31" t="n">
        <f aca="false">IF($A5="","",IFERROR(ROUND(SUMIF(Fact_Work!$N:$N,$A5,Fact_Work!$Q:$Q)/Constants!$B$13,0),0))</f>
        <v>54</v>
      </c>
      <c r="I5" s="31" t="n">
        <f aca="false">IF($A5="","",IFERROR(ROUND(SUMIF(Fact_Work!$L:$L,$A5,Fact_Work!$Q:$Q)/Constants!$B$13,0),0))</f>
        <v>70</v>
      </c>
      <c r="J5" s="49" t="n">
        <f aca="false">IF($A5="","",IFERROR($I5/$F5,""))</f>
        <v>0.155555555555556</v>
      </c>
      <c r="K5" s="4" t="n">
        <f aca="false">IF($A5="","",IFERROR(ROUND(COUNTIF(Fact_Work!$M:$M,$A5)/Constants!$B$13,1),0))</f>
        <v>0.3</v>
      </c>
      <c r="L5" s="31" t="n">
        <f aca="false">IF($A5="","",IFERROR(ROUND(SUMIF(Fact_Work!$M:$M,$A5,Fact_Work!$AE:$AE)/Constants!$B$13,0),0))</f>
        <v>1</v>
      </c>
      <c r="M5" s="31" t="n">
        <f aca="false">IF($A5="","",$I5+$L5)</f>
        <v>71</v>
      </c>
      <c r="N5" s="49" t="n">
        <f aca="false">IF($A5="","",IFERROR($M5/$F5,""))</f>
        <v>0.157777777777778</v>
      </c>
      <c r="O5" s="4" t="n">
        <f aca="false">IF($A5="","",COUNTIFS(Fact_Work!$L:$L,$A5,Fact_Work!$O:$O,"Yes"))</f>
        <v>1</v>
      </c>
      <c r="P5" s="4" t="str">
        <f aca="false">IF($A5="","",IF($C5&lt;&gt;"Yes","n/a",IF($M5&gt;$F5,"OVER","OK")))</f>
        <v>OK</v>
      </c>
      <c r="Q5" s="23" t="n">
        <f aca="false">IF($A5="","",IFERROR(VLOOKUP($B5,Dim_Team!$A:$G,7,0),""))</f>
        <v>19</v>
      </c>
    </row>
    <row r="6" customFormat="false" ht="15" hidden="false" customHeight="true" outlineLevel="0" collapsed="false">
      <c r="A6" s="13" t="s">
        <v>336</v>
      </c>
      <c r="B6" s="13" t="s">
        <v>233</v>
      </c>
      <c r="C6" s="13" t="s">
        <v>312</v>
      </c>
      <c r="D6" s="4" t="str">
        <f aca="false">IF($A6="","",IFERROR(VLOOKUP($B6,Dim_Team!$A:$B,2,0),"external"))</f>
        <v>Multi-Asset Ops</v>
      </c>
      <c r="E6" s="22" t="n">
        <f aca="false">IF($A6="","",IFERROR(VLOOKUP($B6,Dim_Team!$A:$F,6,0),""))</f>
        <v>10</v>
      </c>
      <c r="F6" s="31" t="n">
        <f aca="false">IF($A6="","",IFERROR(VLOOKUP($B6,Dim_Team!$A:$E,5,0),0))</f>
        <v>450</v>
      </c>
      <c r="G6" s="4" t="n">
        <f aca="false">IF($A6="","",COUNTIF(Dim_Fund!$G:$G,$A6))</f>
        <v>2</v>
      </c>
      <c r="H6" s="31" t="n">
        <f aca="false">IF($A6="","",IFERROR(ROUND(SUMIF(Fact_Work!$N:$N,$A6,Fact_Work!$Q:$Q)/Constants!$B$13,0),0))</f>
        <v>50</v>
      </c>
      <c r="I6" s="31" t="n">
        <f aca="false">IF($A6="","",IFERROR(ROUND(SUMIF(Fact_Work!$L:$L,$A6,Fact_Work!$Q:$Q)/Constants!$B$13,0),0))</f>
        <v>38</v>
      </c>
      <c r="J6" s="49" t="n">
        <f aca="false">IF($A6="","",IFERROR($I6/$F6,""))</f>
        <v>0.0844444444444445</v>
      </c>
      <c r="K6" s="4" t="n">
        <f aca="false">IF($A6="","",IFERROR(ROUND(COUNTIF(Fact_Work!$M:$M,$A6)/Constants!$B$13,1),0))</f>
        <v>0.7</v>
      </c>
      <c r="L6" s="31" t="n">
        <f aca="false">IF($A6="","",IFERROR(ROUND(SUMIF(Fact_Work!$M:$M,$A6,Fact_Work!$AE:$AE)/Constants!$B$13,0),0))</f>
        <v>8</v>
      </c>
      <c r="M6" s="31" t="n">
        <f aca="false">IF($A6="","",$I6+$L6)</f>
        <v>46</v>
      </c>
      <c r="N6" s="49" t="n">
        <f aca="false">IF($A6="","",IFERROR($M6/$F6,""))</f>
        <v>0.102222222222222</v>
      </c>
      <c r="O6" s="4" t="n">
        <f aca="false">IF($A6="","",COUNTIFS(Fact_Work!$L:$L,$A6,Fact_Work!$O:$O,"Yes"))</f>
        <v>0</v>
      </c>
      <c r="P6" s="4" t="str">
        <f aca="false">IF($A6="","",IF($C6&lt;&gt;"Yes","n/a",IF($M6&gt;$F6,"OVER","OK")))</f>
        <v>OK</v>
      </c>
      <c r="Q6" s="23" t="n">
        <f aca="false">IF($A6="","",IFERROR(VLOOKUP($B6,Dim_Team!$A:$G,7,0),""))</f>
        <v>19</v>
      </c>
    </row>
    <row r="7" customFormat="false" ht="15" hidden="false" customHeight="true" outlineLevel="0" collapsed="false">
      <c r="A7" s="13" t="s">
        <v>339</v>
      </c>
      <c r="B7" s="13" t="s">
        <v>235</v>
      </c>
      <c r="C7" s="13" t="s">
        <v>312</v>
      </c>
      <c r="D7" s="4" t="str">
        <f aca="false">IF($A7="","",IFERROR(VLOOKUP($B7,Dim_Team!$A:$B,2,0),"external"))</f>
        <v>Derivatives Ops</v>
      </c>
      <c r="E7" s="22" t="n">
        <f aca="false">IF($A7="","",IFERROR(VLOOKUP($B7,Dim_Team!$A:$F,6,0),""))</f>
        <v>9</v>
      </c>
      <c r="F7" s="31" t="n">
        <f aca="false">IF($A7="","",IFERROR(VLOOKUP($B7,Dim_Team!$A:$E,5,0),0))</f>
        <v>450</v>
      </c>
      <c r="G7" s="4" t="n">
        <f aca="false">IF($A7="","",COUNTIF(Dim_Fund!$G:$G,$A7))</f>
        <v>2</v>
      </c>
      <c r="H7" s="31" t="n">
        <f aca="false">IF($A7="","",IFERROR(ROUND(SUMIF(Fact_Work!$N:$N,$A7,Fact_Work!$Q:$Q)/Constants!$B$13,0),0))</f>
        <v>41</v>
      </c>
      <c r="I7" s="31" t="n">
        <f aca="false">IF($A7="","",IFERROR(ROUND(SUMIF(Fact_Work!$L:$L,$A7,Fact_Work!$Q:$Q)/Constants!$B$13,0),0))</f>
        <v>41</v>
      </c>
      <c r="J7" s="49" t="n">
        <f aca="false">IF($A7="","",IFERROR($I7/$F7,""))</f>
        <v>0.0911111111111111</v>
      </c>
      <c r="K7" s="4" t="n">
        <f aca="false">IF($A7="","",IFERROR(ROUND(COUNTIF(Fact_Work!$M:$M,$A7)/Constants!$B$13,1),0))</f>
        <v>1.3</v>
      </c>
      <c r="L7" s="31" t="n">
        <f aca="false">IF($A7="","",IFERROR(ROUND(SUMIF(Fact_Work!$M:$M,$A7,Fact_Work!$AE:$AE)/Constants!$B$13,0),0))</f>
        <v>14</v>
      </c>
      <c r="M7" s="31" t="n">
        <f aca="false">IF($A7="","",$I7+$L7)</f>
        <v>55</v>
      </c>
      <c r="N7" s="49" t="n">
        <f aca="false">IF($A7="","",IFERROR($M7/$F7,""))</f>
        <v>0.122222222222222</v>
      </c>
      <c r="O7" s="4" t="n">
        <f aca="false">IF($A7="","",COUNTIFS(Fact_Work!$L:$L,$A7,Fact_Work!$O:$O,"Yes"))</f>
        <v>0</v>
      </c>
      <c r="P7" s="4" t="str">
        <f aca="false">IF($A7="","",IF($C7&lt;&gt;"Yes","n/a",IF($M7&gt;$F7,"OVER","OK")))</f>
        <v>OK</v>
      </c>
      <c r="Q7" s="23" t="n">
        <f aca="false">IF($A7="","",IFERROR(VLOOKUP($B7,Dim_Team!$A:$G,7,0),""))</f>
        <v>18</v>
      </c>
    </row>
    <row r="8" customFormat="false" ht="15" hidden="false" customHeight="true" outlineLevel="0" collapsed="false">
      <c r="A8" s="13" t="s">
        <v>453</v>
      </c>
      <c r="B8" s="13"/>
      <c r="C8" s="13" t="s">
        <v>314</v>
      </c>
      <c r="D8" s="4" t="str">
        <f aca="false">IF($A8="","",IFERROR(VLOOKUP($B8,Dim_Team!$A:$B,2,0),"external"))</f>
        <v>external</v>
      </c>
      <c r="E8" s="22" t="str">
        <f aca="false">IF($A8="","",IFERROR(VLOOKUP($B8,Dim_Team!$A:$F,6,0),""))</f>
        <v/>
      </c>
      <c r="F8" s="31" t="n">
        <f aca="false">IF($A8="","",IFERROR(VLOOKUP($B8,Dim_Team!$A:$E,5,0),0))</f>
        <v>0</v>
      </c>
      <c r="G8" s="4" t="n">
        <f aca="false">IF($A8="","",COUNTIF(Dim_Fund!$G:$G,$A8))</f>
        <v>0</v>
      </c>
      <c r="H8" s="31" t="n">
        <f aca="false">IF($A8="","",IFERROR(ROUND(SUMIF(Fact_Work!$N:$N,$A8,Fact_Work!$Q:$Q)/Constants!$B$13,0),0))</f>
        <v>0</v>
      </c>
      <c r="I8" s="31" t="n">
        <f aca="false">IF($A8="","",IFERROR(ROUND(SUMIF(Fact_Work!$L:$L,$A8,Fact_Work!$Q:$Q)/Constants!$B$13,0),0))</f>
        <v>0</v>
      </c>
      <c r="J8" s="49" t="str">
        <f aca="false">IF($A8="","",IFERROR($I8/$F8,""))</f>
        <v/>
      </c>
      <c r="K8" s="4" t="n">
        <f aca="false">IF($A8="","",IFERROR(ROUND(COUNTIF(Fact_Work!$M:$M,$A8)/Constants!$B$13,1),0))</f>
        <v>0</v>
      </c>
      <c r="L8" s="31" t="n">
        <f aca="false">IF($A8="","",IFERROR(ROUND(SUMIF(Fact_Work!$M:$M,$A8,Fact_Work!$AE:$AE)/Constants!$B$13,0),0))</f>
        <v>0</v>
      </c>
      <c r="M8" s="31" t="n">
        <f aca="false">IF($A8="","",$I8+$L8)</f>
        <v>0</v>
      </c>
      <c r="N8" s="49" t="str">
        <f aca="false">IF($A8="","",IFERROR($M8/$F8,""))</f>
        <v/>
      </c>
      <c r="O8" s="4" t="n">
        <f aca="false">IF($A8="","",COUNTIFS(Fact_Work!$L:$L,$A8,Fact_Work!$O:$O,"Yes"))</f>
        <v>0</v>
      </c>
      <c r="P8" s="4" t="str">
        <f aca="false">IF($A8="","",IF($C8&lt;&gt;"Yes","n/a",IF($M8&gt;$F8,"OVER","OK")))</f>
        <v>n/a</v>
      </c>
      <c r="Q8" s="23" t="str">
        <f aca="false">IF($A8="","",IFERROR(VLOOKUP($B8,Dim_Team!$A:$G,7,0),""))</f>
        <v/>
      </c>
    </row>
    <row r="9" customFormat="false" ht="15" hidden="false" customHeight="true" outlineLevel="0" collapsed="false">
      <c r="A9" s="13" t="s">
        <v>452</v>
      </c>
      <c r="B9" s="13"/>
      <c r="C9" s="13" t="s">
        <v>314</v>
      </c>
      <c r="D9" s="4" t="str">
        <f aca="false">IF($A9="","",IFERROR(VLOOKUP($B9,Dim_Team!$A:$B,2,0),"external"))</f>
        <v>external</v>
      </c>
      <c r="E9" s="22" t="str">
        <f aca="false">IF($A9="","",IFERROR(VLOOKUP($B9,Dim_Team!$A:$F,6,0),""))</f>
        <v/>
      </c>
      <c r="F9" s="31" t="n">
        <f aca="false">IF($A9="","",IFERROR(VLOOKUP($B9,Dim_Team!$A:$E,5,0),0))</f>
        <v>0</v>
      </c>
      <c r="G9" s="4" t="n">
        <f aca="false">IF($A9="","",COUNTIF(Dim_Fund!$G:$G,$A9))</f>
        <v>0</v>
      </c>
      <c r="H9" s="31" t="n">
        <f aca="false">IF($A9="","",IFERROR(ROUND(SUMIF(Fact_Work!$N:$N,$A9,Fact_Work!$Q:$Q)/Constants!$B$13,0),0))</f>
        <v>0</v>
      </c>
      <c r="I9" s="31" t="n">
        <f aca="false">IF($A9="","",IFERROR(ROUND(SUMIF(Fact_Work!$L:$L,$A9,Fact_Work!$Q:$Q)/Constants!$B$13,0),0))</f>
        <v>0</v>
      </c>
      <c r="J9" s="49" t="str">
        <f aca="false">IF($A9="","",IFERROR($I9/$F9,""))</f>
        <v/>
      </c>
      <c r="K9" s="4" t="n">
        <f aca="false">IF($A9="","",IFERROR(ROUND(COUNTIF(Fact_Work!$M:$M,$A9)/Constants!$B$13,1),0))</f>
        <v>0</v>
      </c>
      <c r="L9" s="31" t="n">
        <f aca="false">IF($A9="","",IFERROR(ROUND(SUMIF(Fact_Work!$M:$M,$A9,Fact_Work!$AE:$AE)/Constants!$B$13,0),0))</f>
        <v>0</v>
      </c>
      <c r="M9" s="31" t="n">
        <f aca="false">IF($A9="","",$I9+$L9)</f>
        <v>0</v>
      </c>
      <c r="N9" s="49" t="str">
        <f aca="false">IF($A9="","",IFERROR($M9/$F9,""))</f>
        <v/>
      </c>
      <c r="O9" s="4" t="n">
        <f aca="false">IF($A9="","",COUNTIFS(Fact_Work!$L:$L,$A9,Fact_Work!$O:$O,"Yes"))</f>
        <v>0</v>
      </c>
      <c r="P9" s="4" t="str">
        <f aca="false">IF($A9="","",IF($C9&lt;&gt;"Yes","n/a",IF($M9&gt;$F9,"OVER","OK")))</f>
        <v>n/a</v>
      </c>
      <c r="Q9" s="23" t="str">
        <f aca="false">IF($A9="","",IFERROR(VLOOKUP($B9,Dim_Team!$A:$G,7,0),""))</f>
        <v/>
      </c>
    </row>
    <row r="10" customFormat="false" ht="15" hidden="false" customHeight="true" outlineLevel="0" collapsed="false">
      <c r="D10" s="4" t="str">
        <f aca="false">IF($A10="","",IFERROR(VLOOKUP($B10,Dim_Team!$A:$B,2,0),"external"))</f>
        <v/>
      </c>
      <c r="E10" s="22" t="str">
        <f aca="false">IF($A10="","",IFERROR(VLOOKUP($B10,Dim_Team!$A:$F,6,0),""))</f>
        <v/>
      </c>
      <c r="F10" s="31" t="str">
        <f aca="false">IF($A10="","",IFERROR(VLOOKUP($B10,Dim_Team!$A:$E,5,0),0))</f>
        <v/>
      </c>
      <c r="G10" s="4" t="str">
        <f aca="false">IF($A10="","",COUNTIF(Dim_Fund!$G:$G,$A10))</f>
        <v/>
      </c>
      <c r="H10" s="31" t="str">
        <f aca="false">IF($A10="","",IFERROR(ROUND(SUMIF(Fact_Work!$N:$N,$A10,Fact_Work!$Q:$Q)/Constants!$B$13,0),0))</f>
        <v/>
      </c>
      <c r="I10" s="31" t="str">
        <f aca="false">IF($A10="","",IFERROR(ROUND(SUMIF(Fact_Work!$L:$L,$A10,Fact_Work!$Q:$Q)/Constants!$B$13,0),0))</f>
        <v/>
      </c>
      <c r="J10" s="49" t="str">
        <f aca="false">IF($A10="","",IFERROR($I10/$F10,""))</f>
        <v/>
      </c>
      <c r="K10" s="4" t="str">
        <f aca="false">IF($A10="","",IFERROR(ROUND(COUNTIF(Fact_Work!$M:$M,$A10)/Constants!$B$13,1),0))</f>
        <v/>
      </c>
      <c r="L10" s="31" t="str">
        <f aca="false">IF($A10="","",IFERROR(ROUND(SUMIF(Fact_Work!$M:$M,$A10,Fact_Work!$AE:$AE)/Constants!$B$13,0),0))</f>
        <v/>
      </c>
      <c r="M10" s="31" t="str">
        <f aca="false">IF($A10="","",$I10+$L10)</f>
        <v/>
      </c>
      <c r="N10" s="49" t="str">
        <f aca="false">IF($A10="","",IFERROR($M10/$F10,""))</f>
        <v/>
      </c>
      <c r="O10" s="4" t="str">
        <f aca="false">IF($A10="","",COUNTIFS(Fact_Work!$L:$L,$A10,Fact_Work!$O:$O,"Yes"))</f>
        <v/>
      </c>
      <c r="P10" s="4" t="str">
        <f aca="false">IF($A10="","",IF($C10&lt;&gt;"Yes","n/a",IF($M10&gt;$F10,"OVER","OK")))</f>
        <v/>
      </c>
      <c r="Q10" s="23" t="str">
        <f aca="false">IF($A10="","",IFERROR(VLOOKUP($B10,Dim_Team!$A:$G,7,0),""))</f>
        <v/>
      </c>
    </row>
    <row r="11" customFormat="false" ht="15" hidden="false" customHeight="true" outlineLevel="0" collapsed="false">
      <c r="A11" s="26" t="s">
        <v>163</v>
      </c>
      <c r="D11" s="4" t="str">
        <f aca="false">IF($A11="","",IFERROR(VLOOKUP($B11,Dim_Team!$A:$B,2,0),"external"))</f>
        <v>external</v>
      </c>
      <c r="E11" s="22" t="str">
        <f aca="false">IF($A11="","",IFERROR(VLOOKUP($B11,Dim_Team!$A:$F,6,0),""))</f>
        <v/>
      </c>
      <c r="F11" s="31" t="n">
        <f aca="false">IF($A11="","",IFERROR(VLOOKUP($B11,Dim_Team!$A:$E,5,0),0))</f>
        <v>0</v>
      </c>
      <c r="G11" s="4" t="n">
        <f aca="false">IF($A11="","",COUNTIF(Dim_Fund!$G:$G,$A11))</f>
        <v>0</v>
      </c>
      <c r="H11" s="31" t="n">
        <f aca="false">IF($A11="","",IFERROR(ROUND(SUMIF(Fact_Work!$N:$N,$A11,Fact_Work!$Q:$Q)/Constants!$B$13,0),0))</f>
        <v>0</v>
      </c>
      <c r="I11" s="31" t="n">
        <f aca="false">IF($A11="","",IFERROR(ROUND(SUMIF(Fact_Work!$L:$L,$A11,Fact_Work!$Q:$Q)/Constants!$B$13,0),0))</f>
        <v>0</v>
      </c>
      <c r="J11" s="49" t="str">
        <f aca="false">IF($A11="","",IFERROR($I11/$F11,""))</f>
        <v/>
      </c>
      <c r="K11" s="4" t="n">
        <f aca="false">IF($A11="","",IFERROR(ROUND(COUNTIF(Fact_Work!$M:$M,$A11)/Constants!$B$13,1),0))</f>
        <v>0</v>
      </c>
      <c r="L11" s="31" t="n">
        <f aca="false">IF($A11="","",IFERROR(ROUND(SUMIF(Fact_Work!$M:$M,$A11,Fact_Work!$AE:$AE)/Constants!$B$13,0),0))</f>
        <v>0</v>
      </c>
      <c r="M11" s="31" t="n">
        <f aca="false">IF($A11="","",$I11+$L11)</f>
        <v>0</v>
      </c>
      <c r="N11" s="49" t="str">
        <f aca="false">IF($A11="","",IFERROR($M11/$F11,""))</f>
        <v/>
      </c>
      <c r="O11" s="4" t="n">
        <f aca="false">IF($A11="","",COUNTIFS(Fact_Work!$L:$L,$A11,Fact_Work!$O:$O,"Yes"))</f>
        <v>0</v>
      </c>
      <c r="P11" s="4" t="str">
        <f aca="false">IF($A11="","",IF($C11&lt;&gt;"Yes","n/a",IF($M11&gt;$F11,"OVER","OK")))</f>
        <v>n/a</v>
      </c>
      <c r="Q11" s="23" t="str">
        <f aca="false">IF($A11="","",IFERROR(VLOOKUP($B11,Dim_Team!$A:$G,7,0),""))</f>
        <v/>
      </c>
    </row>
    <row r="12" customFormat="false" ht="15" hidden="false" customHeight="true" outlineLevel="0" collapsed="false">
      <c r="D12" s="4" t="str">
        <f aca="false">IF($A12="","",IFERROR(VLOOKUP($B12,Dim_Team!$A:$B,2,0),"external"))</f>
        <v/>
      </c>
      <c r="E12" s="22" t="str">
        <f aca="false">IF($A12="","",IFERROR(VLOOKUP($B12,Dim_Team!$A:$F,6,0),""))</f>
        <v/>
      </c>
      <c r="F12" s="31" t="str">
        <f aca="false">IF($A12="","",IFERROR(VLOOKUP($B12,Dim_Team!$A:$E,5,0),0))</f>
        <v/>
      </c>
      <c r="G12" s="4" t="str">
        <f aca="false">IF($A12="","",COUNTIF(Dim_Fund!$G:$G,$A12))</f>
        <v/>
      </c>
      <c r="H12" s="31" t="str">
        <f aca="false">IF($A12="","",IFERROR(ROUND(SUMIF(Fact_Work!$N:$N,$A12,Fact_Work!$Q:$Q)/Constants!$B$13,0),0))</f>
        <v/>
      </c>
      <c r="I12" s="31" t="str">
        <f aca="false">IF($A12="","",IFERROR(ROUND(SUMIF(Fact_Work!$L:$L,$A12,Fact_Work!$Q:$Q)/Constants!$B$13,0),0))</f>
        <v/>
      </c>
      <c r="J12" s="49" t="str">
        <f aca="false">IF($A12="","",IFERROR($I12/$F12,""))</f>
        <v/>
      </c>
      <c r="K12" s="4" t="str">
        <f aca="false">IF($A12="","",IFERROR(ROUND(COUNTIF(Fact_Work!$M:$M,$A12)/Constants!$B$13,1),0))</f>
        <v/>
      </c>
      <c r="L12" s="31" t="str">
        <f aca="false">IF($A12="","",IFERROR(ROUND(SUMIF(Fact_Work!$M:$M,$A12,Fact_Work!$AE:$AE)/Constants!$B$13,0),0))</f>
        <v/>
      </c>
      <c r="M12" s="31" t="str">
        <f aca="false">IF($A12="","",$I12+$L12)</f>
        <v/>
      </c>
      <c r="N12" s="49" t="str">
        <f aca="false">IF($A12="","",IFERROR($M12/$F12,""))</f>
        <v/>
      </c>
      <c r="O12" s="4" t="str">
        <f aca="false">IF($A12="","",COUNTIFS(Fact_Work!$L:$L,$A12,Fact_Work!$O:$O,"Yes"))</f>
        <v/>
      </c>
      <c r="P12" s="4" t="str">
        <f aca="false">IF($A12="","",IF($C12&lt;&gt;"Yes","n/a",IF($M12&gt;$F12,"OVER","OK")))</f>
        <v/>
      </c>
      <c r="Q12" s="23" t="str">
        <f aca="false">IF($A12="","",IFERROR(VLOOKUP($B12,Dim_Team!$A:$G,7,0),""))</f>
        <v/>
      </c>
    </row>
    <row r="13" customFormat="false" ht="15" hidden="false" customHeight="true" outlineLevel="0" collapsed="false">
      <c r="D13" s="4" t="str">
        <f aca="false">IF($A13="","",IFERROR(VLOOKUP($B13,Dim_Team!$A:$B,2,0),"external"))</f>
        <v/>
      </c>
      <c r="E13" s="22" t="str">
        <f aca="false">IF($A13="","",IFERROR(VLOOKUP($B13,Dim_Team!$A:$F,6,0),""))</f>
        <v/>
      </c>
      <c r="F13" s="31" t="str">
        <f aca="false">IF($A13="","",IFERROR(VLOOKUP($B13,Dim_Team!$A:$E,5,0),0))</f>
        <v/>
      </c>
      <c r="G13" s="4" t="str">
        <f aca="false">IF($A13="","",COUNTIF(Dim_Fund!$G:$G,$A13))</f>
        <v/>
      </c>
      <c r="H13" s="31" t="str">
        <f aca="false">IF($A13="","",IFERROR(ROUND(SUMIF(Fact_Work!$N:$N,$A13,Fact_Work!$Q:$Q)/Constants!$B$13,0),0))</f>
        <v/>
      </c>
      <c r="I13" s="31" t="str">
        <f aca="false">IF($A13="","",IFERROR(ROUND(SUMIF(Fact_Work!$L:$L,$A13,Fact_Work!$Q:$Q)/Constants!$B$13,0),0))</f>
        <v/>
      </c>
      <c r="J13" s="49" t="str">
        <f aca="false">IF($A13="","",IFERROR($I13/$F13,""))</f>
        <v/>
      </c>
      <c r="K13" s="4" t="str">
        <f aca="false">IF($A13="","",IFERROR(ROUND(COUNTIF(Fact_Work!$M:$M,$A13)/Constants!$B$13,1),0))</f>
        <v/>
      </c>
      <c r="L13" s="31" t="str">
        <f aca="false">IF($A13="","",IFERROR(ROUND(SUMIF(Fact_Work!$M:$M,$A13,Fact_Work!$AE:$AE)/Constants!$B$13,0),0))</f>
        <v/>
      </c>
      <c r="M13" s="31" t="str">
        <f aca="false">IF($A13="","",$I13+$L13)</f>
        <v/>
      </c>
      <c r="N13" s="49" t="str">
        <f aca="false">IF($A13="","",IFERROR($M13/$F13,""))</f>
        <v/>
      </c>
      <c r="O13" s="4" t="str">
        <f aca="false">IF($A13="","",COUNTIFS(Fact_Work!$L:$L,$A13,Fact_Work!$O:$O,"Yes"))</f>
        <v/>
      </c>
      <c r="P13" s="4" t="str">
        <f aca="false">IF($A13="","",IF($C13&lt;&gt;"Yes","n/a",IF($M13&gt;$F13,"OVER","OK")))</f>
        <v/>
      </c>
      <c r="Q13" s="23" t="str">
        <f aca="false">IF($A13="","",IFERROR(VLOOKUP($B13,Dim_Team!$A:$G,7,0),""))</f>
        <v/>
      </c>
    </row>
    <row r="14" customFormat="false" ht="15" hidden="false" customHeight="true" outlineLevel="0" collapsed="false">
      <c r="D14" s="4" t="str">
        <f aca="false">IF($A14="","",IFERROR(VLOOKUP($B14,Dim_Team!$A:$B,2,0),"external"))</f>
        <v/>
      </c>
      <c r="E14" s="22" t="str">
        <f aca="false">IF($A14="","",IFERROR(VLOOKUP($B14,Dim_Team!$A:$F,6,0),""))</f>
        <v/>
      </c>
      <c r="F14" s="31" t="str">
        <f aca="false">IF($A14="","",IFERROR(VLOOKUP($B14,Dim_Team!$A:$E,5,0),0))</f>
        <v/>
      </c>
      <c r="G14" s="4" t="str">
        <f aca="false">IF($A14="","",COUNTIF(Dim_Fund!$G:$G,$A14))</f>
        <v/>
      </c>
      <c r="H14" s="31" t="str">
        <f aca="false">IF($A14="","",IFERROR(ROUND(SUMIF(Fact_Work!$N:$N,$A14,Fact_Work!$Q:$Q)/Constants!$B$13,0),0))</f>
        <v/>
      </c>
      <c r="I14" s="31" t="str">
        <f aca="false">IF($A14="","",IFERROR(ROUND(SUMIF(Fact_Work!$L:$L,$A14,Fact_Work!$Q:$Q)/Constants!$B$13,0),0))</f>
        <v/>
      </c>
      <c r="J14" s="49" t="str">
        <f aca="false">IF($A14="","",IFERROR($I14/$F14,""))</f>
        <v/>
      </c>
      <c r="K14" s="4" t="str">
        <f aca="false">IF($A14="","",IFERROR(ROUND(COUNTIF(Fact_Work!$M:$M,$A14)/Constants!$B$13,1),0))</f>
        <v/>
      </c>
      <c r="L14" s="31" t="str">
        <f aca="false">IF($A14="","",IFERROR(ROUND(SUMIF(Fact_Work!$M:$M,$A14,Fact_Work!$AE:$AE)/Constants!$B$13,0),0))</f>
        <v/>
      </c>
      <c r="M14" s="31" t="str">
        <f aca="false">IF($A14="","",$I14+$L14)</f>
        <v/>
      </c>
      <c r="N14" s="49" t="str">
        <f aca="false">IF($A14="","",IFERROR($M14/$F14,""))</f>
        <v/>
      </c>
      <c r="O14" s="4" t="str">
        <f aca="false">IF($A14="","",COUNTIFS(Fact_Work!$L:$L,$A14,Fact_Work!$O:$O,"Yes"))</f>
        <v/>
      </c>
      <c r="P14" s="4" t="str">
        <f aca="false">IF($A14="","",IF($C14&lt;&gt;"Yes","n/a",IF($M14&gt;$F14,"OVER","OK")))</f>
        <v/>
      </c>
      <c r="Q14" s="23" t="str">
        <f aca="false">IF($A14="","",IFERROR(VLOOKUP($B14,Dim_Team!$A:$G,7,0),""))</f>
        <v/>
      </c>
    </row>
    <row r="15" customFormat="false" ht="15" hidden="false" customHeight="true" outlineLevel="0" collapsed="false">
      <c r="D15" s="4" t="str">
        <f aca="false">IF($A15="","",IFERROR(VLOOKUP($B15,Dim_Team!$A:$B,2,0),"external"))</f>
        <v/>
      </c>
      <c r="E15" s="22" t="str">
        <f aca="false">IF($A15="","",IFERROR(VLOOKUP($B15,Dim_Team!$A:$F,6,0),""))</f>
        <v/>
      </c>
      <c r="F15" s="31" t="str">
        <f aca="false">IF($A15="","",IFERROR(VLOOKUP($B15,Dim_Team!$A:$E,5,0),0))</f>
        <v/>
      </c>
      <c r="G15" s="4" t="str">
        <f aca="false">IF($A15="","",COUNTIF(Dim_Fund!$G:$G,$A15))</f>
        <v/>
      </c>
      <c r="H15" s="31" t="str">
        <f aca="false">IF($A15="","",IFERROR(ROUND(SUMIF(Fact_Work!$N:$N,$A15,Fact_Work!$Q:$Q)/Constants!$B$13,0),0))</f>
        <v/>
      </c>
      <c r="I15" s="31" t="str">
        <f aca="false">IF($A15="","",IFERROR(ROUND(SUMIF(Fact_Work!$L:$L,$A15,Fact_Work!$Q:$Q)/Constants!$B$13,0),0))</f>
        <v/>
      </c>
      <c r="J15" s="49" t="str">
        <f aca="false">IF($A15="","",IFERROR($I15/$F15,""))</f>
        <v/>
      </c>
      <c r="K15" s="4" t="str">
        <f aca="false">IF($A15="","",IFERROR(ROUND(COUNTIF(Fact_Work!$M:$M,$A15)/Constants!$B$13,1),0))</f>
        <v/>
      </c>
      <c r="L15" s="31" t="str">
        <f aca="false">IF($A15="","",IFERROR(ROUND(SUMIF(Fact_Work!$M:$M,$A15,Fact_Work!$AE:$AE)/Constants!$B$13,0),0))</f>
        <v/>
      </c>
      <c r="M15" s="31" t="str">
        <f aca="false">IF($A15="","",$I15+$L15)</f>
        <v/>
      </c>
      <c r="N15" s="49" t="str">
        <f aca="false">IF($A15="","",IFERROR($M15/$F15,""))</f>
        <v/>
      </c>
      <c r="O15" s="4" t="str">
        <f aca="false">IF($A15="","",COUNTIFS(Fact_Work!$L:$L,$A15,Fact_Work!$O:$O,"Yes"))</f>
        <v/>
      </c>
      <c r="P15" s="4" t="str">
        <f aca="false">IF($A15="","",IF($C15&lt;&gt;"Yes","n/a",IF($M15&gt;$F15,"OVER","OK")))</f>
        <v/>
      </c>
      <c r="Q15" s="23" t="str">
        <f aca="false">IF($A15="","",IFERROR(VLOOKUP($B15,Dim_Team!$A:$G,7,0),""))</f>
        <v/>
      </c>
    </row>
    <row r="16" customFormat="false" ht="15" hidden="false" customHeight="true" outlineLevel="0" collapsed="false">
      <c r="D16" s="4" t="str">
        <f aca="false">IF($A16="","",IFERROR(VLOOKUP($B16,Dim_Team!$A:$B,2,0),"external"))</f>
        <v/>
      </c>
      <c r="E16" s="22" t="str">
        <f aca="false">IF($A16="","",IFERROR(VLOOKUP($B16,Dim_Team!$A:$F,6,0),""))</f>
        <v/>
      </c>
      <c r="F16" s="31" t="str">
        <f aca="false">IF($A16="","",IFERROR(VLOOKUP($B16,Dim_Team!$A:$E,5,0),0))</f>
        <v/>
      </c>
      <c r="G16" s="4" t="str">
        <f aca="false">IF($A16="","",COUNTIF(Dim_Fund!$G:$G,$A16))</f>
        <v/>
      </c>
      <c r="H16" s="31" t="str">
        <f aca="false">IF($A16="","",IFERROR(ROUND(SUMIF(Fact_Work!$N:$N,$A16,Fact_Work!$Q:$Q)/Constants!$B$13,0),0))</f>
        <v/>
      </c>
      <c r="I16" s="31" t="str">
        <f aca="false">IF($A16="","",IFERROR(ROUND(SUMIF(Fact_Work!$L:$L,$A16,Fact_Work!$Q:$Q)/Constants!$B$13,0),0))</f>
        <v/>
      </c>
      <c r="J16" s="49" t="str">
        <f aca="false">IF($A16="","",IFERROR($I16/$F16,""))</f>
        <v/>
      </c>
      <c r="K16" s="4" t="str">
        <f aca="false">IF($A16="","",IFERROR(ROUND(COUNTIF(Fact_Work!$M:$M,$A16)/Constants!$B$13,1),0))</f>
        <v/>
      </c>
      <c r="L16" s="31" t="str">
        <f aca="false">IF($A16="","",IFERROR(ROUND(SUMIF(Fact_Work!$M:$M,$A16,Fact_Work!$AE:$AE)/Constants!$B$13,0),0))</f>
        <v/>
      </c>
      <c r="M16" s="31" t="str">
        <f aca="false">IF($A16="","",$I16+$L16)</f>
        <v/>
      </c>
      <c r="N16" s="49" t="str">
        <f aca="false">IF($A16="","",IFERROR($M16/$F16,""))</f>
        <v/>
      </c>
      <c r="O16" s="4" t="str">
        <f aca="false">IF($A16="","",COUNTIFS(Fact_Work!$L:$L,$A16,Fact_Work!$O:$O,"Yes"))</f>
        <v/>
      </c>
      <c r="P16" s="4" t="str">
        <f aca="false">IF($A16="","",IF($C16&lt;&gt;"Yes","n/a",IF($M16&gt;$F16,"OVER","OK")))</f>
        <v/>
      </c>
      <c r="Q16" s="23" t="str">
        <f aca="false">IF($A16="","",IFERROR(VLOOKUP($B16,Dim_Team!$A:$G,7,0),""))</f>
        <v/>
      </c>
    </row>
    <row r="17" customFormat="false" ht="15" hidden="false" customHeight="true" outlineLevel="0" collapsed="false">
      <c r="D17" s="4" t="str">
        <f aca="false">IF($A17="","",IFERROR(VLOOKUP($B17,Dim_Team!$A:$B,2,0),"external"))</f>
        <v/>
      </c>
      <c r="E17" s="22" t="str">
        <f aca="false">IF($A17="","",IFERROR(VLOOKUP($B17,Dim_Team!$A:$F,6,0),""))</f>
        <v/>
      </c>
      <c r="F17" s="31" t="str">
        <f aca="false">IF($A17="","",IFERROR(VLOOKUP($B17,Dim_Team!$A:$E,5,0),0))</f>
        <v/>
      </c>
      <c r="G17" s="4" t="str">
        <f aca="false">IF($A17="","",COUNTIF(Dim_Fund!$G:$G,$A17))</f>
        <v/>
      </c>
      <c r="H17" s="31" t="str">
        <f aca="false">IF($A17="","",IFERROR(ROUND(SUMIF(Fact_Work!$N:$N,$A17,Fact_Work!$Q:$Q)/Constants!$B$13,0),0))</f>
        <v/>
      </c>
      <c r="I17" s="31" t="str">
        <f aca="false">IF($A17="","",IFERROR(ROUND(SUMIF(Fact_Work!$L:$L,$A17,Fact_Work!$Q:$Q)/Constants!$B$13,0),0))</f>
        <v/>
      </c>
      <c r="J17" s="49" t="str">
        <f aca="false">IF($A17="","",IFERROR($I17/$F17,""))</f>
        <v/>
      </c>
      <c r="K17" s="4" t="str">
        <f aca="false">IF($A17="","",IFERROR(ROUND(COUNTIF(Fact_Work!$M:$M,$A17)/Constants!$B$13,1),0))</f>
        <v/>
      </c>
      <c r="L17" s="31" t="str">
        <f aca="false">IF($A17="","",IFERROR(ROUND(SUMIF(Fact_Work!$M:$M,$A17,Fact_Work!$AE:$AE)/Constants!$B$13,0),0))</f>
        <v/>
      </c>
      <c r="M17" s="31" t="str">
        <f aca="false">IF($A17="","",$I17+$L17)</f>
        <v/>
      </c>
      <c r="N17" s="49" t="str">
        <f aca="false">IF($A17="","",IFERROR($M17/$F17,""))</f>
        <v/>
      </c>
      <c r="O17" s="4" t="str">
        <f aca="false">IF($A17="","",COUNTIFS(Fact_Work!$L:$L,$A17,Fact_Work!$O:$O,"Yes"))</f>
        <v/>
      </c>
      <c r="P17" s="4" t="str">
        <f aca="false">IF($A17="","",IF($C17&lt;&gt;"Yes","n/a",IF($M17&gt;$F17,"OVER","OK")))</f>
        <v/>
      </c>
      <c r="Q17" s="23" t="str">
        <f aca="false">IF($A17="","",IFERROR(VLOOKUP($B17,Dim_Team!$A:$G,7,0),""))</f>
        <v/>
      </c>
    </row>
    <row r="18" customFormat="false" ht="15" hidden="false" customHeight="true" outlineLevel="0" collapsed="false">
      <c r="D18" s="4" t="str">
        <f aca="false">IF($A18="","",IFERROR(VLOOKUP($B18,Dim_Team!$A:$B,2,0),"external"))</f>
        <v/>
      </c>
      <c r="E18" s="22" t="str">
        <f aca="false">IF($A18="","",IFERROR(VLOOKUP($B18,Dim_Team!$A:$F,6,0),""))</f>
        <v/>
      </c>
      <c r="F18" s="31" t="str">
        <f aca="false">IF($A18="","",IFERROR(VLOOKUP($B18,Dim_Team!$A:$E,5,0),0))</f>
        <v/>
      </c>
      <c r="G18" s="4" t="str">
        <f aca="false">IF($A18="","",COUNTIF(Dim_Fund!$G:$G,$A18))</f>
        <v/>
      </c>
      <c r="H18" s="31" t="str">
        <f aca="false">IF($A18="","",IFERROR(ROUND(SUMIF(Fact_Work!$N:$N,$A18,Fact_Work!$Q:$Q)/Constants!$B$13,0),0))</f>
        <v/>
      </c>
      <c r="I18" s="31" t="str">
        <f aca="false">IF($A18="","",IFERROR(ROUND(SUMIF(Fact_Work!$L:$L,$A18,Fact_Work!$Q:$Q)/Constants!$B$13,0),0))</f>
        <v/>
      </c>
      <c r="J18" s="49" t="str">
        <f aca="false">IF($A18="","",IFERROR($I18/$F18,""))</f>
        <v/>
      </c>
      <c r="K18" s="4" t="str">
        <f aca="false">IF($A18="","",IFERROR(ROUND(COUNTIF(Fact_Work!$M:$M,$A18)/Constants!$B$13,1),0))</f>
        <v/>
      </c>
      <c r="L18" s="31" t="str">
        <f aca="false">IF($A18="","",IFERROR(ROUND(SUMIF(Fact_Work!$M:$M,$A18,Fact_Work!$AE:$AE)/Constants!$B$13,0),0))</f>
        <v/>
      </c>
      <c r="M18" s="31" t="str">
        <f aca="false">IF($A18="","",$I18+$L18)</f>
        <v/>
      </c>
      <c r="N18" s="49" t="str">
        <f aca="false">IF($A18="","",IFERROR($M18/$F18,""))</f>
        <v/>
      </c>
      <c r="O18" s="4" t="str">
        <f aca="false">IF($A18="","",COUNTIFS(Fact_Work!$L:$L,$A18,Fact_Work!$O:$O,"Yes"))</f>
        <v/>
      </c>
      <c r="P18" s="4" t="str">
        <f aca="false">IF($A18="","",IF($C18&lt;&gt;"Yes","n/a",IF($M18&gt;$F18,"OVER","OK")))</f>
        <v/>
      </c>
      <c r="Q18" s="23" t="str">
        <f aca="false">IF($A18="","",IFERROR(VLOOKUP($B18,Dim_Team!$A:$G,7,0),""))</f>
        <v/>
      </c>
    </row>
    <row r="19" customFormat="false" ht="15" hidden="false" customHeight="true" outlineLevel="0" collapsed="false">
      <c r="D19" s="4" t="str">
        <f aca="false">IF($A19="","",IFERROR(VLOOKUP($B19,Dim_Team!$A:$B,2,0),"external"))</f>
        <v/>
      </c>
      <c r="E19" s="22" t="str">
        <f aca="false">IF($A19="","",IFERROR(VLOOKUP($B19,Dim_Team!$A:$F,6,0),""))</f>
        <v/>
      </c>
      <c r="F19" s="31" t="str">
        <f aca="false">IF($A19="","",IFERROR(VLOOKUP($B19,Dim_Team!$A:$E,5,0),0))</f>
        <v/>
      </c>
      <c r="G19" s="4" t="str">
        <f aca="false">IF($A19="","",COUNTIF(Dim_Fund!$G:$G,$A19))</f>
        <v/>
      </c>
      <c r="H19" s="31" t="str">
        <f aca="false">IF($A19="","",IFERROR(ROUND(SUMIF(Fact_Work!$N:$N,$A19,Fact_Work!$Q:$Q)/Constants!$B$13,0),0))</f>
        <v/>
      </c>
      <c r="I19" s="31" t="str">
        <f aca="false">IF($A19="","",IFERROR(ROUND(SUMIF(Fact_Work!$L:$L,$A19,Fact_Work!$Q:$Q)/Constants!$B$13,0),0))</f>
        <v/>
      </c>
      <c r="J19" s="49" t="str">
        <f aca="false">IF($A19="","",IFERROR($I19/$F19,""))</f>
        <v/>
      </c>
      <c r="K19" s="4" t="str">
        <f aca="false">IF($A19="","",IFERROR(ROUND(COUNTIF(Fact_Work!$M:$M,$A19)/Constants!$B$13,1),0))</f>
        <v/>
      </c>
      <c r="L19" s="31" t="str">
        <f aca="false">IF($A19="","",IFERROR(ROUND(SUMIF(Fact_Work!$M:$M,$A19,Fact_Work!$AE:$AE)/Constants!$B$13,0),0))</f>
        <v/>
      </c>
      <c r="M19" s="31" t="str">
        <f aca="false">IF($A19="","",$I19+$L19)</f>
        <v/>
      </c>
      <c r="N19" s="49" t="str">
        <f aca="false">IF($A19="","",IFERROR($M19/$F19,""))</f>
        <v/>
      </c>
      <c r="O19" s="4" t="str">
        <f aca="false">IF($A19="","",COUNTIFS(Fact_Work!$L:$L,$A19,Fact_Work!$O:$O,"Yes"))</f>
        <v/>
      </c>
      <c r="P19" s="4" t="str">
        <f aca="false">IF($A19="","",IF($C19&lt;&gt;"Yes","n/a",IF($M19&gt;$F19,"OVER","OK")))</f>
        <v/>
      </c>
      <c r="Q19" s="23" t="str">
        <f aca="false">IF($A19="","",IFERROR(VLOOKUP($B19,Dim_Team!$A:$G,7,0),""))</f>
        <v/>
      </c>
    </row>
    <row r="20" customFormat="false" ht="15" hidden="false" customHeight="true" outlineLevel="0" collapsed="false">
      <c r="D20" s="4" t="str">
        <f aca="false">IF($A20="","",IFERROR(VLOOKUP($B20,Dim_Team!$A:$B,2,0),"external"))</f>
        <v/>
      </c>
      <c r="E20" s="22" t="str">
        <f aca="false">IF($A20="","",IFERROR(VLOOKUP($B20,Dim_Team!$A:$F,6,0),""))</f>
        <v/>
      </c>
      <c r="F20" s="31" t="str">
        <f aca="false">IF($A20="","",IFERROR(VLOOKUP($B20,Dim_Team!$A:$E,5,0),0))</f>
        <v/>
      </c>
      <c r="G20" s="4" t="str">
        <f aca="false">IF($A20="","",COUNTIF(Dim_Fund!$G:$G,$A20))</f>
        <v/>
      </c>
      <c r="H20" s="31" t="str">
        <f aca="false">IF($A20="","",IFERROR(ROUND(SUMIF(Fact_Work!$N:$N,$A20,Fact_Work!$Q:$Q)/Constants!$B$13,0),0))</f>
        <v/>
      </c>
      <c r="I20" s="31" t="str">
        <f aca="false">IF($A20="","",IFERROR(ROUND(SUMIF(Fact_Work!$L:$L,$A20,Fact_Work!$Q:$Q)/Constants!$B$13,0),0))</f>
        <v/>
      </c>
      <c r="J20" s="49" t="str">
        <f aca="false">IF($A20="","",IFERROR($I20/$F20,""))</f>
        <v/>
      </c>
      <c r="K20" s="4" t="str">
        <f aca="false">IF($A20="","",IFERROR(ROUND(COUNTIF(Fact_Work!$M:$M,$A20)/Constants!$B$13,1),0))</f>
        <v/>
      </c>
      <c r="L20" s="31" t="str">
        <f aca="false">IF($A20="","",IFERROR(ROUND(SUMIF(Fact_Work!$M:$M,$A20,Fact_Work!$AE:$AE)/Constants!$B$13,0),0))</f>
        <v/>
      </c>
      <c r="M20" s="31" t="str">
        <f aca="false">IF($A20="","",$I20+$L20)</f>
        <v/>
      </c>
      <c r="N20" s="49" t="str">
        <f aca="false">IF($A20="","",IFERROR($M20/$F20,""))</f>
        <v/>
      </c>
      <c r="O20" s="4" t="str">
        <f aca="false">IF($A20="","",COUNTIFS(Fact_Work!$L:$L,$A20,Fact_Work!$O:$O,"Yes"))</f>
        <v/>
      </c>
      <c r="P20" s="4" t="str">
        <f aca="false">IF($A20="","",IF($C20&lt;&gt;"Yes","n/a",IF($M20&gt;$F20,"OVER","OK")))</f>
        <v/>
      </c>
      <c r="Q20" s="23" t="str">
        <f aca="false">IF($A20="","",IFERROR(VLOOKUP($B20,Dim_Team!$A:$G,7,0),""))</f>
        <v/>
      </c>
    </row>
    <row r="21" customFormat="false" ht="15" hidden="false" customHeight="true" outlineLevel="0" collapsed="false">
      <c r="D21" s="4" t="str">
        <f aca="false">IF($A21="","",IFERROR(VLOOKUP($B21,Dim_Team!$A:$B,2,0),"external"))</f>
        <v/>
      </c>
      <c r="E21" s="22" t="str">
        <f aca="false">IF($A21="","",IFERROR(VLOOKUP($B21,Dim_Team!$A:$F,6,0),""))</f>
        <v/>
      </c>
      <c r="F21" s="31" t="str">
        <f aca="false">IF($A21="","",IFERROR(VLOOKUP($B21,Dim_Team!$A:$E,5,0),0))</f>
        <v/>
      </c>
      <c r="G21" s="4" t="str">
        <f aca="false">IF($A21="","",COUNTIF(Dim_Fund!$G:$G,$A21))</f>
        <v/>
      </c>
      <c r="H21" s="31" t="str">
        <f aca="false">IF($A21="","",IFERROR(ROUND(SUMIF(Fact_Work!$N:$N,$A21,Fact_Work!$Q:$Q)/Constants!$B$13,0),0))</f>
        <v/>
      </c>
      <c r="I21" s="31" t="str">
        <f aca="false">IF($A21="","",IFERROR(ROUND(SUMIF(Fact_Work!$L:$L,$A21,Fact_Work!$Q:$Q)/Constants!$B$13,0),0))</f>
        <v/>
      </c>
      <c r="J21" s="49" t="str">
        <f aca="false">IF($A21="","",IFERROR($I21/$F21,""))</f>
        <v/>
      </c>
      <c r="K21" s="4" t="str">
        <f aca="false">IF($A21="","",IFERROR(ROUND(COUNTIF(Fact_Work!$M:$M,$A21)/Constants!$B$13,1),0))</f>
        <v/>
      </c>
      <c r="L21" s="31" t="str">
        <f aca="false">IF($A21="","",IFERROR(ROUND(SUMIF(Fact_Work!$M:$M,$A21,Fact_Work!$AE:$AE)/Constants!$B$13,0),0))</f>
        <v/>
      </c>
      <c r="M21" s="31" t="str">
        <f aca="false">IF($A21="","",$I21+$L21)</f>
        <v/>
      </c>
      <c r="N21" s="49" t="str">
        <f aca="false">IF($A21="","",IFERROR($M21/$F21,""))</f>
        <v/>
      </c>
      <c r="O21" s="4" t="str">
        <f aca="false">IF($A21="","",COUNTIFS(Fact_Work!$L:$L,$A21,Fact_Work!$O:$O,"Yes"))</f>
        <v/>
      </c>
      <c r="P21" s="4" t="str">
        <f aca="false">IF($A21="","",IF($C21&lt;&gt;"Yes","n/a",IF($M21&gt;$F21,"OVER","OK")))</f>
        <v/>
      </c>
      <c r="Q21" s="23" t="str">
        <f aca="false">IF($A21="","",IFERROR(VLOOKUP($B21,Dim_Team!$A:$G,7,0),""))</f>
        <v/>
      </c>
    </row>
    <row r="22" customFormat="false" ht="15" hidden="false" customHeight="true" outlineLevel="0" collapsed="false">
      <c r="D22" s="4" t="str">
        <f aca="false">IF($A22="","",IFERROR(VLOOKUP($B22,Dim_Team!$A:$B,2,0),"external"))</f>
        <v/>
      </c>
      <c r="E22" s="22" t="str">
        <f aca="false">IF($A22="","",IFERROR(VLOOKUP($B22,Dim_Team!$A:$F,6,0),""))</f>
        <v/>
      </c>
      <c r="F22" s="31" t="str">
        <f aca="false">IF($A22="","",IFERROR(VLOOKUP($B22,Dim_Team!$A:$E,5,0),0))</f>
        <v/>
      </c>
      <c r="G22" s="4" t="str">
        <f aca="false">IF($A22="","",COUNTIF(Dim_Fund!$G:$G,$A22))</f>
        <v/>
      </c>
      <c r="H22" s="31" t="str">
        <f aca="false">IF($A22="","",IFERROR(ROUND(SUMIF(Fact_Work!$N:$N,$A22,Fact_Work!$Q:$Q)/Constants!$B$13,0),0))</f>
        <v/>
      </c>
      <c r="I22" s="31" t="str">
        <f aca="false">IF($A22="","",IFERROR(ROUND(SUMIF(Fact_Work!$L:$L,$A22,Fact_Work!$Q:$Q)/Constants!$B$13,0),0))</f>
        <v/>
      </c>
      <c r="J22" s="49" t="str">
        <f aca="false">IF($A22="","",IFERROR($I22/$F22,""))</f>
        <v/>
      </c>
      <c r="K22" s="4" t="str">
        <f aca="false">IF($A22="","",IFERROR(ROUND(COUNTIF(Fact_Work!$M:$M,$A22)/Constants!$B$13,1),0))</f>
        <v/>
      </c>
      <c r="L22" s="31" t="str">
        <f aca="false">IF($A22="","",IFERROR(ROUND(SUMIF(Fact_Work!$M:$M,$A22,Fact_Work!$AE:$AE)/Constants!$B$13,0),0))</f>
        <v/>
      </c>
      <c r="M22" s="31" t="str">
        <f aca="false">IF($A22="","",$I22+$L22)</f>
        <v/>
      </c>
      <c r="N22" s="49" t="str">
        <f aca="false">IF($A22="","",IFERROR($M22/$F22,""))</f>
        <v/>
      </c>
      <c r="O22" s="4" t="str">
        <f aca="false">IF($A22="","",COUNTIFS(Fact_Work!$L:$L,$A22,Fact_Work!$O:$O,"Yes"))</f>
        <v/>
      </c>
      <c r="P22" s="4" t="str">
        <f aca="false">IF($A22="","",IF($C22&lt;&gt;"Yes","n/a",IF($M22&gt;$F22,"OVER","OK")))</f>
        <v/>
      </c>
      <c r="Q22" s="23" t="str">
        <f aca="false">IF($A22="","",IFERROR(VLOOKUP($B22,Dim_Team!$A:$G,7,0),""))</f>
        <v/>
      </c>
    </row>
    <row r="23" customFormat="false" ht="15" hidden="false" customHeight="true" outlineLevel="0" collapsed="false">
      <c r="D23" s="4" t="str">
        <f aca="false">IF($A23="","",IFERROR(VLOOKUP($B23,Dim_Team!$A:$B,2,0),"external"))</f>
        <v/>
      </c>
      <c r="E23" s="22" t="str">
        <f aca="false">IF($A23="","",IFERROR(VLOOKUP($B23,Dim_Team!$A:$F,6,0),""))</f>
        <v/>
      </c>
      <c r="F23" s="31" t="str">
        <f aca="false">IF($A23="","",IFERROR(VLOOKUP($B23,Dim_Team!$A:$E,5,0),0))</f>
        <v/>
      </c>
      <c r="G23" s="4" t="str">
        <f aca="false">IF($A23="","",COUNTIF(Dim_Fund!$G:$G,$A23))</f>
        <v/>
      </c>
      <c r="H23" s="31" t="str">
        <f aca="false">IF($A23="","",IFERROR(ROUND(SUMIF(Fact_Work!$N:$N,$A23,Fact_Work!$Q:$Q)/Constants!$B$13,0),0))</f>
        <v/>
      </c>
      <c r="I23" s="31" t="str">
        <f aca="false">IF($A23="","",IFERROR(ROUND(SUMIF(Fact_Work!$L:$L,$A23,Fact_Work!$Q:$Q)/Constants!$B$13,0),0))</f>
        <v/>
      </c>
      <c r="J23" s="49" t="str">
        <f aca="false">IF($A23="","",IFERROR($I23/$F23,""))</f>
        <v/>
      </c>
      <c r="K23" s="4" t="str">
        <f aca="false">IF($A23="","",IFERROR(ROUND(COUNTIF(Fact_Work!$M:$M,$A23)/Constants!$B$13,1),0))</f>
        <v/>
      </c>
      <c r="L23" s="31" t="str">
        <f aca="false">IF($A23="","",IFERROR(ROUND(SUMIF(Fact_Work!$M:$M,$A23,Fact_Work!$AE:$AE)/Constants!$B$13,0),0))</f>
        <v/>
      </c>
      <c r="M23" s="31" t="str">
        <f aca="false">IF($A23="","",$I23+$L23)</f>
        <v/>
      </c>
      <c r="N23" s="49" t="str">
        <f aca="false">IF($A23="","",IFERROR($M23/$F23,""))</f>
        <v/>
      </c>
      <c r="O23" s="4" t="str">
        <f aca="false">IF($A23="","",COUNTIFS(Fact_Work!$L:$L,$A23,Fact_Work!$O:$O,"Yes"))</f>
        <v/>
      </c>
      <c r="P23" s="4" t="str">
        <f aca="false">IF($A23="","",IF($C23&lt;&gt;"Yes","n/a",IF($M23&gt;$F23,"OVER","OK")))</f>
        <v/>
      </c>
      <c r="Q23" s="23" t="str">
        <f aca="false">IF($A23="","",IFERROR(VLOOKUP($B23,Dim_Team!$A:$G,7,0),""))</f>
        <v/>
      </c>
    </row>
    <row r="24" customFormat="false" ht="15" hidden="false" customHeight="true" outlineLevel="0" collapsed="false">
      <c r="D24" s="4" t="str">
        <f aca="false">IF($A24="","",IFERROR(VLOOKUP($B24,Dim_Team!$A:$B,2,0),"external"))</f>
        <v/>
      </c>
      <c r="E24" s="22" t="str">
        <f aca="false">IF($A24="","",IFERROR(VLOOKUP($B24,Dim_Team!$A:$F,6,0),""))</f>
        <v/>
      </c>
      <c r="F24" s="31" t="str">
        <f aca="false">IF($A24="","",IFERROR(VLOOKUP($B24,Dim_Team!$A:$E,5,0),0))</f>
        <v/>
      </c>
      <c r="G24" s="4" t="str">
        <f aca="false">IF($A24="","",COUNTIF(Dim_Fund!$G:$G,$A24))</f>
        <v/>
      </c>
      <c r="H24" s="31" t="str">
        <f aca="false">IF($A24="","",IFERROR(ROUND(SUMIF(Fact_Work!$N:$N,$A24,Fact_Work!$Q:$Q)/Constants!$B$13,0),0))</f>
        <v/>
      </c>
      <c r="I24" s="31" t="str">
        <f aca="false">IF($A24="","",IFERROR(ROUND(SUMIF(Fact_Work!$L:$L,$A24,Fact_Work!$Q:$Q)/Constants!$B$13,0),0))</f>
        <v/>
      </c>
      <c r="J24" s="49" t="str">
        <f aca="false">IF($A24="","",IFERROR($I24/$F24,""))</f>
        <v/>
      </c>
      <c r="K24" s="4" t="str">
        <f aca="false">IF($A24="","",IFERROR(ROUND(COUNTIF(Fact_Work!$M:$M,$A24)/Constants!$B$13,1),0))</f>
        <v/>
      </c>
      <c r="L24" s="31" t="str">
        <f aca="false">IF($A24="","",IFERROR(ROUND(SUMIF(Fact_Work!$M:$M,$A24,Fact_Work!$AE:$AE)/Constants!$B$13,0),0))</f>
        <v/>
      </c>
      <c r="M24" s="31" t="str">
        <f aca="false">IF($A24="","",$I24+$L24)</f>
        <v/>
      </c>
      <c r="N24" s="49" t="str">
        <f aca="false">IF($A24="","",IFERROR($M24/$F24,""))</f>
        <v/>
      </c>
      <c r="O24" s="4" t="str">
        <f aca="false">IF($A24="","",COUNTIFS(Fact_Work!$L:$L,$A24,Fact_Work!$O:$O,"Yes"))</f>
        <v/>
      </c>
      <c r="P24" s="4" t="str">
        <f aca="false">IF($A24="","",IF($C24&lt;&gt;"Yes","n/a",IF($M24&gt;$F24,"OVER","OK")))</f>
        <v/>
      </c>
      <c r="Q24" s="23" t="str">
        <f aca="false">IF($A24="","",IFERROR(VLOOKUP($B24,Dim_Team!$A:$G,7,0),""))</f>
        <v/>
      </c>
    </row>
    <row r="25" customFormat="false" ht="15" hidden="false" customHeight="true" outlineLevel="0" collapsed="false">
      <c r="D25" s="4" t="str">
        <f aca="false">IF($A25="","",IFERROR(VLOOKUP($B25,Dim_Team!$A:$B,2,0),"external"))</f>
        <v/>
      </c>
      <c r="E25" s="22" t="str">
        <f aca="false">IF($A25="","",IFERROR(VLOOKUP($B25,Dim_Team!$A:$F,6,0),""))</f>
        <v/>
      </c>
      <c r="F25" s="31" t="str">
        <f aca="false">IF($A25="","",IFERROR(VLOOKUP($B25,Dim_Team!$A:$E,5,0),0))</f>
        <v/>
      </c>
      <c r="G25" s="4" t="str">
        <f aca="false">IF($A25="","",COUNTIF(Dim_Fund!$G:$G,$A25))</f>
        <v/>
      </c>
      <c r="H25" s="31" t="str">
        <f aca="false">IF($A25="","",IFERROR(ROUND(SUMIF(Fact_Work!$N:$N,$A25,Fact_Work!$Q:$Q)/Constants!$B$13,0),0))</f>
        <v/>
      </c>
      <c r="I25" s="31" t="str">
        <f aca="false">IF($A25="","",IFERROR(ROUND(SUMIF(Fact_Work!$L:$L,$A25,Fact_Work!$Q:$Q)/Constants!$B$13,0),0))</f>
        <v/>
      </c>
      <c r="J25" s="49" t="str">
        <f aca="false">IF($A25="","",IFERROR($I25/$F25,""))</f>
        <v/>
      </c>
      <c r="K25" s="4" t="str">
        <f aca="false">IF($A25="","",IFERROR(ROUND(COUNTIF(Fact_Work!$M:$M,$A25)/Constants!$B$13,1),0))</f>
        <v/>
      </c>
      <c r="L25" s="31" t="str">
        <f aca="false">IF($A25="","",IFERROR(ROUND(SUMIF(Fact_Work!$M:$M,$A25,Fact_Work!$AE:$AE)/Constants!$B$13,0),0))</f>
        <v/>
      </c>
      <c r="M25" s="31" t="str">
        <f aca="false">IF($A25="","",$I25+$L25)</f>
        <v/>
      </c>
      <c r="N25" s="49" t="str">
        <f aca="false">IF($A25="","",IFERROR($M25/$F25,""))</f>
        <v/>
      </c>
      <c r="O25" s="4" t="str">
        <f aca="false">IF($A25="","",COUNTIFS(Fact_Work!$L:$L,$A25,Fact_Work!$O:$O,"Yes"))</f>
        <v/>
      </c>
      <c r="P25" s="4" t="str">
        <f aca="false">IF($A25="","",IF($C25&lt;&gt;"Yes","n/a",IF($M25&gt;$F25,"OVER","OK")))</f>
        <v/>
      </c>
      <c r="Q25" s="23" t="str">
        <f aca="false">IF($A25="","",IFERROR(VLOOKUP($B25,Dim_Team!$A:$G,7,0),""))</f>
        <v/>
      </c>
    </row>
    <row r="26" customFormat="false" ht="15" hidden="false" customHeight="true" outlineLevel="0" collapsed="false">
      <c r="D26" s="4" t="str">
        <f aca="false">IF($A26="","",IFERROR(VLOOKUP($B26,Dim_Team!$A:$B,2,0),"external"))</f>
        <v/>
      </c>
      <c r="E26" s="22" t="str">
        <f aca="false">IF($A26="","",IFERROR(VLOOKUP($B26,Dim_Team!$A:$F,6,0),""))</f>
        <v/>
      </c>
      <c r="F26" s="31" t="str">
        <f aca="false">IF($A26="","",IFERROR(VLOOKUP($B26,Dim_Team!$A:$E,5,0),0))</f>
        <v/>
      </c>
      <c r="G26" s="4" t="str">
        <f aca="false">IF($A26="","",COUNTIF(Dim_Fund!$G:$G,$A26))</f>
        <v/>
      </c>
      <c r="H26" s="31" t="str">
        <f aca="false">IF($A26="","",IFERROR(ROUND(SUMIF(Fact_Work!$N:$N,$A26,Fact_Work!$Q:$Q)/Constants!$B$13,0),0))</f>
        <v/>
      </c>
      <c r="I26" s="31" t="str">
        <f aca="false">IF($A26="","",IFERROR(ROUND(SUMIF(Fact_Work!$L:$L,$A26,Fact_Work!$Q:$Q)/Constants!$B$13,0),0))</f>
        <v/>
      </c>
      <c r="J26" s="49" t="str">
        <f aca="false">IF($A26="","",IFERROR($I26/$F26,""))</f>
        <v/>
      </c>
      <c r="K26" s="4" t="str">
        <f aca="false">IF($A26="","",IFERROR(ROUND(COUNTIF(Fact_Work!$M:$M,$A26)/Constants!$B$13,1),0))</f>
        <v/>
      </c>
      <c r="L26" s="31" t="str">
        <f aca="false">IF($A26="","",IFERROR(ROUND(SUMIF(Fact_Work!$M:$M,$A26,Fact_Work!$AE:$AE)/Constants!$B$13,0),0))</f>
        <v/>
      </c>
      <c r="M26" s="31" t="str">
        <f aca="false">IF($A26="","",$I26+$L26)</f>
        <v/>
      </c>
      <c r="N26" s="49" t="str">
        <f aca="false">IF($A26="","",IFERROR($M26/$F26,""))</f>
        <v/>
      </c>
      <c r="O26" s="4" t="str">
        <f aca="false">IF($A26="","",COUNTIFS(Fact_Work!$L:$L,$A26,Fact_Work!$O:$O,"Yes"))</f>
        <v/>
      </c>
      <c r="P26" s="4" t="str">
        <f aca="false">IF($A26="","",IF($C26&lt;&gt;"Yes","n/a",IF($M26&gt;$F26,"OVER","OK")))</f>
        <v/>
      </c>
      <c r="Q26" s="23" t="str">
        <f aca="false">IF($A26="","",IFERROR(VLOOKUP($B26,Dim_Team!$A:$G,7,0),""))</f>
        <v/>
      </c>
    </row>
    <row r="27" customFormat="false" ht="15" hidden="false" customHeight="true" outlineLevel="0" collapsed="false">
      <c r="D27" s="4" t="str">
        <f aca="false">IF($A27="","",IFERROR(VLOOKUP($B27,Dim_Team!$A:$B,2,0),"external"))</f>
        <v/>
      </c>
      <c r="E27" s="22" t="str">
        <f aca="false">IF($A27="","",IFERROR(VLOOKUP($B27,Dim_Team!$A:$F,6,0),""))</f>
        <v/>
      </c>
      <c r="F27" s="31" t="str">
        <f aca="false">IF($A27="","",IFERROR(VLOOKUP($B27,Dim_Team!$A:$E,5,0),0))</f>
        <v/>
      </c>
      <c r="G27" s="4" t="str">
        <f aca="false">IF($A27="","",COUNTIF(Dim_Fund!$G:$G,$A27))</f>
        <v/>
      </c>
      <c r="H27" s="31" t="str">
        <f aca="false">IF($A27="","",IFERROR(ROUND(SUMIF(Fact_Work!$N:$N,$A27,Fact_Work!$Q:$Q)/Constants!$B$13,0),0))</f>
        <v/>
      </c>
      <c r="I27" s="31" t="str">
        <f aca="false">IF($A27="","",IFERROR(ROUND(SUMIF(Fact_Work!$L:$L,$A27,Fact_Work!$Q:$Q)/Constants!$B$13,0),0))</f>
        <v/>
      </c>
      <c r="J27" s="49" t="str">
        <f aca="false">IF($A27="","",IFERROR($I27/$F27,""))</f>
        <v/>
      </c>
      <c r="K27" s="4" t="str">
        <f aca="false">IF($A27="","",IFERROR(ROUND(COUNTIF(Fact_Work!$M:$M,$A27)/Constants!$B$13,1),0))</f>
        <v/>
      </c>
      <c r="L27" s="31" t="str">
        <f aca="false">IF($A27="","",IFERROR(ROUND(SUMIF(Fact_Work!$M:$M,$A27,Fact_Work!$AE:$AE)/Constants!$B$13,0),0))</f>
        <v/>
      </c>
      <c r="M27" s="31" t="str">
        <f aca="false">IF($A27="","",$I27+$L27)</f>
        <v/>
      </c>
      <c r="N27" s="49" t="str">
        <f aca="false">IF($A27="","",IFERROR($M27/$F27,""))</f>
        <v/>
      </c>
      <c r="O27" s="4" t="str">
        <f aca="false">IF($A27="","",COUNTIFS(Fact_Work!$L:$L,$A27,Fact_Work!$O:$O,"Yes"))</f>
        <v/>
      </c>
      <c r="P27" s="4" t="str">
        <f aca="false">IF($A27="","",IF($C27&lt;&gt;"Yes","n/a",IF($M27&gt;$F27,"OVER","OK")))</f>
        <v/>
      </c>
      <c r="Q27" s="23" t="str">
        <f aca="false">IF($A27="","",IFERROR(VLOOKUP($B27,Dim_Team!$A:$G,7,0),""))</f>
        <v/>
      </c>
    </row>
    <row r="28" customFormat="false" ht="15" hidden="false" customHeight="true" outlineLevel="0" collapsed="false">
      <c r="D28" s="4" t="str">
        <f aca="false">IF($A28="","",IFERROR(VLOOKUP($B28,Dim_Team!$A:$B,2,0),"external"))</f>
        <v/>
      </c>
      <c r="E28" s="22" t="str">
        <f aca="false">IF($A28="","",IFERROR(VLOOKUP($B28,Dim_Team!$A:$F,6,0),""))</f>
        <v/>
      </c>
      <c r="F28" s="31" t="str">
        <f aca="false">IF($A28="","",IFERROR(VLOOKUP($B28,Dim_Team!$A:$E,5,0),0))</f>
        <v/>
      </c>
      <c r="G28" s="4" t="str">
        <f aca="false">IF($A28="","",COUNTIF(Dim_Fund!$G:$G,$A28))</f>
        <v/>
      </c>
      <c r="H28" s="31" t="str">
        <f aca="false">IF($A28="","",IFERROR(ROUND(SUMIF(Fact_Work!$N:$N,$A28,Fact_Work!$Q:$Q)/Constants!$B$13,0),0))</f>
        <v/>
      </c>
      <c r="I28" s="31" t="str">
        <f aca="false">IF($A28="","",IFERROR(ROUND(SUMIF(Fact_Work!$L:$L,$A28,Fact_Work!$Q:$Q)/Constants!$B$13,0),0))</f>
        <v/>
      </c>
      <c r="J28" s="49" t="str">
        <f aca="false">IF($A28="","",IFERROR($I28/$F28,""))</f>
        <v/>
      </c>
      <c r="K28" s="4" t="str">
        <f aca="false">IF($A28="","",IFERROR(ROUND(COUNTIF(Fact_Work!$M:$M,$A28)/Constants!$B$13,1),0))</f>
        <v/>
      </c>
      <c r="L28" s="31" t="str">
        <f aca="false">IF($A28="","",IFERROR(ROUND(SUMIF(Fact_Work!$M:$M,$A28,Fact_Work!$AE:$AE)/Constants!$B$13,0),0))</f>
        <v/>
      </c>
      <c r="M28" s="31" t="str">
        <f aca="false">IF($A28="","",$I28+$L28)</f>
        <v/>
      </c>
      <c r="N28" s="49" t="str">
        <f aca="false">IF($A28="","",IFERROR($M28/$F28,""))</f>
        <v/>
      </c>
      <c r="O28" s="4" t="str">
        <f aca="false">IF($A28="","",COUNTIFS(Fact_Work!$L:$L,$A28,Fact_Work!$O:$O,"Yes"))</f>
        <v/>
      </c>
      <c r="P28" s="4" t="str">
        <f aca="false">IF($A28="","",IF($C28&lt;&gt;"Yes","n/a",IF($M28&gt;$F28,"OVER","OK")))</f>
        <v/>
      </c>
      <c r="Q28" s="23" t="str">
        <f aca="false">IF($A28="","",IFERROR(VLOOKUP($B28,Dim_Team!$A:$G,7,0),""))</f>
        <v/>
      </c>
    </row>
    <row r="29" customFormat="false" ht="15" hidden="false" customHeight="true" outlineLevel="0" collapsed="false">
      <c r="D29" s="4" t="str">
        <f aca="false">IF($A29="","",IFERROR(VLOOKUP($B29,Dim_Team!$A:$B,2,0),"external"))</f>
        <v/>
      </c>
      <c r="E29" s="22" t="str">
        <f aca="false">IF($A29="","",IFERROR(VLOOKUP($B29,Dim_Team!$A:$F,6,0),""))</f>
        <v/>
      </c>
      <c r="F29" s="31" t="str">
        <f aca="false">IF($A29="","",IFERROR(VLOOKUP($B29,Dim_Team!$A:$E,5,0),0))</f>
        <v/>
      </c>
      <c r="G29" s="4" t="str">
        <f aca="false">IF($A29="","",COUNTIF(Dim_Fund!$G:$G,$A29))</f>
        <v/>
      </c>
      <c r="H29" s="31" t="str">
        <f aca="false">IF($A29="","",IFERROR(ROUND(SUMIF(Fact_Work!$N:$N,$A29,Fact_Work!$Q:$Q)/Constants!$B$13,0),0))</f>
        <v/>
      </c>
      <c r="I29" s="31" t="str">
        <f aca="false">IF($A29="","",IFERROR(ROUND(SUMIF(Fact_Work!$L:$L,$A29,Fact_Work!$Q:$Q)/Constants!$B$13,0),0))</f>
        <v/>
      </c>
      <c r="J29" s="49" t="str">
        <f aca="false">IF($A29="","",IFERROR($I29/$F29,""))</f>
        <v/>
      </c>
      <c r="K29" s="4" t="str">
        <f aca="false">IF($A29="","",IFERROR(ROUND(COUNTIF(Fact_Work!$M:$M,$A29)/Constants!$B$13,1),0))</f>
        <v/>
      </c>
      <c r="L29" s="31" t="str">
        <f aca="false">IF($A29="","",IFERROR(ROUND(SUMIF(Fact_Work!$M:$M,$A29,Fact_Work!$AE:$AE)/Constants!$B$13,0),0))</f>
        <v/>
      </c>
      <c r="M29" s="31" t="str">
        <f aca="false">IF($A29="","",$I29+$L29)</f>
        <v/>
      </c>
      <c r="N29" s="49" t="str">
        <f aca="false">IF($A29="","",IFERROR($M29/$F29,""))</f>
        <v/>
      </c>
      <c r="O29" s="4" t="str">
        <f aca="false">IF($A29="","",COUNTIFS(Fact_Work!$L:$L,$A29,Fact_Work!$O:$O,"Yes"))</f>
        <v/>
      </c>
      <c r="P29" s="4" t="str">
        <f aca="false">IF($A29="","",IF($C29&lt;&gt;"Yes","n/a",IF($M29&gt;$F29,"OVER","OK")))</f>
        <v/>
      </c>
      <c r="Q29" s="23" t="str">
        <f aca="false">IF($A29="","",IFERROR(VLOOKUP($B29,Dim_Team!$A:$G,7,0),""))</f>
        <v/>
      </c>
    </row>
    <row r="30" customFormat="false" ht="15" hidden="false" customHeight="true" outlineLevel="0" collapsed="false">
      <c r="D30" s="4" t="str">
        <f aca="false">IF($A30="","",IFERROR(VLOOKUP($B30,Dim_Team!$A:$B,2,0),"external"))</f>
        <v/>
      </c>
      <c r="E30" s="22" t="str">
        <f aca="false">IF($A30="","",IFERROR(VLOOKUP($B30,Dim_Team!$A:$F,6,0),""))</f>
        <v/>
      </c>
      <c r="F30" s="31" t="str">
        <f aca="false">IF($A30="","",IFERROR(VLOOKUP($B30,Dim_Team!$A:$E,5,0),0))</f>
        <v/>
      </c>
      <c r="G30" s="4" t="str">
        <f aca="false">IF($A30="","",COUNTIF(Dim_Fund!$G:$G,$A30))</f>
        <v/>
      </c>
      <c r="H30" s="31" t="str">
        <f aca="false">IF($A30="","",IFERROR(ROUND(SUMIF(Fact_Work!$N:$N,$A30,Fact_Work!$Q:$Q)/Constants!$B$13,0),0))</f>
        <v/>
      </c>
      <c r="I30" s="31" t="str">
        <f aca="false">IF($A30="","",IFERROR(ROUND(SUMIF(Fact_Work!$L:$L,$A30,Fact_Work!$Q:$Q)/Constants!$B$13,0),0))</f>
        <v/>
      </c>
      <c r="J30" s="49" t="str">
        <f aca="false">IF($A30="","",IFERROR($I30/$F30,""))</f>
        <v/>
      </c>
      <c r="K30" s="4" t="str">
        <f aca="false">IF($A30="","",IFERROR(ROUND(COUNTIF(Fact_Work!$M:$M,$A30)/Constants!$B$13,1),0))</f>
        <v/>
      </c>
      <c r="L30" s="31" t="str">
        <f aca="false">IF($A30="","",IFERROR(ROUND(SUMIF(Fact_Work!$M:$M,$A30,Fact_Work!$AE:$AE)/Constants!$B$13,0),0))</f>
        <v/>
      </c>
      <c r="M30" s="31" t="str">
        <f aca="false">IF($A30="","",$I30+$L30)</f>
        <v/>
      </c>
      <c r="N30" s="49" t="str">
        <f aca="false">IF($A30="","",IFERROR($M30/$F30,""))</f>
        <v/>
      </c>
      <c r="O30" s="4" t="str">
        <f aca="false">IF($A30="","",COUNTIFS(Fact_Work!$L:$L,$A30,Fact_Work!$O:$O,"Yes"))</f>
        <v/>
      </c>
      <c r="P30" s="4" t="str">
        <f aca="false">IF($A30="","",IF($C30&lt;&gt;"Yes","n/a",IF($M30&gt;$F30,"OVER","OK")))</f>
        <v/>
      </c>
      <c r="Q30" s="23" t="str">
        <f aca="false">IF($A30="","",IFERROR(VLOOKUP($B30,Dim_Team!$A:$G,7,0),""))</f>
        <v/>
      </c>
    </row>
    <row r="31" customFormat="false" ht="15" hidden="false" customHeight="true" outlineLevel="0" collapsed="false">
      <c r="D31" s="4" t="str">
        <f aca="false">IF($A31="","",IFERROR(VLOOKUP($B31,Dim_Team!$A:$B,2,0),"external"))</f>
        <v/>
      </c>
      <c r="E31" s="22" t="str">
        <f aca="false">IF($A31="","",IFERROR(VLOOKUP($B31,Dim_Team!$A:$F,6,0),""))</f>
        <v/>
      </c>
      <c r="F31" s="31" t="str">
        <f aca="false">IF($A31="","",IFERROR(VLOOKUP($B31,Dim_Team!$A:$E,5,0),0))</f>
        <v/>
      </c>
      <c r="G31" s="4" t="str">
        <f aca="false">IF($A31="","",COUNTIF(Dim_Fund!$G:$G,$A31))</f>
        <v/>
      </c>
      <c r="H31" s="31" t="str">
        <f aca="false">IF($A31="","",IFERROR(ROUND(SUMIF(Fact_Work!$N:$N,$A31,Fact_Work!$Q:$Q)/Constants!$B$13,0),0))</f>
        <v/>
      </c>
      <c r="I31" s="31" t="str">
        <f aca="false">IF($A31="","",IFERROR(ROUND(SUMIF(Fact_Work!$L:$L,$A31,Fact_Work!$Q:$Q)/Constants!$B$13,0),0))</f>
        <v/>
      </c>
      <c r="J31" s="49" t="str">
        <f aca="false">IF($A31="","",IFERROR($I31/$F31,""))</f>
        <v/>
      </c>
      <c r="K31" s="4" t="str">
        <f aca="false">IF($A31="","",IFERROR(ROUND(COUNTIF(Fact_Work!$M:$M,$A31)/Constants!$B$13,1),0))</f>
        <v/>
      </c>
      <c r="L31" s="31" t="str">
        <f aca="false">IF($A31="","",IFERROR(ROUND(SUMIF(Fact_Work!$M:$M,$A31,Fact_Work!$AE:$AE)/Constants!$B$13,0),0))</f>
        <v/>
      </c>
      <c r="M31" s="31" t="str">
        <f aca="false">IF($A31="","",$I31+$L31)</f>
        <v/>
      </c>
      <c r="N31" s="49" t="str">
        <f aca="false">IF($A31="","",IFERROR($M31/$F31,""))</f>
        <v/>
      </c>
      <c r="O31" s="4" t="str">
        <f aca="false">IF($A31="","",COUNTIFS(Fact_Work!$L:$L,$A31,Fact_Work!$O:$O,"Yes"))</f>
        <v/>
      </c>
      <c r="P31" s="4" t="str">
        <f aca="false">IF($A31="","",IF($C31&lt;&gt;"Yes","n/a",IF($M31&gt;$F31,"OVER","OK")))</f>
        <v/>
      </c>
      <c r="Q31" s="23" t="str">
        <f aca="false">IF($A31="","",IFERROR(VLOOKUP($B31,Dim_Team!$A:$G,7,0),""))</f>
        <v/>
      </c>
    </row>
    <row r="32" customFormat="false" ht="15" hidden="false" customHeight="true" outlineLevel="0" collapsed="false">
      <c r="D32" s="4" t="str">
        <f aca="false">IF($A32="","",IFERROR(VLOOKUP($B32,Dim_Team!$A:$B,2,0),"external"))</f>
        <v/>
      </c>
      <c r="E32" s="22" t="str">
        <f aca="false">IF($A32="","",IFERROR(VLOOKUP($B32,Dim_Team!$A:$F,6,0),""))</f>
        <v/>
      </c>
      <c r="F32" s="31" t="str">
        <f aca="false">IF($A32="","",IFERROR(VLOOKUP($B32,Dim_Team!$A:$E,5,0),0))</f>
        <v/>
      </c>
      <c r="G32" s="4" t="str">
        <f aca="false">IF($A32="","",COUNTIF(Dim_Fund!$G:$G,$A32))</f>
        <v/>
      </c>
      <c r="H32" s="31" t="str">
        <f aca="false">IF($A32="","",IFERROR(ROUND(SUMIF(Fact_Work!$N:$N,$A32,Fact_Work!$Q:$Q)/Constants!$B$13,0),0))</f>
        <v/>
      </c>
      <c r="I32" s="31" t="str">
        <f aca="false">IF($A32="","",IFERROR(ROUND(SUMIF(Fact_Work!$L:$L,$A32,Fact_Work!$Q:$Q)/Constants!$B$13,0),0))</f>
        <v/>
      </c>
      <c r="J32" s="49" t="str">
        <f aca="false">IF($A32="","",IFERROR($I32/$F32,""))</f>
        <v/>
      </c>
      <c r="K32" s="4" t="str">
        <f aca="false">IF($A32="","",IFERROR(ROUND(COUNTIF(Fact_Work!$M:$M,$A32)/Constants!$B$13,1),0))</f>
        <v/>
      </c>
      <c r="L32" s="31" t="str">
        <f aca="false">IF($A32="","",IFERROR(ROUND(SUMIF(Fact_Work!$M:$M,$A32,Fact_Work!$AE:$AE)/Constants!$B$13,0),0))</f>
        <v/>
      </c>
      <c r="M32" s="31" t="str">
        <f aca="false">IF($A32="","",$I32+$L32)</f>
        <v/>
      </c>
      <c r="N32" s="49" t="str">
        <f aca="false">IF($A32="","",IFERROR($M32/$F32,""))</f>
        <v/>
      </c>
      <c r="O32" s="4" t="str">
        <f aca="false">IF($A32="","",COUNTIFS(Fact_Work!$L:$L,$A32,Fact_Work!$O:$O,"Yes"))</f>
        <v/>
      </c>
      <c r="P32" s="4" t="str">
        <f aca="false">IF($A32="","",IF($C32&lt;&gt;"Yes","n/a",IF($M32&gt;$F32,"OVER","OK")))</f>
        <v/>
      </c>
      <c r="Q32" s="23" t="str">
        <f aca="false">IF($A32="","",IFERROR(VLOOKUP($B32,Dim_Team!$A:$G,7,0),""))</f>
        <v/>
      </c>
    </row>
    <row r="33" customFormat="false" ht="15" hidden="false" customHeight="true" outlineLevel="0" collapsed="false">
      <c r="D33" s="4" t="str">
        <f aca="false">IF($A33="","",IFERROR(VLOOKUP($B33,Dim_Team!$A:$B,2,0),"external"))</f>
        <v/>
      </c>
      <c r="E33" s="22" t="str">
        <f aca="false">IF($A33="","",IFERROR(VLOOKUP($B33,Dim_Team!$A:$F,6,0),""))</f>
        <v/>
      </c>
      <c r="F33" s="31" t="str">
        <f aca="false">IF($A33="","",IFERROR(VLOOKUP($B33,Dim_Team!$A:$E,5,0),0))</f>
        <v/>
      </c>
      <c r="G33" s="4" t="str">
        <f aca="false">IF($A33="","",COUNTIF(Dim_Fund!$G:$G,$A33))</f>
        <v/>
      </c>
      <c r="H33" s="31" t="str">
        <f aca="false">IF($A33="","",IFERROR(ROUND(SUMIF(Fact_Work!$N:$N,$A33,Fact_Work!$Q:$Q)/Constants!$B$13,0),0))</f>
        <v/>
      </c>
      <c r="I33" s="31" t="str">
        <f aca="false">IF($A33="","",IFERROR(ROUND(SUMIF(Fact_Work!$L:$L,$A33,Fact_Work!$Q:$Q)/Constants!$B$13,0),0))</f>
        <v/>
      </c>
      <c r="J33" s="49" t="str">
        <f aca="false">IF($A33="","",IFERROR($I33/$F33,""))</f>
        <v/>
      </c>
      <c r="K33" s="4" t="str">
        <f aca="false">IF($A33="","",IFERROR(ROUND(COUNTIF(Fact_Work!$M:$M,$A33)/Constants!$B$13,1),0))</f>
        <v/>
      </c>
      <c r="L33" s="31" t="str">
        <f aca="false">IF($A33="","",IFERROR(ROUND(SUMIF(Fact_Work!$M:$M,$A33,Fact_Work!$AE:$AE)/Constants!$B$13,0),0))</f>
        <v/>
      </c>
      <c r="M33" s="31" t="str">
        <f aca="false">IF($A33="","",$I33+$L33)</f>
        <v/>
      </c>
      <c r="N33" s="49" t="str">
        <f aca="false">IF($A33="","",IFERROR($M33/$F33,""))</f>
        <v/>
      </c>
      <c r="O33" s="4" t="str">
        <f aca="false">IF($A33="","",COUNTIFS(Fact_Work!$L:$L,$A33,Fact_Work!$O:$O,"Yes"))</f>
        <v/>
      </c>
      <c r="P33" s="4" t="str">
        <f aca="false">IF($A33="","",IF($C33&lt;&gt;"Yes","n/a",IF($M33&gt;$F33,"OVER","OK")))</f>
        <v/>
      </c>
      <c r="Q33" s="23" t="str">
        <f aca="false">IF($A33="","",IFERROR(VLOOKUP($B33,Dim_Team!$A:$G,7,0),""))</f>
        <v/>
      </c>
    </row>
    <row r="34" customFormat="false" ht="15" hidden="false" customHeight="true" outlineLevel="0" collapsed="false">
      <c r="D34" s="4" t="str">
        <f aca="false">IF($A34="","",IFERROR(VLOOKUP($B34,Dim_Team!$A:$B,2,0),"external"))</f>
        <v/>
      </c>
      <c r="E34" s="22" t="str">
        <f aca="false">IF($A34="","",IFERROR(VLOOKUP($B34,Dim_Team!$A:$F,6,0),""))</f>
        <v/>
      </c>
      <c r="F34" s="31" t="str">
        <f aca="false">IF($A34="","",IFERROR(VLOOKUP($B34,Dim_Team!$A:$E,5,0),0))</f>
        <v/>
      </c>
      <c r="G34" s="4" t="str">
        <f aca="false">IF($A34="","",COUNTIF(Dim_Fund!$G:$G,$A34))</f>
        <v/>
      </c>
      <c r="H34" s="31" t="str">
        <f aca="false">IF($A34="","",IFERROR(ROUND(SUMIF(Fact_Work!$N:$N,$A34,Fact_Work!$Q:$Q)/Constants!$B$13,0),0))</f>
        <v/>
      </c>
      <c r="I34" s="31" t="str">
        <f aca="false">IF($A34="","",IFERROR(ROUND(SUMIF(Fact_Work!$L:$L,$A34,Fact_Work!$Q:$Q)/Constants!$B$13,0),0))</f>
        <v/>
      </c>
      <c r="J34" s="49" t="str">
        <f aca="false">IF($A34="","",IFERROR($I34/$F34,""))</f>
        <v/>
      </c>
      <c r="K34" s="4" t="str">
        <f aca="false">IF($A34="","",IFERROR(ROUND(COUNTIF(Fact_Work!$M:$M,$A34)/Constants!$B$13,1),0))</f>
        <v/>
      </c>
      <c r="L34" s="31" t="str">
        <f aca="false">IF($A34="","",IFERROR(ROUND(SUMIF(Fact_Work!$M:$M,$A34,Fact_Work!$AE:$AE)/Constants!$B$13,0),0))</f>
        <v/>
      </c>
      <c r="M34" s="31" t="str">
        <f aca="false">IF($A34="","",$I34+$L34)</f>
        <v/>
      </c>
      <c r="N34" s="49" t="str">
        <f aca="false">IF($A34="","",IFERROR($M34/$F34,""))</f>
        <v/>
      </c>
      <c r="O34" s="4" t="str">
        <f aca="false">IF($A34="","",COUNTIFS(Fact_Work!$L:$L,$A34,Fact_Work!$O:$O,"Yes"))</f>
        <v/>
      </c>
      <c r="P34" s="4" t="str">
        <f aca="false">IF($A34="","",IF($C34&lt;&gt;"Yes","n/a",IF($M34&gt;$F34,"OVER","OK")))</f>
        <v/>
      </c>
      <c r="Q34" s="23" t="str">
        <f aca="false">IF($A34="","",IFERROR(VLOOKUP($B34,Dim_Team!$A:$G,7,0),""))</f>
        <v/>
      </c>
    </row>
    <row r="35" customFormat="false" ht="15" hidden="false" customHeight="true" outlineLevel="0" collapsed="false">
      <c r="D35" s="4" t="str">
        <f aca="false">IF($A35="","",IFERROR(VLOOKUP($B35,Dim_Team!$A:$B,2,0),"external"))</f>
        <v/>
      </c>
      <c r="E35" s="22" t="str">
        <f aca="false">IF($A35="","",IFERROR(VLOOKUP($B35,Dim_Team!$A:$F,6,0),""))</f>
        <v/>
      </c>
      <c r="F35" s="31" t="str">
        <f aca="false">IF($A35="","",IFERROR(VLOOKUP($B35,Dim_Team!$A:$E,5,0),0))</f>
        <v/>
      </c>
      <c r="G35" s="4" t="str">
        <f aca="false">IF($A35="","",COUNTIF(Dim_Fund!$G:$G,$A35))</f>
        <v/>
      </c>
      <c r="H35" s="31" t="str">
        <f aca="false">IF($A35="","",IFERROR(ROUND(SUMIF(Fact_Work!$N:$N,$A35,Fact_Work!$Q:$Q)/Constants!$B$13,0),0))</f>
        <v/>
      </c>
      <c r="I35" s="31" t="str">
        <f aca="false">IF($A35="","",IFERROR(ROUND(SUMIF(Fact_Work!$L:$L,$A35,Fact_Work!$Q:$Q)/Constants!$B$13,0),0))</f>
        <v/>
      </c>
      <c r="J35" s="49" t="str">
        <f aca="false">IF($A35="","",IFERROR($I35/$F35,""))</f>
        <v/>
      </c>
      <c r="K35" s="4" t="str">
        <f aca="false">IF($A35="","",IFERROR(ROUND(COUNTIF(Fact_Work!$M:$M,$A35)/Constants!$B$13,1),0))</f>
        <v/>
      </c>
      <c r="L35" s="31" t="str">
        <f aca="false">IF($A35="","",IFERROR(ROUND(SUMIF(Fact_Work!$M:$M,$A35,Fact_Work!$AE:$AE)/Constants!$B$13,0),0))</f>
        <v/>
      </c>
      <c r="M35" s="31" t="str">
        <f aca="false">IF($A35="","",$I35+$L35)</f>
        <v/>
      </c>
      <c r="N35" s="49" t="str">
        <f aca="false">IF($A35="","",IFERROR($M35/$F35,""))</f>
        <v/>
      </c>
      <c r="O35" s="4" t="str">
        <f aca="false">IF($A35="","",COUNTIFS(Fact_Work!$L:$L,$A35,Fact_Work!$O:$O,"Yes"))</f>
        <v/>
      </c>
      <c r="P35" s="4" t="str">
        <f aca="false">IF($A35="","",IF($C35&lt;&gt;"Yes","n/a",IF($M35&gt;$F35,"OVER","OK")))</f>
        <v/>
      </c>
      <c r="Q35" s="23" t="str">
        <f aca="false">IF($A35="","",IFERROR(VLOOKUP($B35,Dim_Team!$A:$G,7,0),""))</f>
        <v/>
      </c>
    </row>
    <row r="36" customFormat="false" ht="15" hidden="false" customHeight="true" outlineLevel="0" collapsed="false">
      <c r="D36" s="4" t="str">
        <f aca="false">IF($A36="","",IFERROR(VLOOKUP($B36,Dim_Team!$A:$B,2,0),"external"))</f>
        <v/>
      </c>
      <c r="E36" s="22" t="str">
        <f aca="false">IF($A36="","",IFERROR(VLOOKUP($B36,Dim_Team!$A:$F,6,0),""))</f>
        <v/>
      </c>
      <c r="F36" s="31" t="str">
        <f aca="false">IF($A36="","",IFERROR(VLOOKUP($B36,Dim_Team!$A:$E,5,0),0))</f>
        <v/>
      </c>
      <c r="G36" s="4" t="str">
        <f aca="false">IF($A36="","",COUNTIF(Dim_Fund!$G:$G,$A36))</f>
        <v/>
      </c>
      <c r="H36" s="31" t="str">
        <f aca="false">IF($A36="","",IFERROR(ROUND(SUMIF(Fact_Work!$N:$N,$A36,Fact_Work!$Q:$Q)/Constants!$B$13,0),0))</f>
        <v/>
      </c>
      <c r="I36" s="31" t="str">
        <f aca="false">IF($A36="","",IFERROR(ROUND(SUMIF(Fact_Work!$L:$L,$A36,Fact_Work!$Q:$Q)/Constants!$B$13,0),0))</f>
        <v/>
      </c>
      <c r="J36" s="49" t="str">
        <f aca="false">IF($A36="","",IFERROR($I36/$F36,""))</f>
        <v/>
      </c>
      <c r="K36" s="4" t="str">
        <f aca="false">IF($A36="","",IFERROR(ROUND(COUNTIF(Fact_Work!$M:$M,$A36)/Constants!$B$13,1),0))</f>
        <v/>
      </c>
      <c r="L36" s="31" t="str">
        <f aca="false">IF($A36="","",IFERROR(ROUND(SUMIF(Fact_Work!$M:$M,$A36,Fact_Work!$AE:$AE)/Constants!$B$13,0),0))</f>
        <v/>
      </c>
      <c r="M36" s="31" t="str">
        <f aca="false">IF($A36="","",$I36+$L36)</f>
        <v/>
      </c>
      <c r="N36" s="49" t="str">
        <f aca="false">IF($A36="","",IFERROR($M36/$F36,""))</f>
        <v/>
      </c>
      <c r="O36" s="4" t="str">
        <f aca="false">IF($A36="","",COUNTIFS(Fact_Work!$L:$L,$A36,Fact_Work!$O:$O,"Yes"))</f>
        <v/>
      </c>
      <c r="P36" s="4" t="str">
        <f aca="false">IF($A36="","",IF($C36&lt;&gt;"Yes","n/a",IF($M36&gt;$F36,"OVER","OK")))</f>
        <v/>
      </c>
      <c r="Q36" s="23" t="str">
        <f aca="false">IF($A36="","",IFERROR(VLOOKUP($B36,Dim_Team!$A:$G,7,0),""))</f>
        <v/>
      </c>
    </row>
    <row r="37" customFormat="false" ht="15" hidden="false" customHeight="true" outlineLevel="0" collapsed="false">
      <c r="D37" s="4" t="str">
        <f aca="false">IF($A37="","",IFERROR(VLOOKUP($B37,Dim_Team!$A:$B,2,0),"external"))</f>
        <v/>
      </c>
      <c r="E37" s="22" t="str">
        <f aca="false">IF($A37="","",IFERROR(VLOOKUP($B37,Dim_Team!$A:$F,6,0),""))</f>
        <v/>
      </c>
      <c r="F37" s="31" t="str">
        <f aca="false">IF($A37="","",IFERROR(VLOOKUP($B37,Dim_Team!$A:$E,5,0),0))</f>
        <v/>
      </c>
      <c r="G37" s="4" t="str">
        <f aca="false">IF($A37="","",COUNTIF(Dim_Fund!$G:$G,$A37))</f>
        <v/>
      </c>
      <c r="H37" s="31" t="str">
        <f aca="false">IF($A37="","",IFERROR(ROUND(SUMIF(Fact_Work!$N:$N,$A37,Fact_Work!$Q:$Q)/Constants!$B$13,0),0))</f>
        <v/>
      </c>
      <c r="I37" s="31" t="str">
        <f aca="false">IF($A37="","",IFERROR(ROUND(SUMIF(Fact_Work!$L:$L,$A37,Fact_Work!$Q:$Q)/Constants!$B$13,0),0))</f>
        <v/>
      </c>
      <c r="J37" s="49" t="str">
        <f aca="false">IF($A37="","",IFERROR($I37/$F37,""))</f>
        <v/>
      </c>
      <c r="K37" s="4" t="str">
        <f aca="false">IF($A37="","",IFERROR(ROUND(COUNTIF(Fact_Work!$M:$M,$A37)/Constants!$B$13,1),0))</f>
        <v/>
      </c>
      <c r="L37" s="31" t="str">
        <f aca="false">IF($A37="","",IFERROR(ROUND(SUMIF(Fact_Work!$M:$M,$A37,Fact_Work!$AE:$AE)/Constants!$B$13,0),0))</f>
        <v/>
      </c>
      <c r="M37" s="31" t="str">
        <f aca="false">IF($A37="","",$I37+$L37)</f>
        <v/>
      </c>
      <c r="N37" s="49" t="str">
        <f aca="false">IF($A37="","",IFERROR($M37/$F37,""))</f>
        <v/>
      </c>
      <c r="O37" s="4" t="str">
        <f aca="false">IF($A37="","",COUNTIFS(Fact_Work!$L:$L,$A37,Fact_Work!$O:$O,"Yes"))</f>
        <v/>
      </c>
      <c r="P37" s="4" t="str">
        <f aca="false">IF($A37="","",IF($C37&lt;&gt;"Yes","n/a",IF($M37&gt;$F37,"OVER","OK")))</f>
        <v/>
      </c>
      <c r="Q37" s="23" t="str">
        <f aca="false">IF($A37="","",IFERROR(VLOOKUP($B37,Dim_Team!$A:$G,7,0),""))</f>
        <v/>
      </c>
    </row>
    <row r="38" customFormat="false" ht="15" hidden="false" customHeight="true" outlineLevel="0" collapsed="false">
      <c r="D38" s="4" t="str">
        <f aca="false">IF($A38="","",IFERROR(VLOOKUP($B38,Dim_Team!$A:$B,2,0),"external"))</f>
        <v/>
      </c>
      <c r="E38" s="22" t="str">
        <f aca="false">IF($A38="","",IFERROR(VLOOKUP($B38,Dim_Team!$A:$F,6,0),""))</f>
        <v/>
      </c>
      <c r="F38" s="31" t="str">
        <f aca="false">IF($A38="","",IFERROR(VLOOKUP($B38,Dim_Team!$A:$E,5,0),0))</f>
        <v/>
      </c>
      <c r="G38" s="4" t="str">
        <f aca="false">IF($A38="","",COUNTIF(Dim_Fund!$G:$G,$A38))</f>
        <v/>
      </c>
      <c r="H38" s="31" t="str">
        <f aca="false">IF($A38="","",IFERROR(ROUND(SUMIF(Fact_Work!$N:$N,$A38,Fact_Work!$Q:$Q)/Constants!$B$13,0),0))</f>
        <v/>
      </c>
      <c r="I38" s="31" t="str">
        <f aca="false">IF($A38="","",IFERROR(ROUND(SUMIF(Fact_Work!$L:$L,$A38,Fact_Work!$Q:$Q)/Constants!$B$13,0),0))</f>
        <v/>
      </c>
      <c r="J38" s="49" t="str">
        <f aca="false">IF($A38="","",IFERROR($I38/$F38,""))</f>
        <v/>
      </c>
      <c r="K38" s="4" t="str">
        <f aca="false">IF($A38="","",IFERROR(ROUND(COUNTIF(Fact_Work!$M:$M,$A38)/Constants!$B$13,1),0))</f>
        <v/>
      </c>
      <c r="L38" s="31" t="str">
        <f aca="false">IF($A38="","",IFERROR(ROUND(SUMIF(Fact_Work!$M:$M,$A38,Fact_Work!$AE:$AE)/Constants!$B$13,0),0))</f>
        <v/>
      </c>
      <c r="M38" s="31" t="str">
        <f aca="false">IF($A38="","",$I38+$L38)</f>
        <v/>
      </c>
      <c r="N38" s="49" t="str">
        <f aca="false">IF($A38="","",IFERROR($M38/$F38,""))</f>
        <v/>
      </c>
      <c r="O38" s="4" t="str">
        <f aca="false">IF($A38="","",COUNTIFS(Fact_Work!$L:$L,$A38,Fact_Work!$O:$O,"Yes"))</f>
        <v/>
      </c>
      <c r="P38" s="4" t="str">
        <f aca="false">IF($A38="","",IF($C38&lt;&gt;"Yes","n/a",IF($M38&gt;$F38,"OVER","OK")))</f>
        <v/>
      </c>
      <c r="Q38" s="23" t="str">
        <f aca="false">IF($A38="","",IFERROR(VLOOKUP($B38,Dim_Team!$A:$G,7,0),""))</f>
        <v/>
      </c>
    </row>
    <row r="39" customFormat="false" ht="15" hidden="false" customHeight="true" outlineLevel="0" collapsed="false">
      <c r="D39" s="4" t="str">
        <f aca="false">IF($A39="","",IFERROR(VLOOKUP($B39,Dim_Team!$A:$B,2,0),"external"))</f>
        <v/>
      </c>
      <c r="E39" s="22" t="str">
        <f aca="false">IF($A39="","",IFERROR(VLOOKUP($B39,Dim_Team!$A:$F,6,0),""))</f>
        <v/>
      </c>
      <c r="F39" s="31" t="str">
        <f aca="false">IF($A39="","",IFERROR(VLOOKUP($B39,Dim_Team!$A:$E,5,0),0))</f>
        <v/>
      </c>
      <c r="G39" s="4" t="str">
        <f aca="false">IF($A39="","",COUNTIF(Dim_Fund!$G:$G,$A39))</f>
        <v/>
      </c>
      <c r="H39" s="31" t="str">
        <f aca="false">IF($A39="","",IFERROR(ROUND(SUMIF(Fact_Work!$N:$N,$A39,Fact_Work!$Q:$Q)/Constants!$B$13,0),0))</f>
        <v/>
      </c>
      <c r="I39" s="31" t="str">
        <f aca="false">IF($A39="","",IFERROR(ROUND(SUMIF(Fact_Work!$L:$L,$A39,Fact_Work!$Q:$Q)/Constants!$B$13,0),0))</f>
        <v/>
      </c>
      <c r="J39" s="49" t="str">
        <f aca="false">IF($A39="","",IFERROR($I39/$F39,""))</f>
        <v/>
      </c>
      <c r="K39" s="4" t="str">
        <f aca="false">IF($A39="","",IFERROR(ROUND(COUNTIF(Fact_Work!$M:$M,$A39)/Constants!$B$13,1),0))</f>
        <v/>
      </c>
      <c r="L39" s="31" t="str">
        <f aca="false">IF($A39="","",IFERROR(ROUND(SUMIF(Fact_Work!$M:$M,$A39,Fact_Work!$AE:$AE)/Constants!$B$13,0),0))</f>
        <v/>
      </c>
      <c r="M39" s="31" t="str">
        <f aca="false">IF($A39="","",$I39+$L39)</f>
        <v/>
      </c>
      <c r="N39" s="49" t="str">
        <f aca="false">IF($A39="","",IFERROR($M39/$F39,""))</f>
        <v/>
      </c>
      <c r="O39" s="4" t="str">
        <f aca="false">IF($A39="","",COUNTIFS(Fact_Work!$L:$L,$A39,Fact_Work!$O:$O,"Yes"))</f>
        <v/>
      </c>
      <c r="P39" s="4" t="str">
        <f aca="false">IF($A39="","",IF($C39&lt;&gt;"Yes","n/a",IF($M39&gt;$F39,"OVER","OK")))</f>
        <v/>
      </c>
      <c r="Q39" s="23" t="str">
        <f aca="false">IF($A39="","",IFERROR(VLOOKUP($B39,Dim_Team!$A:$G,7,0),""))</f>
        <v/>
      </c>
    </row>
    <row r="40" customFormat="false" ht="15" hidden="false" customHeight="true" outlineLevel="0" collapsed="false">
      <c r="D40" s="4" t="str">
        <f aca="false">IF($A40="","",IFERROR(VLOOKUP($B40,Dim_Team!$A:$B,2,0),"external"))</f>
        <v/>
      </c>
      <c r="E40" s="22" t="str">
        <f aca="false">IF($A40="","",IFERROR(VLOOKUP($B40,Dim_Team!$A:$F,6,0),""))</f>
        <v/>
      </c>
      <c r="F40" s="31" t="str">
        <f aca="false">IF($A40="","",IFERROR(VLOOKUP($B40,Dim_Team!$A:$E,5,0),0))</f>
        <v/>
      </c>
      <c r="G40" s="4" t="str">
        <f aca="false">IF($A40="","",COUNTIF(Dim_Fund!$G:$G,$A40))</f>
        <v/>
      </c>
      <c r="H40" s="31" t="str">
        <f aca="false">IF($A40="","",IFERROR(ROUND(SUMIF(Fact_Work!$N:$N,$A40,Fact_Work!$Q:$Q)/Constants!$B$13,0),0))</f>
        <v/>
      </c>
      <c r="I40" s="31" t="str">
        <f aca="false">IF($A40="","",IFERROR(ROUND(SUMIF(Fact_Work!$L:$L,$A40,Fact_Work!$Q:$Q)/Constants!$B$13,0),0))</f>
        <v/>
      </c>
      <c r="J40" s="49" t="str">
        <f aca="false">IF($A40="","",IFERROR($I40/$F40,""))</f>
        <v/>
      </c>
      <c r="K40" s="4" t="str">
        <f aca="false">IF($A40="","",IFERROR(ROUND(COUNTIF(Fact_Work!$M:$M,$A40)/Constants!$B$13,1),0))</f>
        <v/>
      </c>
      <c r="L40" s="31" t="str">
        <f aca="false">IF($A40="","",IFERROR(ROUND(SUMIF(Fact_Work!$M:$M,$A40,Fact_Work!$AE:$AE)/Constants!$B$13,0),0))</f>
        <v/>
      </c>
      <c r="M40" s="31" t="str">
        <f aca="false">IF($A40="","",$I40+$L40)</f>
        <v/>
      </c>
      <c r="N40" s="49" t="str">
        <f aca="false">IF($A40="","",IFERROR($M40/$F40,""))</f>
        <v/>
      </c>
      <c r="O40" s="4" t="str">
        <f aca="false">IF($A40="","",COUNTIFS(Fact_Work!$L:$L,$A40,Fact_Work!$O:$O,"Yes"))</f>
        <v/>
      </c>
      <c r="P40" s="4" t="str">
        <f aca="false">IF($A40="","",IF($C40&lt;&gt;"Yes","n/a",IF($M40&gt;$F40,"OVER","OK")))</f>
        <v/>
      </c>
      <c r="Q40" s="23" t="str">
        <f aca="false">IF($A40="","",IFERROR(VLOOKUP($B40,Dim_Team!$A:$G,7,0),""))</f>
        <v/>
      </c>
    </row>
    <row r="41" customFormat="false" ht="15" hidden="false" customHeight="true" outlineLevel="0" collapsed="false">
      <c r="D41" s="4" t="str">
        <f aca="false">IF($A41="","",IFERROR(VLOOKUP($B41,Dim_Team!$A:$B,2,0),"external"))</f>
        <v/>
      </c>
      <c r="E41" s="22" t="str">
        <f aca="false">IF($A41="","",IFERROR(VLOOKUP($B41,Dim_Team!$A:$F,6,0),""))</f>
        <v/>
      </c>
      <c r="F41" s="31" t="str">
        <f aca="false">IF($A41="","",IFERROR(VLOOKUP($B41,Dim_Team!$A:$E,5,0),0))</f>
        <v/>
      </c>
      <c r="G41" s="4" t="str">
        <f aca="false">IF($A41="","",COUNTIF(Dim_Fund!$G:$G,$A41))</f>
        <v/>
      </c>
      <c r="H41" s="31" t="str">
        <f aca="false">IF($A41="","",IFERROR(ROUND(SUMIF(Fact_Work!$N:$N,$A41,Fact_Work!$Q:$Q)/Constants!$B$13,0),0))</f>
        <v/>
      </c>
      <c r="I41" s="31" t="str">
        <f aca="false">IF($A41="","",IFERROR(ROUND(SUMIF(Fact_Work!$L:$L,$A41,Fact_Work!$Q:$Q)/Constants!$B$13,0),0))</f>
        <v/>
      </c>
      <c r="J41" s="49" t="str">
        <f aca="false">IF($A41="","",IFERROR($I41/$F41,""))</f>
        <v/>
      </c>
      <c r="K41" s="4" t="str">
        <f aca="false">IF($A41="","",IFERROR(ROUND(COUNTIF(Fact_Work!$M:$M,$A41)/Constants!$B$13,1),0))</f>
        <v/>
      </c>
      <c r="L41" s="31" t="str">
        <f aca="false">IF($A41="","",IFERROR(ROUND(SUMIF(Fact_Work!$M:$M,$A41,Fact_Work!$AE:$AE)/Constants!$B$13,0),0))</f>
        <v/>
      </c>
      <c r="M41" s="31" t="str">
        <f aca="false">IF($A41="","",$I41+$L41)</f>
        <v/>
      </c>
      <c r="N41" s="49" t="str">
        <f aca="false">IF($A41="","",IFERROR($M41/$F41,""))</f>
        <v/>
      </c>
      <c r="O41" s="4" t="str">
        <f aca="false">IF($A41="","",COUNTIFS(Fact_Work!$L:$L,$A41,Fact_Work!$O:$O,"Yes"))</f>
        <v/>
      </c>
      <c r="P41" s="4" t="str">
        <f aca="false">IF($A41="","",IF($C41&lt;&gt;"Yes","n/a",IF($M41&gt;$F41,"OVER","OK")))</f>
        <v/>
      </c>
      <c r="Q41" s="23" t="str">
        <f aca="false">IF($A41="","",IFERROR(VLOOKUP($B41,Dim_Team!$A:$G,7,0),""))</f>
        <v/>
      </c>
    </row>
    <row r="42" customFormat="false" ht="15" hidden="false" customHeight="true" outlineLevel="0" collapsed="false">
      <c r="D42" s="4" t="str">
        <f aca="false">IF($A42="","",IFERROR(VLOOKUP($B42,Dim_Team!$A:$B,2,0),"external"))</f>
        <v/>
      </c>
      <c r="E42" s="22" t="str">
        <f aca="false">IF($A42="","",IFERROR(VLOOKUP($B42,Dim_Team!$A:$F,6,0),""))</f>
        <v/>
      </c>
      <c r="F42" s="31" t="str">
        <f aca="false">IF($A42="","",IFERROR(VLOOKUP($B42,Dim_Team!$A:$E,5,0),0))</f>
        <v/>
      </c>
      <c r="G42" s="4" t="str">
        <f aca="false">IF($A42="","",COUNTIF(Dim_Fund!$G:$G,$A42))</f>
        <v/>
      </c>
      <c r="H42" s="31" t="str">
        <f aca="false">IF($A42="","",IFERROR(ROUND(SUMIF(Fact_Work!$N:$N,$A42,Fact_Work!$Q:$Q)/Constants!$B$13,0),0))</f>
        <v/>
      </c>
      <c r="I42" s="31" t="str">
        <f aca="false">IF($A42="","",IFERROR(ROUND(SUMIF(Fact_Work!$L:$L,$A42,Fact_Work!$Q:$Q)/Constants!$B$13,0),0))</f>
        <v/>
      </c>
      <c r="J42" s="49" t="str">
        <f aca="false">IF($A42="","",IFERROR($I42/$F42,""))</f>
        <v/>
      </c>
      <c r="K42" s="4" t="str">
        <f aca="false">IF($A42="","",IFERROR(ROUND(COUNTIF(Fact_Work!$M:$M,$A42)/Constants!$B$13,1),0))</f>
        <v/>
      </c>
      <c r="L42" s="31" t="str">
        <f aca="false">IF($A42="","",IFERROR(ROUND(SUMIF(Fact_Work!$M:$M,$A42,Fact_Work!$AE:$AE)/Constants!$B$13,0),0))</f>
        <v/>
      </c>
      <c r="M42" s="31" t="str">
        <f aca="false">IF($A42="","",$I42+$L42)</f>
        <v/>
      </c>
      <c r="N42" s="49" t="str">
        <f aca="false">IF($A42="","",IFERROR($M42/$F42,""))</f>
        <v/>
      </c>
      <c r="O42" s="4" t="str">
        <f aca="false">IF($A42="","",COUNTIFS(Fact_Work!$L:$L,$A42,Fact_Work!$O:$O,"Yes"))</f>
        <v/>
      </c>
      <c r="P42" s="4" t="str">
        <f aca="false">IF($A42="","",IF($C42&lt;&gt;"Yes","n/a",IF($M42&gt;$F42,"OVER","OK")))</f>
        <v/>
      </c>
      <c r="Q42" s="23" t="str">
        <f aca="false">IF($A42="","",IFERROR(VLOOKUP($B42,Dim_Team!$A:$G,7,0),""))</f>
        <v/>
      </c>
    </row>
    <row r="43" customFormat="false" ht="15" hidden="false" customHeight="true" outlineLevel="0" collapsed="false">
      <c r="D43" s="4" t="str">
        <f aca="false">IF($A43="","",IFERROR(VLOOKUP($B43,Dim_Team!$A:$B,2,0),"external"))</f>
        <v/>
      </c>
      <c r="E43" s="22" t="str">
        <f aca="false">IF($A43="","",IFERROR(VLOOKUP($B43,Dim_Team!$A:$F,6,0),""))</f>
        <v/>
      </c>
      <c r="F43" s="31" t="str">
        <f aca="false">IF($A43="","",IFERROR(VLOOKUP($B43,Dim_Team!$A:$E,5,0),0))</f>
        <v/>
      </c>
      <c r="G43" s="4" t="str">
        <f aca="false">IF($A43="","",COUNTIF(Dim_Fund!$G:$G,$A43))</f>
        <v/>
      </c>
      <c r="H43" s="31" t="str">
        <f aca="false">IF($A43="","",IFERROR(ROUND(SUMIF(Fact_Work!$N:$N,$A43,Fact_Work!$Q:$Q)/Constants!$B$13,0),0))</f>
        <v/>
      </c>
      <c r="I43" s="31" t="str">
        <f aca="false">IF($A43="","",IFERROR(ROUND(SUMIF(Fact_Work!$L:$L,$A43,Fact_Work!$Q:$Q)/Constants!$B$13,0),0))</f>
        <v/>
      </c>
      <c r="J43" s="49" t="str">
        <f aca="false">IF($A43="","",IFERROR($I43/$F43,""))</f>
        <v/>
      </c>
      <c r="K43" s="4" t="str">
        <f aca="false">IF($A43="","",IFERROR(ROUND(COUNTIF(Fact_Work!$M:$M,$A43)/Constants!$B$13,1),0))</f>
        <v/>
      </c>
      <c r="L43" s="31" t="str">
        <f aca="false">IF($A43="","",IFERROR(ROUND(SUMIF(Fact_Work!$M:$M,$A43,Fact_Work!$AE:$AE)/Constants!$B$13,0),0))</f>
        <v/>
      </c>
      <c r="M43" s="31" t="str">
        <f aca="false">IF($A43="","",$I43+$L43)</f>
        <v/>
      </c>
      <c r="N43" s="49" t="str">
        <f aca="false">IF($A43="","",IFERROR($M43/$F43,""))</f>
        <v/>
      </c>
      <c r="O43" s="4" t="str">
        <f aca="false">IF($A43="","",COUNTIFS(Fact_Work!$L:$L,$A43,Fact_Work!$O:$O,"Yes"))</f>
        <v/>
      </c>
      <c r="P43" s="4" t="str">
        <f aca="false">IF($A43="","",IF($C43&lt;&gt;"Yes","n/a",IF($M43&gt;$F43,"OVER","OK")))</f>
        <v/>
      </c>
      <c r="Q43" s="23" t="str">
        <f aca="false">IF($A43="","",IFERROR(VLOOKUP($B43,Dim_Team!$A:$G,7,0),""))</f>
        <v/>
      </c>
    </row>
    <row r="44" customFormat="false" ht="15" hidden="false" customHeight="true" outlineLevel="0" collapsed="false">
      <c r="D44" s="4" t="str">
        <f aca="false">IF($A44="","",IFERROR(VLOOKUP($B44,Dim_Team!$A:$B,2,0),"external"))</f>
        <v/>
      </c>
      <c r="E44" s="22" t="str">
        <f aca="false">IF($A44="","",IFERROR(VLOOKUP($B44,Dim_Team!$A:$F,6,0),""))</f>
        <v/>
      </c>
      <c r="F44" s="31" t="str">
        <f aca="false">IF($A44="","",IFERROR(VLOOKUP($B44,Dim_Team!$A:$E,5,0),0))</f>
        <v/>
      </c>
      <c r="G44" s="4" t="str">
        <f aca="false">IF($A44="","",COUNTIF(Dim_Fund!$G:$G,$A44))</f>
        <v/>
      </c>
      <c r="H44" s="31" t="str">
        <f aca="false">IF($A44="","",IFERROR(ROUND(SUMIF(Fact_Work!$N:$N,$A44,Fact_Work!$Q:$Q)/Constants!$B$13,0),0))</f>
        <v/>
      </c>
      <c r="I44" s="31" t="str">
        <f aca="false">IF($A44="","",IFERROR(ROUND(SUMIF(Fact_Work!$L:$L,$A44,Fact_Work!$Q:$Q)/Constants!$B$13,0),0))</f>
        <v/>
      </c>
      <c r="J44" s="49" t="str">
        <f aca="false">IF($A44="","",IFERROR($I44/$F44,""))</f>
        <v/>
      </c>
      <c r="K44" s="4" t="str">
        <f aca="false">IF($A44="","",IFERROR(ROUND(COUNTIF(Fact_Work!$M:$M,$A44)/Constants!$B$13,1),0))</f>
        <v/>
      </c>
      <c r="L44" s="31" t="str">
        <f aca="false">IF($A44="","",IFERROR(ROUND(SUMIF(Fact_Work!$M:$M,$A44,Fact_Work!$AE:$AE)/Constants!$B$13,0),0))</f>
        <v/>
      </c>
      <c r="M44" s="31" t="str">
        <f aca="false">IF($A44="","",$I44+$L44)</f>
        <v/>
      </c>
      <c r="N44" s="49" t="str">
        <f aca="false">IF($A44="","",IFERROR($M44/$F44,""))</f>
        <v/>
      </c>
      <c r="O44" s="4" t="str">
        <f aca="false">IF($A44="","",COUNTIFS(Fact_Work!$L:$L,$A44,Fact_Work!$O:$O,"Yes"))</f>
        <v/>
      </c>
      <c r="P44" s="4" t="str">
        <f aca="false">IF($A44="","",IF($C44&lt;&gt;"Yes","n/a",IF($M44&gt;$F44,"OVER","OK")))</f>
        <v/>
      </c>
      <c r="Q44" s="23" t="str">
        <f aca="false">IF($A44="","",IFERROR(VLOOKUP($B44,Dim_Team!$A:$G,7,0),""))</f>
        <v/>
      </c>
    </row>
    <row r="45" customFormat="false" ht="15" hidden="false" customHeight="true" outlineLevel="0" collapsed="false">
      <c r="D45" s="4" t="str">
        <f aca="false">IF($A45="","",IFERROR(VLOOKUP($B45,Dim_Team!$A:$B,2,0),"external"))</f>
        <v/>
      </c>
      <c r="E45" s="22" t="str">
        <f aca="false">IF($A45="","",IFERROR(VLOOKUP($B45,Dim_Team!$A:$F,6,0),""))</f>
        <v/>
      </c>
      <c r="F45" s="31" t="str">
        <f aca="false">IF($A45="","",IFERROR(VLOOKUP($B45,Dim_Team!$A:$E,5,0),0))</f>
        <v/>
      </c>
      <c r="G45" s="4" t="str">
        <f aca="false">IF($A45="","",COUNTIF(Dim_Fund!$G:$G,$A45))</f>
        <v/>
      </c>
      <c r="H45" s="31" t="str">
        <f aca="false">IF($A45="","",IFERROR(ROUND(SUMIF(Fact_Work!$N:$N,$A45,Fact_Work!$Q:$Q)/Constants!$B$13,0),0))</f>
        <v/>
      </c>
      <c r="I45" s="31" t="str">
        <f aca="false">IF($A45="","",IFERROR(ROUND(SUMIF(Fact_Work!$L:$L,$A45,Fact_Work!$Q:$Q)/Constants!$B$13,0),0))</f>
        <v/>
      </c>
      <c r="J45" s="49" t="str">
        <f aca="false">IF($A45="","",IFERROR($I45/$F45,""))</f>
        <v/>
      </c>
      <c r="K45" s="4" t="str">
        <f aca="false">IF($A45="","",IFERROR(ROUND(COUNTIF(Fact_Work!$M:$M,$A45)/Constants!$B$13,1),0))</f>
        <v/>
      </c>
      <c r="L45" s="31" t="str">
        <f aca="false">IF($A45="","",IFERROR(ROUND(SUMIF(Fact_Work!$M:$M,$A45,Fact_Work!$AE:$AE)/Constants!$B$13,0),0))</f>
        <v/>
      </c>
      <c r="M45" s="31" t="str">
        <f aca="false">IF($A45="","",$I45+$L45)</f>
        <v/>
      </c>
      <c r="N45" s="49" t="str">
        <f aca="false">IF($A45="","",IFERROR($M45/$F45,""))</f>
        <v/>
      </c>
      <c r="O45" s="4" t="str">
        <f aca="false">IF($A45="","",COUNTIFS(Fact_Work!$L:$L,$A45,Fact_Work!$O:$O,"Yes"))</f>
        <v/>
      </c>
      <c r="P45" s="4" t="str">
        <f aca="false">IF($A45="","",IF($C45&lt;&gt;"Yes","n/a",IF($M45&gt;$F45,"OVER","OK")))</f>
        <v/>
      </c>
      <c r="Q45" s="23" t="str">
        <f aca="false">IF($A45="","",IFERROR(VLOOKUP($B45,Dim_Team!$A:$G,7,0),""))</f>
        <v/>
      </c>
    </row>
    <row r="46" customFormat="false" ht="15" hidden="false" customHeight="true" outlineLevel="0" collapsed="false">
      <c r="D46" s="4" t="str">
        <f aca="false">IF($A46="","",IFERROR(VLOOKUP($B46,Dim_Team!$A:$B,2,0),"external"))</f>
        <v/>
      </c>
      <c r="E46" s="22" t="str">
        <f aca="false">IF($A46="","",IFERROR(VLOOKUP($B46,Dim_Team!$A:$F,6,0),""))</f>
        <v/>
      </c>
      <c r="F46" s="31" t="str">
        <f aca="false">IF($A46="","",IFERROR(VLOOKUP($B46,Dim_Team!$A:$E,5,0),0))</f>
        <v/>
      </c>
      <c r="G46" s="4" t="str">
        <f aca="false">IF($A46="","",COUNTIF(Dim_Fund!$G:$G,$A46))</f>
        <v/>
      </c>
      <c r="H46" s="31" t="str">
        <f aca="false">IF($A46="","",IFERROR(ROUND(SUMIF(Fact_Work!$N:$N,$A46,Fact_Work!$Q:$Q)/Constants!$B$13,0),0))</f>
        <v/>
      </c>
      <c r="I46" s="31" t="str">
        <f aca="false">IF($A46="","",IFERROR(ROUND(SUMIF(Fact_Work!$L:$L,$A46,Fact_Work!$Q:$Q)/Constants!$B$13,0),0))</f>
        <v/>
      </c>
      <c r="J46" s="49" t="str">
        <f aca="false">IF($A46="","",IFERROR($I46/$F46,""))</f>
        <v/>
      </c>
      <c r="K46" s="4" t="str">
        <f aca="false">IF($A46="","",IFERROR(ROUND(COUNTIF(Fact_Work!$M:$M,$A46)/Constants!$B$13,1),0))</f>
        <v/>
      </c>
      <c r="L46" s="31" t="str">
        <f aca="false">IF($A46="","",IFERROR(ROUND(SUMIF(Fact_Work!$M:$M,$A46,Fact_Work!$AE:$AE)/Constants!$B$13,0),0))</f>
        <v/>
      </c>
      <c r="M46" s="31" t="str">
        <f aca="false">IF($A46="","",$I46+$L46)</f>
        <v/>
      </c>
      <c r="N46" s="49" t="str">
        <f aca="false">IF($A46="","",IFERROR($M46/$F46,""))</f>
        <v/>
      </c>
      <c r="O46" s="4" t="str">
        <f aca="false">IF($A46="","",COUNTIFS(Fact_Work!$L:$L,$A46,Fact_Work!$O:$O,"Yes"))</f>
        <v/>
      </c>
      <c r="P46" s="4" t="str">
        <f aca="false">IF($A46="","",IF($C46&lt;&gt;"Yes","n/a",IF($M46&gt;$F46,"OVER","OK")))</f>
        <v/>
      </c>
      <c r="Q46" s="23" t="str">
        <f aca="false">IF($A46="","",IFERROR(VLOOKUP($B46,Dim_Team!$A:$G,7,0),""))</f>
        <v/>
      </c>
    </row>
    <row r="47" customFormat="false" ht="15" hidden="false" customHeight="true" outlineLevel="0" collapsed="false">
      <c r="D47" s="4" t="str">
        <f aca="false">IF($A47="","",IFERROR(VLOOKUP($B47,Dim_Team!$A:$B,2,0),"external"))</f>
        <v/>
      </c>
      <c r="E47" s="22" t="str">
        <f aca="false">IF($A47="","",IFERROR(VLOOKUP($B47,Dim_Team!$A:$F,6,0),""))</f>
        <v/>
      </c>
      <c r="F47" s="31" t="str">
        <f aca="false">IF($A47="","",IFERROR(VLOOKUP($B47,Dim_Team!$A:$E,5,0),0))</f>
        <v/>
      </c>
      <c r="G47" s="4" t="str">
        <f aca="false">IF($A47="","",COUNTIF(Dim_Fund!$G:$G,$A47))</f>
        <v/>
      </c>
      <c r="H47" s="31" t="str">
        <f aca="false">IF($A47="","",IFERROR(ROUND(SUMIF(Fact_Work!$N:$N,$A47,Fact_Work!$Q:$Q)/Constants!$B$13,0),0))</f>
        <v/>
      </c>
      <c r="I47" s="31" t="str">
        <f aca="false">IF($A47="","",IFERROR(ROUND(SUMIF(Fact_Work!$L:$L,$A47,Fact_Work!$Q:$Q)/Constants!$B$13,0),0))</f>
        <v/>
      </c>
      <c r="J47" s="49" t="str">
        <f aca="false">IF($A47="","",IFERROR($I47/$F47,""))</f>
        <v/>
      </c>
      <c r="K47" s="4" t="str">
        <f aca="false">IF($A47="","",IFERROR(ROUND(COUNTIF(Fact_Work!$M:$M,$A47)/Constants!$B$13,1),0))</f>
        <v/>
      </c>
      <c r="L47" s="31" t="str">
        <f aca="false">IF($A47="","",IFERROR(ROUND(SUMIF(Fact_Work!$M:$M,$A47,Fact_Work!$AE:$AE)/Constants!$B$13,0),0))</f>
        <v/>
      </c>
      <c r="M47" s="31" t="str">
        <f aca="false">IF($A47="","",$I47+$L47)</f>
        <v/>
      </c>
      <c r="N47" s="49" t="str">
        <f aca="false">IF($A47="","",IFERROR($M47/$F47,""))</f>
        <v/>
      </c>
      <c r="O47" s="4" t="str">
        <f aca="false">IF($A47="","",COUNTIFS(Fact_Work!$L:$L,$A47,Fact_Work!$O:$O,"Yes"))</f>
        <v/>
      </c>
      <c r="P47" s="4" t="str">
        <f aca="false">IF($A47="","",IF($C47&lt;&gt;"Yes","n/a",IF($M47&gt;$F47,"OVER","OK")))</f>
        <v/>
      </c>
      <c r="Q47" s="23" t="str">
        <f aca="false">IF($A47="","",IFERROR(VLOOKUP($B47,Dim_Team!$A:$G,7,0),""))</f>
        <v/>
      </c>
    </row>
    <row r="48" customFormat="false" ht="15" hidden="false" customHeight="true" outlineLevel="0" collapsed="false">
      <c r="D48" s="4" t="str">
        <f aca="false">IF($A48="","",IFERROR(VLOOKUP($B48,Dim_Team!$A:$B,2,0),"external"))</f>
        <v/>
      </c>
      <c r="E48" s="22" t="str">
        <f aca="false">IF($A48="","",IFERROR(VLOOKUP($B48,Dim_Team!$A:$F,6,0),""))</f>
        <v/>
      </c>
      <c r="F48" s="31" t="str">
        <f aca="false">IF($A48="","",IFERROR(VLOOKUP($B48,Dim_Team!$A:$E,5,0),0))</f>
        <v/>
      </c>
      <c r="G48" s="4" t="str">
        <f aca="false">IF($A48="","",COUNTIF(Dim_Fund!$G:$G,$A48))</f>
        <v/>
      </c>
      <c r="H48" s="31" t="str">
        <f aca="false">IF($A48="","",IFERROR(ROUND(SUMIF(Fact_Work!$N:$N,$A48,Fact_Work!$Q:$Q)/Constants!$B$13,0),0))</f>
        <v/>
      </c>
      <c r="I48" s="31" t="str">
        <f aca="false">IF($A48="","",IFERROR(ROUND(SUMIF(Fact_Work!$L:$L,$A48,Fact_Work!$Q:$Q)/Constants!$B$13,0),0))</f>
        <v/>
      </c>
      <c r="J48" s="49" t="str">
        <f aca="false">IF($A48="","",IFERROR($I48/$F48,""))</f>
        <v/>
      </c>
      <c r="K48" s="4" t="str">
        <f aca="false">IF($A48="","",IFERROR(ROUND(COUNTIF(Fact_Work!$M:$M,$A48)/Constants!$B$13,1),0))</f>
        <v/>
      </c>
      <c r="L48" s="31" t="str">
        <f aca="false">IF($A48="","",IFERROR(ROUND(SUMIF(Fact_Work!$M:$M,$A48,Fact_Work!$AE:$AE)/Constants!$B$13,0),0))</f>
        <v/>
      </c>
      <c r="M48" s="31" t="str">
        <f aca="false">IF($A48="","",$I48+$L48)</f>
        <v/>
      </c>
      <c r="N48" s="49" t="str">
        <f aca="false">IF($A48="","",IFERROR($M48/$F48,""))</f>
        <v/>
      </c>
      <c r="O48" s="4" t="str">
        <f aca="false">IF($A48="","",COUNTIFS(Fact_Work!$L:$L,$A48,Fact_Work!$O:$O,"Yes"))</f>
        <v/>
      </c>
      <c r="P48" s="4" t="str">
        <f aca="false">IF($A48="","",IF($C48&lt;&gt;"Yes","n/a",IF($M48&gt;$F48,"OVER","OK")))</f>
        <v/>
      </c>
      <c r="Q48" s="23" t="str">
        <f aca="false">IF($A48="","",IFERROR(VLOOKUP($B48,Dim_Team!$A:$G,7,0),""))</f>
        <v/>
      </c>
    </row>
    <row r="49" customFormat="false" ht="15" hidden="false" customHeight="true" outlineLevel="0" collapsed="false">
      <c r="D49" s="4" t="str">
        <f aca="false">IF($A49="","",IFERROR(VLOOKUP($B49,Dim_Team!$A:$B,2,0),"external"))</f>
        <v/>
      </c>
      <c r="E49" s="22" t="str">
        <f aca="false">IF($A49="","",IFERROR(VLOOKUP($B49,Dim_Team!$A:$F,6,0),""))</f>
        <v/>
      </c>
      <c r="F49" s="31" t="str">
        <f aca="false">IF($A49="","",IFERROR(VLOOKUP($B49,Dim_Team!$A:$E,5,0),0))</f>
        <v/>
      </c>
      <c r="G49" s="4" t="str">
        <f aca="false">IF($A49="","",COUNTIF(Dim_Fund!$G:$G,$A49))</f>
        <v/>
      </c>
      <c r="H49" s="31" t="str">
        <f aca="false">IF($A49="","",IFERROR(ROUND(SUMIF(Fact_Work!$N:$N,$A49,Fact_Work!$Q:$Q)/Constants!$B$13,0),0))</f>
        <v/>
      </c>
      <c r="I49" s="31" t="str">
        <f aca="false">IF($A49="","",IFERROR(ROUND(SUMIF(Fact_Work!$L:$L,$A49,Fact_Work!$Q:$Q)/Constants!$B$13,0),0))</f>
        <v/>
      </c>
      <c r="J49" s="49" t="str">
        <f aca="false">IF($A49="","",IFERROR($I49/$F49,""))</f>
        <v/>
      </c>
      <c r="K49" s="4" t="str">
        <f aca="false">IF($A49="","",IFERROR(ROUND(COUNTIF(Fact_Work!$M:$M,$A49)/Constants!$B$13,1),0))</f>
        <v/>
      </c>
      <c r="L49" s="31" t="str">
        <f aca="false">IF($A49="","",IFERROR(ROUND(SUMIF(Fact_Work!$M:$M,$A49,Fact_Work!$AE:$AE)/Constants!$B$13,0),0))</f>
        <v/>
      </c>
      <c r="M49" s="31" t="str">
        <f aca="false">IF($A49="","",$I49+$L49)</f>
        <v/>
      </c>
      <c r="N49" s="49" t="str">
        <f aca="false">IF($A49="","",IFERROR($M49/$F49,""))</f>
        <v/>
      </c>
      <c r="O49" s="4" t="str">
        <f aca="false">IF($A49="","",COUNTIFS(Fact_Work!$L:$L,$A49,Fact_Work!$O:$O,"Yes"))</f>
        <v/>
      </c>
      <c r="P49" s="4" t="str">
        <f aca="false">IF($A49="","",IF($C49&lt;&gt;"Yes","n/a",IF($M49&gt;$F49,"OVER","OK")))</f>
        <v/>
      </c>
      <c r="Q49" s="23" t="str">
        <f aca="false">IF($A49="","",IFERROR(VLOOKUP($B49,Dim_Team!$A:$G,7,0),""))</f>
        <v/>
      </c>
    </row>
    <row r="50" customFormat="false" ht="15" hidden="false" customHeight="true" outlineLevel="0" collapsed="false">
      <c r="D50" s="4" t="str">
        <f aca="false">IF($A50="","",IFERROR(VLOOKUP($B50,Dim_Team!$A:$B,2,0),"external"))</f>
        <v/>
      </c>
      <c r="E50" s="22" t="str">
        <f aca="false">IF($A50="","",IFERROR(VLOOKUP($B50,Dim_Team!$A:$F,6,0),""))</f>
        <v/>
      </c>
      <c r="F50" s="31" t="str">
        <f aca="false">IF($A50="","",IFERROR(VLOOKUP($B50,Dim_Team!$A:$E,5,0),0))</f>
        <v/>
      </c>
      <c r="G50" s="4" t="str">
        <f aca="false">IF($A50="","",COUNTIF(Dim_Fund!$G:$G,$A50))</f>
        <v/>
      </c>
      <c r="H50" s="31" t="str">
        <f aca="false">IF($A50="","",IFERROR(ROUND(SUMIF(Fact_Work!$N:$N,$A50,Fact_Work!$Q:$Q)/Constants!$B$13,0),0))</f>
        <v/>
      </c>
      <c r="I50" s="31" t="str">
        <f aca="false">IF($A50="","",IFERROR(ROUND(SUMIF(Fact_Work!$L:$L,$A50,Fact_Work!$Q:$Q)/Constants!$B$13,0),0))</f>
        <v/>
      </c>
      <c r="J50" s="49" t="str">
        <f aca="false">IF($A50="","",IFERROR($I50/$F50,""))</f>
        <v/>
      </c>
      <c r="K50" s="4" t="str">
        <f aca="false">IF($A50="","",IFERROR(ROUND(COUNTIF(Fact_Work!$M:$M,$A50)/Constants!$B$13,1),0))</f>
        <v/>
      </c>
      <c r="L50" s="31" t="str">
        <f aca="false">IF($A50="","",IFERROR(ROUND(SUMIF(Fact_Work!$M:$M,$A50,Fact_Work!$AE:$AE)/Constants!$B$13,0),0))</f>
        <v/>
      </c>
      <c r="M50" s="31" t="str">
        <f aca="false">IF($A50="","",$I50+$L50)</f>
        <v/>
      </c>
      <c r="N50" s="49" t="str">
        <f aca="false">IF($A50="","",IFERROR($M50/$F50,""))</f>
        <v/>
      </c>
      <c r="O50" s="4" t="str">
        <f aca="false">IF($A50="","",COUNTIFS(Fact_Work!$L:$L,$A50,Fact_Work!$O:$O,"Yes"))</f>
        <v/>
      </c>
      <c r="P50" s="4" t="str">
        <f aca="false">IF($A50="","",IF($C50&lt;&gt;"Yes","n/a",IF($M50&gt;$F50,"OVER","OK")))</f>
        <v/>
      </c>
      <c r="Q50" s="23" t="str">
        <f aca="false">IF($A50="","",IFERROR(VLOOKUP($B50,Dim_Team!$A:$G,7,0),""))</f>
        <v/>
      </c>
    </row>
    <row r="51" customFormat="false" ht="15" hidden="false" customHeight="true" outlineLevel="0" collapsed="false">
      <c r="D51" s="4" t="str">
        <f aca="false">IF($A51="","",IFERROR(VLOOKUP($B51,Dim_Team!$A:$B,2,0),"external"))</f>
        <v/>
      </c>
      <c r="E51" s="22" t="str">
        <f aca="false">IF($A51="","",IFERROR(VLOOKUP($B51,Dim_Team!$A:$F,6,0),""))</f>
        <v/>
      </c>
      <c r="F51" s="31" t="str">
        <f aca="false">IF($A51="","",IFERROR(VLOOKUP($B51,Dim_Team!$A:$E,5,0),0))</f>
        <v/>
      </c>
      <c r="G51" s="4" t="str">
        <f aca="false">IF($A51="","",COUNTIF(Dim_Fund!$G:$G,$A51))</f>
        <v/>
      </c>
      <c r="H51" s="31" t="str">
        <f aca="false">IF($A51="","",IFERROR(ROUND(SUMIF(Fact_Work!$N:$N,$A51,Fact_Work!$Q:$Q)/Constants!$B$13,0),0))</f>
        <v/>
      </c>
      <c r="I51" s="31" t="str">
        <f aca="false">IF($A51="","",IFERROR(ROUND(SUMIF(Fact_Work!$L:$L,$A51,Fact_Work!$Q:$Q)/Constants!$B$13,0),0))</f>
        <v/>
      </c>
      <c r="J51" s="49" t="str">
        <f aca="false">IF($A51="","",IFERROR($I51/$F51,""))</f>
        <v/>
      </c>
      <c r="K51" s="4" t="str">
        <f aca="false">IF($A51="","",IFERROR(ROUND(COUNTIF(Fact_Work!$M:$M,$A51)/Constants!$B$13,1),0))</f>
        <v/>
      </c>
      <c r="L51" s="31" t="str">
        <f aca="false">IF($A51="","",IFERROR(ROUND(SUMIF(Fact_Work!$M:$M,$A51,Fact_Work!$AE:$AE)/Constants!$B$13,0),0))</f>
        <v/>
      </c>
      <c r="M51" s="31" t="str">
        <f aca="false">IF($A51="","",$I51+$L51)</f>
        <v/>
      </c>
      <c r="N51" s="49" t="str">
        <f aca="false">IF($A51="","",IFERROR($M51/$F51,""))</f>
        <v/>
      </c>
      <c r="O51" s="4" t="str">
        <f aca="false">IF($A51="","",COUNTIFS(Fact_Work!$L:$L,$A51,Fact_Work!$O:$O,"Yes"))</f>
        <v/>
      </c>
      <c r="P51" s="4" t="str">
        <f aca="false">IF($A51="","",IF($C51&lt;&gt;"Yes","n/a",IF($M51&gt;$F51,"OVER","OK")))</f>
        <v/>
      </c>
      <c r="Q51" s="23" t="str">
        <f aca="false">IF($A51="","",IFERROR(VLOOKUP($B51,Dim_Team!$A:$G,7,0),""))</f>
        <v/>
      </c>
    </row>
    <row r="52" customFormat="false" ht="15" hidden="false" customHeight="true" outlineLevel="0" collapsed="false">
      <c r="D52" s="4" t="str">
        <f aca="false">IF($A52="","",IFERROR(VLOOKUP($B52,Dim_Team!$A:$B,2,0),"external"))</f>
        <v/>
      </c>
      <c r="E52" s="22" t="str">
        <f aca="false">IF($A52="","",IFERROR(VLOOKUP($B52,Dim_Team!$A:$F,6,0),""))</f>
        <v/>
      </c>
      <c r="F52" s="31" t="str">
        <f aca="false">IF($A52="","",IFERROR(VLOOKUP($B52,Dim_Team!$A:$E,5,0),0))</f>
        <v/>
      </c>
      <c r="G52" s="4" t="str">
        <f aca="false">IF($A52="","",COUNTIF(Dim_Fund!$G:$G,$A52))</f>
        <v/>
      </c>
      <c r="H52" s="31" t="str">
        <f aca="false">IF($A52="","",IFERROR(ROUND(SUMIF(Fact_Work!$N:$N,$A52,Fact_Work!$Q:$Q)/Constants!$B$13,0),0))</f>
        <v/>
      </c>
      <c r="I52" s="31" t="str">
        <f aca="false">IF($A52="","",IFERROR(ROUND(SUMIF(Fact_Work!$L:$L,$A52,Fact_Work!$Q:$Q)/Constants!$B$13,0),0))</f>
        <v/>
      </c>
      <c r="J52" s="49" t="str">
        <f aca="false">IF($A52="","",IFERROR($I52/$F52,""))</f>
        <v/>
      </c>
      <c r="K52" s="4" t="str">
        <f aca="false">IF($A52="","",IFERROR(ROUND(COUNTIF(Fact_Work!$M:$M,$A52)/Constants!$B$13,1),0))</f>
        <v/>
      </c>
      <c r="L52" s="31" t="str">
        <f aca="false">IF($A52="","",IFERROR(ROUND(SUMIF(Fact_Work!$M:$M,$A52,Fact_Work!$AE:$AE)/Constants!$B$13,0),0))</f>
        <v/>
      </c>
      <c r="M52" s="31" t="str">
        <f aca="false">IF($A52="","",$I52+$L52)</f>
        <v/>
      </c>
      <c r="N52" s="49" t="str">
        <f aca="false">IF($A52="","",IFERROR($M52/$F52,""))</f>
        <v/>
      </c>
      <c r="O52" s="4" t="str">
        <f aca="false">IF($A52="","",COUNTIFS(Fact_Work!$L:$L,$A52,Fact_Work!$O:$O,"Yes"))</f>
        <v/>
      </c>
      <c r="P52" s="4" t="str">
        <f aca="false">IF($A52="","",IF($C52&lt;&gt;"Yes","n/a",IF($M52&gt;$F52,"OVER","OK")))</f>
        <v/>
      </c>
      <c r="Q52" s="23" t="str">
        <f aca="false">IF($A52="","",IFERROR(VLOOKUP($B52,Dim_Team!$A:$G,7,0),""))</f>
        <v/>
      </c>
    </row>
    <row r="53" customFormat="false" ht="15" hidden="false" customHeight="true" outlineLevel="0" collapsed="false">
      <c r="D53" s="4" t="str">
        <f aca="false">IF($A53="","",IFERROR(VLOOKUP($B53,Dim_Team!$A:$B,2,0),"external"))</f>
        <v/>
      </c>
      <c r="E53" s="22" t="str">
        <f aca="false">IF($A53="","",IFERROR(VLOOKUP($B53,Dim_Team!$A:$F,6,0),""))</f>
        <v/>
      </c>
      <c r="F53" s="31" t="str">
        <f aca="false">IF($A53="","",IFERROR(VLOOKUP($B53,Dim_Team!$A:$E,5,0),0))</f>
        <v/>
      </c>
      <c r="G53" s="4" t="str">
        <f aca="false">IF($A53="","",COUNTIF(Dim_Fund!$G:$G,$A53))</f>
        <v/>
      </c>
      <c r="H53" s="31" t="str">
        <f aca="false">IF($A53="","",IFERROR(ROUND(SUMIF(Fact_Work!$N:$N,$A53,Fact_Work!$Q:$Q)/Constants!$B$13,0),0))</f>
        <v/>
      </c>
      <c r="I53" s="31" t="str">
        <f aca="false">IF($A53="","",IFERROR(ROUND(SUMIF(Fact_Work!$L:$L,$A53,Fact_Work!$Q:$Q)/Constants!$B$13,0),0))</f>
        <v/>
      </c>
      <c r="J53" s="49" t="str">
        <f aca="false">IF($A53="","",IFERROR($I53/$F53,""))</f>
        <v/>
      </c>
      <c r="K53" s="4" t="str">
        <f aca="false">IF($A53="","",IFERROR(ROUND(COUNTIF(Fact_Work!$M:$M,$A53)/Constants!$B$13,1),0))</f>
        <v/>
      </c>
      <c r="L53" s="31" t="str">
        <f aca="false">IF($A53="","",IFERROR(ROUND(SUMIF(Fact_Work!$M:$M,$A53,Fact_Work!$AE:$AE)/Constants!$B$13,0),0))</f>
        <v/>
      </c>
      <c r="M53" s="31" t="str">
        <f aca="false">IF($A53="","",$I53+$L53)</f>
        <v/>
      </c>
      <c r="N53" s="49" t="str">
        <f aca="false">IF($A53="","",IFERROR($M53/$F53,""))</f>
        <v/>
      </c>
      <c r="O53" s="4" t="str">
        <f aca="false">IF($A53="","",COUNTIFS(Fact_Work!$L:$L,$A53,Fact_Work!$O:$O,"Yes"))</f>
        <v/>
      </c>
      <c r="P53" s="4" t="str">
        <f aca="false">IF($A53="","",IF($C53&lt;&gt;"Yes","n/a",IF($M53&gt;$F53,"OVER","OK")))</f>
        <v/>
      </c>
      <c r="Q53" s="23" t="str">
        <f aca="false">IF($A53="","",IFERROR(VLOOKUP($B53,Dim_Team!$A:$G,7,0),""))</f>
        <v/>
      </c>
    </row>
    <row r="54" customFormat="false" ht="15" hidden="false" customHeight="true" outlineLevel="0" collapsed="false">
      <c r="D54" s="4" t="str">
        <f aca="false">IF($A54="","",IFERROR(VLOOKUP($B54,Dim_Team!$A:$B,2,0),"external"))</f>
        <v/>
      </c>
      <c r="E54" s="22" t="str">
        <f aca="false">IF($A54="","",IFERROR(VLOOKUP($B54,Dim_Team!$A:$F,6,0),""))</f>
        <v/>
      </c>
      <c r="F54" s="31" t="str">
        <f aca="false">IF($A54="","",IFERROR(VLOOKUP($B54,Dim_Team!$A:$E,5,0),0))</f>
        <v/>
      </c>
      <c r="G54" s="4" t="str">
        <f aca="false">IF($A54="","",COUNTIF(Dim_Fund!$G:$G,$A54))</f>
        <v/>
      </c>
      <c r="H54" s="31" t="str">
        <f aca="false">IF($A54="","",IFERROR(ROUND(SUMIF(Fact_Work!$N:$N,$A54,Fact_Work!$Q:$Q)/Constants!$B$13,0),0))</f>
        <v/>
      </c>
      <c r="I54" s="31" t="str">
        <f aca="false">IF($A54="","",IFERROR(ROUND(SUMIF(Fact_Work!$L:$L,$A54,Fact_Work!$Q:$Q)/Constants!$B$13,0),0))</f>
        <v/>
      </c>
      <c r="J54" s="49" t="str">
        <f aca="false">IF($A54="","",IFERROR($I54/$F54,""))</f>
        <v/>
      </c>
      <c r="K54" s="4" t="str">
        <f aca="false">IF($A54="","",IFERROR(ROUND(COUNTIF(Fact_Work!$M:$M,$A54)/Constants!$B$13,1),0))</f>
        <v/>
      </c>
      <c r="L54" s="31" t="str">
        <f aca="false">IF($A54="","",IFERROR(ROUND(SUMIF(Fact_Work!$M:$M,$A54,Fact_Work!$AE:$AE)/Constants!$B$13,0),0))</f>
        <v/>
      </c>
      <c r="M54" s="31" t="str">
        <f aca="false">IF($A54="","",$I54+$L54)</f>
        <v/>
      </c>
      <c r="N54" s="49" t="str">
        <f aca="false">IF($A54="","",IFERROR($M54/$F54,""))</f>
        <v/>
      </c>
      <c r="O54" s="4" t="str">
        <f aca="false">IF($A54="","",COUNTIFS(Fact_Work!$L:$L,$A54,Fact_Work!$O:$O,"Yes"))</f>
        <v/>
      </c>
      <c r="P54" s="4" t="str">
        <f aca="false">IF($A54="","",IF($C54&lt;&gt;"Yes","n/a",IF($M54&gt;$F54,"OVER","OK")))</f>
        <v/>
      </c>
      <c r="Q54" s="23" t="str">
        <f aca="false">IF($A54="","",IFERROR(VLOOKUP($B54,Dim_Team!$A:$G,7,0),""))</f>
        <v/>
      </c>
    </row>
    <row r="55" customFormat="false" ht="15" hidden="false" customHeight="true" outlineLevel="0" collapsed="false">
      <c r="D55" s="4" t="str">
        <f aca="false">IF($A55="","",IFERROR(VLOOKUP($B55,Dim_Team!$A:$B,2,0),"external"))</f>
        <v/>
      </c>
      <c r="E55" s="22" t="str">
        <f aca="false">IF($A55="","",IFERROR(VLOOKUP($B55,Dim_Team!$A:$F,6,0),""))</f>
        <v/>
      </c>
      <c r="F55" s="31" t="str">
        <f aca="false">IF($A55="","",IFERROR(VLOOKUP($B55,Dim_Team!$A:$E,5,0),0))</f>
        <v/>
      </c>
      <c r="G55" s="4" t="str">
        <f aca="false">IF($A55="","",COUNTIF(Dim_Fund!$G:$G,$A55))</f>
        <v/>
      </c>
      <c r="H55" s="31" t="str">
        <f aca="false">IF($A55="","",IFERROR(ROUND(SUMIF(Fact_Work!$N:$N,$A55,Fact_Work!$Q:$Q)/Constants!$B$13,0),0))</f>
        <v/>
      </c>
      <c r="I55" s="31" t="str">
        <f aca="false">IF($A55="","",IFERROR(ROUND(SUMIF(Fact_Work!$L:$L,$A55,Fact_Work!$Q:$Q)/Constants!$B$13,0),0))</f>
        <v/>
      </c>
      <c r="J55" s="49" t="str">
        <f aca="false">IF($A55="","",IFERROR($I55/$F55,""))</f>
        <v/>
      </c>
      <c r="K55" s="4" t="str">
        <f aca="false">IF($A55="","",IFERROR(ROUND(COUNTIF(Fact_Work!$M:$M,$A55)/Constants!$B$13,1),0))</f>
        <v/>
      </c>
      <c r="L55" s="31" t="str">
        <f aca="false">IF($A55="","",IFERROR(ROUND(SUMIF(Fact_Work!$M:$M,$A55,Fact_Work!$AE:$AE)/Constants!$B$13,0),0))</f>
        <v/>
      </c>
      <c r="M55" s="31" t="str">
        <f aca="false">IF($A55="","",$I55+$L55)</f>
        <v/>
      </c>
      <c r="N55" s="49" t="str">
        <f aca="false">IF($A55="","",IFERROR($M55/$F55,""))</f>
        <v/>
      </c>
      <c r="O55" s="4" t="str">
        <f aca="false">IF($A55="","",COUNTIFS(Fact_Work!$L:$L,$A55,Fact_Work!$O:$O,"Yes"))</f>
        <v/>
      </c>
      <c r="P55" s="4" t="str">
        <f aca="false">IF($A55="","",IF($C55&lt;&gt;"Yes","n/a",IF($M55&gt;$F55,"OVER","OK")))</f>
        <v/>
      </c>
      <c r="Q55" s="23" t="str">
        <f aca="false">IF($A55="","",IFERROR(VLOOKUP($B55,Dim_Team!$A:$G,7,0),""))</f>
        <v/>
      </c>
    </row>
    <row r="56" customFormat="false" ht="15" hidden="false" customHeight="true" outlineLevel="0" collapsed="false">
      <c r="D56" s="4" t="str">
        <f aca="false">IF($A56="","",IFERROR(VLOOKUP($B56,Dim_Team!$A:$B,2,0),"external"))</f>
        <v/>
      </c>
      <c r="E56" s="22" t="str">
        <f aca="false">IF($A56="","",IFERROR(VLOOKUP($B56,Dim_Team!$A:$F,6,0),""))</f>
        <v/>
      </c>
      <c r="F56" s="31" t="str">
        <f aca="false">IF($A56="","",IFERROR(VLOOKUP($B56,Dim_Team!$A:$E,5,0),0))</f>
        <v/>
      </c>
      <c r="G56" s="4" t="str">
        <f aca="false">IF($A56="","",COUNTIF(Dim_Fund!$G:$G,$A56))</f>
        <v/>
      </c>
      <c r="H56" s="31" t="str">
        <f aca="false">IF($A56="","",IFERROR(ROUND(SUMIF(Fact_Work!$N:$N,$A56,Fact_Work!$Q:$Q)/Constants!$B$13,0),0))</f>
        <v/>
      </c>
      <c r="I56" s="31" t="str">
        <f aca="false">IF($A56="","",IFERROR(ROUND(SUMIF(Fact_Work!$L:$L,$A56,Fact_Work!$Q:$Q)/Constants!$B$13,0),0))</f>
        <v/>
      </c>
      <c r="J56" s="49" t="str">
        <f aca="false">IF($A56="","",IFERROR($I56/$F56,""))</f>
        <v/>
      </c>
      <c r="K56" s="4" t="str">
        <f aca="false">IF($A56="","",IFERROR(ROUND(COUNTIF(Fact_Work!$M:$M,$A56)/Constants!$B$13,1),0))</f>
        <v/>
      </c>
      <c r="L56" s="31" t="str">
        <f aca="false">IF($A56="","",IFERROR(ROUND(SUMIF(Fact_Work!$M:$M,$A56,Fact_Work!$AE:$AE)/Constants!$B$13,0),0))</f>
        <v/>
      </c>
      <c r="M56" s="31" t="str">
        <f aca="false">IF($A56="","",$I56+$L56)</f>
        <v/>
      </c>
      <c r="N56" s="49" t="str">
        <f aca="false">IF($A56="","",IFERROR($M56/$F56,""))</f>
        <v/>
      </c>
      <c r="O56" s="4" t="str">
        <f aca="false">IF($A56="","",COUNTIFS(Fact_Work!$L:$L,$A56,Fact_Work!$O:$O,"Yes"))</f>
        <v/>
      </c>
      <c r="P56" s="4" t="str">
        <f aca="false">IF($A56="","",IF($C56&lt;&gt;"Yes","n/a",IF($M56&gt;$F56,"OVER","OK")))</f>
        <v/>
      </c>
      <c r="Q56" s="23" t="str">
        <f aca="false">IF($A56="","",IFERROR(VLOOKUP($B56,Dim_Team!$A:$G,7,0),""))</f>
        <v/>
      </c>
    </row>
    <row r="57" customFormat="false" ht="15" hidden="false" customHeight="true" outlineLevel="0" collapsed="false">
      <c r="D57" s="4" t="str">
        <f aca="false">IF($A57="","",IFERROR(VLOOKUP($B57,Dim_Team!$A:$B,2,0),"external"))</f>
        <v/>
      </c>
      <c r="E57" s="22" t="str">
        <f aca="false">IF($A57="","",IFERROR(VLOOKUP($B57,Dim_Team!$A:$F,6,0),""))</f>
        <v/>
      </c>
      <c r="F57" s="31" t="str">
        <f aca="false">IF($A57="","",IFERROR(VLOOKUP($B57,Dim_Team!$A:$E,5,0),0))</f>
        <v/>
      </c>
      <c r="G57" s="4" t="str">
        <f aca="false">IF($A57="","",COUNTIF(Dim_Fund!$G:$G,$A57))</f>
        <v/>
      </c>
      <c r="H57" s="31" t="str">
        <f aca="false">IF($A57="","",IFERROR(ROUND(SUMIF(Fact_Work!$N:$N,$A57,Fact_Work!$Q:$Q)/Constants!$B$13,0),0))</f>
        <v/>
      </c>
      <c r="I57" s="31" t="str">
        <f aca="false">IF($A57="","",IFERROR(ROUND(SUMIF(Fact_Work!$L:$L,$A57,Fact_Work!$Q:$Q)/Constants!$B$13,0),0))</f>
        <v/>
      </c>
      <c r="J57" s="49" t="str">
        <f aca="false">IF($A57="","",IFERROR($I57/$F57,""))</f>
        <v/>
      </c>
      <c r="K57" s="4" t="str">
        <f aca="false">IF($A57="","",IFERROR(ROUND(COUNTIF(Fact_Work!$M:$M,$A57)/Constants!$B$13,1),0))</f>
        <v/>
      </c>
      <c r="L57" s="31" t="str">
        <f aca="false">IF($A57="","",IFERROR(ROUND(SUMIF(Fact_Work!$M:$M,$A57,Fact_Work!$AE:$AE)/Constants!$B$13,0),0))</f>
        <v/>
      </c>
      <c r="M57" s="31" t="str">
        <f aca="false">IF($A57="","",$I57+$L57)</f>
        <v/>
      </c>
      <c r="N57" s="49" t="str">
        <f aca="false">IF($A57="","",IFERROR($M57/$F57,""))</f>
        <v/>
      </c>
      <c r="O57" s="4" t="str">
        <f aca="false">IF($A57="","",COUNTIFS(Fact_Work!$L:$L,$A57,Fact_Work!$O:$O,"Yes"))</f>
        <v/>
      </c>
      <c r="P57" s="4" t="str">
        <f aca="false">IF($A57="","",IF($C57&lt;&gt;"Yes","n/a",IF($M57&gt;$F57,"OVER","OK")))</f>
        <v/>
      </c>
      <c r="Q57" s="23" t="str">
        <f aca="false">IF($A57="","",IFERROR(VLOOKUP($B57,Dim_Team!$A:$G,7,0),""))</f>
        <v/>
      </c>
    </row>
    <row r="58" customFormat="false" ht="15" hidden="false" customHeight="true" outlineLevel="0" collapsed="false">
      <c r="D58" s="4" t="str">
        <f aca="false">IF($A58="","",IFERROR(VLOOKUP($B58,Dim_Team!$A:$B,2,0),"external"))</f>
        <v/>
      </c>
      <c r="E58" s="22" t="str">
        <f aca="false">IF($A58="","",IFERROR(VLOOKUP($B58,Dim_Team!$A:$F,6,0),""))</f>
        <v/>
      </c>
      <c r="F58" s="31" t="str">
        <f aca="false">IF($A58="","",IFERROR(VLOOKUP($B58,Dim_Team!$A:$E,5,0),0))</f>
        <v/>
      </c>
      <c r="G58" s="4" t="str">
        <f aca="false">IF($A58="","",COUNTIF(Dim_Fund!$G:$G,$A58))</f>
        <v/>
      </c>
      <c r="H58" s="31" t="str">
        <f aca="false">IF($A58="","",IFERROR(ROUND(SUMIF(Fact_Work!$N:$N,$A58,Fact_Work!$Q:$Q)/Constants!$B$13,0),0))</f>
        <v/>
      </c>
      <c r="I58" s="31" t="str">
        <f aca="false">IF($A58="","",IFERROR(ROUND(SUMIF(Fact_Work!$L:$L,$A58,Fact_Work!$Q:$Q)/Constants!$B$13,0),0))</f>
        <v/>
      </c>
      <c r="J58" s="49" t="str">
        <f aca="false">IF($A58="","",IFERROR($I58/$F58,""))</f>
        <v/>
      </c>
      <c r="K58" s="4" t="str">
        <f aca="false">IF($A58="","",IFERROR(ROUND(COUNTIF(Fact_Work!$M:$M,$A58)/Constants!$B$13,1),0))</f>
        <v/>
      </c>
      <c r="L58" s="31" t="str">
        <f aca="false">IF($A58="","",IFERROR(ROUND(SUMIF(Fact_Work!$M:$M,$A58,Fact_Work!$AE:$AE)/Constants!$B$13,0),0))</f>
        <v/>
      </c>
      <c r="M58" s="31" t="str">
        <f aca="false">IF($A58="","",$I58+$L58)</f>
        <v/>
      </c>
      <c r="N58" s="49" t="str">
        <f aca="false">IF($A58="","",IFERROR($M58/$F58,""))</f>
        <v/>
      </c>
      <c r="O58" s="4" t="str">
        <f aca="false">IF($A58="","",COUNTIFS(Fact_Work!$L:$L,$A58,Fact_Work!$O:$O,"Yes"))</f>
        <v/>
      </c>
      <c r="P58" s="4" t="str">
        <f aca="false">IF($A58="","",IF($C58&lt;&gt;"Yes","n/a",IF($M58&gt;$F58,"OVER","OK")))</f>
        <v/>
      </c>
      <c r="Q58" s="23" t="str">
        <f aca="false">IF($A58="","",IFERROR(VLOOKUP($B58,Dim_Team!$A:$G,7,0),""))</f>
        <v/>
      </c>
    </row>
    <row r="59" customFormat="false" ht="15" hidden="false" customHeight="true" outlineLevel="0" collapsed="false">
      <c r="D59" s="4" t="str">
        <f aca="false">IF($A59="","",IFERROR(VLOOKUP($B59,Dim_Team!$A:$B,2,0),"external"))</f>
        <v/>
      </c>
      <c r="E59" s="22" t="str">
        <f aca="false">IF($A59="","",IFERROR(VLOOKUP($B59,Dim_Team!$A:$F,6,0),""))</f>
        <v/>
      </c>
      <c r="F59" s="31" t="str">
        <f aca="false">IF($A59="","",IFERROR(VLOOKUP($B59,Dim_Team!$A:$E,5,0),0))</f>
        <v/>
      </c>
      <c r="G59" s="4" t="str">
        <f aca="false">IF($A59="","",COUNTIF(Dim_Fund!$G:$G,$A59))</f>
        <v/>
      </c>
      <c r="H59" s="31" t="str">
        <f aca="false">IF($A59="","",IFERROR(ROUND(SUMIF(Fact_Work!$N:$N,$A59,Fact_Work!$Q:$Q)/Constants!$B$13,0),0))</f>
        <v/>
      </c>
      <c r="I59" s="31" t="str">
        <f aca="false">IF($A59="","",IFERROR(ROUND(SUMIF(Fact_Work!$L:$L,$A59,Fact_Work!$Q:$Q)/Constants!$B$13,0),0))</f>
        <v/>
      </c>
      <c r="J59" s="49" t="str">
        <f aca="false">IF($A59="","",IFERROR($I59/$F59,""))</f>
        <v/>
      </c>
      <c r="K59" s="4" t="str">
        <f aca="false">IF($A59="","",IFERROR(ROUND(COUNTIF(Fact_Work!$M:$M,$A59)/Constants!$B$13,1),0))</f>
        <v/>
      </c>
      <c r="L59" s="31" t="str">
        <f aca="false">IF($A59="","",IFERROR(ROUND(SUMIF(Fact_Work!$M:$M,$A59,Fact_Work!$AE:$AE)/Constants!$B$13,0),0))</f>
        <v/>
      </c>
      <c r="M59" s="31" t="str">
        <f aca="false">IF($A59="","",$I59+$L59)</f>
        <v/>
      </c>
      <c r="N59" s="49" t="str">
        <f aca="false">IF($A59="","",IFERROR($M59/$F59,""))</f>
        <v/>
      </c>
      <c r="O59" s="4" t="str">
        <f aca="false">IF($A59="","",COUNTIFS(Fact_Work!$L:$L,$A59,Fact_Work!$O:$O,"Yes"))</f>
        <v/>
      </c>
      <c r="P59" s="4" t="str">
        <f aca="false">IF($A59="","",IF($C59&lt;&gt;"Yes","n/a",IF($M59&gt;$F59,"OVER","OK")))</f>
        <v/>
      </c>
      <c r="Q59" s="23" t="str">
        <f aca="false">IF($A59="","",IFERROR(VLOOKUP($B59,Dim_Team!$A:$G,7,0),""))</f>
        <v/>
      </c>
    </row>
    <row r="60" customFormat="false" ht="15" hidden="false" customHeight="true" outlineLevel="0" collapsed="false">
      <c r="D60" s="4" t="str">
        <f aca="false">IF($A60="","",IFERROR(VLOOKUP($B60,Dim_Team!$A:$B,2,0),"external"))</f>
        <v/>
      </c>
      <c r="E60" s="22" t="str">
        <f aca="false">IF($A60="","",IFERROR(VLOOKUP($B60,Dim_Team!$A:$F,6,0),""))</f>
        <v/>
      </c>
      <c r="F60" s="31" t="str">
        <f aca="false">IF($A60="","",IFERROR(VLOOKUP($B60,Dim_Team!$A:$E,5,0),0))</f>
        <v/>
      </c>
      <c r="G60" s="4" t="str">
        <f aca="false">IF($A60="","",COUNTIF(Dim_Fund!$G:$G,$A60))</f>
        <v/>
      </c>
      <c r="H60" s="31" t="str">
        <f aca="false">IF($A60="","",IFERROR(ROUND(SUMIF(Fact_Work!$N:$N,$A60,Fact_Work!$Q:$Q)/Constants!$B$13,0),0))</f>
        <v/>
      </c>
      <c r="I60" s="31" t="str">
        <f aca="false">IF($A60="","",IFERROR(ROUND(SUMIF(Fact_Work!$L:$L,$A60,Fact_Work!$Q:$Q)/Constants!$B$13,0),0))</f>
        <v/>
      </c>
      <c r="J60" s="49" t="str">
        <f aca="false">IF($A60="","",IFERROR($I60/$F60,""))</f>
        <v/>
      </c>
      <c r="K60" s="4" t="str">
        <f aca="false">IF($A60="","",IFERROR(ROUND(COUNTIF(Fact_Work!$M:$M,$A60)/Constants!$B$13,1),0))</f>
        <v/>
      </c>
      <c r="L60" s="31" t="str">
        <f aca="false">IF($A60="","",IFERROR(ROUND(SUMIF(Fact_Work!$M:$M,$A60,Fact_Work!$AE:$AE)/Constants!$B$13,0),0))</f>
        <v/>
      </c>
      <c r="M60" s="31" t="str">
        <f aca="false">IF($A60="","",$I60+$L60)</f>
        <v/>
      </c>
      <c r="N60" s="49" t="str">
        <f aca="false">IF($A60="","",IFERROR($M60/$F60,""))</f>
        <v/>
      </c>
      <c r="O60" s="4" t="str">
        <f aca="false">IF($A60="","",COUNTIFS(Fact_Work!$L:$L,$A60,Fact_Work!$O:$O,"Yes"))</f>
        <v/>
      </c>
      <c r="P60" s="4" t="str">
        <f aca="false">IF($A60="","",IF($C60&lt;&gt;"Yes","n/a",IF($M60&gt;$F60,"OVER","OK")))</f>
        <v/>
      </c>
      <c r="Q60" s="23" t="str">
        <f aca="false">IF($A60="","",IFERROR(VLOOKUP($B60,Dim_Team!$A:$G,7,0),""))</f>
        <v/>
      </c>
    </row>
    <row r="61" customFormat="false" ht="15" hidden="false" customHeight="true" outlineLevel="0" collapsed="false">
      <c r="D61" s="4" t="str">
        <f aca="false">IF($A61="","",IFERROR(VLOOKUP($B61,Dim_Team!$A:$B,2,0),"external"))</f>
        <v/>
      </c>
      <c r="E61" s="22" t="str">
        <f aca="false">IF($A61="","",IFERROR(VLOOKUP($B61,Dim_Team!$A:$F,6,0),""))</f>
        <v/>
      </c>
      <c r="F61" s="31" t="str">
        <f aca="false">IF($A61="","",IFERROR(VLOOKUP($B61,Dim_Team!$A:$E,5,0),0))</f>
        <v/>
      </c>
      <c r="G61" s="4" t="str">
        <f aca="false">IF($A61="","",COUNTIF(Dim_Fund!$G:$G,$A61))</f>
        <v/>
      </c>
      <c r="H61" s="31" t="str">
        <f aca="false">IF($A61="","",IFERROR(ROUND(SUMIF(Fact_Work!$N:$N,$A61,Fact_Work!$Q:$Q)/Constants!$B$13,0),0))</f>
        <v/>
      </c>
      <c r="I61" s="31" t="str">
        <f aca="false">IF($A61="","",IFERROR(ROUND(SUMIF(Fact_Work!$L:$L,$A61,Fact_Work!$Q:$Q)/Constants!$B$13,0),0))</f>
        <v/>
      </c>
      <c r="J61" s="49" t="str">
        <f aca="false">IF($A61="","",IFERROR($I61/$F61,""))</f>
        <v/>
      </c>
      <c r="K61" s="4" t="str">
        <f aca="false">IF($A61="","",IFERROR(ROUND(COUNTIF(Fact_Work!$M:$M,$A61)/Constants!$B$13,1),0))</f>
        <v/>
      </c>
      <c r="L61" s="31" t="str">
        <f aca="false">IF($A61="","",IFERROR(ROUND(SUMIF(Fact_Work!$M:$M,$A61,Fact_Work!$AE:$AE)/Constants!$B$13,0),0))</f>
        <v/>
      </c>
      <c r="M61" s="31" t="str">
        <f aca="false">IF($A61="","",$I61+$L61)</f>
        <v/>
      </c>
      <c r="N61" s="49" t="str">
        <f aca="false">IF($A61="","",IFERROR($M61/$F61,""))</f>
        <v/>
      </c>
      <c r="O61" s="4" t="str">
        <f aca="false">IF($A61="","",COUNTIFS(Fact_Work!$L:$L,$A61,Fact_Work!$O:$O,"Yes"))</f>
        <v/>
      </c>
      <c r="P61" s="4" t="str">
        <f aca="false">IF($A61="","",IF($C61&lt;&gt;"Yes","n/a",IF($M61&gt;$F61,"OVER","OK")))</f>
        <v/>
      </c>
      <c r="Q61" s="23" t="str">
        <f aca="false">IF($A61="","",IFERROR(VLOOKUP($B61,Dim_Team!$A:$G,7,0),""))</f>
        <v/>
      </c>
    </row>
    <row r="62" customFormat="false" ht="15" hidden="false" customHeight="true" outlineLevel="0" collapsed="false">
      <c r="A62" s="26"/>
      <c r="D62" s="4" t="str">
        <f aca="false">IF($A62="","",IFERROR(VLOOKUP($B62,Dim_Team!$A:$B,2,0),"external"))</f>
        <v/>
      </c>
      <c r="E62" s="22" t="str">
        <f aca="false">IF($A62="","",IFERROR(VLOOKUP($B62,Dim_Team!$A:$F,6,0),""))</f>
        <v/>
      </c>
      <c r="F62" s="31" t="str">
        <f aca="false">IF($A62="","",IFERROR(VLOOKUP($B62,Dim_Team!$A:$E,5,0),0))</f>
        <v/>
      </c>
      <c r="G62" s="4" t="str">
        <f aca="false">IF($A62="","",COUNTIF(Dim_Fund!$G:$G,$A62))</f>
        <v/>
      </c>
      <c r="H62" s="31" t="str">
        <f aca="false">IF($A62="","",IFERROR(ROUND(SUMIF(Fact_Work!$N:$N,$A62,Fact_Work!$Q:$Q)/Constants!$B$13,0),0))</f>
        <v/>
      </c>
      <c r="I62" s="31" t="str">
        <f aca="false">IF($A62="","",IFERROR(ROUND(SUMIF(Fact_Work!$L:$L,$A62,Fact_Work!$Q:$Q)/Constants!$B$13,0),0))</f>
        <v/>
      </c>
      <c r="J62" s="49" t="str">
        <f aca="false">IF($A62="","",IFERROR($I62/$F62,""))</f>
        <v/>
      </c>
      <c r="K62" s="4" t="str">
        <f aca="false">IF($A62="","",IFERROR(ROUND(COUNTIF(Fact_Work!$M:$M,$A62)/Constants!$B$13,1),0))</f>
        <v/>
      </c>
      <c r="L62" s="31" t="str">
        <f aca="false">IF($A62="","",IFERROR(ROUND(SUMIF(Fact_Work!$M:$M,$A62,Fact_Work!$AE:$AE)/Constants!$B$13,0),0))</f>
        <v/>
      </c>
      <c r="M62" s="31" t="str">
        <f aca="false">IF($A62="","",$I62+$L62)</f>
        <v/>
      </c>
      <c r="N62" s="49" t="str">
        <f aca="false">IF($A62="","",IFERROR($M62/$F62,""))</f>
        <v/>
      </c>
      <c r="O62" s="4" t="str">
        <f aca="false">IF($A62="","",COUNTIFS(Fact_Work!$L:$L,$A62,Fact_Work!$O:$O,"Yes"))</f>
        <v/>
      </c>
      <c r="P62" s="4" t="str">
        <f aca="false">IF($A62="","",IF($C62&lt;&gt;"Yes","n/a",IF($M62&gt;$F62,"OVER","OK")))</f>
        <v/>
      </c>
      <c r="Q62" s="23" t="str">
        <f aca="false">IF($A62="","",IFERROR(VLOOKUP($B62,Dim_Team!$A:$G,7,0),""))</f>
        <v/>
      </c>
    </row>
    <row r="63" customFormat="false" ht="15" hidden="false" customHeight="true" outlineLevel="0" collapsed="false">
      <c r="D63" s="4" t="str">
        <f aca="false">IF($A63="","",IFERROR(VLOOKUP($B63,Dim_Team!$A:$B,2,0),"external"))</f>
        <v/>
      </c>
      <c r="E63" s="22" t="str">
        <f aca="false">IF($A63="","",IFERROR(VLOOKUP($B63,Dim_Team!$A:$F,6,0),""))</f>
        <v/>
      </c>
      <c r="F63" s="31" t="str">
        <f aca="false">IF($A63="","",IFERROR(VLOOKUP($B63,Dim_Team!$A:$E,5,0),0))</f>
        <v/>
      </c>
      <c r="G63" s="4" t="str">
        <f aca="false">IF($A63="","",COUNTIF(Dim_Fund!$G:$G,$A63))</f>
        <v/>
      </c>
      <c r="H63" s="31" t="str">
        <f aca="false">IF($A63="","",IFERROR(ROUND(SUMIF(Fact_Work!$N:$N,$A63,Fact_Work!$Q:$Q)/Constants!$B$13,0),0))</f>
        <v/>
      </c>
      <c r="I63" s="31" t="str">
        <f aca="false">IF($A63="","",IFERROR(ROUND(SUMIF(Fact_Work!$L:$L,$A63,Fact_Work!$Q:$Q)/Constants!$B$13,0),0))</f>
        <v/>
      </c>
      <c r="J63" s="49" t="str">
        <f aca="false">IF($A63="","",IFERROR($I63/$F63,""))</f>
        <v/>
      </c>
      <c r="K63" s="4" t="str">
        <f aca="false">IF($A63="","",IFERROR(ROUND(COUNTIF(Fact_Work!$M:$M,$A63)/Constants!$B$13,1),0))</f>
        <v/>
      </c>
      <c r="L63" s="31" t="str">
        <f aca="false">IF($A63="","",IFERROR(ROUND(SUMIF(Fact_Work!$M:$M,$A63,Fact_Work!$AE:$AE)/Constants!$B$13,0),0))</f>
        <v/>
      </c>
      <c r="M63" s="31" t="str">
        <f aca="false">IF($A63="","",$I63+$L63)</f>
        <v/>
      </c>
      <c r="N63" s="49" t="str">
        <f aca="false">IF($A63="","",IFERROR($M63/$F63,""))</f>
        <v/>
      </c>
      <c r="O63" s="4" t="str">
        <f aca="false">IF($A63="","",COUNTIFS(Fact_Work!$L:$L,$A63,Fact_Work!$O:$O,"Yes"))</f>
        <v/>
      </c>
      <c r="P63" s="4" t="str">
        <f aca="false">IF($A63="","",IF($C63&lt;&gt;"Yes","n/a",IF($M63&gt;$F63,"OVER","OK")))</f>
        <v/>
      </c>
      <c r="Q63" s="23" t="str">
        <f aca="false">IF($A63="","",IFERROR(VLOOKUP($B63,Dim_Team!$A:$G,7,0),""))</f>
        <v/>
      </c>
    </row>
    <row r="64" customFormat="false" ht="15" hidden="false" customHeight="true" outlineLevel="0" collapsed="false">
      <c r="D64" s="4" t="str">
        <f aca="false">IF($A64="","",IFERROR(VLOOKUP($B64,Dim_Team!$A:$B,2,0),"external"))</f>
        <v/>
      </c>
      <c r="E64" s="22" t="str">
        <f aca="false">IF($A64="","",IFERROR(VLOOKUP($B64,Dim_Team!$A:$F,6,0),""))</f>
        <v/>
      </c>
      <c r="F64" s="31" t="str">
        <f aca="false">IF($A64="","",IFERROR(VLOOKUP($B64,Dim_Team!$A:$E,5,0),0))</f>
        <v/>
      </c>
      <c r="G64" s="4" t="str">
        <f aca="false">IF($A64="","",COUNTIF(Dim_Fund!$G:$G,$A64))</f>
        <v/>
      </c>
      <c r="H64" s="31" t="str">
        <f aca="false">IF($A64="","",IFERROR(ROUND(SUMIF(Fact_Work!$N:$N,$A64,Fact_Work!$Q:$Q)/Constants!$B$13,0),0))</f>
        <v/>
      </c>
      <c r="I64" s="31" t="str">
        <f aca="false">IF($A64="","",IFERROR(ROUND(SUMIF(Fact_Work!$L:$L,$A64,Fact_Work!$Q:$Q)/Constants!$B$13,0),0))</f>
        <v/>
      </c>
      <c r="J64" s="49" t="str">
        <f aca="false">IF($A64="","",IFERROR($I64/$F64,""))</f>
        <v/>
      </c>
      <c r="K64" s="4" t="str">
        <f aca="false">IF($A64="","",IFERROR(ROUND(COUNTIF(Fact_Work!$M:$M,$A64)/Constants!$B$13,1),0))</f>
        <v/>
      </c>
      <c r="L64" s="31" t="str">
        <f aca="false">IF($A64="","",IFERROR(ROUND(SUMIF(Fact_Work!$M:$M,$A64,Fact_Work!$AE:$AE)/Constants!$B$13,0),0))</f>
        <v/>
      </c>
      <c r="M64" s="31" t="str">
        <f aca="false">IF($A64="","",$I64+$L64)</f>
        <v/>
      </c>
      <c r="N64" s="49" t="str">
        <f aca="false">IF($A64="","",IFERROR($M64/$F64,""))</f>
        <v/>
      </c>
      <c r="O64" s="4" t="str">
        <f aca="false">IF($A64="","",COUNTIFS(Fact_Work!$L:$L,$A64,Fact_Work!$O:$O,"Yes"))</f>
        <v/>
      </c>
      <c r="P64" s="4" t="str">
        <f aca="false">IF($A64="","",IF($C64&lt;&gt;"Yes","n/a",IF($M64&gt;$F64,"OVER","OK")))</f>
        <v/>
      </c>
      <c r="Q64" s="23" t="str">
        <f aca="false">IF($A64="","",IFERROR(VLOOKUP($B64,Dim_Team!$A:$G,7,0),""))</f>
        <v/>
      </c>
    </row>
    <row r="65" customFormat="false" ht="15" hidden="false" customHeight="true" outlineLevel="0" collapsed="false">
      <c r="D65" s="4" t="str">
        <f aca="false">IF($A65="","",IFERROR(VLOOKUP($B65,Dim_Team!$A:$B,2,0),"external"))</f>
        <v/>
      </c>
      <c r="E65" s="22" t="str">
        <f aca="false">IF($A65="","",IFERROR(VLOOKUP($B65,Dim_Team!$A:$F,6,0),""))</f>
        <v/>
      </c>
      <c r="F65" s="31" t="str">
        <f aca="false">IF($A65="","",IFERROR(VLOOKUP($B65,Dim_Team!$A:$E,5,0),0))</f>
        <v/>
      </c>
      <c r="G65" s="4" t="str">
        <f aca="false">IF($A65="","",COUNTIF(Dim_Fund!$G:$G,$A65))</f>
        <v/>
      </c>
      <c r="H65" s="31" t="str">
        <f aca="false">IF($A65="","",IFERROR(ROUND(SUMIF(Fact_Work!$N:$N,$A65,Fact_Work!$Q:$Q)/Constants!$B$13,0),0))</f>
        <v/>
      </c>
      <c r="I65" s="31" t="str">
        <f aca="false">IF($A65="","",IFERROR(ROUND(SUMIF(Fact_Work!$L:$L,$A65,Fact_Work!$Q:$Q)/Constants!$B$13,0),0))</f>
        <v/>
      </c>
      <c r="J65" s="49" t="str">
        <f aca="false">IF($A65="","",IFERROR($I65/$F65,""))</f>
        <v/>
      </c>
      <c r="K65" s="4" t="str">
        <f aca="false">IF($A65="","",IFERROR(ROUND(COUNTIF(Fact_Work!$M:$M,$A65)/Constants!$B$13,1),0))</f>
        <v/>
      </c>
      <c r="L65" s="31" t="str">
        <f aca="false">IF($A65="","",IFERROR(ROUND(SUMIF(Fact_Work!$M:$M,$A65,Fact_Work!$AE:$AE)/Constants!$B$13,0),0))</f>
        <v/>
      </c>
      <c r="M65" s="31" t="str">
        <f aca="false">IF($A65="","",$I65+$L65)</f>
        <v/>
      </c>
      <c r="N65" s="49" t="str">
        <f aca="false">IF($A65="","",IFERROR($M65/$F65,""))</f>
        <v/>
      </c>
      <c r="O65" s="4" t="str">
        <f aca="false">IF($A65="","",COUNTIFS(Fact_Work!$L:$L,$A65,Fact_Work!$O:$O,"Yes"))</f>
        <v/>
      </c>
      <c r="P65" s="4" t="str">
        <f aca="false">IF($A65="","",IF($C65&lt;&gt;"Yes","n/a",IF($M65&gt;$F65,"OVER","OK")))</f>
        <v/>
      </c>
      <c r="Q65" s="23" t="str">
        <f aca="false">IF($A65="","",IFERROR(VLOOKUP($B65,Dim_Team!$A:$G,7,0),""))</f>
        <v/>
      </c>
    </row>
    <row r="66" customFormat="false" ht="15" hidden="false" customHeight="true" outlineLevel="0" collapsed="false">
      <c r="D66" s="4" t="str">
        <f aca="false">IF($A66="","",IFERROR(VLOOKUP($B66,Dim_Team!$A:$B,2,0),"external"))</f>
        <v/>
      </c>
      <c r="E66" s="22" t="str">
        <f aca="false">IF($A66="","",IFERROR(VLOOKUP($B66,Dim_Team!$A:$F,6,0),""))</f>
        <v/>
      </c>
      <c r="F66" s="31" t="str">
        <f aca="false">IF($A66="","",IFERROR(VLOOKUP($B66,Dim_Team!$A:$E,5,0),0))</f>
        <v/>
      </c>
      <c r="G66" s="4" t="str">
        <f aca="false">IF($A66="","",COUNTIF(Dim_Fund!$G:$G,$A66))</f>
        <v/>
      </c>
      <c r="H66" s="31" t="str">
        <f aca="false">IF($A66="","",IFERROR(ROUND(SUMIF(Fact_Work!$N:$N,$A66,Fact_Work!$Q:$Q)/Constants!$B$13,0),0))</f>
        <v/>
      </c>
      <c r="I66" s="31" t="str">
        <f aca="false">IF($A66="","",IFERROR(ROUND(SUMIF(Fact_Work!$L:$L,$A66,Fact_Work!$Q:$Q)/Constants!$B$13,0),0))</f>
        <v/>
      </c>
      <c r="J66" s="49" t="str">
        <f aca="false">IF($A66="","",IFERROR($I66/$F66,""))</f>
        <v/>
      </c>
      <c r="K66" s="4" t="str">
        <f aca="false">IF($A66="","",IFERROR(ROUND(COUNTIF(Fact_Work!$M:$M,$A66)/Constants!$B$13,1),0))</f>
        <v/>
      </c>
      <c r="L66" s="31" t="str">
        <f aca="false">IF($A66="","",IFERROR(ROUND(SUMIF(Fact_Work!$M:$M,$A66,Fact_Work!$AE:$AE)/Constants!$B$13,0),0))</f>
        <v/>
      </c>
      <c r="M66" s="31" t="str">
        <f aca="false">IF($A66="","",$I66+$L66)</f>
        <v/>
      </c>
      <c r="N66" s="49" t="str">
        <f aca="false">IF($A66="","",IFERROR($M66/$F66,""))</f>
        <v/>
      </c>
      <c r="O66" s="4" t="str">
        <f aca="false">IF($A66="","",COUNTIFS(Fact_Work!$L:$L,$A66,Fact_Work!$O:$O,"Yes"))</f>
        <v/>
      </c>
      <c r="P66" s="4" t="str">
        <f aca="false">IF($A66="","",IF($C66&lt;&gt;"Yes","n/a",IF($M66&gt;$F66,"OVER","OK")))</f>
        <v/>
      </c>
      <c r="Q66" s="23" t="str">
        <f aca="false">IF($A66="","",IFERROR(VLOOKUP($B66,Dim_Team!$A:$G,7,0),""))</f>
        <v/>
      </c>
    </row>
    <row r="67" customFormat="false" ht="15" hidden="false" customHeight="true" outlineLevel="0" collapsed="false">
      <c r="D67" s="4" t="str">
        <f aca="false">IF($A67="","",IFERROR(VLOOKUP($B67,Dim_Team!$A:$B,2,0),"external"))</f>
        <v/>
      </c>
      <c r="E67" s="22" t="str">
        <f aca="false">IF($A67="","",IFERROR(VLOOKUP($B67,Dim_Team!$A:$F,6,0),""))</f>
        <v/>
      </c>
      <c r="F67" s="31" t="str">
        <f aca="false">IF($A67="","",IFERROR(VLOOKUP($B67,Dim_Team!$A:$E,5,0),0))</f>
        <v/>
      </c>
      <c r="G67" s="4" t="str">
        <f aca="false">IF($A67="","",COUNTIF(Dim_Fund!$G:$G,$A67))</f>
        <v/>
      </c>
      <c r="H67" s="31" t="str">
        <f aca="false">IF($A67="","",IFERROR(ROUND(SUMIF(Fact_Work!$N:$N,$A67,Fact_Work!$Q:$Q)/Constants!$B$13,0),0))</f>
        <v/>
      </c>
      <c r="I67" s="31" t="str">
        <f aca="false">IF($A67="","",IFERROR(ROUND(SUMIF(Fact_Work!$L:$L,$A67,Fact_Work!$Q:$Q)/Constants!$B$13,0),0))</f>
        <v/>
      </c>
      <c r="J67" s="49" t="str">
        <f aca="false">IF($A67="","",IFERROR($I67/$F67,""))</f>
        <v/>
      </c>
      <c r="K67" s="4" t="str">
        <f aca="false">IF($A67="","",IFERROR(ROUND(COUNTIF(Fact_Work!$M:$M,$A67)/Constants!$B$13,1),0))</f>
        <v/>
      </c>
      <c r="L67" s="31" t="str">
        <f aca="false">IF($A67="","",IFERROR(ROUND(SUMIF(Fact_Work!$M:$M,$A67,Fact_Work!$AE:$AE)/Constants!$B$13,0),0))</f>
        <v/>
      </c>
      <c r="M67" s="31" t="str">
        <f aca="false">IF($A67="","",$I67+$L67)</f>
        <v/>
      </c>
      <c r="N67" s="49" t="str">
        <f aca="false">IF($A67="","",IFERROR($M67/$F67,""))</f>
        <v/>
      </c>
      <c r="O67" s="4" t="str">
        <f aca="false">IF($A67="","",COUNTIFS(Fact_Work!$L:$L,$A67,Fact_Work!$O:$O,"Yes"))</f>
        <v/>
      </c>
      <c r="P67" s="4" t="str">
        <f aca="false">IF($A67="","",IF($C67&lt;&gt;"Yes","n/a",IF($M67&gt;$F67,"OVER","OK")))</f>
        <v/>
      </c>
      <c r="Q67" s="23" t="str">
        <f aca="false">IF($A67="","",IFERROR(VLOOKUP($B67,Dim_Team!$A:$G,7,0),""))</f>
        <v/>
      </c>
    </row>
    <row r="68" customFormat="false" ht="15" hidden="false" customHeight="true" outlineLevel="0" collapsed="false">
      <c r="D68" s="4" t="str">
        <f aca="false">IF($A68="","",IFERROR(VLOOKUP($B68,Dim_Team!$A:$B,2,0),"external"))</f>
        <v/>
      </c>
      <c r="E68" s="22" t="str">
        <f aca="false">IF($A68="","",IFERROR(VLOOKUP($B68,Dim_Team!$A:$F,6,0),""))</f>
        <v/>
      </c>
      <c r="F68" s="31" t="str">
        <f aca="false">IF($A68="","",IFERROR(VLOOKUP($B68,Dim_Team!$A:$E,5,0),0))</f>
        <v/>
      </c>
      <c r="G68" s="4" t="str">
        <f aca="false">IF($A68="","",COUNTIF(Dim_Fund!$G:$G,$A68))</f>
        <v/>
      </c>
      <c r="H68" s="31" t="str">
        <f aca="false">IF($A68="","",IFERROR(ROUND(SUMIF(Fact_Work!$N:$N,$A68,Fact_Work!$Q:$Q)/Constants!$B$13,0),0))</f>
        <v/>
      </c>
      <c r="I68" s="31" t="str">
        <f aca="false">IF($A68="","",IFERROR(ROUND(SUMIF(Fact_Work!$L:$L,$A68,Fact_Work!$Q:$Q)/Constants!$B$13,0),0))</f>
        <v/>
      </c>
      <c r="J68" s="49" t="str">
        <f aca="false">IF($A68="","",IFERROR($I68/$F68,""))</f>
        <v/>
      </c>
      <c r="K68" s="4" t="str">
        <f aca="false">IF($A68="","",IFERROR(ROUND(COUNTIF(Fact_Work!$M:$M,$A68)/Constants!$B$13,1),0))</f>
        <v/>
      </c>
      <c r="L68" s="31" t="str">
        <f aca="false">IF($A68="","",IFERROR(ROUND(SUMIF(Fact_Work!$M:$M,$A68,Fact_Work!$AE:$AE)/Constants!$B$13,0),0))</f>
        <v/>
      </c>
      <c r="M68" s="31" t="str">
        <f aca="false">IF($A68="","",$I68+$L68)</f>
        <v/>
      </c>
      <c r="N68" s="49" t="str">
        <f aca="false">IF($A68="","",IFERROR($M68/$F68,""))</f>
        <v/>
      </c>
      <c r="O68" s="4" t="str">
        <f aca="false">IF($A68="","",COUNTIFS(Fact_Work!$L:$L,$A68,Fact_Work!$O:$O,"Yes"))</f>
        <v/>
      </c>
      <c r="P68" s="4" t="str">
        <f aca="false">IF($A68="","",IF($C68&lt;&gt;"Yes","n/a",IF($M68&gt;$F68,"OVER","OK")))</f>
        <v/>
      </c>
      <c r="Q68" s="23" t="str">
        <f aca="false">IF($A68="","",IFERROR(VLOOKUP($B68,Dim_Team!$A:$G,7,0),""))</f>
        <v/>
      </c>
    </row>
    <row r="69" customFormat="false" ht="15" hidden="false" customHeight="true" outlineLevel="0" collapsed="false">
      <c r="D69" s="4" t="str">
        <f aca="false">IF($A69="","",IFERROR(VLOOKUP($B69,Dim_Team!$A:$B,2,0),"external"))</f>
        <v/>
      </c>
      <c r="E69" s="22" t="str">
        <f aca="false">IF($A69="","",IFERROR(VLOOKUP($B69,Dim_Team!$A:$F,6,0),""))</f>
        <v/>
      </c>
      <c r="F69" s="31" t="str">
        <f aca="false">IF($A69="","",IFERROR(VLOOKUP($B69,Dim_Team!$A:$E,5,0),0))</f>
        <v/>
      </c>
      <c r="G69" s="4" t="str">
        <f aca="false">IF($A69="","",COUNTIF(Dim_Fund!$G:$G,$A69))</f>
        <v/>
      </c>
      <c r="H69" s="31" t="str">
        <f aca="false">IF($A69="","",IFERROR(ROUND(SUMIF(Fact_Work!$N:$N,$A69,Fact_Work!$Q:$Q)/Constants!$B$13,0),0))</f>
        <v/>
      </c>
      <c r="I69" s="31" t="str">
        <f aca="false">IF($A69="","",IFERROR(ROUND(SUMIF(Fact_Work!$L:$L,$A69,Fact_Work!$Q:$Q)/Constants!$B$13,0),0))</f>
        <v/>
      </c>
      <c r="J69" s="49" t="str">
        <f aca="false">IF($A69="","",IFERROR($I69/$F69,""))</f>
        <v/>
      </c>
      <c r="K69" s="4" t="str">
        <f aca="false">IF($A69="","",IFERROR(ROUND(COUNTIF(Fact_Work!$M:$M,$A69)/Constants!$B$13,1),0))</f>
        <v/>
      </c>
      <c r="L69" s="31" t="str">
        <f aca="false">IF($A69="","",IFERROR(ROUND(SUMIF(Fact_Work!$M:$M,$A69,Fact_Work!$AE:$AE)/Constants!$B$13,0),0))</f>
        <v/>
      </c>
      <c r="M69" s="31" t="str">
        <f aca="false">IF($A69="","",$I69+$L69)</f>
        <v/>
      </c>
      <c r="N69" s="49" t="str">
        <f aca="false">IF($A69="","",IFERROR($M69/$F69,""))</f>
        <v/>
      </c>
      <c r="O69" s="4" t="str">
        <f aca="false">IF($A69="","",COUNTIFS(Fact_Work!$L:$L,$A69,Fact_Work!$O:$O,"Yes"))</f>
        <v/>
      </c>
      <c r="P69" s="4" t="str">
        <f aca="false">IF($A69="","",IF($C69&lt;&gt;"Yes","n/a",IF($M69&gt;$F69,"OVER","OK")))</f>
        <v/>
      </c>
      <c r="Q69" s="23" t="str">
        <f aca="false">IF($A69="","",IFERROR(VLOOKUP($B69,Dim_Team!$A:$G,7,0),""))</f>
        <v/>
      </c>
    </row>
    <row r="70" customFormat="false" ht="15" hidden="false" customHeight="true" outlineLevel="0" collapsed="false">
      <c r="D70" s="4" t="str">
        <f aca="false">IF($A70="","",IFERROR(VLOOKUP($B70,Dim_Team!$A:$B,2,0),"external"))</f>
        <v/>
      </c>
      <c r="E70" s="22" t="str">
        <f aca="false">IF($A70="","",IFERROR(VLOOKUP($B70,Dim_Team!$A:$F,6,0),""))</f>
        <v/>
      </c>
      <c r="F70" s="31" t="str">
        <f aca="false">IF($A70="","",IFERROR(VLOOKUP($B70,Dim_Team!$A:$E,5,0),0))</f>
        <v/>
      </c>
      <c r="G70" s="4" t="str">
        <f aca="false">IF($A70="","",COUNTIF(Dim_Fund!$G:$G,$A70))</f>
        <v/>
      </c>
      <c r="H70" s="31" t="str">
        <f aca="false">IF($A70="","",IFERROR(ROUND(SUMIF(Fact_Work!$N:$N,$A70,Fact_Work!$Q:$Q)/Constants!$B$13,0),0))</f>
        <v/>
      </c>
      <c r="I70" s="31" t="str">
        <f aca="false">IF($A70="","",IFERROR(ROUND(SUMIF(Fact_Work!$L:$L,$A70,Fact_Work!$Q:$Q)/Constants!$B$13,0),0))</f>
        <v/>
      </c>
      <c r="J70" s="49" t="str">
        <f aca="false">IF($A70="","",IFERROR($I70/$F70,""))</f>
        <v/>
      </c>
      <c r="K70" s="4" t="str">
        <f aca="false">IF($A70="","",IFERROR(ROUND(COUNTIF(Fact_Work!$M:$M,$A70)/Constants!$B$13,1),0))</f>
        <v/>
      </c>
      <c r="L70" s="31" t="str">
        <f aca="false">IF($A70="","",IFERROR(ROUND(SUMIF(Fact_Work!$M:$M,$A70,Fact_Work!$AE:$AE)/Constants!$B$13,0),0))</f>
        <v/>
      </c>
      <c r="M70" s="31" t="str">
        <f aca="false">IF($A70="","",$I70+$L70)</f>
        <v/>
      </c>
      <c r="N70" s="49" t="str">
        <f aca="false">IF($A70="","",IFERROR($M70/$F70,""))</f>
        <v/>
      </c>
      <c r="O70" s="4" t="str">
        <f aca="false">IF($A70="","",COUNTIFS(Fact_Work!$L:$L,$A70,Fact_Work!$O:$O,"Yes"))</f>
        <v/>
      </c>
      <c r="P70" s="4" t="str">
        <f aca="false">IF($A70="","",IF($C70&lt;&gt;"Yes","n/a",IF($M70&gt;$F70,"OVER","OK")))</f>
        <v/>
      </c>
      <c r="Q70" s="23" t="str">
        <f aca="false">IF($A70="","",IFERROR(VLOOKUP($B70,Dim_Team!$A:$G,7,0),""))</f>
        <v/>
      </c>
    </row>
    <row r="71" customFormat="false" ht="15" hidden="false" customHeight="true" outlineLevel="0" collapsed="false">
      <c r="D71" s="4" t="str">
        <f aca="false">IF($A71="","",IFERROR(VLOOKUP($B71,Dim_Team!$A:$B,2,0),"external"))</f>
        <v/>
      </c>
      <c r="E71" s="22" t="str">
        <f aca="false">IF($A71="","",IFERROR(VLOOKUP($B71,Dim_Team!$A:$F,6,0),""))</f>
        <v/>
      </c>
      <c r="F71" s="31" t="str">
        <f aca="false">IF($A71="","",IFERROR(VLOOKUP($B71,Dim_Team!$A:$E,5,0),0))</f>
        <v/>
      </c>
      <c r="G71" s="4" t="str">
        <f aca="false">IF($A71="","",COUNTIF(Dim_Fund!$G:$G,$A71))</f>
        <v/>
      </c>
      <c r="H71" s="31" t="str">
        <f aca="false">IF($A71="","",IFERROR(ROUND(SUMIF(Fact_Work!$N:$N,$A71,Fact_Work!$Q:$Q)/Constants!$B$13,0),0))</f>
        <v/>
      </c>
      <c r="I71" s="31" t="str">
        <f aca="false">IF($A71="","",IFERROR(ROUND(SUMIF(Fact_Work!$L:$L,$A71,Fact_Work!$Q:$Q)/Constants!$B$13,0),0))</f>
        <v/>
      </c>
      <c r="J71" s="49" t="str">
        <f aca="false">IF($A71="","",IFERROR($I71/$F71,""))</f>
        <v/>
      </c>
      <c r="K71" s="4" t="str">
        <f aca="false">IF($A71="","",IFERROR(ROUND(COUNTIF(Fact_Work!$M:$M,$A71)/Constants!$B$13,1),0))</f>
        <v/>
      </c>
      <c r="L71" s="31" t="str">
        <f aca="false">IF($A71="","",IFERROR(ROUND(SUMIF(Fact_Work!$M:$M,$A71,Fact_Work!$AE:$AE)/Constants!$B$13,0),0))</f>
        <v/>
      </c>
      <c r="M71" s="31" t="str">
        <f aca="false">IF($A71="","",$I71+$L71)</f>
        <v/>
      </c>
      <c r="N71" s="49" t="str">
        <f aca="false">IF($A71="","",IFERROR($M71/$F71,""))</f>
        <v/>
      </c>
      <c r="O71" s="4" t="str">
        <f aca="false">IF($A71="","",COUNTIFS(Fact_Work!$L:$L,$A71,Fact_Work!$O:$O,"Yes"))</f>
        <v/>
      </c>
      <c r="P71" s="4" t="str">
        <f aca="false">IF($A71="","",IF($C71&lt;&gt;"Yes","n/a",IF($M71&gt;$F71,"OVER","OK")))</f>
        <v/>
      </c>
      <c r="Q71" s="23" t="str">
        <f aca="false">IF($A71="","",IFERROR(VLOOKUP($B71,Dim_Team!$A:$G,7,0),""))</f>
        <v/>
      </c>
    </row>
    <row r="72" customFormat="false" ht="15" hidden="false" customHeight="true" outlineLevel="0" collapsed="false">
      <c r="D72" s="4" t="str">
        <f aca="false">IF($A72="","",IFERROR(VLOOKUP($B72,Dim_Team!$A:$B,2,0),"external"))</f>
        <v/>
      </c>
      <c r="E72" s="22" t="str">
        <f aca="false">IF($A72="","",IFERROR(VLOOKUP($B72,Dim_Team!$A:$F,6,0),""))</f>
        <v/>
      </c>
      <c r="F72" s="31" t="str">
        <f aca="false">IF($A72="","",IFERROR(VLOOKUP($B72,Dim_Team!$A:$E,5,0),0))</f>
        <v/>
      </c>
      <c r="G72" s="4" t="str">
        <f aca="false">IF($A72="","",COUNTIF(Dim_Fund!$G:$G,$A72))</f>
        <v/>
      </c>
      <c r="H72" s="31" t="str">
        <f aca="false">IF($A72="","",IFERROR(ROUND(SUMIF(Fact_Work!$N:$N,$A72,Fact_Work!$Q:$Q)/Constants!$B$13,0),0))</f>
        <v/>
      </c>
      <c r="I72" s="31" t="str">
        <f aca="false">IF($A72="","",IFERROR(ROUND(SUMIF(Fact_Work!$L:$L,$A72,Fact_Work!$Q:$Q)/Constants!$B$13,0),0))</f>
        <v/>
      </c>
      <c r="J72" s="49" t="str">
        <f aca="false">IF($A72="","",IFERROR($I72/$F72,""))</f>
        <v/>
      </c>
      <c r="K72" s="4" t="str">
        <f aca="false">IF($A72="","",IFERROR(ROUND(COUNTIF(Fact_Work!$M:$M,$A72)/Constants!$B$13,1),0))</f>
        <v/>
      </c>
      <c r="L72" s="31" t="str">
        <f aca="false">IF($A72="","",IFERROR(ROUND(SUMIF(Fact_Work!$M:$M,$A72,Fact_Work!$AE:$AE)/Constants!$B$13,0),0))</f>
        <v/>
      </c>
      <c r="M72" s="31" t="str">
        <f aca="false">IF($A72="","",$I72+$L72)</f>
        <v/>
      </c>
      <c r="N72" s="49" t="str">
        <f aca="false">IF($A72="","",IFERROR($M72/$F72,""))</f>
        <v/>
      </c>
      <c r="O72" s="4" t="str">
        <f aca="false">IF($A72="","",COUNTIFS(Fact_Work!$L:$L,$A72,Fact_Work!$O:$O,"Yes"))</f>
        <v/>
      </c>
      <c r="P72" s="4" t="str">
        <f aca="false">IF($A72="","",IF($C72&lt;&gt;"Yes","n/a",IF($M72&gt;$F72,"OVER","OK")))</f>
        <v/>
      </c>
      <c r="Q72" s="23" t="str">
        <f aca="false">IF($A72="","",IFERROR(VLOOKUP($B72,Dim_Team!$A:$G,7,0),""))</f>
        <v/>
      </c>
    </row>
    <row r="73" customFormat="false" ht="15" hidden="false" customHeight="true" outlineLevel="0" collapsed="false">
      <c r="D73" s="4" t="str">
        <f aca="false">IF($A73="","",IFERROR(VLOOKUP($B73,Dim_Team!$A:$B,2,0),"external"))</f>
        <v/>
      </c>
      <c r="E73" s="22" t="str">
        <f aca="false">IF($A73="","",IFERROR(VLOOKUP($B73,Dim_Team!$A:$F,6,0),""))</f>
        <v/>
      </c>
      <c r="F73" s="31" t="str">
        <f aca="false">IF($A73="","",IFERROR(VLOOKUP($B73,Dim_Team!$A:$E,5,0),0))</f>
        <v/>
      </c>
      <c r="G73" s="4" t="str">
        <f aca="false">IF($A73="","",COUNTIF(Dim_Fund!$G:$G,$A73))</f>
        <v/>
      </c>
      <c r="H73" s="31" t="str">
        <f aca="false">IF($A73="","",IFERROR(ROUND(SUMIF(Fact_Work!$N:$N,$A73,Fact_Work!$Q:$Q)/Constants!$B$13,0),0))</f>
        <v/>
      </c>
      <c r="I73" s="31" t="str">
        <f aca="false">IF($A73="","",IFERROR(ROUND(SUMIF(Fact_Work!$L:$L,$A73,Fact_Work!$Q:$Q)/Constants!$B$13,0),0))</f>
        <v/>
      </c>
      <c r="J73" s="49" t="str">
        <f aca="false">IF($A73="","",IFERROR($I73/$F73,""))</f>
        <v/>
      </c>
      <c r="K73" s="4" t="str">
        <f aca="false">IF($A73="","",IFERROR(ROUND(COUNTIF(Fact_Work!$M:$M,$A73)/Constants!$B$13,1),0))</f>
        <v/>
      </c>
      <c r="L73" s="31" t="str">
        <f aca="false">IF($A73="","",IFERROR(ROUND(SUMIF(Fact_Work!$M:$M,$A73,Fact_Work!$AE:$AE)/Constants!$B$13,0),0))</f>
        <v/>
      </c>
      <c r="M73" s="31" t="str">
        <f aca="false">IF($A73="","",$I73+$L73)</f>
        <v/>
      </c>
      <c r="N73" s="49" t="str">
        <f aca="false">IF($A73="","",IFERROR($M73/$F73,""))</f>
        <v/>
      </c>
      <c r="O73" s="4" t="str">
        <f aca="false">IF($A73="","",COUNTIFS(Fact_Work!$L:$L,$A73,Fact_Work!$O:$O,"Yes"))</f>
        <v/>
      </c>
      <c r="P73" s="4" t="str">
        <f aca="false">IF($A73="","",IF($C73&lt;&gt;"Yes","n/a",IF($M73&gt;$F73,"OVER","OK")))</f>
        <v/>
      </c>
      <c r="Q73" s="23" t="str">
        <f aca="false">IF($A73="","",IFERROR(VLOOKUP($B73,Dim_Team!$A:$G,7,0),""))</f>
        <v/>
      </c>
    </row>
    <row r="74" customFormat="false" ht="15" hidden="false" customHeight="true" outlineLevel="0" collapsed="false">
      <c r="D74" s="4" t="str">
        <f aca="false">IF($A74="","",IFERROR(VLOOKUP($B74,Dim_Team!$A:$B,2,0),"external"))</f>
        <v/>
      </c>
      <c r="E74" s="22" t="str">
        <f aca="false">IF($A74="","",IFERROR(VLOOKUP($B74,Dim_Team!$A:$F,6,0),""))</f>
        <v/>
      </c>
      <c r="F74" s="31" t="str">
        <f aca="false">IF($A74="","",IFERROR(VLOOKUP($B74,Dim_Team!$A:$E,5,0),0))</f>
        <v/>
      </c>
      <c r="G74" s="4" t="str">
        <f aca="false">IF($A74="","",COUNTIF(Dim_Fund!$G:$G,$A74))</f>
        <v/>
      </c>
      <c r="H74" s="31" t="str">
        <f aca="false">IF($A74="","",IFERROR(ROUND(SUMIF(Fact_Work!$N:$N,$A74,Fact_Work!$Q:$Q)/Constants!$B$13,0),0))</f>
        <v/>
      </c>
      <c r="I74" s="31" t="str">
        <f aca="false">IF($A74="","",IFERROR(ROUND(SUMIF(Fact_Work!$L:$L,$A74,Fact_Work!$Q:$Q)/Constants!$B$13,0),0))</f>
        <v/>
      </c>
      <c r="J74" s="49" t="str">
        <f aca="false">IF($A74="","",IFERROR($I74/$F74,""))</f>
        <v/>
      </c>
      <c r="K74" s="4" t="str">
        <f aca="false">IF($A74="","",IFERROR(ROUND(COUNTIF(Fact_Work!$M:$M,$A74)/Constants!$B$13,1),0))</f>
        <v/>
      </c>
      <c r="L74" s="31" t="str">
        <f aca="false">IF($A74="","",IFERROR(ROUND(SUMIF(Fact_Work!$M:$M,$A74,Fact_Work!$AE:$AE)/Constants!$B$13,0),0))</f>
        <v/>
      </c>
      <c r="M74" s="31" t="str">
        <f aca="false">IF($A74="","",$I74+$L74)</f>
        <v/>
      </c>
      <c r="N74" s="49" t="str">
        <f aca="false">IF($A74="","",IFERROR($M74/$F74,""))</f>
        <v/>
      </c>
      <c r="O74" s="4" t="str">
        <f aca="false">IF($A74="","",COUNTIFS(Fact_Work!$L:$L,$A74,Fact_Work!$O:$O,"Yes"))</f>
        <v/>
      </c>
      <c r="P74" s="4" t="str">
        <f aca="false">IF($A74="","",IF($C74&lt;&gt;"Yes","n/a",IF($M74&gt;$F74,"OVER","OK")))</f>
        <v/>
      </c>
      <c r="Q74" s="23" t="str">
        <f aca="false">IF($A74="","",IFERROR(VLOOKUP($B74,Dim_Team!$A:$G,7,0),""))</f>
        <v/>
      </c>
    </row>
    <row r="75" customFormat="false" ht="15" hidden="false" customHeight="true" outlineLevel="0" collapsed="false">
      <c r="D75" s="4" t="str">
        <f aca="false">IF($A75="","",IFERROR(VLOOKUP($B75,Dim_Team!$A:$B,2,0),"external"))</f>
        <v/>
      </c>
      <c r="E75" s="22" t="str">
        <f aca="false">IF($A75="","",IFERROR(VLOOKUP($B75,Dim_Team!$A:$F,6,0),""))</f>
        <v/>
      </c>
      <c r="F75" s="31" t="str">
        <f aca="false">IF($A75="","",IFERROR(VLOOKUP($B75,Dim_Team!$A:$E,5,0),0))</f>
        <v/>
      </c>
      <c r="G75" s="4" t="str">
        <f aca="false">IF($A75="","",COUNTIF(Dim_Fund!$G:$G,$A75))</f>
        <v/>
      </c>
      <c r="H75" s="31" t="str">
        <f aca="false">IF($A75="","",IFERROR(ROUND(SUMIF(Fact_Work!$N:$N,$A75,Fact_Work!$Q:$Q)/Constants!$B$13,0),0))</f>
        <v/>
      </c>
      <c r="I75" s="31" t="str">
        <f aca="false">IF($A75="","",IFERROR(ROUND(SUMIF(Fact_Work!$L:$L,$A75,Fact_Work!$Q:$Q)/Constants!$B$13,0),0))</f>
        <v/>
      </c>
      <c r="J75" s="49" t="str">
        <f aca="false">IF($A75="","",IFERROR($I75/$F75,""))</f>
        <v/>
      </c>
      <c r="K75" s="4" t="str">
        <f aca="false">IF($A75="","",IFERROR(ROUND(COUNTIF(Fact_Work!$M:$M,$A75)/Constants!$B$13,1),0))</f>
        <v/>
      </c>
      <c r="L75" s="31" t="str">
        <f aca="false">IF($A75="","",IFERROR(ROUND(SUMIF(Fact_Work!$M:$M,$A75,Fact_Work!$AE:$AE)/Constants!$B$13,0),0))</f>
        <v/>
      </c>
      <c r="M75" s="31" t="str">
        <f aca="false">IF($A75="","",$I75+$L75)</f>
        <v/>
      </c>
      <c r="N75" s="49" t="str">
        <f aca="false">IF($A75="","",IFERROR($M75/$F75,""))</f>
        <v/>
      </c>
      <c r="O75" s="4" t="str">
        <f aca="false">IF($A75="","",COUNTIFS(Fact_Work!$L:$L,$A75,Fact_Work!$O:$O,"Yes"))</f>
        <v/>
      </c>
      <c r="P75" s="4" t="str">
        <f aca="false">IF($A75="","",IF($C75&lt;&gt;"Yes","n/a",IF($M75&gt;$F75,"OVER","OK")))</f>
        <v/>
      </c>
      <c r="Q75" s="23" t="str">
        <f aca="false">IF($A75="","",IFERROR(VLOOKUP($B75,Dim_Team!$A:$G,7,0),""))</f>
        <v/>
      </c>
    </row>
    <row r="76" customFormat="false" ht="15" hidden="false" customHeight="true" outlineLevel="0" collapsed="false">
      <c r="D76" s="4" t="str">
        <f aca="false">IF($A76="","",IFERROR(VLOOKUP($B76,Dim_Team!$A:$B,2,0),"external"))</f>
        <v/>
      </c>
      <c r="E76" s="22" t="str">
        <f aca="false">IF($A76="","",IFERROR(VLOOKUP($B76,Dim_Team!$A:$F,6,0),""))</f>
        <v/>
      </c>
      <c r="F76" s="31" t="str">
        <f aca="false">IF($A76="","",IFERROR(VLOOKUP($B76,Dim_Team!$A:$E,5,0),0))</f>
        <v/>
      </c>
      <c r="G76" s="4" t="str">
        <f aca="false">IF($A76="","",COUNTIF(Dim_Fund!$G:$G,$A76))</f>
        <v/>
      </c>
      <c r="H76" s="31" t="str">
        <f aca="false">IF($A76="","",IFERROR(ROUND(SUMIF(Fact_Work!$N:$N,$A76,Fact_Work!$Q:$Q)/Constants!$B$13,0),0))</f>
        <v/>
      </c>
      <c r="I76" s="31" t="str">
        <f aca="false">IF($A76="","",IFERROR(ROUND(SUMIF(Fact_Work!$L:$L,$A76,Fact_Work!$Q:$Q)/Constants!$B$13,0),0))</f>
        <v/>
      </c>
      <c r="J76" s="49" t="str">
        <f aca="false">IF($A76="","",IFERROR($I76/$F76,""))</f>
        <v/>
      </c>
      <c r="K76" s="4" t="str">
        <f aca="false">IF($A76="","",IFERROR(ROUND(COUNTIF(Fact_Work!$M:$M,$A76)/Constants!$B$13,1),0))</f>
        <v/>
      </c>
      <c r="L76" s="31" t="str">
        <f aca="false">IF($A76="","",IFERROR(ROUND(SUMIF(Fact_Work!$M:$M,$A76,Fact_Work!$AE:$AE)/Constants!$B$13,0),0))</f>
        <v/>
      </c>
      <c r="M76" s="31" t="str">
        <f aca="false">IF($A76="","",$I76+$L76)</f>
        <v/>
      </c>
      <c r="N76" s="49" t="str">
        <f aca="false">IF($A76="","",IFERROR($M76/$F76,""))</f>
        <v/>
      </c>
      <c r="O76" s="4" t="str">
        <f aca="false">IF($A76="","",COUNTIFS(Fact_Work!$L:$L,$A76,Fact_Work!$O:$O,"Yes"))</f>
        <v/>
      </c>
      <c r="P76" s="4" t="str">
        <f aca="false">IF($A76="","",IF($C76&lt;&gt;"Yes","n/a",IF($M76&gt;$F76,"OVER","OK")))</f>
        <v/>
      </c>
      <c r="Q76" s="23" t="str">
        <f aca="false">IF($A76="","",IFERROR(VLOOKUP($B76,Dim_Team!$A:$G,7,0),""))</f>
        <v/>
      </c>
    </row>
    <row r="77" customFormat="false" ht="15" hidden="false" customHeight="true" outlineLevel="0" collapsed="false">
      <c r="D77" s="4" t="str">
        <f aca="false">IF($A77="","",IFERROR(VLOOKUP($B77,Dim_Team!$A:$B,2,0),"external"))</f>
        <v/>
      </c>
      <c r="E77" s="22" t="str">
        <f aca="false">IF($A77="","",IFERROR(VLOOKUP($B77,Dim_Team!$A:$F,6,0),""))</f>
        <v/>
      </c>
      <c r="F77" s="31" t="str">
        <f aca="false">IF($A77="","",IFERROR(VLOOKUP($B77,Dim_Team!$A:$E,5,0),0))</f>
        <v/>
      </c>
      <c r="G77" s="4" t="str">
        <f aca="false">IF($A77="","",COUNTIF(Dim_Fund!$G:$G,$A77))</f>
        <v/>
      </c>
      <c r="H77" s="31" t="str">
        <f aca="false">IF($A77="","",IFERROR(ROUND(SUMIF(Fact_Work!$N:$N,$A77,Fact_Work!$Q:$Q)/Constants!$B$13,0),0))</f>
        <v/>
      </c>
      <c r="I77" s="31" t="str">
        <f aca="false">IF($A77="","",IFERROR(ROUND(SUMIF(Fact_Work!$L:$L,$A77,Fact_Work!$Q:$Q)/Constants!$B$13,0),0))</f>
        <v/>
      </c>
      <c r="J77" s="49" t="str">
        <f aca="false">IF($A77="","",IFERROR($I77/$F77,""))</f>
        <v/>
      </c>
      <c r="K77" s="4" t="str">
        <f aca="false">IF($A77="","",IFERROR(ROUND(COUNTIF(Fact_Work!$M:$M,$A77)/Constants!$B$13,1),0))</f>
        <v/>
      </c>
      <c r="L77" s="31" t="str">
        <f aca="false">IF($A77="","",IFERROR(ROUND(SUMIF(Fact_Work!$M:$M,$A77,Fact_Work!$AE:$AE)/Constants!$B$13,0),0))</f>
        <v/>
      </c>
      <c r="M77" s="31" t="str">
        <f aca="false">IF($A77="","",$I77+$L77)</f>
        <v/>
      </c>
      <c r="N77" s="49" t="str">
        <f aca="false">IF($A77="","",IFERROR($M77/$F77,""))</f>
        <v/>
      </c>
      <c r="O77" s="4" t="str">
        <f aca="false">IF($A77="","",COUNTIFS(Fact_Work!$L:$L,$A77,Fact_Work!$O:$O,"Yes"))</f>
        <v/>
      </c>
      <c r="P77" s="4" t="str">
        <f aca="false">IF($A77="","",IF($C77&lt;&gt;"Yes","n/a",IF($M77&gt;$F77,"OVER","OK")))</f>
        <v/>
      </c>
      <c r="Q77" s="23" t="str">
        <f aca="false">IF($A77="","",IFERROR(VLOOKUP($B77,Dim_Team!$A:$G,7,0),""))</f>
        <v/>
      </c>
    </row>
    <row r="78" customFormat="false" ht="15" hidden="false" customHeight="true" outlineLevel="0" collapsed="false">
      <c r="D78" s="4" t="str">
        <f aca="false">IF($A78="","",IFERROR(VLOOKUP($B78,Dim_Team!$A:$B,2,0),"external"))</f>
        <v/>
      </c>
      <c r="E78" s="22" t="str">
        <f aca="false">IF($A78="","",IFERROR(VLOOKUP($B78,Dim_Team!$A:$F,6,0),""))</f>
        <v/>
      </c>
      <c r="F78" s="31" t="str">
        <f aca="false">IF($A78="","",IFERROR(VLOOKUP($B78,Dim_Team!$A:$E,5,0),0))</f>
        <v/>
      </c>
      <c r="G78" s="4" t="str">
        <f aca="false">IF($A78="","",COUNTIF(Dim_Fund!$G:$G,$A78))</f>
        <v/>
      </c>
      <c r="H78" s="31" t="str">
        <f aca="false">IF($A78="","",IFERROR(ROUND(SUMIF(Fact_Work!$N:$N,$A78,Fact_Work!$Q:$Q)/Constants!$B$13,0),0))</f>
        <v/>
      </c>
      <c r="I78" s="31" t="str">
        <f aca="false">IF($A78="","",IFERROR(ROUND(SUMIF(Fact_Work!$L:$L,$A78,Fact_Work!$Q:$Q)/Constants!$B$13,0),0))</f>
        <v/>
      </c>
      <c r="J78" s="49" t="str">
        <f aca="false">IF($A78="","",IFERROR($I78/$F78,""))</f>
        <v/>
      </c>
      <c r="K78" s="4" t="str">
        <f aca="false">IF($A78="","",IFERROR(ROUND(COUNTIF(Fact_Work!$M:$M,$A78)/Constants!$B$13,1),0))</f>
        <v/>
      </c>
      <c r="L78" s="31" t="str">
        <f aca="false">IF($A78="","",IFERROR(ROUND(SUMIF(Fact_Work!$M:$M,$A78,Fact_Work!$AE:$AE)/Constants!$B$13,0),0))</f>
        <v/>
      </c>
      <c r="M78" s="31" t="str">
        <f aca="false">IF($A78="","",$I78+$L78)</f>
        <v/>
      </c>
      <c r="N78" s="49" t="str">
        <f aca="false">IF($A78="","",IFERROR($M78/$F78,""))</f>
        <v/>
      </c>
      <c r="O78" s="4" t="str">
        <f aca="false">IF($A78="","",COUNTIFS(Fact_Work!$L:$L,$A78,Fact_Work!$O:$O,"Yes"))</f>
        <v/>
      </c>
      <c r="P78" s="4" t="str">
        <f aca="false">IF($A78="","",IF($C78&lt;&gt;"Yes","n/a",IF($M78&gt;$F78,"OVER","OK")))</f>
        <v/>
      </c>
      <c r="Q78" s="23" t="str">
        <f aca="false">IF($A78="","",IFERROR(VLOOKUP($B78,Dim_Team!$A:$G,7,0),""))</f>
        <v/>
      </c>
    </row>
    <row r="79" customFormat="false" ht="15" hidden="false" customHeight="true" outlineLevel="0" collapsed="false">
      <c r="D79" s="4" t="str">
        <f aca="false">IF($A79="","",IFERROR(VLOOKUP($B79,Dim_Team!$A:$B,2,0),"external"))</f>
        <v/>
      </c>
      <c r="E79" s="22" t="str">
        <f aca="false">IF($A79="","",IFERROR(VLOOKUP($B79,Dim_Team!$A:$F,6,0),""))</f>
        <v/>
      </c>
      <c r="F79" s="31" t="str">
        <f aca="false">IF($A79="","",IFERROR(VLOOKUP($B79,Dim_Team!$A:$E,5,0),0))</f>
        <v/>
      </c>
      <c r="G79" s="4" t="str">
        <f aca="false">IF($A79="","",COUNTIF(Dim_Fund!$G:$G,$A79))</f>
        <v/>
      </c>
      <c r="H79" s="31" t="str">
        <f aca="false">IF($A79="","",IFERROR(ROUND(SUMIF(Fact_Work!$N:$N,$A79,Fact_Work!$Q:$Q)/Constants!$B$13,0),0))</f>
        <v/>
      </c>
      <c r="I79" s="31" t="str">
        <f aca="false">IF($A79="","",IFERROR(ROUND(SUMIF(Fact_Work!$L:$L,$A79,Fact_Work!$Q:$Q)/Constants!$B$13,0),0))</f>
        <v/>
      </c>
      <c r="J79" s="49" t="str">
        <f aca="false">IF($A79="","",IFERROR($I79/$F79,""))</f>
        <v/>
      </c>
      <c r="K79" s="4" t="str">
        <f aca="false">IF($A79="","",IFERROR(ROUND(COUNTIF(Fact_Work!$M:$M,$A79)/Constants!$B$13,1),0))</f>
        <v/>
      </c>
      <c r="L79" s="31" t="str">
        <f aca="false">IF($A79="","",IFERROR(ROUND(SUMIF(Fact_Work!$M:$M,$A79,Fact_Work!$AE:$AE)/Constants!$B$13,0),0))</f>
        <v/>
      </c>
      <c r="M79" s="31" t="str">
        <f aca="false">IF($A79="","",$I79+$L79)</f>
        <v/>
      </c>
      <c r="N79" s="49" t="str">
        <f aca="false">IF($A79="","",IFERROR($M79/$F79,""))</f>
        <v/>
      </c>
      <c r="O79" s="4" t="str">
        <f aca="false">IF($A79="","",COUNTIFS(Fact_Work!$L:$L,$A79,Fact_Work!$O:$O,"Yes"))</f>
        <v/>
      </c>
      <c r="P79" s="4" t="str">
        <f aca="false">IF($A79="","",IF($C79&lt;&gt;"Yes","n/a",IF($M79&gt;$F79,"OVER","OK")))</f>
        <v/>
      </c>
      <c r="Q79" s="23" t="str">
        <f aca="false">IF($A79="","",IFERROR(VLOOKUP($B79,Dim_Team!$A:$G,7,0),""))</f>
        <v/>
      </c>
    </row>
    <row r="80" customFormat="false" ht="15" hidden="false" customHeight="true" outlineLevel="0" collapsed="false">
      <c r="D80" s="4" t="str">
        <f aca="false">IF($A80="","",IFERROR(VLOOKUP($B80,Dim_Team!$A:$B,2,0),"external"))</f>
        <v/>
      </c>
      <c r="E80" s="22" t="str">
        <f aca="false">IF($A80="","",IFERROR(VLOOKUP($B80,Dim_Team!$A:$F,6,0),""))</f>
        <v/>
      </c>
      <c r="F80" s="31" t="str">
        <f aca="false">IF($A80="","",IFERROR(VLOOKUP($B80,Dim_Team!$A:$E,5,0),0))</f>
        <v/>
      </c>
      <c r="G80" s="4" t="str">
        <f aca="false">IF($A80="","",COUNTIF(Dim_Fund!$G:$G,$A80))</f>
        <v/>
      </c>
      <c r="H80" s="31" t="str">
        <f aca="false">IF($A80="","",IFERROR(ROUND(SUMIF(Fact_Work!$N:$N,$A80,Fact_Work!$Q:$Q)/Constants!$B$13,0),0))</f>
        <v/>
      </c>
      <c r="I80" s="31" t="str">
        <f aca="false">IF($A80="","",IFERROR(ROUND(SUMIF(Fact_Work!$L:$L,$A80,Fact_Work!$Q:$Q)/Constants!$B$13,0),0))</f>
        <v/>
      </c>
      <c r="J80" s="49" t="str">
        <f aca="false">IF($A80="","",IFERROR($I80/$F80,""))</f>
        <v/>
      </c>
      <c r="K80" s="4" t="str">
        <f aca="false">IF($A80="","",IFERROR(ROUND(COUNTIF(Fact_Work!$M:$M,$A80)/Constants!$B$13,1),0))</f>
        <v/>
      </c>
      <c r="L80" s="31" t="str">
        <f aca="false">IF($A80="","",IFERROR(ROUND(SUMIF(Fact_Work!$M:$M,$A80,Fact_Work!$AE:$AE)/Constants!$B$13,0),0))</f>
        <v/>
      </c>
      <c r="M80" s="31" t="str">
        <f aca="false">IF($A80="","",$I80+$L80)</f>
        <v/>
      </c>
      <c r="N80" s="49" t="str">
        <f aca="false">IF($A80="","",IFERROR($M80/$F80,""))</f>
        <v/>
      </c>
      <c r="O80" s="4" t="str">
        <f aca="false">IF($A80="","",COUNTIFS(Fact_Work!$L:$L,$A80,Fact_Work!$O:$O,"Yes"))</f>
        <v/>
      </c>
      <c r="P80" s="4" t="str">
        <f aca="false">IF($A80="","",IF($C80&lt;&gt;"Yes","n/a",IF($M80&gt;$F80,"OVER","OK")))</f>
        <v/>
      </c>
      <c r="Q80" s="23" t="str">
        <f aca="false">IF($A80="","",IFERROR(VLOOKUP($B80,Dim_Team!$A:$G,7,0),""))</f>
        <v/>
      </c>
    </row>
    <row r="81" customFormat="false" ht="15" hidden="false" customHeight="true" outlineLevel="0" collapsed="false">
      <c r="D81" s="4" t="str">
        <f aca="false">IF($A81="","",IFERROR(VLOOKUP($B81,Dim_Team!$A:$B,2,0),"external"))</f>
        <v/>
      </c>
      <c r="E81" s="22" t="str">
        <f aca="false">IF($A81="","",IFERROR(VLOOKUP($B81,Dim_Team!$A:$F,6,0),""))</f>
        <v/>
      </c>
      <c r="F81" s="31" t="str">
        <f aca="false">IF($A81="","",IFERROR(VLOOKUP($B81,Dim_Team!$A:$E,5,0),0))</f>
        <v/>
      </c>
      <c r="G81" s="4" t="str">
        <f aca="false">IF($A81="","",COUNTIF(Dim_Fund!$G:$G,$A81))</f>
        <v/>
      </c>
      <c r="H81" s="31" t="str">
        <f aca="false">IF($A81="","",IFERROR(ROUND(SUMIF(Fact_Work!$N:$N,$A81,Fact_Work!$Q:$Q)/Constants!$B$13,0),0))</f>
        <v/>
      </c>
      <c r="I81" s="31" t="str">
        <f aca="false">IF($A81="","",IFERROR(ROUND(SUMIF(Fact_Work!$L:$L,$A81,Fact_Work!$Q:$Q)/Constants!$B$13,0),0))</f>
        <v/>
      </c>
      <c r="J81" s="49" t="str">
        <f aca="false">IF($A81="","",IFERROR($I81/$F81,""))</f>
        <v/>
      </c>
      <c r="K81" s="4" t="str">
        <f aca="false">IF($A81="","",IFERROR(ROUND(COUNTIF(Fact_Work!$M:$M,$A81)/Constants!$B$13,1),0))</f>
        <v/>
      </c>
      <c r="L81" s="31" t="str">
        <f aca="false">IF($A81="","",IFERROR(ROUND(SUMIF(Fact_Work!$M:$M,$A81,Fact_Work!$AE:$AE)/Constants!$B$13,0),0))</f>
        <v/>
      </c>
      <c r="M81" s="31" t="str">
        <f aca="false">IF($A81="","",$I81+$L81)</f>
        <v/>
      </c>
      <c r="N81" s="49" t="str">
        <f aca="false">IF($A81="","",IFERROR($M81/$F81,""))</f>
        <v/>
      </c>
      <c r="O81" s="4" t="str">
        <f aca="false">IF($A81="","",COUNTIFS(Fact_Work!$L:$L,$A81,Fact_Work!$O:$O,"Yes"))</f>
        <v/>
      </c>
      <c r="P81" s="4" t="str">
        <f aca="false">IF($A81="","",IF($C81&lt;&gt;"Yes","n/a",IF($M81&gt;$F81,"OVER","OK")))</f>
        <v/>
      </c>
      <c r="Q81" s="23" t="str">
        <f aca="false">IF($A81="","",IFERROR(VLOOKUP($B81,Dim_Team!$A:$G,7,0),""))</f>
        <v/>
      </c>
    </row>
    <row r="82" customFormat="false" ht="15" hidden="false" customHeight="true" outlineLevel="0" collapsed="false">
      <c r="D82" s="4" t="str">
        <f aca="false">IF($A82="","",IFERROR(VLOOKUP($B82,Dim_Team!$A:$B,2,0),"external"))</f>
        <v/>
      </c>
      <c r="E82" s="22" t="str">
        <f aca="false">IF($A82="","",IFERROR(VLOOKUP($B82,Dim_Team!$A:$F,6,0),""))</f>
        <v/>
      </c>
      <c r="F82" s="31" t="str">
        <f aca="false">IF($A82="","",IFERROR(VLOOKUP($B82,Dim_Team!$A:$E,5,0),0))</f>
        <v/>
      </c>
      <c r="G82" s="4" t="str">
        <f aca="false">IF($A82="","",COUNTIF(Dim_Fund!$G:$G,$A82))</f>
        <v/>
      </c>
      <c r="H82" s="31" t="str">
        <f aca="false">IF($A82="","",IFERROR(ROUND(SUMIF(Fact_Work!$N:$N,$A82,Fact_Work!$Q:$Q)/Constants!$B$13,0),0))</f>
        <v/>
      </c>
      <c r="I82" s="31" t="str">
        <f aca="false">IF($A82="","",IFERROR(ROUND(SUMIF(Fact_Work!$L:$L,$A82,Fact_Work!$Q:$Q)/Constants!$B$13,0),0))</f>
        <v/>
      </c>
      <c r="J82" s="49" t="str">
        <f aca="false">IF($A82="","",IFERROR($I82/$F82,""))</f>
        <v/>
      </c>
      <c r="K82" s="4" t="str">
        <f aca="false">IF($A82="","",IFERROR(ROUND(COUNTIF(Fact_Work!$M:$M,$A82)/Constants!$B$13,1),0))</f>
        <v/>
      </c>
      <c r="L82" s="31" t="str">
        <f aca="false">IF($A82="","",IFERROR(ROUND(SUMIF(Fact_Work!$M:$M,$A82,Fact_Work!$AE:$AE)/Constants!$B$13,0),0))</f>
        <v/>
      </c>
      <c r="M82" s="31" t="str">
        <f aca="false">IF($A82="","",$I82+$L82)</f>
        <v/>
      </c>
      <c r="N82" s="49" t="str">
        <f aca="false">IF($A82="","",IFERROR($M82/$F82,""))</f>
        <v/>
      </c>
      <c r="O82" s="4" t="str">
        <f aca="false">IF($A82="","",COUNTIFS(Fact_Work!$L:$L,$A82,Fact_Work!$O:$O,"Yes"))</f>
        <v/>
      </c>
      <c r="P82" s="4" t="str">
        <f aca="false">IF($A82="","",IF($C82&lt;&gt;"Yes","n/a",IF($M82&gt;$F82,"OVER","OK")))</f>
        <v/>
      </c>
      <c r="Q82" s="23" t="str">
        <f aca="false">IF($A82="","",IFERROR(VLOOKUP($B82,Dim_Team!$A:$G,7,0),""))</f>
        <v/>
      </c>
    </row>
    <row r="83" customFormat="false" ht="15" hidden="false" customHeight="true" outlineLevel="0" collapsed="false">
      <c r="D83" s="4" t="str">
        <f aca="false">IF($A83="","",IFERROR(VLOOKUP($B83,Dim_Team!$A:$B,2,0),"external"))</f>
        <v/>
      </c>
      <c r="E83" s="22" t="str">
        <f aca="false">IF($A83="","",IFERROR(VLOOKUP($B83,Dim_Team!$A:$F,6,0),""))</f>
        <v/>
      </c>
      <c r="F83" s="31" t="str">
        <f aca="false">IF($A83="","",IFERROR(VLOOKUP($B83,Dim_Team!$A:$E,5,0),0))</f>
        <v/>
      </c>
      <c r="G83" s="4" t="str">
        <f aca="false">IF($A83="","",COUNTIF(Dim_Fund!$G:$G,$A83))</f>
        <v/>
      </c>
      <c r="H83" s="31" t="str">
        <f aca="false">IF($A83="","",IFERROR(ROUND(SUMIF(Fact_Work!$N:$N,$A83,Fact_Work!$Q:$Q)/Constants!$B$13,0),0))</f>
        <v/>
      </c>
      <c r="I83" s="31" t="str">
        <f aca="false">IF($A83="","",IFERROR(ROUND(SUMIF(Fact_Work!$L:$L,$A83,Fact_Work!$Q:$Q)/Constants!$B$13,0),0))</f>
        <v/>
      </c>
      <c r="J83" s="49" t="str">
        <f aca="false">IF($A83="","",IFERROR($I83/$F83,""))</f>
        <v/>
      </c>
      <c r="K83" s="4" t="str">
        <f aca="false">IF($A83="","",IFERROR(ROUND(COUNTIF(Fact_Work!$M:$M,$A83)/Constants!$B$13,1),0))</f>
        <v/>
      </c>
      <c r="L83" s="31" t="str">
        <f aca="false">IF($A83="","",IFERROR(ROUND(SUMIF(Fact_Work!$M:$M,$A83,Fact_Work!$AE:$AE)/Constants!$B$13,0),0))</f>
        <v/>
      </c>
      <c r="M83" s="31" t="str">
        <f aca="false">IF($A83="","",$I83+$L83)</f>
        <v/>
      </c>
      <c r="N83" s="49" t="str">
        <f aca="false">IF($A83="","",IFERROR($M83/$F83,""))</f>
        <v/>
      </c>
      <c r="O83" s="4" t="str">
        <f aca="false">IF($A83="","",COUNTIFS(Fact_Work!$L:$L,$A83,Fact_Work!$O:$O,"Yes"))</f>
        <v/>
      </c>
      <c r="P83" s="4" t="str">
        <f aca="false">IF($A83="","",IF($C83&lt;&gt;"Yes","n/a",IF($M83&gt;$F83,"OVER","OK")))</f>
        <v/>
      </c>
      <c r="Q83" s="23" t="str">
        <f aca="false">IF($A83="","",IFERROR(VLOOKUP($B83,Dim_Team!$A:$G,7,0),""))</f>
        <v/>
      </c>
    </row>
    <row r="84" customFormat="false" ht="15" hidden="false" customHeight="true" outlineLevel="0" collapsed="false">
      <c r="D84" s="4" t="str">
        <f aca="false">IF($A84="","",IFERROR(VLOOKUP($B84,Dim_Team!$A:$B,2,0),"external"))</f>
        <v/>
      </c>
      <c r="E84" s="22" t="str">
        <f aca="false">IF($A84="","",IFERROR(VLOOKUP($B84,Dim_Team!$A:$F,6,0),""))</f>
        <v/>
      </c>
      <c r="F84" s="31" t="str">
        <f aca="false">IF($A84="","",IFERROR(VLOOKUP($B84,Dim_Team!$A:$E,5,0),0))</f>
        <v/>
      </c>
      <c r="G84" s="4" t="str">
        <f aca="false">IF($A84="","",COUNTIF(Dim_Fund!$G:$G,$A84))</f>
        <v/>
      </c>
      <c r="H84" s="31" t="str">
        <f aca="false">IF($A84="","",IFERROR(ROUND(SUMIF(Fact_Work!$N:$N,$A84,Fact_Work!$Q:$Q)/Constants!$B$13,0),0))</f>
        <v/>
      </c>
      <c r="I84" s="31" t="str">
        <f aca="false">IF($A84="","",IFERROR(ROUND(SUMIF(Fact_Work!$L:$L,$A84,Fact_Work!$Q:$Q)/Constants!$B$13,0),0))</f>
        <v/>
      </c>
      <c r="J84" s="49" t="str">
        <f aca="false">IF($A84="","",IFERROR($I84/$F84,""))</f>
        <v/>
      </c>
      <c r="K84" s="4" t="str">
        <f aca="false">IF($A84="","",IFERROR(ROUND(COUNTIF(Fact_Work!$M:$M,$A84)/Constants!$B$13,1),0))</f>
        <v/>
      </c>
      <c r="L84" s="31" t="str">
        <f aca="false">IF($A84="","",IFERROR(ROUND(SUMIF(Fact_Work!$M:$M,$A84,Fact_Work!$AE:$AE)/Constants!$B$13,0),0))</f>
        <v/>
      </c>
      <c r="M84" s="31" t="str">
        <f aca="false">IF($A84="","",$I84+$L84)</f>
        <v/>
      </c>
      <c r="N84" s="49" t="str">
        <f aca="false">IF($A84="","",IFERROR($M84/$F84,""))</f>
        <v/>
      </c>
      <c r="O84" s="4" t="str">
        <f aca="false">IF($A84="","",COUNTIFS(Fact_Work!$L:$L,$A84,Fact_Work!$O:$O,"Yes"))</f>
        <v/>
      </c>
      <c r="P84" s="4" t="str">
        <f aca="false">IF($A84="","",IF($C84&lt;&gt;"Yes","n/a",IF($M84&gt;$F84,"OVER","OK")))</f>
        <v/>
      </c>
      <c r="Q84" s="23" t="str">
        <f aca="false">IF($A84="","",IFERROR(VLOOKUP($B84,Dim_Team!$A:$G,7,0),""))</f>
        <v/>
      </c>
    </row>
    <row r="85" customFormat="false" ht="15" hidden="false" customHeight="true" outlineLevel="0" collapsed="false">
      <c r="D85" s="4" t="str">
        <f aca="false">IF($A85="","",IFERROR(VLOOKUP($B85,Dim_Team!$A:$B,2,0),"external"))</f>
        <v/>
      </c>
      <c r="E85" s="22" t="str">
        <f aca="false">IF($A85="","",IFERROR(VLOOKUP($B85,Dim_Team!$A:$F,6,0),""))</f>
        <v/>
      </c>
      <c r="F85" s="31" t="str">
        <f aca="false">IF($A85="","",IFERROR(VLOOKUP($B85,Dim_Team!$A:$E,5,0),0))</f>
        <v/>
      </c>
      <c r="G85" s="4" t="str">
        <f aca="false">IF($A85="","",COUNTIF(Dim_Fund!$G:$G,$A85))</f>
        <v/>
      </c>
      <c r="H85" s="31" t="str">
        <f aca="false">IF($A85="","",IFERROR(ROUND(SUMIF(Fact_Work!$N:$N,$A85,Fact_Work!$Q:$Q)/Constants!$B$13,0),0))</f>
        <v/>
      </c>
      <c r="I85" s="31" t="str">
        <f aca="false">IF($A85="","",IFERROR(ROUND(SUMIF(Fact_Work!$L:$L,$A85,Fact_Work!$Q:$Q)/Constants!$B$13,0),0))</f>
        <v/>
      </c>
      <c r="J85" s="49" t="str">
        <f aca="false">IF($A85="","",IFERROR($I85/$F85,""))</f>
        <v/>
      </c>
      <c r="K85" s="4" t="str">
        <f aca="false">IF($A85="","",IFERROR(ROUND(COUNTIF(Fact_Work!$M:$M,$A85)/Constants!$B$13,1),0))</f>
        <v/>
      </c>
      <c r="L85" s="31" t="str">
        <f aca="false">IF($A85="","",IFERROR(ROUND(SUMIF(Fact_Work!$M:$M,$A85,Fact_Work!$AE:$AE)/Constants!$B$13,0),0))</f>
        <v/>
      </c>
      <c r="M85" s="31" t="str">
        <f aca="false">IF($A85="","",$I85+$L85)</f>
        <v/>
      </c>
      <c r="N85" s="49" t="str">
        <f aca="false">IF($A85="","",IFERROR($M85/$F85,""))</f>
        <v/>
      </c>
      <c r="O85" s="4" t="str">
        <f aca="false">IF($A85="","",COUNTIFS(Fact_Work!$L:$L,$A85,Fact_Work!$O:$O,"Yes"))</f>
        <v/>
      </c>
      <c r="P85" s="4" t="str">
        <f aca="false">IF($A85="","",IF($C85&lt;&gt;"Yes","n/a",IF($M85&gt;$F85,"OVER","OK")))</f>
        <v/>
      </c>
      <c r="Q85" s="23" t="str">
        <f aca="false">IF($A85="","",IFERROR(VLOOKUP($B85,Dim_Team!$A:$G,7,0),""))</f>
        <v/>
      </c>
    </row>
    <row r="86" customFormat="false" ht="15" hidden="false" customHeight="true" outlineLevel="0" collapsed="false">
      <c r="D86" s="4" t="str">
        <f aca="false">IF($A86="","",IFERROR(VLOOKUP($B86,Dim_Team!$A:$B,2,0),"external"))</f>
        <v/>
      </c>
      <c r="E86" s="22" t="str">
        <f aca="false">IF($A86="","",IFERROR(VLOOKUP($B86,Dim_Team!$A:$F,6,0),""))</f>
        <v/>
      </c>
      <c r="F86" s="31" t="str">
        <f aca="false">IF($A86="","",IFERROR(VLOOKUP($B86,Dim_Team!$A:$E,5,0),0))</f>
        <v/>
      </c>
      <c r="G86" s="4" t="str">
        <f aca="false">IF($A86="","",COUNTIF(Dim_Fund!$G:$G,$A86))</f>
        <v/>
      </c>
      <c r="H86" s="31" t="str">
        <f aca="false">IF($A86="","",IFERROR(ROUND(SUMIF(Fact_Work!$N:$N,$A86,Fact_Work!$Q:$Q)/Constants!$B$13,0),0))</f>
        <v/>
      </c>
      <c r="I86" s="31" t="str">
        <f aca="false">IF($A86="","",IFERROR(ROUND(SUMIF(Fact_Work!$L:$L,$A86,Fact_Work!$Q:$Q)/Constants!$B$13,0),0))</f>
        <v/>
      </c>
      <c r="J86" s="49" t="str">
        <f aca="false">IF($A86="","",IFERROR($I86/$F86,""))</f>
        <v/>
      </c>
      <c r="K86" s="4" t="str">
        <f aca="false">IF($A86="","",IFERROR(ROUND(COUNTIF(Fact_Work!$M:$M,$A86)/Constants!$B$13,1),0))</f>
        <v/>
      </c>
      <c r="L86" s="31" t="str">
        <f aca="false">IF($A86="","",IFERROR(ROUND(SUMIF(Fact_Work!$M:$M,$A86,Fact_Work!$AE:$AE)/Constants!$B$13,0),0))</f>
        <v/>
      </c>
      <c r="M86" s="31" t="str">
        <f aca="false">IF($A86="","",$I86+$L86)</f>
        <v/>
      </c>
      <c r="N86" s="49" t="str">
        <f aca="false">IF($A86="","",IFERROR($M86/$F86,""))</f>
        <v/>
      </c>
      <c r="O86" s="4" t="str">
        <f aca="false">IF($A86="","",COUNTIFS(Fact_Work!$L:$L,$A86,Fact_Work!$O:$O,"Yes"))</f>
        <v/>
      </c>
      <c r="P86" s="4" t="str">
        <f aca="false">IF($A86="","",IF($C86&lt;&gt;"Yes","n/a",IF($M86&gt;$F86,"OVER","OK")))</f>
        <v/>
      </c>
      <c r="Q86" s="23" t="str">
        <f aca="false">IF($A86="","",IFERROR(VLOOKUP($B86,Dim_Team!$A:$G,7,0),""))</f>
        <v/>
      </c>
    </row>
    <row r="87" customFormat="false" ht="15" hidden="false" customHeight="true" outlineLevel="0" collapsed="false">
      <c r="D87" s="4" t="str">
        <f aca="false">IF($A87="","",IFERROR(VLOOKUP($B87,Dim_Team!$A:$B,2,0),"external"))</f>
        <v/>
      </c>
      <c r="E87" s="22" t="str">
        <f aca="false">IF($A87="","",IFERROR(VLOOKUP($B87,Dim_Team!$A:$F,6,0),""))</f>
        <v/>
      </c>
      <c r="F87" s="31" t="str">
        <f aca="false">IF($A87="","",IFERROR(VLOOKUP($B87,Dim_Team!$A:$E,5,0),0))</f>
        <v/>
      </c>
      <c r="G87" s="4" t="str">
        <f aca="false">IF($A87="","",COUNTIF(Dim_Fund!$G:$G,$A87))</f>
        <v/>
      </c>
      <c r="H87" s="31" t="str">
        <f aca="false">IF($A87="","",IFERROR(ROUND(SUMIF(Fact_Work!$N:$N,$A87,Fact_Work!$Q:$Q)/Constants!$B$13,0),0))</f>
        <v/>
      </c>
      <c r="I87" s="31" t="str">
        <f aca="false">IF($A87="","",IFERROR(ROUND(SUMIF(Fact_Work!$L:$L,$A87,Fact_Work!$Q:$Q)/Constants!$B$13,0),0))</f>
        <v/>
      </c>
      <c r="J87" s="49" t="str">
        <f aca="false">IF($A87="","",IFERROR($I87/$F87,""))</f>
        <v/>
      </c>
      <c r="K87" s="4" t="str">
        <f aca="false">IF($A87="","",IFERROR(ROUND(COUNTIF(Fact_Work!$M:$M,$A87)/Constants!$B$13,1),0))</f>
        <v/>
      </c>
      <c r="L87" s="31" t="str">
        <f aca="false">IF($A87="","",IFERROR(ROUND(SUMIF(Fact_Work!$M:$M,$A87,Fact_Work!$AE:$AE)/Constants!$B$13,0),0))</f>
        <v/>
      </c>
      <c r="M87" s="31" t="str">
        <f aca="false">IF($A87="","",$I87+$L87)</f>
        <v/>
      </c>
      <c r="N87" s="49" t="str">
        <f aca="false">IF($A87="","",IFERROR($M87/$F87,""))</f>
        <v/>
      </c>
      <c r="O87" s="4" t="str">
        <f aca="false">IF($A87="","",COUNTIFS(Fact_Work!$L:$L,$A87,Fact_Work!$O:$O,"Yes"))</f>
        <v/>
      </c>
      <c r="P87" s="4" t="str">
        <f aca="false">IF($A87="","",IF($C87&lt;&gt;"Yes","n/a",IF($M87&gt;$F87,"OVER","OK")))</f>
        <v/>
      </c>
      <c r="Q87" s="23" t="str">
        <f aca="false">IF($A87="","",IFERROR(VLOOKUP($B87,Dim_Team!$A:$G,7,0),""))</f>
        <v/>
      </c>
    </row>
    <row r="88" customFormat="false" ht="15" hidden="false" customHeight="true" outlineLevel="0" collapsed="false">
      <c r="D88" s="4" t="str">
        <f aca="false">IF($A88="","",IFERROR(VLOOKUP($B88,Dim_Team!$A:$B,2,0),"external"))</f>
        <v/>
      </c>
      <c r="E88" s="22" t="str">
        <f aca="false">IF($A88="","",IFERROR(VLOOKUP($B88,Dim_Team!$A:$F,6,0),""))</f>
        <v/>
      </c>
      <c r="F88" s="31" t="str">
        <f aca="false">IF($A88="","",IFERROR(VLOOKUP($B88,Dim_Team!$A:$E,5,0),0))</f>
        <v/>
      </c>
      <c r="G88" s="4" t="str">
        <f aca="false">IF($A88="","",COUNTIF(Dim_Fund!$G:$G,$A88))</f>
        <v/>
      </c>
      <c r="H88" s="31" t="str">
        <f aca="false">IF($A88="","",IFERROR(ROUND(SUMIF(Fact_Work!$N:$N,$A88,Fact_Work!$Q:$Q)/Constants!$B$13,0),0))</f>
        <v/>
      </c>
      <c r="I88" s="31" t="str">
        <f aca="false">IF($A88="","",IFERROR(ROUND(SUMIF(Fact_Work!$L:$L,$A88,Fact_Work!$Q:$Q)/Constants!$B$13,0),0))</f>
        <v/>
      </c>
      <c r="J88" s="49" t="str">
        <f aca="false">IF($A88="","",IFERROR($I88/$F88,""))</f>
        <v/>
      </c>
      <c r="K88" s="4" t="str">
        <f aca="false">IF($A88="","",IFERROR(ROUND(COUNTIF(Fact_Work!$M:$M,$A88)/Constants!$B$13,1),0))</f>
        <v/>
      </c>
      <c r="L88" s="31" t="str">
        <f aca="false">IF($A88="","",IFERROR(ROUND(SUMIF(Fact_Work!$M:$M,$A88,Fact_Work!$AE:$AE)/Constants!$B$13,0),0))</f>
        <v/>
      </c>
      <c r="M88" s="31" t="str">
        <f aca="false">IF($A88="","",$I88+$L88)</f>
        <v/>
      </c>
      <c r="N88" s="49" t="str">
        <f aca="false">IF($A88="","",IFERROR($M88/$F88,""))</f>
        <v/>
      </c>
      <c r="O88" s="4" t="str">
        <f aca="false">IF($A88="","",COUNTIFS(Fact_Work!$L:$L,$A88,Fact_Work!$O:$O,"Yes"))</f>
        <v/>
      </c>
      <c r="P88" s="4" t="str">
        <f aca="false">IF($A88="","",IF($C88&lt;&gt;"Yes","n/a",IF($M88&gt;$F88,"OVER","OK")))</f>
        <v/>
      </c>
      <c r="Q88" s="23" t="str">
        <f aca="false">IF($A88="","",IFERROR(VLOOKUP($B88,Dim_Team!$A:$G,7,0),""))</f>
        <v/>
      </c>
    </row>
    <row r="89" customFormat="false" ht="15" hidden="false" customHeight="true" outlineLevel="0" collapsed="false">
      <c r="D89" s="4" t="str">
        <f aca="false">IF($A89="","",IFERROR(VLOOKUP($B89,Dim_Team!$A:$B,2,0),"external"))</f>
        <v/>
      </c>
      <c r="E89" s="22" t="str">
        <f aca="false">IF($A89="","",IFERROR(VLOOKUP($B89,Dim_Team!$A:$F,6,0),""))</f>
        <v/>
      </c>
      <c r="F89" s="31" t="str">
        <f aca="false">IF($A89="","",IFERROR(VLOOKUP($B89,Dim_Team!$A:$E,5,0),0))</f>
        <v/>
      </c>
      <c r="G89" s="4" t="str">
        <f aca="false">IF($A89="","",COUNTIF(Dim_Fund!$G:$G,$A89))</f>
        <v/>
      </c>
      <c r="H89" s="31" t="str">
        <f aca="false">IF($A89="","",IFERROR(ROUND(SUMIF(Fact_Work!$N:$N,$A89,Fact_Work!$Q:$Q)/Constants!$B$13,0),0))</f>
        <v/>
      </c>
      <c r="I89" s="31" t="str">
        <f aca="false">IF($A89="","",IFERROR(ROUND(SUMIF(Fact_Work!$L:$L,$A89,Fact_Work!$Q:$Q)/Constants!$B$13,0),0))</f>
        <v/>
      </c>
      <c r="J89" s="49" t="str">
        <f aca="false">IF($A89="","",IFERROR($I89/$F89,""))</f>
        <v/>
      </c>
      <c r="K89" s="4" t="str">
        <f aca="false">IF($A89="","",IFERROR(ROUND(COUNTIF(Fact_Work!$M:$M,$A89)/Constants!$B$13,1),0))</f>
        <v/>
      </c>
      <c r="L89" s="31" t="str">
        <f aca="false">IF($A89="","",IFERROR(ROUND(SUMIF(Fact_Work!$M:$M,$A89,Fact_Work!$AE:$AE)/Constants!$B$13,0),0))</f>
        <v/>
      </c>
      <c r="M89" s="31" t="str">
        <f aca="false">IF($A89="","",$I89+$L89)</f>
        <v/>
      </c>
      <c r="N89" s="49" t="str">
        <f aca="false">IF($A89="","",IFERROR($M89/$F89,""))</f>
        <v/>
      </c>
      <c r="O89" s="4" t="str">
        <f aca="false">IF($A89="","",COUNTIFS(Fact_Work!$L:$L,$A89,Fact_Work!$O:$O,"Yes"))</f>
        <v/>
      </c>
      <c r="P89" s="4" t="str">
        <f aca="false">IF($A89="","",IF($C89&lt;&gt;"Yes","n/a",IF($M89&gt;$F89,"OVER","OK")))</f>
        <v/>
      </c>
      <c r="Q89" s="23" t="str">
        <f aca="false">IF($A89="","",IFERROR(VLOOKUP($B89,Dim_Team!$A:$G,7,0),""))</f>
        <v/>
      </c>
    </row>
    <row r="90" customFormat="false" ht="15" hidden="false" customHeight="true" outlineLevel="0" collapsed="false">
      <c r="D90" s="4" t="str">
        <f aca="false">IF($A90="","",IFERROR(VLOOKUP($B90,Dim_Team!$A:$B,2,0),"external"))</f>
        <v/>
      </c>
      <c r="E90" s="22" t="str">
        <f aca="false">IF($A90="","",IFERROR(VLOOKUP($B90,Dim_Team!$A:$F,6,0),""))</f>
        <v/>
      </c>
      <c r="F90" s="31" t="str">
        <f aca="false">IF($A90="","",IFERROR(VLOOKUP($B90,Dim_Team!$A:$E,5,0),0))</f>
        <v/>
      </c>
      <c r="G90" s="4" t="str">
        <f aca="false">IF($A90="","",COUNTIF(Dim_Fund!$G:$G,$A90))</f>
        <v/>
      </c>
      <c r="H90" s="31" t="str">
        <f aca="false">IF($A90="","",IFERROR(ROUND(SUMIF(Fact_Work!$N:$N,$A90,Fact_Work!$Q:$Q)/Constants!$B$13,0),0))</f>
        <v/>
      </c>
      <c r="I90" s="31" t="str">
        <f aca="false">IF($A90="","",IFERROR(ROUND(SUMIF(Fact_Work!$L:$L,$A90,Fact_Work!$Q:$Q)/Constants!$B$13,0),0))</f>
        <v/>
      </c>
      <c r="J90" s="49" t="str">
        <f aca="false">IF($A90="","",IFERROR($I90/$F90,""))</f>
        <v/>
      </c>
      <c r="K90" s="4" t="str">
        <f aca="false">IF($A90="","",IFERROR(ROUND(COUNTIF(Fact_Work!$M:$M,$A90)/Constants!$B$13,1),0))</f>
        <v/>
      </c>
      <c r="L90" s="31" t="str">
        <f aca="false">IF($A90="","",IFERROR(ROUND(SUMIF(Fact_Work!$M:$M,$A90,Fact_Work!$AE:$AE)/Constants!$B$13,0),0))</f>
        <v/>
      </c>
      <c r="M90" s="31" t="str">
        <f aca="false">IF($A90="","",$I90+$L90)</f>
        <v/>
      </c>
      <c r="N90" s="49" t="str">
        <f aca="false">IF($A90="","",IFERROR($M90/$F90,""))</f>
        <v/>
      </c>
      <c r="O90" s="4" t="str">
        <f aca="false">IF($A90="","",COUNTIFS(Fact_Work!$L:$L,$A90,Fact_Work!$O:$O,"Yes"))</f>
        <v/>
      </c>
      <c r="P90" s="4" t="str">
        <f aca="false">IF($A90="","",IF($C90&lt;&gt;"Yes","n/a",IF($M90&gt;$F90,"OVER","OK")))</f>
        <v/>
      </c>
      <c r="Q90" s="23" t="str">
        <f aca="false">IF($A90="","",IFERROR(VLOOKUP($B90,Dim_Team!$A:$G,7,0),""))</f>
        <v/>
      </c>
    </row>
    <row r="91" customFormat="false" ht="15" hidden="false" customHeight="true" outlineLevel="0" collapsed="false">
      <c r="D91" s="4" t="str">
        <f aca="false">IF($A91="","",IFERROR(VLOOKUP($B91,Dim_Team!$A:$B,2,0),"external"))</f>
        <v/>
      </c>
      <c r="E91" s="22" t="str">
        <f aca="false">IF($A91="","",IFERROR(VLOOKUP($B91,Dim_Team!$A:$F,6,0),""))</f>
        <v/>
      </c>
      <c r="F91" s="31" t="str">
        <f aca="false">IF($A91="","",IFERROR(VLOOKUP($B91,Dim_Team!$A:$E,5,0),0))</f>
        <v/>
      </c>
      <c r="G91" s="4" t="str">
        <f aca="false">IF($A91="","",COUNTIF(Dim_Fund!$G:$G,$A91))</f>
        <v/>
      </c>
      <c r="H91" s="31" t="str">
        <f aca="false">IF($A91="","",IFERROR(ROUND(SUMIF(Fact_Work!$N:$N,$A91,Fact_Work!$Q:$Q)/Constants!$B$13,0),0))</f>
        <v/>
      </c>
      <c r="I91" s="31" t="str">
        <f aca="false">IF($A91="","",IFERROR(ROUND(SUMIF(Fact_Work!$L:$L,$A91,Fact_Work!$Q:$Q)/Constants!$B$13,0),0))</f>
        <v/>
      </c>
      <c r="J91" s="49" t="str">
        <f aca="false">IF($A91="","",IFERROR($I91/$F91,""))</f>
        <v/>
      </c>
      <c r="K91" s="4" t="str">
        <f aca="false">IF($A91="","",IFERROR(ROUND(COUNTIF(Fact_Work!$M:$M,$A91)/Constants!$B$13,1),0))</f>
        <v/>
      </c>
      <c r="L91" s="31" t="str">
        <f aca="false">IF($A91="","",IFERROR(ROUND(SUMIF(Fact_Work!$M:$M,$A91,Fact_Work!$AE:$AE)/Constants!$B$13,0),0))</f>
        <v/>
      </c>
      <c r="M91" s="31" t="str">
        <f aca="false">IF($A91="","",$I91+$L91)</f>
        <v/>
      </c>
      <c r="N91" s="49" t="str">
        <f aca="false">IF($A91="","",IFERROR($M91/$F91,""))</f>
        <v/>
      </c>
      <c r="O91" s="4" t="str">
        <f aca="false">IF($A91="","",COUNTIFS(Fact_Work!$L:$L,$A91,Fact_Work!$O:$O,"Yes"))</f>
        <v/>
      </c>
      <c r="P91" s="4" t="str">
        <f aca="false">IF($A91="","",IF($C91&lt;&gt;"Yes","n/a",IF($M91&gt;$F91,"OVER","OK")))</f>
        <v/>
      </c>
      <c r="Q91" s="23" t="str">
        <f aca="false">IF($A91="","",IFERROR(VLOOKUP($B91,Dim_Team!$A:$G,7,0),""))</f>
        <v/>
      </c>
    </row>
    <row r="92" customFormat="false" ht="15" hidden="false" customHeight="true" outlineLevel="0" collapsed="false">
      <c r="D92" s="4" t="str">
        <f aca="false">IF($A92="","",IFERROR(VLOOKUP($B92,Dim_Team!$A:$B,2,0),"external"))</f>
        <v/>
      </c>
      <c r="E92" s="22" t="str">
        <f aca="false">IF($A92="","",IFERROR(VLOOKUP($B92,Dim_Team!$A:$F,6,0),""))</f>
        <v/>
      </c>
      <c r="F92" s="31" t="str">
        <f aca="false">IF($A92="","",IFERROR(VLOOKUP($B92,Dim_Team!$A:$E,5,0),0))</f>
        <v/>
      </c>
      <c r="G92" s="4" t="str">
        <f aca="false">IF($A92="","",COUNTIF(Dim_Fund!$G:$G,$A92))</f>
        <v/>
      </c>
      <c r="H92" s="31" t="str">
        <f aca="false">IF($A92="","",IFERROR(ROUND(SUMIF(Fact_Work!$N:$N,$A92,Fact_Work!$Q:$Q)/Constants!$B$13,0),0))</f>
        <v/>
      </c>
      <c r="I92" s="31" t="str">
        <f aca="false">IF($A92="","",IFERROR(ROUND(SUMIF(Fact_Work!$L:$L,$A92,Fact_Work!$Q:$Q)/Constants!$B$13,0),0))</f>
        <v/>
      </c>
      <c r="J92" s="49" t="str">
        <f aca="false">IF($A92="","",IFERROR($I92/$F92,""))</f>
        <v/>
      </c>
      <c r="K92" s="4" t="str">
        <f aca="false">IF($A92="","",IFERROR(ROUND(COUNTIF(Fact_Work!$M:$M,$A92)/Constants!$B$13,1),0))</f>
        <v/>
      </c>
      <c r="L92" s="31" t="str">
        <f aca="false">IF($A92="","",IFERROR(ROUND(SUMIF(Fact_Work!$M:$M,$A92,Fact_Work!$AE:$AE)/Constants!$B$13,0),0))</f>
        <v/>
      </c>
      <c r="M92" s="31" t="str">
        <f aca="false">IF($A92="","",$I92+$L92)</f>
        <v/>
      </c>
      <c r="N92" s="49" t="str">
        <f aca="false">IF($A92="","",IFERROR($M92/$F92,""))</f>
        <v/>
      </c>
      <c r="O92" s="4" t="str">
        <f aca="false">IF($A92="","",COUNTIFS(Fact_Work!$L:$L,$A92,Fact_Work!$O:$O,"Yes"))</f>
        <v/>
      </c>
      <c r="P92" s="4" t="str">
        <f aca="false">IF($A92="","",IF($C92&lt;&gt;"Yes","n/a",IF($M92&gt;$F92,"OVER","OK")))</f>
        <v/>
      </c>
      <c r="Q92" s="23" t="str">
        <f aca="false">IF($A92="","",IFERROR(VLOOKUP($B92,Dim_Team!$A:$G,7,0),""))</f>
        <v/>
      </c>
    </row>
    <row r="93" customFormat="false" ht="15" hidden="false" customHeight="true" outlineLevel="0" collapsed="false">
      <c r="D93" s="4" t="str">
        <f aca="false">IF($A93="","",IFERROR(VLOOKUP($B93,Dim_Team!$A:$B,2,0),"external"))</f>
        <v/>
      </c>
      <c r="E93" s="22" t="str">
        <f aca="false">IF($A93="","",IFERROR(VLOOKUP($B93,Dim_Team!$A:$F,6,0),""))</f>
        <v/>
      </c>
      <c r="F93" s="31" t="str">
        <f aca="false">IF($A93="","",IFERROR(VLOOKUP($B93,Dim_Team!$A:$E,5,0),0))</f>
        <v/>
      </c>
      <c r="G93" s="4" t="str">
        <f aca="false">IF($A93="","",COUNTIF(Dim_Fund!$G:$G,$A93))</f>
        <v/>
      </c>
      <c r="H93" s="31" t="str">
        <f aca="false">IF($A93="","",IFERROR(ROUND(SUMIF(Fact_Work!$N:$N,$A93,Fact_Work!$Q:$Q)/Constants!$B$13,0),0))</f>
        <v/>
      </c>
      <c r="I93" s="31" t="str">
        <f aca="false">IF($A93="","",IFERROR(ROUND(SUMIF(Fact_Work!$L:$L,$A93,Fact_Work!$Q:$Q)/Constants!$B$13,0),0))</f>
        <v/>
      </c>
      <c r="J93" s="49" t="str">
        <f aca="false">IF($A93="","",IFERROR($I93/$F93,""))</f>
        <v/>
      </c>
      <c r="K93" s="4" t="str">
        <f aca="false">IF($A93="","",IFERROR(ROUND(COUNTIF(Fact_Work!$M:$M,$A93)/Constants!$B$13,1),0))</f>
        <v/>
      </c>
      <c r="L93" s="31" t="str">
        <f aca="false">IF($A93="","",IFERROR(ROUND(SUMIF(Fact_Work!$M:$M,$A93,Fact_Work!$AE:$AE)/Constants!$B$13,0),0))</f>
        <v/>
      </c>
      <c r="M93" s="31" t="str">
        <f aca="false">IF($A93="","",$I93+$L93)</f>
        <v/>
      </c>
      <c r="N93" s="49" t="str">
        <f aca="false">IF($A93="","",IFERROR($M93/$F93,""))</f>
        <v/>
      </c>
      <c r="O93" s="4" t="str">
        <f aca="false">IF($A93="","",COUNTIFS(Fact_Work!$L:$L,$A93,Fact_Work!$O:$O,"Yes"))</f>
        <v/>
      </c>
      <c r="P93" s="4" t="str">
        <f aca="false">IF($A93="","",IF($C93&lt;&gt;"Yes","n/a",IF($M93&gt;$F93,"OVER","OK")))</f>
        <v/>
      </c>
      <c r="Q93" s="23" t="str">
        <f aca="false">IF($A93="","",IFERROR(VLOOKUP($B93,Dim_Team!$A:$G,7,0),""))</f>
        <v/>
      </c>
    </row>
    <row r="94" customFormat="false" ht="15" hidden="false" customHeight="true" outlineLevel="0" collapsed="false">
      <c r="D94" s="4" t="str">
        <f aca="false">IF($A94="","",IFERROR(VLOOKUP($B94,Dim_Team!$A:$B,2,0),"external"))</f>
        <v/>
      </c>
      <c r="E94" s="22" t="str">
        <f aca="false">IF($A94="","",IFERROR(VLOOKUP($B94,Dim_Team!$A:$F,6,0),""))</f>
        <v/>
      </c>
      <c r="F94" s="31" t="str">
        <f aca="false">IF($A94="","",IFERROR(VLOOKUP($B94,Dim_Team!$A:$E,5,0),0))</f>
        <v/>
      </c>
      <c r="G94" s="4" t="str">
        <f aca="false">IF($A94="","",COUNTIF(Dim_Fund!$G:$G,$A94))</f>
        <v/>
      </c>
      <c r="H94" s="31" t="str">
        <f aca="false">IF($A94="","",IFERROR(ROUND(SUMIF(Fact_Work!$N:$N,$A94,Fact_Work!$Q:$Q)/Constants!$B$13,0),0))</f>
        <v/>
      </c>
      <c r="I94" s="31" t="str">
        <f aca="false">IF($A94="","",IFERROR(ROUND(SUMIF(Fact_Work!$L:$L,$A94,Fact_Work!$Q:$Q)/Constants!$B$13,0),0))</f>
        <v/>
      </c>
      <c r="J94" s="49" t="str">
        <f aca="false">IF($A94="","",IFERROR($I94/$F94,""))</f>
        <v/>
      </c>
      <c r="K94" s="4" t="str">
        <f aca="false">IF($A94="","",IFERROR(ROUND(COUNTIF(Fact_Work!$M:$M,$A94)/Constants!$B$13,1),0))</f>
        <v/>
      </c>
      <c r="L94" s="31" t="str">
        <f aca="false">IF($A94="","",IFERROR(ROUND(SUMIF(Fact_Work!$M:$M,$A94,Fact_Work!$AE:$AE)/Constants!$B$13,0),0))</f>
        <v/>
      </c>
      <c r="M94" s="31" t="str">
        <f aca="false">IF($A94="","",$I94+$L94)</f>
        <v/>
      </c>
      <c r="N94" s="49" t="str">
        <f aca="false">IF($A94="","",IFERROR($M94/$F94,""))</f>
        <v/>
      </c>
      <c r="O94" s="4" t="str">
        <f aca="false">IF($A94="","",COUNTIFS(Fact_Work!$L:$L,$A94,Fact_Work!$O:$O,"Yes"))</f>
        <v/>
      </c>
      <c r="P94" s="4" t="str">
        <f aca="false">IF($A94="","",IF($C94&lt;&gt;"Yes","n/a",IF($M94&gt;$F94,"OVER","OK")))</f>
        <v/>
      </c>
      <c r="Q94" s="23" t="str">
        <f aca="false">IF($A94="","",IFERROR(VLOOKUP($B94,Dim_Team!$A:$G,7,0),""))</f>
        <v/>
      </c>
    </row>
    <row r="95" customFormat="false" ht="15" hidden="false" customHeight="true" outlineLevel="0" collapsed="false">
      <c r="D95" s="4" t="str">
        <f aca="false">IF($A95="","",IFERROR(VLOOKUP($B95,Dim_Team!$A:$B,2,0),"external"))</f>
        <v/>
      </c>
      <c r="E95" s="22" t="str">
        <f aca="false">IF($A95="","",IFERROR(VLOOKUP($B95,Dim_Team!$A:$F,6,0),""))</f>
        <v/>
      </c>
      <c r="F95" s="31" t="str">
        <f aca="false">IF($A95="","",IFERROR(VLOOKUP($B95,Dim_Team!$A:$E,5,0),0))</f>
        <v/>
      </c>
      <c r="G95" s="4" t="str">
        <f aca="false">IF($A95="","",COUNTIF(Dim_Fund!$G:$G,$A95))</f>
        <v/>
      </c>
      <c r="H95" s="31" t="str">
        <f aca="false">IF($A95="","",IFERROR(ROUND(SUMIF(Fact_Work!$N:$N,$A95,Fact_Work!$Q:$Q)/Constants!$B$13,0),0))</f>
        <v/>
      </c>
      <c r="I95" s="31" t="str">
        <f aca="false">IF($A95="","",IFERROR(ROUND(SUMIF(Fact_Work!$L:$L,$A95,Fact_Work!$Q:$Q)/Constants!$B$13,0),0))</f>
        <v/>
      </c>
      <c r="J95" s="49" t="str">
        <f aca="false">IF($A95="","",IFERROR($I95/$F95,""))</f>
        <v/>
      </c>
      <c r="K95" s="4" t="str">
        <f aca="false">IF($A95="","",IFERROR(ROUND(COUNTIF(Fact_Work!$M:$M,$A95)/Constants!$B$13,1),0))</f>
        <v/>
      </c>
      <c r="L95" s="31" t="str">
        <f aca="false">IF($A95="","",IFERROR(ROUND(SUMIF(Fact_Work!$M:$M,$A95,Fact_Work!$AE:$AE)/Constants!$B$13,0),0))</f>
        <v/>
      </c>
      <c r="M95" s="31" t="str">
        <f aca="false">IF($A95="","",$I95+$L95)</f>
        <v/>
      </c>
      <c r="N95" s="49" t="str">
        <f aca="false">IF($A95="","",IFERROR($M95/$F95,""))</f>
        <v/>
      </c>
      <c r="O95" s="4" t="str">
        <f aca="false">IF($A95="","",COUNTIFS(Fact_Work!$L:$L,$A95,Fact_Work!$O:$O,"Yes"))</f>
        <v/>
      </c>
      <c r="P95" s="4" t="str">
        <f aca="false">IF($A95="","",IF($C95&lt;&gt;"Yes","n/a",IF($M95&gt;$F95,"OVER","OK")))</f>
        <v/>
      </c>
      <c r="Q95" s="23" t="str">
        <f aca="false">IF($A95="","",IFERROR(VLOOKUP($B95,Dim_Team!$A:$G,7,0),""))</f>
        <v/>
      </c>
    </row>
    <row r="96" customFormat="false" ht="15" hidden="false" customHeight="true" outlineLevel="0" collapsed="false">
      <c r="D96" s="4" t="str">
        <f aca="false">IF($A96="","",IFERROR(VLOOKUP($B96,Dim_Team!$A:$B,2,0),"external"))</f>
        <v/>
      </c>
      <c r="E96" s="22" t="str">
        <f aca="false">IF($A96="","",IFERROR(VLOOKUP($B96,Dim_Team!$A:$F,6,0),""))</f>
        <v/>
      </c>
      <c r="F96" s="31" t="str">
        <f aca="false">IF($A96="","",IFERROR(VLOOKUP($B96,Dim_Team!$A:$E,5,0),0))</f>
        <v/>
      </c>
      <c r="G96" s="4" t="str">
        <f aca="false">IF($A96="","",COUNTIF(Dim_Fund!$G:$G,$A96))</f>
        <v/>
      </c>
      <c r="H96" s="31" t="str">
        <f aca="false">IF($A96="","",IFERROR(ROUND(SUMIF(Fact_Work!$N:$N,$A96,Fact_Work!$Q:$Q)/Constants!$B$13,0),0))</f>
        <v/>
      </c>
      <c r="I96" s="31" t="str">
        <f aca="false">IF($A96="","",IFERROR(ROUND(SUMIF(Fact_Work!$L:$L,$A96,Fact_Work!$Q:$Q)/Constants!$B$13,0),0))</f>
        <v/>
      </c>
      <c r="J96" s="49" t="str">
        <f aca="false">IF($A96="","",IFERROR($I96/$F96,""))</f>
        <v/>
      </c>
      <c r="K96" s="4" t="str">
        <f aca="false">IF($A96="","",IFERROR(ROUND(COUNTIF(Fact_Work!$M:$M,$A96)/Constants!$B$13,1),0))</f>
        <v/>
      </c>
      <c r="L96" s="31" t="str">
        <f aca="false">IF($A96="","",IFERROR(ROUND(SUMIF(Fact_Work!$M:$M,$A96,Fact_Work!$AE:$AE)/Constants!$B$13,0),0))</f>
        <v/>
      </c>
      <c r="M96" s="31" t="str">
        <f aca="false">IF($A96="","",$I96+$L96)</f>
        <v/>
      </c>
      <c r="N96" s="49" t="str">
        <f aca="false">IF($A96="","",IFERROR($M96/$F96,""))</f>
        <v/>
      </c>
      <c r="O96" s="4" t="str">
        <f aca="false">IF($A96="","",COUNTIFS(Fact_Work!$L:$L,$A96,Fact_Work!$O:$O,"Yes"))</f>
        <v/>
      </c>
      <c r="P96" s="4" t="str">
        <f aca="false">IF($A96="","",IF($C96&lt;&gt;"Yes","n/a",IF($M96&gt;$F96,"OVER","OK")))</f>
        <v/>
      </c>
      <c r="Q96" s="23" t="str">
        <f aca="false">IF($A96="","",IFERROR(VLOOKUP($B96,Dim_Team!$A:$G,7,0),""))</f>
        <v/>
      </c>
    </row>
    <row r="97" customFormat="false" ht="15" hidden="false" customHeight="true" outlineLevel="0" collapsed="false">
      <c r="D97" s="4" t="str">
        <f aca="false">IF($A97="","",IFERROR(VLOOKUP($B97,Dim_Team!$A:$B,2,0),"external"))</f>
        <v/>
      </c>
      <c r="E97" s="22" t="str">
        <f aca="false">IF($A97="","",IFERROR(VLOOKUP($B97,Dim_Team!$A:$F,6,0),""))</f>
        <v/>
      </c>
      <c r="F97" s="31" t="str">
        <f aca="false">IF($A97="","",IFERROR(VLOOKUP($B97,Dim_Team!$A:$E,5,0),0))</f>
        <v/>
      </c>
      <c r="G97" s="4" t="str">
        <f aca="false">IF($A97="","",COUNTIF(Dim_Fund!$G:$G,$A97))</f>
        <v/>
      </c>
      <c r="H97" s="31" t="str">
        <f aca="false">IF($A97="","",IFERROR(ROUND(SUMIF(Fact_Work!$N:$N,$A97,Fact_Work!$Q:$Q)/Constants!$B$13,0),0))</f>
        <v/>
      </c>
      <c r="I97" s="31" t="str">
        <f aca="false">IF($A97="","",IFERROR(ROUND(SUMIF(Fact_Work!$L:$L,$A97,Fact_Work!$Q:$Q)/Constants!$B$13,0),0))</f>
        <v/>
      </c>
      <c r="J97" s="49" t="str">
        <f aca="false">IF($A97="","",IFERROR($I97/$F97,""))</f>
        <v/>
      </c>
      <c r="K97" s="4" t="str">
        <f aca="false">IF($A97="","",IFERROR(ROUND(COUNTIF(Fact_Work!$M:$M,$A97)/Constants!$B$13,1),0))</f>
        <v/>
      </c>
      <c r="L97" s="31" t="str">
        <f aca="false">IF($A97="","",IFERROR(ROUND(SUMIF(Fact_Work!$M:$M,$A97,Fact_Work!$AE:$AE)/Constants!$B$13,0),0))</f>
        <v/>
      </c>
      <c r="M97" s="31" t="str">
        <f aca="false">IF($A97="","",$I97+$L97)</f>
        <v/>
      </c>
      <c r="N97" s="49" t="str">
        <f aca="false">IF($A97="","",IFERROR($M97/$F97,""))</f>
        <v/>
      </c>
      <c r="O97" s="4" t="str">
        <f aca="false">IF($A97="","",COUNTIFS(Fact_Work!$L:$L,$A97,Fact_Work!$O:$O,"Yes"))</f>
        <v/>
      </c>
      <c r="P97" s="4" t="str">
        <f aca="false">IF($A97="","",IF($C97&lt;&gt;"Yes","n/a",IF($M97&gt;$F97,"OVER","OK")))</f>
        <v/>
      </c>
      <c r="Q97" s="23" t="str">
        <f aca="false">IF($A97="","",IFERROR(VLOOKUP($B97,Dim_Team!$A:$G,7,0),""))</f>
        <v/>
      </c>
    </row>
    <row r="98" customFormat="false" ht="15" hidden="false" customHeight="true" outlineLevel="0" collapsed="false">
      <c r="D98" s="4" t="str">
        <f aca="false">IF($A98="","",IFERROR(VLOOKUP($B98,Dim_Team!$A:$B,2,0),"external"))</f>
        <v/>
      </c>
      <c r="E98" s="22" t="str">
        <f aca="false">IF($A98="","",IFERROR(VLOOKUP($B98,Dim_Team!$A:$F,6,0),""))</f>
        <v/>
      </c>
      <c r="F98" s="31" t="str">
        <f aca="false">IF($A98="","",IFERROR(VLOOKUP($B98,Dim_Team!$A:$E,5,0),0))</f>
        <v/>
      </c>
      <c r="G98" s="4" t="str">
        <f aca="false">IF($A98="","",COUNTIF(Dim_Fund!$G:$G,$A98))</f>
        <v/>
      </c>
      <c r="H98" s="31" t="str">
        <f aca="false">IF($A98="","",IFERROR(ROUND(SUMIF(Fact_Work!$N:$N,$A98,Fact_Work!$Q:$Q)/Constants!$B$13,0),0))</f>
        <v/>
      </c>
      <c r="I98" s="31" t="str">
        <f aca="false">IF($A98="","",IFERROR(ROUND(SUMIF(Fact_Work!$L:$L,$A98,Fact_Work!$Q:$Q)/Constants!$B$13,0),0))</f>
        <v/>
      </c>
      <c r="J98" s="49" t="str">
        <f aca="false">IF($A98="","",IFERROR($I98/$F98,""))</f>
        <v/>
      </c>
      <c r="K98" s="4" t="str">
        <f aca="false">IF($A98="","",IFERROR(ROUND(COUNTIF(Fact_Work!$M:$M,$A98)/Constants!$B$13,1),0))</f>
        <v/>
      </c>
      <c r="L98" s="31" t="str">
        <f aca="false">IF($A98="","",IFERROR(ROUND(SUMIF(Fact_Work!$M:$M,$A98,Fact_Work!$AE:$AE)/Constants!$B$13,0),0))</f>
        <v/>
      </c>
      <c r="M98" s="31" t="str">
        <f aca="false">IF($A98="","",$I98+$L98)</f>
        <v/>
      </c>
      <c r="N98" s="49" t="str">
        <f aca="false">IF($A98="","",IFERROR($M98/$F98,""))</f>
        <v/>
      </c>
      <c r="O98" s="4" t="str">
        <f aca="false">IF($A98="","",COUNTIFS(Fact_Work!$L:$L,$A98,Fact_Work!$O:$O,"Yes"))</f>
        <v/>
      </c>
      <c r="P98" s="4" t="str">
        <f aca="false">IF($A98="","",IF($C98&lt;&gt;"Yes","n/a",IF($M98&gt;$F98,"OVER","OK")))</f>
        <v/>
      </c>
      <c r="Q98" s="23" t="str">
        <f aca="false">IF($A98="","",IFERROR(VLOOKUP($B98,Dim_Team!$A:$G,7,0),""))</f>
        <v/>
      </c>
    </row>
    <row r="99" customFormat="false" ht="15" hidden="false" customHeight="true" outlineLevel="0" collapsed="false">
      <c r="D99" s="4" t="str">
        <f aca="false">IF($A99="","",IFERROR(VLOOKUP($B99,Dim_Team!$A:$B,2,0),"external"))</f>
        <v/>
      </c>
      <c r="E99" s="22" t="str">
        <f aca="false">IF($A99="","",IFERROR(VLOOKUP($B99,Dim_Team!$A:$F,6,0),""))</f>
        <v/>
      </c>
      <c r="F99" s="31" t="str">
        <f aca="false">IF($A99="","",IFERROR(VLOOKUP($B99,Dim_Team!$A:$E,5,0),0))</f>
        <v/>
      </c>
      <c r="G99" s="4" t="str">
        <f aca="false">IF($A99="","",COUNTIF(Dim_Fund!$G:$G,$A99))</f>
        <v/>
      </c>
      <c r="H99" s="31" t="str">
        <f aca="false">IF($A99="","",IFERROR(ROUND(SUMIF(Fact_Work!$N:$N,$A99,Fact_Work!$Q:$Q)/Constants!$B$13,0),0))</f>
        <v/>
      </c>
      <c r="I99" s="31" t="str">
        <f aca="false">IF($A99="","",IFERROR(ROUND(SUMIF(Fact_Work!$L:$L,$A99,Fact_Work!$Q:$Q)/Constants!$B$13,0),0))</f>
        <v/>
      </c>
      <c r="J99" s="49" t="str">
        <f aca="false">IF($A99="","",IFERROR($I99/$F99,""))</f>
        <v/>
      </c>
      <c r="K99" s="4" t="str">
        <f aca="false">IF($A99="","",IFERROR(ROUND(COUNTIF(Fact_Work!$M:$M,$A99)/Constants!$B$13,1),0))</f>
        <v/>
      </c>
      <c r="L99" s="31" t="str">
        <f aca="false">IF($A99="","",IFERROR(ROUND(SUMIF(Fact_Work!$M:$M,$A99,Fact_Work!$AE:$AE)/Constants!$B$13,0),0))</f>
        <v/>
      </c>
      <c r="M99" s="31" t="str">
        <f aca="false">IF($A99="","",$I99+$L99)</f>
        <v/>
      </c>
      <c r="N99" s="49" t="str">
        <f aca="false">IF($A99="","",IFERROR($M99/$F99,""))</f>
        <v/>
      </c>
      <c r="O99" s="4" t="str">
        <f aca="false">IF($A99="","",COUNTIFS(Fact_Work!$L:$L,$A99,Fact_Work!$O:$O,"Yes"))</f>
        <v/>
      </c>
      <c r="P99" s="4" t="str">
        <f aca="false">IF($A99="","",IF($C99&lt;&gt;"Yes","n/a",IF($M99&gt;$F99,"OVER","OK")))</f>
        <v/>
      </c>
      <c r="Q99" s="23" t="str">
        <f aca="false">IF($A99="","",IFERROR(VLOOKUP($B99,Dim_Team!$A:$G,7,0),""))</f>
        <v/>
      </c>
    </row>
    <row r="100" customFormat="false" ht="15" hidden="false" customHeight="true" outlineLevel="0" collapsed="false">
      <c r="D100" s="4" t="str">
        <f aca="false">IF($A100="","",IFERROR(VLOOKUP($B100,Dim_Team!$A:$B,2,0),"external"))</f>
        <v/>
      </c>
      <c r="E100" s="22" t="str">
        <f aca="false">IF($A100="","",IFERROR(VLOOKUP($B100,Dim_Team!$A:$F,6,0),""))</f>
        <v/>
      </c>
      <c r="F100" s="31" t="str">
        <f aca="false">IF($A100="","",IFERROR(VLOOKUP($B100,Dim_Team!$A:$E,5,0),0))</f>
        <v/>
      </c>
      <c r="G100" s="4" t="str">
        <f aca="false">IF($A100="","",COUNTIF(Dim_Fund!$G:$G,$A100))</f>
        <v/>
      </c>
      <c r="H100" s="31" t="str">
        <f aca="false">IF($A100="","",IFERROR(ROUND(SUMIF(Fact_Work!$N:$N,$A100,Fact_Work!$Q:$Q)/Constants!$B$13,0),0))</f>
        <v/>
      </c>
      <c r="I100" s="31" t="str">
        <f aca="false">IF($A100="","",IFERROR(ROUND(SUMIF(Fact_Work!$L:$L,$A100,Fact_Work!$Q:$Q)/Constants!$B$13,0),0))</f>
        <v/>
      </c>
      <c r="J100" s="49" t="str">
        <f aca="false">IF($A100="","",IFERROR($I100/$F100,""))</f>
        <v/>
      </c>
      <c r="K100" s="4" t="str">
        <f aca="false">IF($A100="","",IFERROR(ROUND(COUNTIF(Fact_Work!$M:$M,$A100)/Constants!$B$13,1),0))</f>
        <v/>
      </c>
      <c r="L100" s="31" t="str">
        <f aca="false">IF($A100="","",IFERROR(ROUND(SUMIF(Fact_Work!$M:$M,$A100,Fact_Work!$AE:$AE)/Constants!$B$13,0),0))</f>
        <v/>
      </c>
      <c r="M100" s="31" t="str">
        <f aca="false">IF($A100="","",$I100+$L100)</f>
        <v/>
      </c>
      <c r="N100" s="49" t="str">
        <f aca="false">IF($A100="","",IFERROR($M100/$F100,""))</f>
        <v/>
      </c>
      <c r="O100" s="4" t="str">
        <f aca="false">IF($A100="","",COUNTIFS(Fact_Work!$L:$L,$A100,Fact_Work!$O:$O,"Yes"))</f>
        <v/>
      </c>
      <c r="P100" s="4" t="str">
        <f aca="false">IF($A100="","",IF($C100&lt;&gt;"Yes","n/a",IF($M100&gt;$F100,"OVER","OK")))</f>
        <v/>
      </c>
      <c r="Q100" s="23" t="str">
        <f aca="false">IF($A100="","",IFERROR(VLOOKUP($B100,Dim_Team!$A:$G,7,0),""))</f>
        <v/>
      </c>
    </row>
    <row r="101" customFormat="false" ht="15" hidden="false" customHeight="true" outlineLevel="0" collapsed="false">
      <c r="D101" s="4" t="str">
        <f aca="false">IF($A101="","",IFERROR(VLOOKUP($B101,Dim_Team!$A:$B,2,0),"external"))</f>
        <v/>
      </c>
      <c r="E101" s="22" t="str">
        <f aca="false">IF($A101="","",IFERROR(VLOOKUP($B101,Dim_Team!$A:$F,6,0),""))</f>
        <v/>
      </c>
      <c r="F101" s="31" t="str">
        <f aca="false">IF($A101="","",IFERROR(VLOOKUP($B101,Dim_Team!$A:$E,5,0),0))</f>
        <v/>
      </c>
      <c r="G101" s="4" t="str">
        <f aca="false">IF($A101="","",COUNTIF(Dim_Fund!$G:$G,$A101))</f>
        <v/>
      </c>
      <c r="H101" s="31" t="str">
        <f aca="false">IF($A101="","",IFERROR(ROUND(SUMIF(Fact_Work!$N:$N,$A101,Fact_Work!$Q:$Q)/Constants!$B$13,0),0))</f>
        <v/>
      </c>
      <c r="I101" s="31" t="str">
        <f aca="false">IF($A101="","",IFERROR(ROUND(SUMIF(Fact_Work!$L:$L,$A101,Fact_Work!$Q:$Q)/Constants!$B$13,0),0))</f>
        <v/>
      </c>
      <c r="J101" s="49" t="str">
        <f aca="false">IF($A101="","",IFERROR($I101/$F101,""))</f>
        <v/>
      </c>
      <c r="K101" s="4" t="str">
        <f aca="false">IF($A101="","",IFERROR(ROUND(COUNTIF(Fact_Work!$M:$M,$A101)/Constants!$B$13,1),0))</f>
        <v/>
      </c>
      <c r="L101" s="31" t="str">
        <f aca="false">IF($A101="","",IFERROR(ROUND(SUMIF(Fact_Work!$M:$M,$A101,Fact_Work!$AE:$AE)/Constants!$B$13,0),0))</f>
        <v/>
      </c>
      <c r="M101" s="31" t="str">
        <f aca="false">IF($A101="","",$I101+$L101)</f>
        <v/>
      </c>
      <c r="N101" s="49" t="str">
        <f aca="false">IF($A101="","",IFERROR($M101/$F101,""))</f>
        <v/>
      </c>
      <c r="O101" s="4" t="str">
        <f aca="false">IF($A101="","",COUNTIFS(Fact_Work!$L:$L,$A101,Fact_Work!$O:$O,"Yes"))</f>
        <v/>
      </c>
      <c r="P101" s="4" t="str">
        <f aca="false">IF($A101="","",IF($C101&lt;&gt;"Yes","n/a",IF($M101&gt;$F101,"OVER","OK")))</f>
        <v/>
      </c>
      <c r="Q101" s="23" t="str">
        <f aca="false">IF($A101="","",IFERROR(VLOOKUP($B101,Dim_Team!$A:$G,7,0),""))</f>
        <v/>
      </c>
    </row>
    <row r="102" customFormat="false" ht="15" hidden="false" customHeight="true" outlineLevel="0" collapsed="false">
      <c r="D102" s="4" t="str">
        <f aca="false">IF($A102="","",IFERROR(VLOOKUP($B102,Dim_Team!$A:$B,2,0),"external"))</f>
        <v/>
      </c>
      <c r="E102" s="22" t="str">
        <f aca="false">IF($A102="","",IFERROR(VLOOKUP($B102,Dim_Team!$A:$F,6,0),""))</f>
        <v/>
      </c>
      <c r="F102" s="31" t="str">
        <f aca="false">IF($A102="","",IFERROR(VLOOKUP($B102,Dim_Team!$A:$E,5,0),0))</f>
        <v/>
      </c>
      <c r="G102" s="4" t="str">
        <f aca="false">IF($A102="","",COUNTIF(Dim_Fund!$G:$G,$A102))</f>
        <v/>
      </c>
      <c r="H102" s="31" t="str">
        <f aca="false">IF($A102="","",IFERROR(ROUND(SUMIF(Fact_Work!$N:$N,$A102,Fact_Work!$Q:$Q)/Constants!$B$13,0),0))</f>
        <v/>
      </c>
      <c r="I102" s="31" t="str">
        <f aca="false">IF($A102="","",IFERROR(ROUND(SUMIF(Fact_Work!$L:$L,$A102,Fact_Work!$Q:$Q)/Constants!$B$13,0),0))</f>
        <v/>
      </c>
      <c r="J102" s="49" t="str">
        <f aca="false">IF($A102="","",IFERROR($I102/$F102,""))</f>
        <v/>
      </c>
      <c r="K102" s="4" t="str">
        <f aca="false">IF($A102="","",IFERROR(ROUND(COUNTIF(Fact_Work!$M:$M,$A102)/Constants!$B$13,1),0))</f>
        <v/>
      </c>
      <c r="L102" s="31" t="str">
        <f aca="false">IF($A102="","",IFERROR(ROUND(SUMIF(Fact_Work!$M:$M,$A102,Fact_Work!$AE:$AE)/Constants!$B$13,0),0))</f>
        <v/>
      </c>
      <c r="M102" s="31" t="str">
        <f aca="false">IF($A102="","",$I102+$L102)</f>
        <v/>
      </c>
      <c r="N102" s="49" t="str">
        <f aca="false">IF($A102="","",IFERROR($M102/$F102,""))</f>
        <v/>
      </c>
      <c r="O102" s="4" t="str">
        <f aca="false">IF($A102="","",COUNTIFS(Fact_Work!$L:$L,$A102,Fact_Work!$O:$O,"Yes"))</f>
        <v/>
      </c>
      <c r="P102" s="4" t="str">
        <f aca="false">IF($A102="","",IF($C102&lt;&gt;"Yes","n/a",IF($M102&gt;$F102,"OVER","OK")))</f>
        <v/>
      </c>
      <c r="Q102" s="23" t="str">
        <f aca="false">IF($A102="","",IFERROR(VLOOKUP($B102,Dim_Team!$A:$G,7,0),""))</f>
        <v/>
      </c>
    </row>
    <row r="103" customFormat="false" ht="15" hidden="false" customHeight="true" outlineLevel="0" collapsed="false">
      <c r="D103" s="4" t="str">
        <f aca="false">IF($A103="","",IFERROR(VLOOKUP($B103,Dim_Team!$A:$B,2,0),"external"))</f>
        <v/>
      </c>
      <c r="E103" s="22" t="str">
        <f aca="false">IF($A103="","",IFERROR(VLOOKUP($B103,Dim_Team!$A:$F,6,0),""))</f>
        <v/>
      </c>
      <c r="F103" s="31" t="str">
        <f aca="false">IF($A103="","",IFERROR(VLOOKUP($B103,Dim_Team!$A:$E,5,0),0))</f>
        <v/>
      </c>
      <c r="G103" s="4" t="str">
        <f aca="false">IF($A103="","",COUNTIF(Dim_Fund!$G:$G,$A103))</f>
        <v/>
      </c>
      <c r="H103" s="31" t="str">
        <f aca="false">IF($A103="","",IFERROR(ROUND(SUMIF(Fact_Work!$N:$N,$A103,Fact_Work!$Q:$Q)/Constants!$B$13,0),0))</f>
        <v/>
      </c>
      <c r="I103" s="31" t="str">
        <f aca="false">IF($A103="","",IFERROR(ROUND(SUMIF(Fact_Work!$L:$L,$A103,Fact_Work!$Q:$Q)/Constants!$B$13,0),0))</f>
        <v/>
      </c>
      <c r="J103" s="49" t="str">
        <f aca="false">IF($A103="","",IFERROR($I103/$F103,""))</f>
        <v/>
      </c>
      <c r="K103" s="4" t="str">
        <f aca="false">IF($A103="","",IFERROR(ROUND(COUNTIF(Fact_Work!$M:$M,$A103)/Constants!$B$13,1),0))</f>
        <v/>
      </c>
      <c r="L103" s="31" t="str">
        <f aca="false">IF($A103="","",IFERROR(ROUND(SUMIF(Fact_Work!$M:$M,$A103,Fact_Work!$AE:$AE)/Constants!$B$13,0),0))</f>
        <v/>
      </c>
      <c r="M103" s="31" t="str">
        <f aca="false">IF($A103="","",$I103+$L103)</f>
        <v/>
      </c>
      <c r="N103" s="49" t="str">
        <f aca="false">IF($A103="","",IFERROR($M103/$F103,""))</f>
        <v/>
      </c>
      <c r="O103" s="4" t="str">
        <f aca="false">IF($A103="","",COUNTIFS(Fact_Work!$L:$L,$A103,Fact_Work!$O:$O,"Yes"))</f>
        <v/>
      </c>
      <c r="P103" s="4" t="str">
        <f aca="false">IF($A103="","",IF($C103&lt;&gt;"Yes","n/a",IF($M103&gt;$F103,"OVER","OK")))</f>
        <v/>
      </c>
      <c r="Q103" s="23" t="str">
        <f aca="false">IF($A103="","",IFERROR(VLOOKUP($B103,Dim_Team!$A:$G,7,0),""))</f>
        <v/>
      </c>
    </row>
    <row r="104" customFormat="false" ht="15" hidden="false" customHeight="true" outlineLevel="0" collapsed="false">
      <c r="D104" s="4" t="str">
        <f aca="false">IF($A104="","",IFERROR(VLOOKUP($B104,Dim_Team!$A:$B,2,0),"external"))</f>
        <v/>
      </c>
      <c r="E104" s="22" t="str">
        <f aca="false">IF($A104="","",IFERROR(VLOOKUP($B104,Dim_Team!$A:$F,6,0),""))</f>
        <v/>
      </c>
      <c r="F104" s="31" t="str">
        <f aca="false">IF($A104="","",IFERROR(VLOOKUP($B104,Dim_Team!$A:$E,5,0),0))</f>
        <v/>
      </c>
      <c r="G104" s="4" t="str">
        <f aca="false">IF($A104="","",COUNTIF(Dim_Fund!$G:$G,$A104))</f>
        <v/>
      </c>
      <c r="H104" s="31" t="str">
        <f aca="false">IF($A104="","",IFERROR(ROUND(SUMIF(Fact_Work!$N:$N,$A104,Fact_Work!$Q:$Q)/Constants!$B$13,0),0))</f>
        <v/>
      </c>
      <c r="I104" s="31" t="str">
        <f aca="false">IF($A104="","",IFERROR(ROUND(SUMIF(Fact_Work!$L:$L,$A104,Fact_Work!$Q:$Q)/Constants!$B$13,0),0))</f>
        <v/>
      </c>
      <c r="J104" s="49" t="str">
        <f aca="false">IF($A104="","",IFERROR($I104/$F104,""))</f>
        <v/>
      </c>
      <c r="K104" s="4" t="str">
        <f aca="false">IF($A104="","",IFERROR(ROUND(COUNTIF(Fact_Work!$M:$M,$A104)/Constants!$B$13,1),0))</f>
        <v/>
      </c>
      <c r="L104" s="31" t="str">
        <f aca="false">IF($A104="","",IFERROR(ROUND(SUMIF(Fact_Work!$M:$M,$A104,Fact_Work!$AE:$AE)/Constants!$B$13,0),0))</f>
        <v/>
      </c>
      <c r="M104" s="31" t="str">
        <f aca="false">IF($A104="","",$I104+$L104)</f>
        <v/>
      </c>
      <c r="N104" s="49" t="str">
        <f aca="false">IF($A104="","",IFERROR($M104/$F104,""))</f>
        <v/>
      </c>
      <c r="O104" s="4" t="str">
        <f aca="false">IF($A104="","",COUNTIFS(Fact_Work!$L:$L,$A104,Fact_Work!$O:$O,"Yes"))</f>
        <v/>
      </c>
      <c r="P104" s="4" t="str">
        <f aca="false">IF($A104="","",IF($C104&lt;&gt;"Yes","n/a",IF($M104&gt;$F104,"OVER","OK")))</f>
        <v/>
      </c>
      <c r="Q104" s="23" t="str">
        <f aca="false">IF($A104="","",IFERROR(VLOOKUP($B104,Dim_Team!$A:$G,7,0),""))</f>
        <v/>
      </c>
    </row>
    <row r="105" customFormat="false" ht="15" hidden="false" customHeight="true" outlineLevel="0" collapsed="false">
      <c r="D105" s="4" t="str">
        <f aca="false">IF($A105="","",IFERROR(VLOOKUP($B105,Dim_Team!$A:$B,2,0),"external"))</f>
        <v/>
      </c>
      <c r="E105" s="22" t="str">
        <f aca="false">IF($A105="","",IFERROR(VLOOKUP($B105,Dim_Team!$A:$F,6,0),""))</f>
        <v/>
      </c>
      <c r="F105" s="31" t="str">
        <f aca="false">IF($A105="","",IFERROR(VLOOKUP($B105,Dim_Team!$A:$E,5,0),0))</f>
        <v/>
      </c>
      <c r="G105" s="4" t="str">
        <f aca="false">IF($A105="","",COUNTIF(Dim_Fund!$G:$G,$A105))</f>
        <v/>
      </c>
      <c r="H105" s="31" t="str">
        <f aca="false">IF($A105="","",IFERROR(ROUND(SUMIF(Fact_Work!$N:$N,$A105,Fact_Work!$Q:$Q)/Constants!$B$13,0),0))</f>
        <v/>
      </c>
      <c r="I105" s="31" t="str">
        <f aca="false">IF($A105="","",IFERROR(ROUND(SUMIF(Fact_Work!$L:$L,$A105,Fact_Work!$Q:$Q)/Constants!$B$13,0),0))</f>
        <v/>
      </c>
      <c r="J105" s="49" t="str">
        <f aca="false">IF($A105="","",IFERROR($I105/$F105,""))</f>
        <v/>
      </c>
      <c r="K105" s="4" t="str">
        <f aca="false">IF($A105="","",IFERROR(ROUND(COUNTIF(Fact_Work!$M:$M,$A105)/Constants!$B$13,1),0))</f>
        <v/>
      </c>
      <c r="L105" s="31" t="str">
        <f aca="false">IF($A105="","",IFERROR(ROUND(SUMIF(Fact_Work!$M:$M,$A105,Fact_Work!$AE:$AE)/Constants!$B$13,0),0))</f>
        <v/>
      </c>
      <c r="M105" s="31" t="str">
        <f aca="false">IF($A105="","",$I105+$L105)</f>
        <v/>
      </c>
      <c r="N105" s="49" t="str">
        <f aca="false">IF($A105="","",IFERROR($M105/$F105,""))</f>
        <v/>
      </c>
      <c r="O105" s="4" t="str">
        <f aca="false">IF($A105="","",COUNTIFS(Fact_Work!$L:$L,$A105,Fact_Work!$O:$O,"Yes"))</f>
        <v/>
      </c>
      <c r="P105" s="4" t="str">
        <f aca="false">IF($A105="","",IF($C105&lt;&gt;"Yes","n/a",IF($M105&gt;$F105,"OVER","OK")))</f>
        <v/>
      </c>
      <c r="Q105" s="23" t="str">
        <f aca="false">IF($A105="","",IFERROR(VLOOKUP($B105,Dim_Team!$A:$G,7,0),""))</f>
        <v/>
      </c>
    </row>
    <row r="106" customFormat="false" ht="15" hidden="false" customHeight="true" outlineLevel="0" collapsed="false">
      <c r="D106" s="4" t="str">
        <f aca="false">IF($A106="","",IFERROR(VLOOKUP($B106,Dim_Team!$A:$B,2,0),"external"))</f>
        <v/>
      </c>
      <c r="E106" s="22" t="str">
        <f aca="false">IF($A106="","",IFERROR(VLOOKUP($B106,Dim_Team!$A:$F,6,0),""))</f>
        <v/>
      </c>
      <c r="F106" s="31" t="str">
        <f aca="false">IF($A106="","",IFERROR(VLOOKUP($B106,Dim_Team!$A:$E,5,0),0))</f>
        <v/>
      </c>
      <c r="G106" s="4" t="str">
        <f aca="false">IF($A106="","",COUNTIF(Dim_Fund!$G:$G,$A106))</f>
        <v/>
      </c>
      <c r="H106" s="31" t="str">
        <f aca="false">IF($A106="","",IFERROR(ROUND(SUMIF(Fact_Work!$N:$N,$A106,Fact_Work!$Q:$Q)/Constants!$B$13,0),0))</f>
        <v/>
      </c>
      <c r="I106" s="31" t="str">
        <f aca="false">IF($A106="","",IFERROR(ROUND(SUMIF(Fact_Work!$L:$L,$A106,Fact_Work!$Q:$Q)/Constants!$B$13,0),0))</f>
        <v/>
      </c>
      <c r="J106" s="49" t="str">
        <f aca="false">IF($A106="","",IFERROR($I106/$F106,""))</f>
        <v/>
      </c>
      <c r="K106" s="4" t="str">
        <f aca="false">IF($A106="","",IFERROR(ROUND(COUNTIF(Fact_Work!$M:$M,$A106)/Constants!$B$13,1),0))</f>
        <v/>
      </c>
      <c r="L106" s="31" t="str">
        <f aca="false">IF($A106="","",IFERROR(ROUND(SUMIF(Fact_Work!$M:$M,$A106,Fact_Work!$AE:$AE)/Constants!$B$13,0),0))</f>
        <v/>
      </c>
      <c r="M106" s="31" t="str">
        <f aca="false">IF($A106="","",$I106+$L106)</f>
        <v/>
      </c>
      <c r="N106" s="49" t="str">
        <f aca="false">IF($A106="","",IFERROR($M106/$F106,""))</f>
        <v/>
      </c>
      <c r="O106" s="4" t="str">
        <f aca="false">IF($A106="","",COUNTIFS(Fact_Work!$L:$L,$A106,Fact_Work!$O:$O,"Yes"))</f>
        <v/>
      </c>
      <c r="P106" s="4" t="str">
        <f aca="false">IF($A106="","",IF($C106&lt;&gt;"Yes","n/a",IF($M106&gt;$F106,"OVER","OK")))</f>
        <v/>
      </c>
      <c r="Q106" s="23" t="str">
        <f aca="false">IF($A106="","",IFERROR(VLOOKUP($B106,Dim_Team!$A:$G,7,0),""))</f>
        <v/>
      </c>
    </row>
    <row r="107" customFormat="false" ht="15" hidden="false" customHeight="true" outlineLevel="0" collapsed="false">
      <c r="D107" s="4" t="str">
        <f aca="false">IF($A107="","",IFERROR(VLOOKUP($B107,Dim_Team!$A:$B,2,0),"external"))</f>
        <v/>
      </c>
      <c r="E107" s="22" t="str">
        <f aca="false">IF($A107="","",IFERROR(VLOOKUP($B107,Dim_Team!$A:$F,6,0),""))</f>
        <v/>
      </c>
      <c r="F107" s="31" t="str">
        <f aca="false">IF($A107="","",IFERROR(VLOOKUP($B107,Dim_Team!$A:$E,5,0),0))</f>
        <v/>
      </c>
      <c r="G107" s="4" t="str">
        <f aca="false">IF($A107="","",COUNTIF(Dim_Fund!$G:$G,$A107))</f>
        <v/>
      </c>
      <c r="H107" s="31" t="str">
        <f aca="false">IF($A107="","",IFERROR(ROUND(SUMIF(Fact_Work!$N:$N,$A107,Fact_Work!$Q:$Q)/Constants!$B$13,0),0))</f>
        <v/>
      </c>
      <c r="I107" s="31" t="str">
        <f aca="false">IF($A107="","",IFERROR(ROUND(SUMIF(Fact_Work!$L:$L,$A107,Fact_Work!$Q:$Q)/Constants!$B$13,0),0))</f>
        <v/>
      </c>
      <c r="J107" s="49" t="str">
        <f aca="false">IF($A107="","",IFERROR($I107/$F107,""))</f>
        <v/>
      </c>
      <c r="K107" s="4" t="str">
        <f aca="false">IF($A107="","",IFERROR(ROUND(COUNTIF(Fact_Work!$M:$M,$A107)/Constants!$B$13,1),0))</f>
        <v/>
      </c>
      <c r="L107" s="31" t="str">
        <f aca="false">IF($A107="","",IFERROR(ROUND(SUMIF(Fact_Work!$M:$M,$A107,Fact_Work!$AE:$AE)/Constants!$B$13,0),0))</f>
        <v/>
      </c>
      <c r="M107" s="31" t="str">
        <f aca="false">IF($A107="","",$I107+$L107)</f>
        <v/>
      </c>
      <c r="N107" s="49" t="str">
        <f aca="false">IF($A107="","",IFERROR($M107/$F107,""))</f>
        <v/>
      </c>
      <c r="O107" s="4" t="str">
        <f aca="false">IF($A107="","",COUNTIFS(Fact_Work!$L:$L,$A107,Fact_Work!$O:$O,"Yes"))</f>
        <v/>
      </c>
      <c r="P107" s="4" t="str">
        <f aca="false">IF($A107="","",IF($C107&lt;&gt;"Yes","n/a",IF($M107&gt;$F107,"OVER","OK")))</f>
        <v/>
      </c>
      <c r="Q107" s="23" t="str">
        <f aca="false">IF($A107="","",IFERROR(VLOOKUP($B107,Dim_Team!$A:$G,7,0),""))</f>
        <v/>
      </c>
    </row>
    <row r="108" customFormat="false" ht="15" hidden="false" customHeight="true" outlineLevel="0" collapsed="false">
      <c r="D108" s="4" t="str">
        <f aca="false">IF($A108="","",IFERROR(VLOOKUP($B108,Dim_Team!$A:$B,2,0),"external"))</f>
        <v/>
      </c>
      <c r="E108" s="22" t="str">
        <f aca="false">IF($A108="","",IFERROR(VLOOKUP($B108,Dim_Team!$A:$F,6,0),""))</f>
        <v/>
      </c>
      <c r="F108" s="31" t="str">
        <f aca="false">IF($A108="","",IFERROR(VLOOKUP($B108,Dim_Team!$A:$E,5,0),0))</f>
        <v/>
      </c>
      <c r="G108" s="4" t="str">
        <f aca="false">IF($A108="","",COUNTIF(Dim_Fund!$G:$G,$A108))</f>
        <v/>
      </c>
      <c r="H108" s="31" t="str">
        <f aca="false">IF($A108="","",IFERROR(ROUND(SUMIF(Fact_Work!$N:$N,$A108,Fact_Work!$Q:$Q)/Constants!$B$13,0),0))</f>
        <v/>
      </c>
      <c r="I108" s="31" t="str">
        <f aca="false">IF($A108="","",IFERROR(ROUND(SUMIF(Fact_Work!$L:$L,$A108,Fact_Work!$Q:$Q)/Constants!$B$13,0),0))</f>
        <v/>
      </c>
      <c r="J108" s="49" t="str">
        <f aca="false">IF($A108="","",IFERROR($I108/$F108,""))</f>
        <v/>
      </c>
      <c r="K108" s="4" t="str">
        <f aca="false">IF($A108="","",IFERROR(ROUND(COUNTIF(Fact_Work!$M:$M,$A108)/Constants!$B$13,1),0))</f>
        <v/>
      </c>
      <c r="L108" s="31" t="str">
        <f aca="false">IF($A108="","",IFERROR(ROUND(SUMIF(Fact_Work!$M:$M,$A108,Fact_Work!$AE:$AE)/Constants!$B$13,0),0))</f>
        <v/>
      </c>
      <c r="M108" s="31" t="str">
        <f aca="false">IF($A108="","",$I108+$L108)</f>
        <v/>
      </c>
      <c r="N108" s="49" t="str">
        <f aca="false">IF($A108="","",IFERROR($M108/$F108,""))</f>
        <v/>
      </c>
      <c r="O108" s="4" t="str">
        <f aca="false">IF($A108="","",COUNTIFS(Fact_Work!$L:$L,$A108,Fact_Work!$O:$O,"Yes"))</f>
        <v/>
      </c>
      <c r="P108" s="4" t="str">
        <f aca="false">IF($A108="","",IF($C108&lt;&gt;"Yes","n/a",IF($M108&gt;$F108,"OVER","OK")))</f>
        <v/>
      </c>
      <c r="Q108" s="23" t="str">
        <f aca="false">IF($A108="","",IFERROR(VLOOKUP($B108,Dim_Team!$A:$G,7,0),""))</f>
        <v/>
      </c>
    </row>
    <row r="109" customFormat="false" ht="15" hidden="false" customHeight="true" outlineLevel="0" collapsed="false">
      <c r="D109" s="4" t="str">
        <f aca="false">IF($A109="","",IFERROR(VLOOKUP($B109,Dim_Team!$A:$B,2,0),"external"))</f>
        <v/>
      </c>
      <c r="E109" s="22" t="str">
        <f aca="false">IF($A109="","",IFERROR(VLOOKUP($B109,Dim_Team!$A:$F,6,0),""))</f>
        <v/>
      </c>
      <c r="F109" s="31" t="str">
        <f aca="false">IF($A109="","",IFERROR(VLOOKUP($B109,Dim_Team!$A:$E,5,0),0))</f>
        <v/>
      </c>
      <c r="G109" s="4" t="str">
        <f aca="false">IF($A109="","",COUNTIF(Dim_Fund!$G:$G,$A109))</f>
        <v/>
      </c>
      <c r="H109" s="31" t="str">
        <f aca="false">IF($A109="","",IFERROR(ROUND(SUMIF(Fact_Work!$N:$N,$A109,Fact_Work!$Q:$Q)/Constants!$B$13,0),0))</f>
        <v/>
      </c>
      <c r="I109" s="31" t="str">
        <f aca="false">IF($A109="","",IFERROR(ROUND(SUMIF(Fact_Work!$L:$L,$A109,Fact_Work!$Q:$Q)/Constants!$B$13,0),0))</f>
        <v/>
      </c>
      <c r="J109" s="49" t="str">
        <f aca="false">IF($A109="","",IFERROR($I109/$F109,""))</f>
        <v/>
      </c>
      <c r="K109" s="4" t="str">
        <f aca="false">IF($A109="","",IFERROR(ROUND(COUNTIF(Fact_Work!$M:$M,$A109)/Constants!$B$13,1),0))</f>
        <v/>
      </c>
      <c r="L109" s="31" t="str">
        <f aca="false">IF($A109="","",IFERROR(ROUND(SUMIF(Fact_Work!$M:$M,$A109,Fact_Work!$AE:$AE)/Constants!$B$13,0),0))</f>
        <v/>
      </c>
      <c r="M109" s="31" t="str">
        <f aca="false">IF($A109="","",$I109+$L109)</f>
        <v/>
      </c>
      <c r="N109" s="49" t="str">
        <f aca="false">IF($A109="","",IFERROR($M109/$F109,""))</f>
        <v/>
      </c>
      <c r="O109" s="4" t="str">
        <f aca="false">IF($A109="","",COUNTIFS(Fact_Work!$L:$L,$A109,Fact_Work!$O:$O,"Yes"))</f>
        <v/>
      </c>
      <c r="P109" s="4" t="str">
        <f aca="false">IF($A109="","",IF($C109&lt;&gt;"Yes","n/a",IF($M109&gt;$F109,"OVER","OK")))</f>
        <v/>
      </c>
      <c r="Q109" s="23" t="str">
        <f aca="false">IF($A109="","",IFERROR(VLOOKUP($B109,Dim_Team!$A:$G,7,0),""))</f>
        <v/>
      </c>
    </row>
    <row r="110" customFormat="false" ht="15" hidden="false" customHeight="true" outlineLevel="0" collapsed="false">
      <c r="D110" s="4" t="str">
        <f aca="false">IF($A110="","",IFERROR(VLOOKUP($B110,Dim_Team!$A:$B,2,0),"external"))</f>
        <v/>
      </c>
      <c r="E110" s="22" t="str">
        <f aca="false">IF($A110="","",IFERROR(VLOOKUP($B110,Dim_Team!$A:$F,6,0),""))</f>
        <v/>
      </c>
      <c r="F110" s="31" t="str">
        <f aca="false">IF($A110="","",IFERROR(VLOOKUP($B110,Dim_Team!$A:$E,5,0),0))</f>
        <v/>
      </c>
      <c r="G110" s="4" t="str">
        <f aca="false">IF($A110="","",COUNTIF(Dim_Fund!$G:$G,$A110))</f>
        <v/>
      </c>
      <c r="H110" s="31" t="str">
        <f aca="false">IF($A110="","",IFERROR(ROUND(SUMIF(Fact_Work!$N:$N,$A110,Fact_Work!$Q:$Q)/Constants!$B$13,0),0))</f>
        <v/>
      </c>
      <c r="I110" s="31" t="str">
        <f aca="false">IF($A110="","",IFERROR(ROUND(SUMIF(Fact_Work!$L:$L,$A110,Fact_Work!$Q:$Q)/Constants!$B$13,0),0))</f>
        <v/>
      </c>
      <c r="J110" s="49" t="str">
        <f aca="false">IF($A110="","",IFERROR($I110/$F110,""))</f>
        <v/>
      </c>
      <c r="K110" s="4" t="str">
        <f aca="false">IF($A110="","",IFERROR(ROUND(COUNTIF(Fact_Work!$M:$M,$A110)/Constants!$B$13,1),0))</f>
        <v/>
      </c>
      <c r="L110" s="31" t="str">
        <f aca="false">IF($A110="","",IFERROR(ROUND(SUMIF(Fact_Work!$M:$M,$A110,Fact_Work!$AE:$AE)/Constants!$B$13,0),0))</f>
        <v/>
      </c>
      <c r="M110" s="31" t="str">
        <f aca="false">IF($A110="","",$I110+$L110)</f>
        <v/>
      </c>
      <c r="N110" s="49" t="str">
        <f aca="false">IF($A110="","",IFERROR($M110/$F110,""))</f>
        <v/>
      </c>
      <c r="O110" s="4" t="str">
        <f aca="false">IF($A110="","",COUNTIFS(Fact_Work!$L:$L,$A110,Fact_Work!$O:$O,"Yes"))</f>
        <v/>
      </c>
      <c r="P110" s="4" t="str">
        <f aca="false">IF($A110="","",IF($C110&lt;&gt;"Yes","n/a",IF($M110&gt;$F110,"OVER","OK")))</f>
        <v/>
      </c>
      <c r="Q110" s="23" t="str">
        <f aca="false">IF($A110="","",IFERROR(VLOOKUP($B110,Dim_Team!$A:$G,7,0),""))</f>
        <v/>
      </c>
    </row>
    <row r="111" customFormat="false" ht="15" hidden="false" customHeight="true" outlineLevel="0" collapsed="false">
      <c r="D111" s="4" t="str">
        <f aca="false">IF($A111="","",IFERROR(VLOOKUP($B111,Dim_Team!$A:$B,2,0),"external"))</f>
        <v/>
      </c>
      <c r="E111" s="22" t="str">
        <f aca="false">IF($A111="","",IFERROR(VLOOKUP($B111,Dim_Team!$A:$F,6,0),""))</f>
        <v/>
      </c>
      <c r="F111" s="31" t="str">
        <f aca="false">IF($A111="","",IFERROR(VLOOKUP($B111,Dim_Team!$A:$E,5,0),0))</f>
        <v/>
      </c>
      <c r="G111" s="4" t="str">
        <f aca="false">IF($A111="","",COUNTIF(Dim_Fund!$G:$G,$A111))</f>
        <v/>
      </c>
      <c r="H111" s="31" t="str">
        <f aca="false">IF($A111="","",IFERROR(ROUND(SUMIF(Fact_Work!$N:$N,$A111,Fact_Work!$Q:$Q)/Constants!$B$13,0),0))</f>
        <v/>
      </c>
      <c r="I111" s="31" t="str">
        <f aca="false">IF($A111="","",IFERROR(ROUND(SUMIF(Fact_Work!$L:$L,$A111,Fact_Work!$Q:$Q)/Constants!$B$13,0),0))</f>
        <v/>
      </c>
      <c r="J111" s="49" t="str">
        <f aca="false">IF($A111="","",IFERROR($I111/$F111,""))</f>
        <v/>
      </c>
      <c r="K111" s="4" t="str">
        <f aca="false">IF($A111="","",IFERROR(ROUND(COUNTIF(Fact_Work!$M:$M,$A111)/Constants!$B$13,1),0))</f>
        <v/>
      </c>
      <c r="L111" s="31" t="str">
        <f aca="false">IF($A111="","",IFERROR(ROUND(SUMIF(Fact_Work!$M:$M,$A111,Fact_Work!$AE:$AE)/Constants!$B$13,0),0))</f>
        <v/>
      </c>
      <c r="M111" s="31" t="str">
        <f aca="false">IF($A111="","",$I111+$L111)</f>
        <v/>
      </c>
      <c r="N111" s="49" t="str">
        <f aca="false">IF($A111="","",IFERROR($M111/$F111,""))</f>
        <v/>
      </c>
      <c r="O111" s="4" t="str">
        <f aca="false">IF($A111="","",COUNTIFS(Fact_Work!$L:$L,$A111,Fact_Work!$O:$O,"Yes"))</f>
        <v/>
      </c>
      <c r="P111" s="4" t="str">
        <f aca="false">IF($A111="","",IF($C111&lt;&gt;"Yes","n/a",IF($M111&gt;$F111,"OVER","OK")))</f>
        <v/>
      </c>
      <c r="Q111" s="23" t="str">
        <f aca="false">IF($A111="","",IFERROR(VLOOKUP($B111,Dim_Team!$A:$G,7,0),""))</f>
        <v/>
      </c>
    </row>
    <row r="112" customFormat="false" ht="15" hidden="false" customHeight="true" outlineLevel="0" collapsed="false">
      <c r="D112" s="4" t="str">
        <f aca="false">IF($A112="","",IFERROR(VLOOKUP($B112,Dim_Team!$A:$B,2,0),"external"))</f>
        <v/>
      </c>
      <c r="E112" s="22" t="str">
        <f aca="false">IF($A112="","",IFERROR(VLOOKUP($B112,Dim_Team!$A:$F,6,0),""))</f>
        <v/>
      </c>
      <c r="F112" s="31" t="str">
        <f aca="false">IF($A112="","",IFERROR(VLOOKUP($B112,Dim_Team!$A:$E,5,0),0))</f>
        <v/>
      </c>
      <c r="G112" s="4" t="str">
        <f aca="false">IF($A112="","",COUNTIF(Dim_Fund!$G:$G,$A112))</f>
        <v/>
      </c>
      <c r="H112" s="31" t="str">
        <f aca="false">IF($A112="","",IFERROR(ROUND(SUMIF(Fact_Work!$N:$N,$A112,Fact_Work!$Q:$Q)/Constants!$B$13,0),0))</f>
        <v/>
      </c>
      <c r="I112" s="31" t="str">
        <f aca="false">IF($A112="","",IFERROR(ROUND(SUMIF(Fact_Work!$L:$L,$A112,Fact_Work!$Q:$Q)/Constants!$B$13,0),0))</f>
        <v/>
      </c>
      <c r="J112" s="49" t="str">
        <f aca="false">IF($A112="","",IFERROR($I112/$F112,""))</f>
        <v/>
      </c>
      <c r="K112" s="4" t="str">
        <f aca="false">IF($A112="","",IFERROR(ROUND(COUNTIF(Fact_Work!$M:$M,$A112)/Constants!$B$13,1),0))</f>
        <v/>
      </c>
      <c r="L112" s="31" t="str">
        <f aca="false">IF($A112="","",IFERROR(ROUND(SUMIF(Fact_Work!$M:$M,$A112,Fact_Work!$AE:$AE)/Constants!$B$13,0),0))</f>
        <v/>
      </c>
      <c r="M112" s="31" t="str">
        <f aca="false">IF($A112="","",$I112+$L112)</f>
        <v/>
      </c>
      <c r="N112" s="49" t="str">
        <f aca="false">IF($A112="","",IFERROR($M112/$F112,""))</f>
        <v/>
      </c>
      <c r="O112" s="4" t="str">
        <f aca="false">IF($A112="","",COUNTIFS(Fact_Work!$L:$L,$A112,Fact_Work!$O:$O,"Yes"))</f>
        <v/>
      </c>
      <c r="P112" s="4" t="str">
        <f aca="false">IF($A112="","",IF($C112&lt;&gt;"Yes","n/a",IF($M112&gt;$F112,"OVER","OK")))</f>
        <v/>
      </c>
      <c r="Q112" s="23" t="str">
        <f aca="false">IF($A112="","",IFERROR(VLOOKUP($B112,Dim_Team!$A:$G,7,0),""))</f>
        <v/>
      </c>
    </row>
    <row r="113" customFormat="false" ht="15" hidden="false" customHeight="true" outlineLevel="0" collapsed="false">
      <c r="D113" s="4" t="str">
        <f aca="false">IF($A113="","",IFERROR(VLOOKUP($B113,Dim_Team!$A:$B,2,0),"external"))</f>
        <v/>
      </c>
      <c r="E113" s="22" t="str">
        <f aca="false">IF($A113="","",IFERROR(VLOOKUP($B113,Dim_Team!$A:$F,6,0),""))</f>
        <v/>
      </c>
      <c r="F113" s="31" t="str">
        <f aca="false">IF($A113="","",IFERROR(VLOOKUP($B113,Dim_Team!$A:$E,5,0),0))</f>
        <v/>
      </c>
      <c r="G113" s="4" t="str">
        <f aca="false">IF($A113="","",COUNTIF(Dim_Fund!$G:$G,$A113))</f>
        <v/>
      </c>
      <c r="H113" s="31" t="str">
        <f aca="false">IF($A113="","",IFERROR(ROUND(SUMIF(Fact_Work!$N:$N,$A113,Fact_Work!$Q:$Q)/Constants!$B$13,0),0))</f>
        <v/>
      </c>
      <c r="I113" s="31" t="str">
        <f aca="false">IF($A113="","",IFERROR(ROUND(SUMIF(Fact_Work!$L:$L,$A113,Fact_Work!$Q:$Q)/Constants!$B$13,0),0))</f>
        <v/>
      </c>
      <c r="J113" s="49" t="str">
        <f aca="false">IF($A113="","",IFERROR($I113/$F113,""))</f>
        <v/>
      </c>
      <c r="K113" s="4" t="str">
        <f aca="false">IF($A113="","",IFERROR(ROUND(COUNTIF(Fact_Work!$M:$M,$A113)/Constants!$B$13,1),0))</f>
        <v/>
      </c>
      <c r="L113" s="31" t="str">
        <f aca="false">IF($A113="","",IFERROR(ROUND(SUMIF(Fact_Work!$M:$M,$A113,Fact_Work!$AE:$AE)/Constants!$B$13,0),0))</f>
        <v/>
      </c>
      <c r="M113" s="31" t="str">
        <f aca="false">IF($A113="","",$I113+$L113)</f>
        <v/>
      </c>
      <c r="N113" s="49" t="str">
        <f aca="false">IF($A113="","",IFERROR($M113/$F113,""))</f>
        <v/>
      </c>
      <c r="O113" s="4" t="str">
        <f aca="false">IF($A113="","",COUNTIFS(Fact_Work!$L:$L,$A113,Fact_Work!$O:$O,"Yes"))</f>
        <v/>
      </c>
      <c r="P113" s="4" t="str">
        <f aca="false">IF($A113="","",IF($C113&lt;&gt;"Yes","n/a",IF($M113&gt;$F113,"OVER","OK")))</f>
        <v/>
      </c>
      <c r="Q113" s="23" t="str">
        <f aca="false">IF($A113="","",IFERROR(VLOOKUP($B113,Dim_Team!$A:$G,7,0),""))</f>
        <v/>
      </c>
    </row>
    <row r="114" customFormat="false" ht="15" hidden="false" customHeight="true" outlineLevel="0" collapsed="false">
      <c r="D114" s="4" t="str">
        <f aca="false">IF($A114="","",IFERROR(VLOOKUP($B114,Dim_Team!$A:$B,2,0),"external"))</f>
        <v/>
      </c>
      <c r="E114" s="22" t="str">
        <f aca="false">IF($A114="","",IFERROR(VLOOKUP($B114,Dim_Team!$A:$F,6,0),""))</f>
        <v/>
      </c>
      <c r="F114" s="31" t="str">
        <f aca="false">IF($A114="","",IFERROR(VLOOKUP($B114,Dim_Team!$A:$E,5,0),0))</f>
        <v/>
      </c>
      <c r="G114" s="4" t="str">
        <f aca="false">IF($A114="","",COUNTIF(Dim_Fund!$G:$G,$A114))</f>
        <v/>
      </c>
      <c r="H114" s="31" t="str">
        <f aca="false">IF($A114="","",IFERROR(ROUND(SUMIF(Fact_Work!$N:$N,$A114,Fact_Work!$Q:$Q)/Constants!$B$13,0),0))</f>
        <v/>
      </c>
      <c r="I114" s="31" t="str">
        <f aca="false">IF($A114="","",IFERROR(ROUND(SUMIF(Fact_Work!$L:$L,$A114,Fact_Work!$Q:$Q)/Constants!$B$13,0),0))</f>
        <v/>
      </c>
      <c r="J114" s="49" t="str">
        <f aca="false">IF($A114="","",IFERROR($I114/$F114,""))</f>
        <v/>
      </c>
      <c r="K114" s="4" t="str">
        <f aca="false">IF($A114="","",IFERROR(ROUND(COUNTIF(Fact_Work!$M:$M,$A114)/Constants!$B$13,1),0))</f>
        <v/>
      </c>
      <c r="L114" s="31" t="str">
        <f aca="false">IF($A114="","",IFERROR(ROUND(SUMIF(Fact_Work!$M:$M,$A114,Fact_Work!$AE:$AE)/Constants!$B$13,0),0))</f>
        <v/>
      </c>
      <c r="M114" s="31" t="str">
        <f aca="false">IF($A114="","",$I114+$L114)</f>
        <v/>
      </c>
      <c r="N114" s="49" t="str">
        <f aca="false">IF($A114="","",IFERROR($M114/$F114,""))</f>
        <v/>
      </c>
      <c r="O114" s="4" t="str">
        <f aca="false">IF($A114="","",COUNTIFS(Fact_Work!$L:$L,$A114,Fact_Work!$O:$O,"Yes"))</f>
        <v/>
      </c>
      <c r="P114" s="4" t="str">
        <f aca="false">IF($A114="","",IF($C114&lt;&gt;"Yes","n/a",IF($M114&gt;$F114,"OVER","OK")))</f>
        <v/>
      </c>
      <c r="Q114" s="23" t="str">
        <f aca="false">IF($A114="","",IFERROR(VLOOKUP($B114,Dim_Team!$A:$G,7,0),""))</f>
        <v/>
      </c>
    </row>
    <row r="115" customFormat="false" ht="15" hidden="false" customHeight="true" outlineLevel="0" collapsed="false">
      <c r="D115" s="4" t="str">
        <f aca="false">IF($A115="","",IFERROR(VLOOKUP($B115,Dim_Team!$A:$B,2,0),"external"))</f>
        <v/>
      </c>
      <c r="E115" s="22" t="str">
        <f aca="false">IF($A115="","",IFERROR(VLOOKUP($B115,Dim_Team!$A:$F,6,0),""))</f>
        <v/>
      </c>
      <c r="F115" s="31" t="str">
        <f aca="false">IF($A115="","",IFERROR(VLOOKUP($B115,Dim_Team!$A:$E,5,0),0))</f>
        <v/>
      </c>
      <c r="G115" s="4" t="str">
        <f aca="false">IF($A115="","",COUNTIF(Dim_Fund!$G:$G,$A115))</f>
        <v/>
      </c>
      <c r="H115" s="31" t="str">
        <f aca="false">IF($A115="","",IFERROR(ROUND(SUMIF(Fact_Work!$N:$N,$A115,Fact_Work!$Q:$Q)/Constants!$B$13,0),0))</f>
        <v/>
      </c>
      <c r="I115" s="31" t="str">
        <f aca="false">IF($A115="","",IFERROR(ROUND(SUMIF(Fact_Work!$L:$L,$A115,Fact_Work!$Q:$Q)/Constants!$B$13,0),0))</f>
        <v/>
      </c>
      <c r="J115" s="49" t="str">
        <f aca="false">IF($A115="","",IFERROR($I115/$F115,""))</f>
        <v/>
      </c>
      <c r="K115" s="4" t="str">
        <f aca="false">IF($A115="","",IFERROR(ROUND(COUNTIF(Fact_Work!$M:$M,$A115)/Constants!$B$13,1),0))</f>
        <v/>
      </c>
      <c r="L115" s="31" t="str">
        <f aca="false">IF($A115="","",IFERROR(ROUND(SUMIF(Fact_Work!$M:$M,$A115,Fact_Work!$AE:$AE)/Constants!$B$13,0),0))</f>
        <v/>
      </c>
      <c r="M115" s="31" t="str">
        <f aca="false">IF($A115="","",$I115+$L115)</f>
        <v/>
      </c>
      <c r="N115" s="49" t="str">
        <f aca="false">IF($A115="","",IFERROR($M115/$F115,""))</f>
        <v/>
      </c>
      <c r="O115" s="4" t="str">
        <f aca="false">IF($A115="","",COUNTIFS(Fact_Work!$L:$L,$A115,Fact_Work!$O:$O,"Yes"))</f>
        <v/>
      </c>
      <c r="P115" s="4" t="str">
        <f aca="false">IF($A115="","",IF($C115&lt;&gt;"Yes","n/a",IF($M115&gt;$F115,"OVER","OK")))</f>
        <v/>
      </c>
      <c r="Q115" s="23" t="str">
        <f aca="false">IF($A115="","",IFERROR(VLOOKUP($B115,Dim_Team!$A:$G,7,0),""))</f>
        <v/>
      </c>
    </row>
    <row r="116" customFormat="false" ht="15" hidden="false" customHeight="true" outlineLevel="0" collapsed="false">
      <c r="D116" s="4" t="str">
        <f aca="false">IF($A116="","",IFERROR(VLOOKUP($B116,Dim_Team!$A:$B,2,0),"external"))</f>
        <v/>
      </c>
      <c r="E116" s="22" t="str">
        <f aca="false">IF($A116="","",IFERROR(VLOOKUP($B116,Dim_Team!$A:$F,6,0),""))</f>
        <v/>
      </c>
      <c r="F116" s="31" t="str">
        <f aca="false">IF($A116="","",IFERROR(VLOOKUP($B116,Dim_Team!$A:$E,5,0),0))</f>
        <v/>
      </c>
      <c r="G116" s="4" t="str">
        <f aca="false">IF($A116="","",COUNTIF(Dim_Fund!$G:$G,$A116))</f>
        <v/>
      </c>
      <c r="H116" s="31" t="str">
        <f aca="false">IF($A116="","",IFERROR(ROUND(SUMIF(Fact_Work!$N:$N,$A116,Fact_Work!$Q:$Q)/Constants!$B$13,0),0))</f>
        <v/>
      </c>
      <c r="I116" s="31" t="str">
        <f aca="false">IF($A116="","",IFERROR(ROUND(SUMIF(Fact_Work!$L:$L,$A116,Fact_Work!$Q:$Q)/Constants!$B$13,0),0))</f>
        <v/>
      </c>
      <c r="J116" s="49" t="str">
        <f aca="false">IF($A116="","",IFERROR($I116/$F116,""))</f>
        <v/>
      </c>
      <c r="K116" s="4" t="str">
        <f aca="false">IF($A116="","",IFERROR(ROUND(COUNTIF(Fact_Work!$M:$M,$A116)/Constants!$B$13,1),0))</f>
        <v/>
      </c>
      <c r="L116" s="31" t="str">
        <f aca="false">IF($A116="","",IFERROR(ROUND(SUMIF(Fact_Work!$M:$M,$A116,Fact_Work!$AE:$AE)/Constants!$B$13,0),0))</f>
        <v/>
      </c>
      <c r="M116" s="31" t="str">
        <f aca="false">IF($A116="","",$I116+$L116)</f>
        <v/>
      </c>
      <c r="N116" s="49" t="str">
        <f aca="false">IF($A116="","",IFERROR($M116/$F116,""))</f>
        <v/>
      </c>
      <c r="O116" s="4" t="str">
        <f aca="false">IF($A116="","",COUNTIFS(Fact_Work!$L:$L,$A116,Fact_Work!$O:$O,"Yes"))</f>
        <v/>
      </c>
      <c r="P116" s="4" t="str">
        <f aca="false">IF($A116="","",IF($C116&lt;&gt;"Yes","n/a",IF($M116&gt;$F116,"OVER","OK")))</f>
        <v/>
      </c>
      <c r="Q116" s="23" t="str">
        <f aca="false">IF($A116="","",IFERROR(VLOOKUP($B116,Dim_Team!$A:$G,7,0),""))</f>
        <v/>
      </c>
    </row>
    <row r="117" customFormat="false" ht="15" hidden="false" customHeight="true" outlineLevel="0" collapsed="false">
      <c r="D117" s="4" t="str">
        <f aca="false">IF($A117="","",IFERROR(VLOOKUP($B117,Dim_Team!$A:$B,2,0),"external"))</f>
        <v/>
      </c>
      <c r="E117" s="22" t="str">
        <f aca="false">IF($A117="","",IFERROR(VLOOKUP($B117,Dim_Team!$A:$F,6,0),""))</f>
        <v/>
      </c>
      <c r="F117" s="31" t="str">
        <f aca="false">IF($A117="","",IFERROR(VLOOKUP($B117,Dim_Team!$A:$E,5,0),0))</f>
        <v/>
      </c>
      <c r="G117" s="4" t="str">
        <f aca="false">IF($A117="","",COUNTIF(Dim_Fund!$G:$G,$A117))</f>
        <v/>
      </c>
      <c r="H117" s="31" t="str">
        <f aca="false">IF($A117="","",IFERROR(ROUND(SUMIF(Fact_Work!$N:$N,$A117,Fact_Work!$Q:$Q)/Constants!$B$13,0),0))</f>
        <v/>
      </c>
      <c r="I117" s="31" t="str">
        <f aca="false">IF($A117="","",IFERROR(ROUND(SUMIF(Fact_Work!$L:$L,$A117,Fact_Work!$Q:$Q)/Constants!$B$13,0),0))</f>
        <v/>
      </c>
      <c r="J117" s="49" t="str">
        <f aca="false">IF($A117="","",IFERROR($I117/$F117,""))</f>
        <v/>
      </c>
      <c r="K117" s="4" t="str">
        <f aca="false">IF($A117="","",IFERROR(ROUND(COUNTIF(Fact_Work!$M:$M,$A117)/Constants!$B$13,1),0))</f>
        <v/>
      </c>
      <c r="L117" s="31" t="str">
        <f aca="false">IF($A117="","",IFERROR(ROUND(SUMIF(Fact_Work!$M:$M,$A117,Fact_Work!$AE:$AE)/Constants!$B$13,0),0))</f>
        <v/>
      </c>
      <c r="M117" s="31" t="str">
        <f aca="false">IF($A117="","",$I117+$L117)</f>
        <v/>
      </c>
      <c r="N117" s="49" t="str">
        <f aca="false">IF($A117="","",IFERROR($M117/$F117,""))</f>
        <v/>
      </c>
      <c r="O117" s="4" t="str">
        <f aca="false">IF($A117="","",COUNTIFS(Fact_Work!$L:$L,$A117,Fact_Work!$O:$O,"Yes"))</f>
        <v/>
      </c>
      <c r="P117" s="4" t="str">
        <f aca="false">IF($A117="","",IF($C117&lt;&gt;"Yes","n/a",IF($M117&gt;$F117,"OVER","OK")))</f>
        <v/>
      </c>
      <c r="Q117" s="23" t="str">
        <f aca="false">IF($A117="","",IFERROR(VLOOKUP($B117,Dim_Team!$A:$G,7,0),""))</f>
        <v/>
      </c>
    </row>
    <row r="118" customFormat="false" ht="15" hidden="false" customHeight="true" outlineLevel="0" collapsed="false">
      <c r="D118" s="4" t="str">
        <f aca="false">IF($A118="","",IFERROR(VLOOKUP($B118,Dim_Team!$A:$B,2,0),"external"))</f>
        <v/>
      </c>
      <c r="E118" s="22" t="str">
        <f aca="false">IF($A118="","",IFERROR(VLOOKUP($B118,Dim_Team!$A:$F,6,0),""))</f>
        <v/>
      </c>
      <c r="F118" s="31" t="str">
        <f aca="false">IF($A118="","",IFERROR(VLOOKUP($B118,Dim_Team!$A:$E,5,0),0))</f>
        <v/>
      </c>
      <c r="G118" s="4" t="str">
        <f aca="false">IF($A118="","",COUNTIF(Dim_Fund!$G:$G,$A118))</f>
        <v/>
      </c>
      <c r="H118" s="31" t="str">
        <f aca="false">IF($A118="","",IFERROR(ROUND(SUMIF(Fact_Work!$N:$N,$A118,Fact_Work!$Q:$Q)/Constants!$B$13,0),0))</f>
        <v/>
      </c>
      <c r="I118" s="31" t="str">
        <f aca="false">IF($A118="","",IFERROR(ROUND(SUMIF(Fact_Work!$L:$L,$A118,Fact_Work!$Q:$Q)/Constants!$B$13,0),0))</f>
        <v/>
      </c>
      <c r="J118" s="49" t="str">
        <f aca="false">IF($A118="","",IFERROR($I118/$F118,""))</f>
        <v/>
      </c>
      <c r="K118" s="4" t="str">
        <f aca="false">IF($A118="","",IFERROR(ROUND(COUNTIF(Fact_Work!$M:$M,$A118)/Constants!$B$13,1),0))</f>
        <v/>
      </c>
      <c r="L118" s="31" t="str">
        <f aca="false">IF($A118="","",IFERROR(ROUND(SUMIF(Fact_Work!$M:$M,$A118,Fact_Work!$AE:$AE)/Constants!$B$13,0),0))</f>
        <v/>
      </c>
      <c r="M118" s="31" t="str">
        <f aca="false">IF($A118="","",$I118+$L118)</f>
        <v/>
      </c>
      <c r="N118" s="49" t="str">
        <f aca="false">IF($A118="","",IFERROR($M118/$F118,""))</f>
        <v/>
      </c>
      <c r="O118" s="4" t="str">
        <f aca="false">IF($A118="","",COUNTIFS(Fact_Work!$L:$L,$A118,Fact_Work!$O:$O,"Yes"))</f>
        <v/>
      </c>
      <c r="P118" s="4" t="str">
        <f aca="false">IF($A118="","",IF($C118&lt;&gt;"Yes","n/a",IF($M118&gt;$F118,"OVER","OK")))</f>
        <v/>
      </c>
      <c r="Q118" s="23" t="str">
        <f aca="false">IF($A118="","",IFERROR(VLOOKUP($B118,Dim_Team!$A:$G,7,0),""))</f>
        <v/>
      </c>
    </row>
    <row r="119" customFormat="false" ht="15" hidden="false" customHeight="true" outlineLevel="0" collapsed="false">
      <c r="D119" s="4" t="str">
        <f aca="false">IF($A119="","",IFERROR(VLOOKUP($B119,Dim_Team!$A:$B,2,0),"external"))</f>
        <v/>
      </c>
      <c r="E119" s="22" t="str">
        <f aca="false">IF($A119="","",IFERROR(VLOOKUP($B119,Dim_Team!$A:$F,6,0),""))</f>
        <v/>
      </c>
      <c r="F119" s="31" t="str">
        <f aca="false">IF($A119="","",IFERROR(VLOOKUP($B119,Dim_Team!$A:$E,5,0),0))</f>
        <v/>
      </c>
      <c r="G119" s="4" t="str">
        <f aca="false">IF($A119="","",COUNTIF(Dim_Fund!$G:$G,$A119))</f>
        <v/>
      </c>
      <c r="H119" s="31" t="str">
        <f aca="false">IF($A119="","",IFERROR(ROUND(SUMIF(Fact_Work!$N:$N,$A119,Fact_Work!$Q:$Q)/Constants!$B$13,0),0))</f>
        <v/>
      </c>
      <c r="I119" s="31" t="str">
        <f aca="false">IF($A119="","",IFERROR(ROUND(SUMIF(Fact_Work!$L:$L,$A119,Fact_Work!$Q:$Q)/Constants!$B$13,0),0))</f>
        <v/>
      </c>
      <c r="J119" s="49" t="str">
        <f aca="false">IF($A119="","",IFERROR($I119/$F119,""))</f>
        <v/>
      </c>
      <c r="K119" s="4" t="str">
        <f aca="false">IF($A119="","",IFERROR(ROUND(COUNTIF(Fact_Work!$M:$M,$A119)/Constants!$B$13,1),0))</f>
        <v/>
      </c>
      <c r="L119" s="31" t="str">
        <f aca="false">IF($A119="","",IFERROR(ROUND(SUMIF(Fact_Work!$M:$M,$A119,Fact_Work!$AE:$AE)/Constants!$B$13,0),0))</f>
        <v/>
      </c>
      <c r="M119" s="31" t="str">
        <f aca="false">IF($A119="","",$I119+$L119)</f>
        <v/>
      </c>
      <c r="N119" s="49" t="str">
        <f aca="false">IF($A119="","",IFERROR($M119/$F119,""))</f>
        <v/>
      </c>
      <c r="O119" s="4" t="str">
        <f aca="false">IF($A119="","",COUNTIFS(Fact_Work!$L:$L,$A119,Fact_Work!$O:$O,"Yes"))</f>
        <v/>
      </c>
      <c r="P119" s="4" t="str">
        <f aca="false">IF($A119="","",IF($C119&lt;&gt;"Yes","n/a",IF($M119&gt;$F119,"OVER","OK")))</f>
        <v/>
      </c>
      <c r="Q119" s="23" t="str">
        <f aca="false">IF($A119="","",IFERROR(VLOOKUP($B119,Dim_Team!$A:$G,7,0),""))</f>
        <v/>
      </c>
    </row>
    <row r="120" customFormat="false" ht="15" hidden="false" customHeight="true" outlineLevel="0" collapsed="false">
      <c r="D120" s="4" t="str">
        <f aca="false">IF($A120="","",IFERROR(VLOOKUP($B120,Dim_Team!$A:$B,2,0),"external"))</f>
        <v/>
      </c>
      <c r="E120" s="22" t="str">
        <f aca="false">IF($A120="","",IFERROR(VLOOKUP($B120,Dim_Team!$A:$F,6,0),""))</f>
        <v/>
      </c>
      <c r="F120" s="31" t="str">
        <f aca="false">IF($A120="","",IFERROR(VLOOKUP($B120,Dim_Team!$A:$E,5,0),0))</f>
        <v/>
      </c>
      <c r="G120" s="4" t="str">
        <f aca="false">IF($A120="","",COUNTIF(Dim_Fund!$G:$G,$A120))</f>
        <v/>
      </c>
      <c r="H120" s="31" t="str">
        <f aca="false">IF($A120="","",IFERROR(ROUND(SUMIF(Fact_Work!$N:$N,$A120,Fact_Work!$Q:$Q)/Constants!$B$13,0),0))</f>
        <v/>
      </c>
      <c r="I120" s="31" t="str">
        <f aca="false">IF($A120="","",IFERROR(ROUND(SUMIF(Fact_Work!$L:$L,$A120,Fact_Work!$Q:$Q)/Constants!$B$13,0),0))</f>
        <v/>
      </c>
      <c r="J120" s="49" t="str">
        <f aca="false">IF($A120="","",IFERROR($I120/$F120,""))</f>
        <v/>
      </c>
      <c r="K120" s="4" t="str">
        <f aca="false">IF($A120="","",IFERROR(ROUND(COUNTIF(Fact_Work!$M:$M,$A120)/Constants!$B$13,1),0))</f>
        <v/>
      </c>
      <c r="L120" s="31" t="str">
        <f aca="false">IF($A120="","",IFERROR(ROUND(SUMIF(Fact_Work!$M:$M,$A120,Fact_Work!$AE:$AE)/Constants!$B$13,0),0))</f>
        <v/>
      </c>
      <c r="M120" s="31" t="str">
        <f aca="false">IF($A120="","",$I120+$L120)</f>
        <v/>
      </c>
      <c r="N120" s="49" t="str">
        <f aca="false">IF($A120="","",IFERROR($M120/$F120,""))</f>
        <v/>
      </c>
      <c r="O120" s="4" t="str">
        <f aca="false">IF($A120="","",COUNTIFS(Fact_Work!$L:$L,$A120,Fact_Work!$O:$O,"Yes"))</f>
        <v/>
      </c>
      <c r="P120" s="4" t="str">
        <f aca="false">IF($A120="","",IF($C120&lt;&gt;"Yes","n/a",IF($M120&gt;$F120,"OVER","OK")))</f>
        <v/>
      </c>
      <c r="Q120" s="23" t="str">
        <f aca="false">IF($A120="","",IFERROR(VLOOKUP($B120,Dim_Team!$A:$G,7,0),""))</f>
        <v/>
      </c>
    </row>
    <row r="121" customFormat="false" ht="15" hidden="false" customHeight="true" outlineLevel="0" collapsed="false">
      <c r="D121" s="4" t="str">
        <f aca="false">IF($A121="","",IFERROR(VLOOKUP($B121,Dim_Team!$A:$B,2,0),"external"))</f>
        <v/>
      </c>
      <c r="E121" s="22" t="str">
        <f aca="false">IF($A121="","",IFERROR(VLOOKUP($B121,Dim_Team!$A:$F,6,0),""))</f>
        <v/>
      </c>
      <c r="F121" s="31" t="str">
        <f aca="false">IF($A121="","",IFERROR(VLOOKUP($B121,Dim_Team!$A:$E,5,0),0))</f>
        <v/>
      </c>
      <c r="G121" s="4" t="str">
        <f aca="false">IF($A121="","",COUNTIF(Dim_Fund!$G:$G,$A121))</f>
        <v/>
      </c>
      <c r="H121" s="31" t="str">
        <f aca="false">IF($A121="","",IFERROR(ROUND(SUMIF(Fact_Work!$N:$N,$A121,Fact_Work!$Q:$Q)/Constants!$B$13,0),0))</f>
        <v/>
      </c>
      <c r="I121" s="31" t="str">
        <f aca="false">IF($A121="","",IFERROR(ROUND(SUMIF(Fact_Work!$L:$L,$A121,Fact_Work!$Q:$Q)/Constants!$B$13,0),0))</f>
        <v/>
      </c>
      <c r="J121" s="49" t="str">
        <f aca="false">IF($A121="","",IFERROR($I121/$F121,""))</f>
        <v/>
      </c>
      <c r="K121" s="4" t="str">
        <f aca="false">IF($A121="","",IFERROR(ROUND(COUNTIF(Fact_Work!$M:$M,$A121)/Constants!$B$13,1),0))</f>
        <v/>
      </c>
      <c r="L121" s="31" t="str">
        <f aca="false">IF($A121="","",IFERROR(ROUND(SUMIF(Fact_Work!$M:$M,$A121,Fact_Work!$AE:$AE)/Constants!$B$13,0),0))</f>
        <v/>
      </c>
      <c r="M121" s="31" t="str">
        <f aca="false">IF($A121="","",$I121+$L121)</f>
        <v/>
      </c>
      <c r="N121" s="49" t="str">
        <f aca="false">IF($A121="","",IFERROR($M121/$F121,""))</f>
        <v/>
      </c>
      <c r="O121" s="4" t="str">
        <f aca="false">IF($A121="","",COUNTIFS(Fact_Work!$L:$L,$A121,Fact_Work!$O:$O,"Yes"))</f>
        <v/>
      </c>
      <c r="P121" s="4" t="str">
        <f aca="false">IF($A121="","",IF($C121&lt;&gt;"Yes","n/a",IF($M121&gt;$F121,"OVER","OK")))</f>
        <v/>
      </c>
      <c r="Q121" s="23" t="str">
        <f aca="false">IF($A121="","",IFERROR(VLOOKUP($B121,Dim_Team!$A:$G,7,0),""))</f>
        <v/>
      </c>
    </row>
    <row r="122" customFormat="false" ht="15" hidden="false" customHeight="true" outlineLevel="0" collapsed="false">
      <c r="D122" s="4" t="str">
        <f aca="false">IF($A122="","",IFERROR(VLOOKUP($B122,Dim_Team!$A:$B,2,0),"external"))</f>
        <v/>
      </c>
      <c r="E122" s="22" t="str">
        <f aca="false">IF($A122="","",IFERROR(VLOOKUP($B122,Dim_Team!$A:$F,6,0),""))</f>
        <v/>
      </c>
      <c r="F122" s="31" t="str">
        <f aca="false">IF($A122="","",IFERROR(VLOOKUP($B122,Dim_Team!$A:$E,5,0),0))</f>
        <v/>
      </c>
      <c r="G122" s="4" t="str">
        <f aca="false">IF($A122="","",COUNTIF(Dim_Fund!$G:$G,$A122))</f>
        <v/>
      </c>
      <c r="H122" s="31" t="str">
        <f aca="false">IF($A122="","",IFERROR(ROUND(SUMIF(Fact_Work!$N:$N,$A122,Fact_Work!$Q:$Q)/Constants!$B$13,0),0))</f>
        <v/>
      </c>
      <c r="I122" s="31" t="str">
        <f aca="false">IF($A122="","",IFERROR(ROUND(SUMIF(Fact_Work!$L:$L,$A122,Fact_Work!$Q:$Q)/Constants!$B$13,0),0))</f>
        <v/>
      </c>
      <c r="J122" s="49" t="str">
        <f aca="false">IF($A122="","",IFERROR($I122/$F122,""))</f>
        <v/>
      </c>
      <c r="K122" s="4" t="str">
        <f aca="false">IF($A122="","",IFERROR(ROUND(COUNTIF(Fact_Work!$M:$M,$A122)/Constants!$B$13,1),0))</f>
        <v/>
      </c>
      <c r="L122" s="31" t="str">
        <f aca="false">IF($A122="","",IFERROR(ROUND(SUMIF(Fact_Work!$M:$M,$A122,Fact_Work!$AE:$AE)/Constants!$B$13,0),0))</f>
        <v/>
      </c>
      <c r="M122" s="31" t="str">
        <f aca="false">IF($A122="","",$I122+$L122)</f>
        <v/>
      </c>
      <c r="N122" s="49" t="str">
        <f aca="false">IF($A122="","",IFERROR($M122/$F122,""))</f>
        <v/>
      </c>
      <c r="O122" s="4" t="str">
        <f aca="false">IF($A122="","",COUNTIFS(Fact_Work!$L:$L,$A122,Fact_Work!$O:$O,"Yes"))</f>
        <v/>
      </c>
      <c r="P122" s="4" t="str">
        <f aca="false">IF($A122="","",IF($C122&lt;&gt;"Yes","n/a",IF($M122&gt;$F122,"OVER","OK")))</f>
        <v/>
      </c>
      <c r="Q122" s="23" t="str">
        <f aca="false">IF($A122="","",IFERROR(VLOOKUP($B122,Dim_Team!$A:$G,7,0),""))</f>
        <v/>
      </c>
    </row>
    <row r="123" customFormat="false" ht="15" hidden="false" customHeight="true" outlineLevel="0" collapsed="false">
      <c r="D123" s="4" t="str">
        <f aca="false">IF($A123="","",IFERROR(VLOOKUP($B123,Dim_Team!$A:$B,2,0),"external"))</f>
        <v/>
      </c>
      <c r="E123" s="22" t="str">
        <f aca="false">IF($A123="","",IFERROR(VLOOKUP($B123,Dim_Team!$A:$F,6,0),""))</f>
        <v/>
      </c>
      <c r="F123" s="31" t="str">
        <f aca="false">IF($A123="","",IFERROR(VLOOKUP($B123,Dim_Team!$A:$E,5,0),0))</f>
        <v/>
      </c>
      <c r="G123" s="4" t="str">
        <f aca="false">IF($A123="","",COUNTIF(Dim_Fund!$G:$G,$A123))</f>
        <v/>
      </c>
      <c r="H123" s="31" t="str">
        <f aca="false">IF($A123="","",IFERROR(ROUND(SUMIF(Fact_Work!$N:$N,$A123,Fact_Work!$Q:$Q)/Constants!$B$13,0),0))</f>
        <v/>
      </c>
      <c r="I123" s="31" t="str">
        <f aca="false">IF($A123="","",IFERROR(ROUND(SUMIF(Fact_Work!$L:$L,$A123,Fact_Work!$Q:$Q)/Constants!$B$13,0),0))</f>
        <v/>
      </c>
      <c r="J123" s="49" t="str">
        <f aca="false">IF($A123="","",IFERROR($I123/$F123,""))</f>
        <v/>
      </c>
      <c r="K123" s="4" t="str">
        <f aca="false">IF($A123="","",IFERROR(ROUND(COUNTIF(Fact_Work!$M:$M,$A123)/Constants!$B$13,1),0))</f>
        <v/>
      </c>
      <c r="L123" s="31" t="str">
        <f aca="false">IF($A123="","",IFERROR(ROUND(SUMIF(Fact_Work!$M:$M,$A123,Fact_Work!$AE:$AE)/Constants!$B$13,0),0))</f>
        <v/>
      </c>
      <c r="M123" s="31" t="str">
        <f aca="false">IF($A123="","",$I123+$L123)</f>
        <v/>
      </c>
      <c r="N123" s="49" t="str">
        <f aca="false">IF($A123="","",IFERROR($M123/$F123,""))</f>
        <v/>
      </c>
      <c r="O123" s="4" t="str">
        <f aca="false">IF($A123="","",COUNTIFS(Fact_Work!$L:$L,$A123,Fact_Work!$O:$O,"Yes"))</f>
        <v/>
      </c>
      <c r="P123" s="4" t="str">
        <f aca="false">IF($A123="","",IF($C123&lt;&gt;"Yes","n/a",IF($M123&gt;$F123,"OVER","OK")))</f>
        <v/>
      </c>
      <c r="Q123" s="23" t="str">
        <f aca="false">IF($A123="","",IFERROR(VLOOKUP($B123,Dim_Team!$A:$G,7,0),""))</f>
        <v/>
      </c>
    </row>
    <row r="124" customFormat="false" ht="15" hidden="false" customHeight="true" outlineLevel="0" collapsed="false">
      <c r="D124" s="4" t="str">
        <f aca="false">IF($A124="","",IFERROR(VLOOKUP($B124,Dim_Team!$A:$B,2,0),"external"))</f>
        <v/>
      </c>
      <c r="E124" s="22" t="str">
        <f aca="false">IF($A124="","",IFERROR(VLOOKUP($B124,Dim_Team!$A:$F,6,0),""))</f>
        <v/>
      </c>
      <c r="F124" s="31" t="str">
        <f aca="false">IF($A124="","",IFERROR(VLOOKUP($B124,Dim_Team!$A:$E,5,0),0))</f>
        <v/>
      </c>
      <c r="G124" s="4" t="str">
        <f aca="false">IF($A124="","",COUNTIF(Dim_Fund!$G:$G,$A124))</f>
        <v/>
      </c>
      <c r="H124" s="31" t="str">
        <f aca="false">IF($A124="","",IFERROR(ROUND(SUMIF(Fact_Work!$N:$N,$A124,Fact_Work!$Q:$Q)/Constants!$B$13,0),0))</f>
        <v/>
      </c>
      <c r="I124" s="31" t="str">
        <f aca="false">IF($A124="","",IFERROR(ROUND(SUMIF(Fact_Work!$L:$L,$A124,Fact_Work!$Q:$Q)/Constants!$B$13,0),0))</f>
        <v/>
      </c>
      <c r="J124" s="49" t="str">
        <f aca="false">IF($A124="","",IFERROR($I124/$F124,""))</f>
        <v/>
      </c>
      <c r="K124" s="4" t="str">
        <f aca="false">IF($A124="","",IFERROR(ROUND(COUNTIF(Fact_Work!$M:$M,$A124)/Constants!$B$13,1),0))</f>
        <v/>
      </c>
      <c r="L124" s="31" t="str">
        <f aca="false">IF($A124="","",IFERROR(ROUND(SUMIF(Fact_Work!$M:$M,$A124,Fact_Work!$AE:$AE)/Constants!$B$13,0),0))</f>
        <v/>
      </c>
      <c r="M124" s="31" t="str">
        <f aca="false">IF($A124="","",$I124+$L124)</f>
        <v/>
      </c>
      <c r="N124" s="49" t="str">
        <f aca="false">IF($A124="","",IFERROR($M124/$F124,""))</f>
        <v/>
      </c>
      <c r="O124" s="4" t="str">
        <f aca="false">IF($A124="","",COUNTIFS(Fact_Work!$L:$L,$A124,Fact_Work!$O:$O,"Yes"))</f>
        <v/>
      </c>
      <c r="P124" s="4" t="str">
        <f aca="false">IF($A124="","",IF($C124&lt;&gt;"Yes","n/a",IF($M124&gt;$F124,"OVER","OK")))</f>
        <v/>
      </c>
      <c r="Q124" s="23" t="str">
        <f aca="false">IF($A124="","",IFERROR(VLOOKUP($B124,Dim_Team!$A:$G,7,0),""))</f>
        <v/>
      </c>
    </row>
    <row r="125" customFormat="false" ht="15" hidden="false" customHeight="true" outlineLevel="0" collapsed="false">
      <c r="D125" s="4" t="str">
        <f aca="false">IF($A125="","",IFERROR(VLOOKUP($B125,Dim_Team!$A:$B,2,0),"external"))</f>
        <v/>
      </c>
      <c r="E125" s="22" t="str">
        <f aca="false">IF($A125="","",IFERROR(VLOOKUP($B125,Dim_Team!$A:$F,6,0),""))</f>
        <v/>
      </c>
      <c r="F125" s="31" t="str">
        <f aca="false">IF($A125="","",IFERROR(VLOOKUP($B125,Dim_Team!$A:$E,5,0),0))</f>
        <v/>
      </c>
      <c r="G125" s="4" t="str">
        <f aca="false">IF($A125="","",COUNTIF(Dim_Fund!$G:$G,$A125))</f>
        <v/>
      </c>
      <c r="H125" s="31" t="str">
        <f aca="false">IF($A125="","",IFERROR(ROUND(SUMIF(Fact_Work!$N:$N,$A125,Fact_Work!$Q:$Q)/Constants!$B$13,0),0))</f>
        <v/>
      </c>
      <c r="I125" s="31" t="str">
        <f aca="false">IF($A125="","",IFERROR(ROUND(SUMIF(Fact_Work!$L:$L,$A125,Fact_Work!$Q:$Q)/Constants!$B$13,0),0))</f>
        <v/>
      </c>
      <c r="J125" s="49" t="str">
        <f aca="false">IF($A125="","",IFERROR($I125/$F125,""))</f>
        <v/>
      </c>
      <c r="K125" s="4" t="str">
        <f aca="false">IF($A125="","",IFERROR(ROUND(COUNTIF(Fact_Work!$M:$M,$A125)/Constants!$B$13,1),0))</f>
        <v/>
      </c>
      <c r="L125" s="31" t="str">
        <f aca="false">IF($A125="","",IFERROR(ROUND(SUMIF(Fact_Work!$M:$M,$A125,Fact_Work!$AE:$AE)/Constants!$B$13,0),0))</f>
        <v/>
      </c>
      <c r="M125" s="31" t="str">
        <f aca="false">IF($A125="","",$I125+$L125)</f>
        <v/>
      </c>
      <c r="N125" s="49" t="str">
        <f aca="false">IF($A125="","",IFERROR($M125/$F125,""))</f>
        <v/>
      </c>
      <c r="O125" s="4" t="str">
        <f aca="false">IF($A125="","",COUNTIFS(Fact_Work!$L:$L,$A125,Fact_Work!$O:$O,"Yes"))</f>
        <v/>
      </c>
      <c r="P125" s="4" t="str">
        <f aca="false">IF($A125="","",IF($C125&lt;&gt;"Yes","n/a",IF($M125&gt;$F125,"OVER","OK")))</f>
        <v/>
      </c>
      <c r="Q125" s="23" t="str">
        <f aca="false">IF($A125="","",IFERROR(VLOOKUP($B125,Dim_Team!$A:$G,7,0),""))</f>
        <v/>
      </c>
    </row>
    <row r="126" customFormat="false" ht="15" hidden="false" customHeight="true" outlineLevel="0" collapsed="false">
      <c r="D126" s="4" t="str">
        <f aca="false">IF($A126="","",IFERROR(VLOOKUP($B126,Dim_Team!$A:$B,2,0),"external"))</f>
        <v/>
      </c>
      <c r="E126" s="22" t="str">
        <f aca="false">IF($A126="","",IFERROR(VLOOKUP($B126,Dim_Team!$A:$F,6,0),""))</f>
        <v/>
      </c>
      <c r="F126" s="31" t="str">
        <f aca="false">IF($A126="","",IFERROR(VLOOKUP($B126,Dim_Team!$A:$E,5,0),0))</f>
        <v/>
      </c>
      <c r="G126" s="4" t="str">
        <f aca="false">IF($A126="","",COUNTIF(Dim_Fund!$G:$G,$A126))</f>
        <v/>
      </c>
      <c r="H126" s="31" t="str">
        <f aca="false">IF($A126="","",IFERROR(ROUND(SUMIF(Fact_Work!$N:$N,$A126,Fact_Work!$Q:$Q)/Constants!$B$13,0),0))</f>
        <v/>
      </c>
      <c r="I126" s="31" t="str">
        <f aca="false">IF($A126="","",IFERROR(ROUND(SUMIF(Fact_Work!$L:$L,$A126,Fact_Work!$Q:$Q)/Constants!$B$13,0),0))</f>
        <v/>
      </c>
      <c r="J126" s="49" t="str">
        <f aca="false">IF($A126="","",IFERROR($I126/$F126,""))</f>
        <v/>
      </c>
      <c r="K126" s="4" t="str">
        <f aca="false">IF($A126="","",IFERROR(ROUND(COUNTIF(Fact_Work!$M:$M,$A126)/Constants!$B$13,1),0))</f>
        <v/>
      </c>
      <c r="L126" s="31" t="str">
        <f aca="false">IF($A126="","",IFERROR(ROUND(SUMIF(Fact_Work!$M:$M,$A126,Fact_Work!$AE:$AE)/Constants!$B$13,0),0))</f>
        <v/>
      </c>
      <c r="M126" s="31" t="str">
        <f aca="false">IF($A126="","",$I126+$L126)</f>
        <v/>
      </c>
      <c r="N126" s="49" t="str">
        <f aca="false">IF($A126="","",IFERROR($M126/$F126,""))</f>
        <v/>
      </c>
      <c r="O126" s="4" t="str">
        <f aca="false">IF($A126="","",COUNTIFS(Fact_Work!$L:$L,$A126,Fact_Work!$O:$O,"Yes"))</f>
        <v/>
      </c>
      <c r="P126" s="4" t="str">
        <f aca="false">IF($A126="","",IF($C126&lt;&gt;"Yes","n/a",IF($M126&gt;$F126,"OVER","OK")))</f>
        <v/>
      </c>
      <c r="Q126" s="23" t="str">
        <f aca="false">IF($A126="","",IFERROR(VLOOKUP($B126,Dim_Team!$A:$G,7,0),""))</f>
        <v/>
      </c>
    </row>
    <row r="127" customFormat="false" ht="15" hidden="false" customHeight="true" outlineLevel="0" collapsed="false">
      <c r="D127" s="4" t="str">
        <f aca="false">IF($A127="","",IFERROR(VLOOKUP($B127,Dim_Team!$A:$B,2,0),"external"))</f>
        <v/>
      </c>
      <c r="E127" s="22" t="str">
        <f aca="false">IF($A127="","",IFERROR(VLOOKUP($B127,Dim_Team!$A:$F,6,0),""))</f>
        <v/>
      </c>
      <c r="F127" s="31" t="str">
        <f aca="false">IF($A127="","",IFERROR(VLOOKUP($B127,Dim_Team!$A:$E,5,0),0))</f>
        <v/>
      </c>
      <c r="G127" s="4" t="str">
        <f aca="false">IF($A127="","",COUNTIF(Dim_Fund!$G:$G,$A127))</f>
        <v/>
      </c>
      <c r="H127" s="31" t="str">
        <f aca="false">IF($A127="","",IFERROR(ROUND(SUMIF(Fact_Work!$N:$N,$A127,Fact_Work!$Q:$Q)/Constants!$B$13,0),0))</f>
        <v/>
      </c>
      <c r="I127" s="31" t="str">
        <f aca="false">IF($A127="","",IFERROR(ROUND(SUMIF(Fact_Work!$L:$L,$A127,Fact_Work!$Q:$Q)/Constants!$B$13,0),0))</f>
        <v/>
      </c>
      <c r="J127" s="49" t="str">
        <f aca="false">IF($A127="","",IFERROR($I127/$F127,""))</f>
        <v/>
      </c>
      <c r="K127" s="4" t="str">
        <f aca="false">IF($A127="","",IFERROR(ROUND(COUNTIF(Fact_Work!$M:$M,$A127)/Constants!$B$13,1),0))</f>
        <v/>
      </c>
      <c r="L127" s="31" t="str">
        <f aca="false">IF($A127="","",IFERROR(ROUND(SUMIF(Fact_Work!$M:$M,$A127,Fact_Work!$AE:$AE)/Constants!$B$13,0),0))</f>
        <v/>
      </c>
      <c r="M127" s="31" t="str">
        <f aca="false">IF($A127="","",$I127+$L127)</f>
        <v/>
      </c>
      <c r="N127" s="49" t="str">
        <f aca="false">IF($A127="","",IFERROR($M127/$F127,""))</f>
        <v/>
      </c>
      <c r="O127" s="4" t="str">
        <f aca="false">IF($A127="","",COUNTIFS(Fact_Work!$L:$L,$A127,Fact_Work!$O:$O,"Yes"))</f>
        <v/>
      </c>
      <c r="P127" s="4" t="str">
        <f aca="false">IF($A127="","",IF($C127&lt;&gt;"Yes","n/a",IF($M127&gt;$F127,"OVER","OK")))</f>
        <v/>
      </c>
      <c r="Q127" s="23" t="str">
        <f aca="false">IF($A127="","",IFERROR(VLOOKUP($B127,Dim_Team!$A:$G,7,0),""))</f>
        <v/>
      </c>
    </row>
    <row r="128" customFormat="false" ht="15" hidden="false" customHeight="true" outlineLevel="0" collapsed="false">
      <c r="D128" s="4" t="str">
        <f aca="false">IF($A128="","",IFERROR(VLOOKUP($B128,Dim_Team!$A:$B,2,0),"external"))</f>
        <v/>
      </c>
      <c r="E128" s="22" t="str">
        <f aca="false">IF($A128="","",IFERROR(VLOOKUP($B128,Dim_Team!$A:$F,6,0),""))</f>
        <v/>
      </c>
      <c r="F128" s="31" t="str">
        <f aca="false">IF($A128="","",IFERROR(VLOOKUP($B128,Dim_Team!$A:$E,5,0),0))</f>
        <v/>
      </c>
      <c r="G128" s="4" t="str">
        <f aca="false">IF($A128="","",COUNTIF(Dim_Fund!$G:$G,$A128))</f>
        <v/>
      </c>
      <c r="H128" s="31" t="str">
        <f aca="false">IF($A128="","",IFERROR(ROUND(SUMIF(Fact_Work!$N:$N,$A128,Fact_Work!$Q:$Q)/Constants!$B$13,0),0))</f>
        <v/>
      </c>
      <c r="I128" s="31" t="str">
        <f aca="false">IF($A128="","",IFERROR(ROUND(SUMIF(Fact_Work!$L:$L,$A128,Fact_Work!$Q:$Q)/Constants!$B$13,0),0))</f>
        <v/>
      </c>
      <c r="J128" s="49" t="str">
        <f aca="false">IF($A128="","",IFERROR($I128/$F128,""))</f>
        <v/>
      </c>
      <c r="K128" s="4" t="str">
        <f aca="false">IF($A128="","",IFERROR(ROUND(COUNTIF(Fact_Work!$M:$M,$A128)/Constants!$B$13,1),0))</f>
        <v/>
      </c>
      <c r="L128" s="31" t="str">
        <f aca="false">IF($A128="","",IFERROR(ROUND(SUMIF(Fact_Work!$M:$M,$A128,Fact_Work!$AE:$AE)/Constants!$B$13,0),0))</f>
        <v/>
      </c>
      <c r="M128" s="31" t="str">
        <f aca="false">IF($A128="","",$I128+$L128)</f>
        <v/>
      </c>
      <c r="N128" s="49" t="str">
        <f aca="false">IF($A128="","",IFERROR($M128/$F128,""))</f>
        <v/>
      </c>
      <c r="O128" s="4" t="str">
        <f aca="false">IF($A128="","",COUNTIFS(Fact_Work!$L:$L,$A128,Fact_Work!$O:$O,"Yes"))</f>
        <v/>
      </c>
      <c r="P128" s="4" t="str">
        <f aca="false">IF($A128="","",IF($C128&lt;&gt;"Yes","n/a",IF($M128&gt;$F128,"OVER","OK")))</f>
        <v/>
      </c>
      <c r="Q128" s="23" t="str">
        <f aca="false">IF($A128="","",IFERROR(VLOOKUP($B128,Dim_Team!$A:$G,7,0),""))</f>
        <v/>
      </c>
    </row>
    <row r="129" customFormat="false" ht="15" hidden="false" customHeight="true" outlineLevel="0" collapsed="false">
      <c r="D129" s="4" t="str">
        <f aca="false">IF($A129="","",IFERROR(VLOOKUP($B129,Dim_Team!$A:$B,2,0),"external"))</f>
        <v/>
      </c>
      <c r="E129" s="22" t="str">
        <f aca="false">IF($A129="","",IFERROR(VLOOKUP($B129,Dim_Team!$A:$F,6,0),""))</f>
        <v/>
      </c>
      <c r="F129" s="31" t="str">
        <f aca="false">IF($A129="","",IFERROR(VLOOKUP($B129,Dim_Team!$A:$E,5,0),0))</f>
        <v/>
      </c>
      <c r="G129" s="4" t="str">
        <f aca="false">IF($A129="","",COUNTIF(Dim_Fund!$G:$G,$A129))</f>
        <v/>
      </c>
      <c r="H129" s="31" t="str">
        <f aca="false">IF($A129="","",IFERROR(ROUND(SUMIF(Fact_Work!$N:$N,$A129,Fact_Work!$Q:$Q)/Constants!$B$13,0),0))</f>
        <v/>
      </c>
      <c r="I129" s="31" t="str">
        <f aca="false">IF($A129="","",IFERROR(ROUND(SUMIF(Fact_Work!$L:$L,$A129,Fact_Work!$Q:$Q)/Constants!$B$13,0),0))</f>
        <v/>
      </c>
      <c r="J129" s="49" t="str">
        <f aca="false">IF($A129="","",IFERROR($I129/$F129,""))</f>
        <v/>
      </c>
      <c r="K129" s="4" t="str">
        <f aca="false">IF($A129="","",IFERROR(ROUND(COUNTIF(Fact_Work!$M:$M,$A129)/Constants!$B$13,1),0))</f>
        <v/>
      </c>
      <c r="L129" s="31" t="str">
        <f aca="false">IF($A129="","",IFERROR(ROUND(SUMIF(Fact_Work!$M:$M,$A129,Fact_Work!$AE:$AE)/Constants!$B$13,0),0))</f>
        <v/>
      </c>
      <c r="M129" s="31" t="str">
        <f aca="false">IF($A129="","",$I129+$L129)</f>
        <v/>
      </c>
      <c r="N129" s="49" t="str">
        <f aca="false">IF($A129="","",IFERROR($M129/$F129,""))</f>
        <v/>
      </c>
      <c r="O129" s="4" t="str">
        <f aca="false">IF($A129="","",COUNTIFS(Fact_Work!$L:$L,$A129,Fact_Work!$O:$O,"Yes"))</f>
        <v/>
      </c>
      <c r="P129" s="4" t="str">
        <f aca="false">IF($A129="","",IF($C129&lt;&gt;"Yes","n/a",IF($M129&gt;$F129,"OVER","OK")))</f>
        <v/>
      </c>
      <c r="Q129" s="23" t="str">
        <f aca="false">IF($A129="","",IFERROR(VLOOKUP($B129,Dim_Team!$A:$G,7,0),""))</f>
        <v/>
      </c>
    </row>
    <row r="130" customFormat="false" ht="15" hidden="false" customHeight="true" outlineLevel="0" collapsed="false">
      <c r="D130" s="4" t="str">
        <f aca="false">IF($A130="","",IFERROR(VLOOKUP($B130,Dim_Team!$A:$B,2,0),"external"))</f>
        <v/>
      </c>
      <c r="E130" s="22" t="str">
        <f aca="false">IF($A130="","",IFERROR(VLOOKUP($B130,Dim_Team!$A:$F,6,0),""))</f>
        <v/>
      </c>
      <c r="F130" s="31" t="str">
        <f aca="false">IF($A130="","",IFERROR(VLOOKUP($B130,Dim_Team!$A:$E,5,0),0))</f>
        <v/>
      </c>
      <c r="G130" s="4" t="str">
        <f aca="false">IF($A130="","",COUNTIF(Dim_Fund!$G:$G,$A130))</f>
        <v/>
      </c>
      <c r="H130" s="31" t="str">
        <f aca="false">IF($A130="","",IFERROR(ROUND(SUMIF(Fact_Work!$N:$N,$A130,Fact_Work!$Q:$Q)/Constants!$B$13,0),0))</f>
        <v/>
      </c>
      <c r="I130" s="31" t="str">
        <f aca="false">IF($A130="","",IFERROR(ROUND(SUMIF(Fact_Work!$L:$L,$A130,Fact_Work!$Q:$Q)/Constants!$B$13,0),0))</f>
        <v/>
      </c>
      <c r="J130" s="49" t="str">
        <f aca="false">IF($A130="","",IFERROR($I130/$F130,""))</f>
        <v/>
      </c>
      <c r="K130" s="4" t="str">
        <f aca="false">IF($A130="","",IFERROR(ROUND(COUNTIF(Fact_Work!$M:$M,$A130)/Constants!$B$13,1),0))</f>
        <v/>
      </c>
      <c r="L130" s="31" t="str">
        <f aca="false">IF($A130="","",IFERROR(ROUND(SUMIF(Fact_Work!$M:$M,$A130,Fact_Work!$AE:$AE)/Constants!$B$13,0),0))</f>
        <v/>
      </c>
      <c r="M130" s="31" t="str">
        <f aca="false">IF($A130="","",$I130+$L130)</f>
        <v/>
      </c>
      <c r="N130" s="49" t="str">
        <f aca="false">IF($A130="","",IFERROR($M130/$F130,""))</f>
        <v/>
      </c>
      <c r="O130" s="4" t="str">
        <f aca="false">IF($A130="","",COUNTIFS(Fact_Work!$L:$L,$A130,Fact_Work!$O:$O,"Yes"))</f>
        <v/>
      </c>
      <c r="P130" s="4" t="str">
        <f aca="false">IF($A130="","",IF($C130&lt;&gt;"Yes","n/a",IF($M130&gt;$F130,"OVER","OK")))</f>
        <v/>
      </c>
      <c r="Q130" s="23" t="str">
        <f aca="false">IF($A130="","",IFERROR(VLOOKUP($B130,Dim_Team!$A:$G,7,0),""))</f>
        <v/>
      </c>
    </row>
    <row r="131" customFormat="false" ht="15" hidden="false" customHeight="true" outlineLevel="0" collapsed="false">
      <c r="D131" s="4" t="str">
        <f aca="false">IF($A131="","",IFERROR(VLOOKUP($B131,Dim_Team!$A:$B,2,0),"external"))</f>
        <v/>
      </c>
      <c r="E131" s="22" t="str">
        <f aca="false">IF($A131="","",IFERROR(VLOOKUP($B131,Dim_Team!$A:$F,6,0),""))</f>
        <v/>
      </c>
      <c r="F131" s="31" t="str">
        <f aca="false">IF($A131="","",IFERROR(VLOOKUP($B131,Dim_Team!$A:$E,5,0),0))</f>
        <v/>
      </c>
      <c r="G131" s="4" t="str">
        <f aca="false">IF($A131="","",COUNTIF(Dim_Fund!$G:$G,$A131))</f>
        <v/>
      </c>
      <c r="H131" s="31" t="str">
        <f aca="false">IF($A131="","",IFERROR(ROUND(SUMIF(Fact_Work!$N:$N,$A131,Fact_Work!$Q:$Q)/Constants!$B$13,0),0))</f>
        <v/>
      </c>
      <c r="I131" s="31" t="str">
        <f aca="false">IF($A131="","",IFERROR(ROUND(SUMIF(Fact_Work!$L:$L,$A131,Fact_Work!$Q:$Q)/Constants!$B$13,0),0))</f>
        <v/>
      </c>
      <c r="J131" s="49" t="str">
        <f aca="false">IF($A131="","",IFERROR($I131/$F131,""))</f>
        <v/>
      </c>
      <c r="K131" s="4" t="str">
        <f aca="false">IF($A131="","",IFERROR(ROUND(COUNTIF(Fact_Work!$M:$M,$A131)/Constants!$B$13,1),0))</f>
        <v/>
      </c>
      <c r="L131" s="31" t="str">
        <f aca="false">IF($A131="","",IFERROR(ROUND(SUMIF(Fact_Work!$M:$M,$A131,Fact_Work!$AE:$AE)/Constants!$B$13,0),0))</f>
        <v/>
      </c>
      <c r="M131" s="31" t="str">
        <f aca="false">IF($A131="","",$I131+$L131)</f>
        <v/>
      </c>
      <c r="N131" s="49" t="str">
        <f aca="false">IF($A131="","",IFERROR($M131/$F131,""))</f>
        <v/>
      </c>
      <c r="O131" s="4" t="str">
        <f aca="false">IF($A131="","",COUNTIFS(Fact_Work!$L:$L,$A131,Fact_Work!$O:$O,"Yes"))</f>
        <v/>
      </c>
      <c r="P131" s="4" t="str">
        <f aca="false">IF($A131="","",IF($C131&lt;&gt;"Yes","n/a",IF($M131&gt;$F131,"OVER","OK")))</f>
        <v/>
      </c>
      <c r="Q131" s="23" t="str">
        <f aca="false">IF($A131="","",IFERROR(VLOOKUP($B131,Dim_Team!$A:$G,7,0),""))</f>
        <v/>
      </c>
    </row>
    <row r="132" customFormat="false" ht="15" hidden="false" customHeight="true" outlineLevel="0" collapsed="false">
      <c r="D132" s="4" t="str">
        <f aca="false">IF($A132="","",IFERROR(VLOOKUP($B132,Dim_Team!$A:$B,2,0),"external"))</f>
        <v/>
      </c>
      <c r="E132" s="22" t="str">
        <f aca="false">IF($A132="","",IFERROR(VLOOKUP($B132,Dim_Team!$A:$F,6,0),""))</f>
        <v/>
      </c>
      <c r="F132" s="31" t="str">
        <f aca="false">IF($A132="","",IFERROR(VLOOKUP($B132,Dim_Team!$A:$E,5,0),0))</f>
        <v/>
      </c>
      <c r="G132" s="4" t="str">
        <f aca="false">IF($A132="","",COUNTIF(Dim_Fund!$G:$G,$A132))</f>
        <v/>
      </c>
      <c r="H132" s="31" t="str">
        <f aca="false">IF($A132="","",IFERROR(ROUND(SUMIF(Fact_Work!$N:$N,$A132,Fact_Work!$Q:$Q)/Constants!$B$13,0),0))</f>
        <v/>
      </c>
      <c r="I132" s="31" t="str">
        <f aca="false">IF($A132="","",IFERROR(ROUND(SUMIF(Fact_Work!$L:$L,$A132,Fact_Work!$Q:$Q)/Constants!$B$13,0),0))</f>
        <v/>
      </c>
      <c r="J132" s="49" t="str">
        <f aca="false">IF($A132="","",IFERROR($I132/$F132,""))</f>
        <v/>
      </c>
      <c r="K132" s="4" t="str">
        <f aca="false">IF($A132="","",IFERROR(ROUND(COUNTIF(Fact_Work!$M:$M,$A132)/Constants!$B$13,1),0))</f>
        <v/>
      </c>
      <c r="L132" s="31" t="str">
        <f aca="false">IF($A132="","",IFERROR(ROUND(SUMIF(Fact_Work!$M:$M,$A132,Fact_Work!$AE:$AE)/Constants!$B$13,0),0))</f>
        <v/>
      </c>
      <c r="M132" s="31" t="str">
        <f aca="false">IF($A132="","",$I132+$L132)</f>
        <v/>
      </c>
      <c r="N132" s="49" t="str">
        <f aca="false">IF($A132="","",IFERROR($M132/$F132,""))</f>
        <v/>
      </c>
      <c r="O132" s="4" t="str">
        <f aca="false">IF($A132="","",COUNTIFS(Fact_Work!$L:$L,$A132,Fact_Work!$O:$O,"Yes"))</f>
        <v/>
      </c>
      <c r="P132" s="4" t="str">
        <f aca="false">IF($A132="","",IF($C132&lt;&gt;"Yes","n/a",IF($M132&gt;$F132,"OVER","OK")))</f>
        <v/>
      </c>
      <c r="Q132" s="23" t="str">
        <f aca="false">IF($A132="","",IFERROR(VLOOKUP($B132,Dim_Team!$A:$G,7,0),""))</f>
        <v/>
      </c>
    </row>
    <row r="133" customFormat="false" ht="15" hidden="false" customHeight="true" outlineLevel="0" collapsed="false">
      <c r="D133" s="4" t="str">
        <f aca="false">IF($A133="","",IFERROR(VLOOKUP($B133,Dim_Team!$A:$B,2,0),"external"))</f>
        <v/>
      </c>
      <c r="E133" s="22" t="str">
        <f aca="false">IF($A133="","",IFERROR(VLOOKUP($B133,Dim_Team!$A:$F,6,0),""))</f>
        <v/>
      </c>
      <c r="F133" s="31" t="str">
        <f aca="false">IF($A133="","",IFERROR(VLOOKUP($B133,Dim_Team!$A:$E,5,0),0))</f>
        <v/>
      </c>
      <c r="G133" s="4" t="str">
        <f aca="false">IF($A133="","",COUNTIF(Dim_Fund!$G:$G,$A133))</f>
        <v/>
      </c>
      <c r="H133" s="31" t="str">
        <f aca="false">IF($A133="","",IFERROR(ROUND(SUMIF(Fact_Work!$N:$N,$A133,Fact_Work!$Q:$Q)/Constants!$B$13,0),0))</f>
        <v/>
      </c>
      <c r="I133" s="31" t="str">
        <f aca="false">IF($A133="","",IFERROR(ROUND(SUMIF(Fact_Work!$L:$L,$A133,Fact_Work!$Q:$Q)/Constants!$B$13,0),0))</f>
        <v/>
      </c>
      <c r="J133" s="49" t="str">
        <f aca="false">IF($A133="","",IFERROR($I133/$F133,""))</f>
        <v/>
      </c>
      <c r="K133" s="4" t="str">
        <f aca="false">IF($A133="","",IFERROR(ROUND(COUNTIF(Fact_Work!$M:$M,$A133)/Constants!$B$13,1),0))</f>
        <v/>
      </c>
      <c r="L133" s="31" t="str">
        <f aca="false">IF($A133="","",IFERROR(ROUND(SUMIF(Fact_Work!$M:$M,$A133,Fact_Work!$AE:$AE)/Constants!$B$13,0),0))</f>
        <v/>
      </c>
      <c r="M133" s="31" t="str">
        <f aca="false">IF($A133="","",$I133+$L133)</f>
        <v/>
      </c>
      <c r="N133" s="49" t="str">
        <f aca="false">IF($A133="","",IFERROR($M133/$F133,""))</f>
        <v/>
      </c>
      <c r="O133" s="4" t="str">
        <f aca="false">IF($A133="","",COUNTIFS(Fact_Work!$L:$L,$A133,Fact_Work!$O:$O,"Yes"))</f>
        <v/>
      </c>
      <c r="P133" s="4" t="str">
        <f aca="false">IF($A133="","",IF($C133&lt;&gt;"Yes","n/a",IF($M133&gt;$F133,"OVER","OK")))</f>
        <v/>
      </c>
      <c r="Q133" s="23" t="str">
        <f aca="false">IF($A133="","",IFERROR(VLOOKUP($B133,Dim_Team!$A:$G,7,0),""))</f>
        <v/>
      </c>
    </row>
    <row r="134" customFormat="false" ht="15" hidden="false" customHeight="true" outlineLevel="0" collapsed="false">
      <c r="D134" s="4" t="str">
        <f aca="false">IF($A134="","",IFERROR(VLOOKUP($B134,Dim_Team!$A:$B,2,0),"external"))</f>
        <v/>
      </c>
      <c r="E134" s="22" t="str">
        <f aca="false">IF($A134="","",IFERROR(VLOOKUP($B134,Dim_Team!$A:$F,6,0),""))</f>
        <v/>
      </c>
      <c r="F134" s="31" t="str">
        <f aca="false">IF($A134="","",IFERROR(VLOOKUP($B134,Dim_Team!$A:$E,5,0),0))</f>
        <v/>
      </c>
      <c r="G134" s="4" t="str">
        <f aca="false">IF($A134="","",COUNTIF(Dim_Fund!$G:$G,$A134))</f>
        <v/>
      </c>
      <c r="H134" s="31" t="str">
        <f aca="false">IF($A134="","",IFERROR(ROUND(SUMIF(Fact_Work!$N:$N,$A134,Fact_Work!$Q:$Q)/Constants!$B$13,0),0))</f>
        <v/>
      </c>
      <c r="I134" s="31" t="str">
        <f aca="false">IF($A134="","",IFERROR(ROUND(SUMIF(Fact_Work!$L:$L,$A134,Fact_Work!$Q:$Q)/Constants!$B$13,0),0))</f>
        <v/>
      </c>
      <c r="J134" s="49" t="str">
        <f aca="false">IF($A134="","",IFERROR($I134/$F134,""))</f>
        <v/>
      </c>
      <c r="K134" s="4" t="str">
        <f aca="false">IF($A134="","",IFERROR(ROUND(COUNTIF(Fact_Work!$M:$M,$A134)/Constants!$B$13,1),0))</f>
        <v/>
      </c>
      <c r="L134" s="31" t="str">
        <f aca="false">IF($A134="","",IFERROR(ROUND(SUMIF(Fact_Work!$M:$M,$A134,Fact_Work!$AE:$AE)/Constants!$B$13,0),0))</f>
        <v/>
      </c>
      <c r="M134" s="31" t="str">
        <f aca="false">IF($A134="","",$I134+$L134)</f>
        <v/>
      </c>
      <c r="N134" s="49" t="str">
        <f aca="false">IF($A134="","",IFERROR($M134/$F134,""))</f>
        <v/>
      </c>
      <c r="O134" s="4" t="str">
        <f aca="false">IF($A134="","",COUNTIFS(Fact_Work!$L:$L,$A134,Fact_Work!$O:$O,"Yes"))</f>
        <v/>
      </c>
      <c r="P134" s="4" t="str">
        <f aca="false">IF($A134="","",IF($C134&lt;&gt;"Yes","n/a",IF($M134&gt;$F134,"OVER","OK")))</f>
        <v/>
      </c>
      <c r="Q134" s="23" t="str">
        <f aca="false">IF($A134="","",IFERROR(VLOOKUP($B134,Dim_Team!$A:$G,7,0),""))</f>
        <v/>
      </c>
    </row>
    <row r="135" customFormat="false" ht="15" hidden="false" customHeight="true" outlineLevel="0" collapsed="false">
      <c r="D135" s="4" t="str">
        <f aca="false">IF($A135="","",IFERROR(VLOOKUP($B135,Dim_Team!$A:$B,2,0),"external"))</f>
        <v/>
      </c>
      <c r="E135" s="22" t="str">
        <f aca="false">IF($A135="","",IFERROR(VLOOKUP($B135,Dim_Team!$A:$F,6,0),""))</f>
        <v/>
      </c>
      <c r="F135" s="31" t="str">
        <f aca="false">IF($A135="","",IFERROR(VLOOKUP($B135,Dim_Team!$A:$E,5,0),0))</f>
        <v/>
      </c>
      <c r="G135" s="4" t="str">
        <f aca="false">IF($A135="","",COUNTIF(Dim_Fund!$G:$G,$A135))</f>
        <v/>
      </c>
      <c r="H135" s="31" t="str">
        <f aca="false">IF($A135="","",IFERROR(ROUND(SUMIF(Fact_Work!$N:$N,$A135,Fact_Work!$Q:$Q)/Constants!$B$13,0),0))</f>
        <v/>
      </c>
      <c r="I135" s="31" t="str">
        <f aca="false">IF($A135="","",IFERROR(ROUND(SUMIF(Fact_Work!$L:$L,$A135,Fact_Work!$Q:$Q)/Constants!$B$13,0),0))</f>
        <v/>
      </c>
      <c r="J135" s="49" t="str">
        <f aca="false">IF($A135="","",IFERROR($I135/$F135,""))</f>
        <v/>
      </c>
      <c r="K135" s="4" t="str">
        <f aca="false">IF($A135="","",IFERROR(ROUND(COUNTIF(Fact_Work!$M:$M,$A135)/Constants!$B$13,1),0))</f>
        <v/>
      </c>
      <c r="L135" s="31" t="str">
        <f aca="false">IF($A135="","",IFERROR(ROUND(SUMIF(Fact_Work!$M:$M,$A135,Fact_Work!$AE:$AE)/Constants!$B$13,0),0))</f>
        <v/>
      </c>
      <c r="M135" s="31" t="str">
        <f aca="false">IF($A135="","",$I135+$L135)</f>
        <v/>
      </c>
      <c r="N135" s="49" t="str">
        <f aca="false">IF($A135="","",IFERROR($M135/$F135,""))</f>
        <v/>
      </c>
      <c r="O135" s="4" t="str">
        <f aca="false">IF($A135="","",COUNTIFS(Fact_Work!$L:$L,$A135,Fact_Work!$O:$O,"Yes"))</f>
        <v/>
      </c>
      <c r="P135" s="4" t="str">
        <f aca="false">IF($A135="","",IF($C135&lt;&gt;"Yes","n/a",IF($M135&gt;$F135,"OVER","OK")))</f>
        <v/>
      </c>
      <c r="Q135" s="23" t="str">
        <f aca="false">IF($A135="","",IFERROR(VLOOKUP($B135,Dim_Team!$A:$G,7,0),""))</f>
        <v/>
      </c>
    </row>
    <row r="136" customFormat="false" ht="15" hidden="false" customHeight="true" outlineLevel="0" collapsed="false">
      <c r="D136" s="4" t="str">
        <f aca="false">IF($A136="","",IFERROR(VLOOKUP($B136,Dim_Team!$A:$B,2,0),"external"))</f>
        <v/>
      </c>
      <c r="E136" s="22" t="str">
        <f aca="false">IF($A136="","",IFERROR(VLOOKUP($B136,Dim_Team!$A:$F,6,0),""))</f>
        <v/>
      </c>
      <c r="F136" s="31" t="str">
        <f aca="false">IF($A136="","",IFERROR(VLOOKUP($B136,Dim_Team!$A:$E,5,0),0))</f>
        <v/>
      </c>
      <c r="G136" s="4" t="str">
        <f aca="false">IF($A136="","",COUNTIF(Dim_Fund!$G:$G,$A136))</f>
        <v/>
      </c>
      <c r="H136" s="31" t="str">
        <f aca="false">IF($A136="","",IFERROR(ROUND(SUMIF(Fact_Work!$N:$N,$A136,Fact_Work!$Q:$Q)/Constants!$B$13,0),0))</f>
        <v/>
      </c>
      <c r="I136" s="31" t="str">
        <f aca="false">IF($A136="","",IFERROR(ROUND(SUMIF(Fact_Work!$L:$L,$A136,Fact_Work!$Q:$Q)/Constants!$B$13,0),0))</f>
        <v/>
      </c>
      <c r="J136" s="49" t="str">
        <f aca="false">IF($A136="","",IFERROR($I136/$F136,""))</f>
        <v/>
      </c>
      <c r="K136" s="4" t="str">
        <f aca="false">IF($A136="","",IFERROR(ROUND(COUNTIF(Fact_Work!$M:$M,$A136)/Constants!$B$13,1),0))</f>
        <v/>
      </c>
      <c r="L136" s="31" t="str">
        <f aca="false">IF($A136="","",IFERROR(ROUND(SUMIF(Fact_Work!$M:$M,$A136,Fact_Work!$AE:$AE)/Constants!$B$13,0),0))</f>
        <v/>
      </c>
      <c r="M136" s="31" t="str">
        <f aca="false">IF($A136="","",$I136+$L136)</f>
        <v/>
      </c>
      <c r="N136" s="49" t="str">
        <f aca="false">IF($A136="","",IFERROR($M136/$F136,""))</f>
        <v/>
      </c>
      <c r="O136" s="4" t="str">
        <f aca="false">IF($A136="","",COUNTIFS(Fact_Work!$L:$L,$A136,Fact_Work!$O:$O,"Yes"))</f>
        <v/>
      </c>
      <c r="P136" s="4" t="str">
        <f aca="false">IF($A136="","",IF($C136&lt;&gt;"Yes","n/a",IF($M136&gt;$F136,"OVER","OK")))</f>
        <v/>
      </c>
      <c r="Q136" s="23" t="str">
        <f aca="false">IF($A136="","",IFERROR(VLOOKUP($B136,Dim_Team!$A:$G,7,0),""))</f>
        <v/>
      </c>
    </row>
    <row r="137" customFormat="false" ht="15" hidden="false" customHeight="true" outlineLevel="0" collapsed="false">
      <c r="D137" s="4" t="str">
        <f aca="false">IF($A137="","",IFERROR(VLOOKUP($B137,Dim_Team!$A:$B,2,0),"external"))</f>
        <v/>
      </c>
      <c r="E137" s="22" t="str">
        <f aca="false">IF($A137="","",IFERROR(VLOOKUP($B137,Dim_Team!$A:$F,6,0),""))</f>
        <v/>
      </c>
      <c r="F137" s="31" t="str">
        <f aca="false">IF($A137="","",IFERROR(VLOOKUP($B137,Dim_Team!$A:$E,5,0),0))</f>
        <v/>
      </c>
      <c r="G137" s="4" t="str">
        <f aca="false">IF($A137="","",COUNTIF(Dim_Fund!$G:$G,$A137))</f>
        <v/>
      </c>
      <c r="H137" s="31" t="str">
        <f aca="false">IF($A137="","",IFERROR(ROUND(SUMIF(Fact_Work!$N:$N,$A137,Fact_Work!$Q:$Q)/Constants!$B$13,0),0))</f>
        <v/>
      </c>
      <c r="I137" s="31" t="str">
        <f aca="false">IF($A137="","",IFERROR(ROUND(SUMIF(Fact_Work!$L:$L,$A137,Fact_Work!$Q:$Q)/Constants!$B$13,0),0))</f>
        <v/>
      </c>
      <c r="J137" s="49" t="str">
        <f aca="false">IF($A137="","",IFERROR($I137/$F137,""))</f>
        <v/>
      </c>
      <c r="K137" s="4" t="str">
        <f aca="false">IF($A137="","",IFERROR(ROUND(COUNTIF(Fact_Work!$M:$M,$A137)/Constants!$B$13,1),0))</f>
        <v/>
      </c>
      <c r="L137" s="31" t="str">
        <f aca="false">IF($A137="","",IFERROR(ROUND(SUMIF(Fact_Work!$M:$M,$A137,Fact_Work!$AE:$AE)/Constants!$B$13,0),0))</f>
        <v/>
      </c>
      <c r="M137" s="31" t="str">
        <f aca="false">IF($A137="","",$I137+$L137)</f>
        <v/>
      </c>
      <c r="N137" s="49" t="str">
        <f aca="false">IF($A137="","",IFERROR($M137/$F137,""))</f>
        <v/>
      </c>
      <c r="O137" s="4" t="str">
        <f aca="false">IF($A137="","",COUNTIFS(Fact_Work!$L:$L,$A137,Fact_Work!$O:$O,"Yes"))</f>
        <v/>
      </c>
      <c r="P137" s="4" t="str">
        <f aca="false">IF($A137="","",IF($C137&lt;&gt;"Yes","n/a",IF($M137&gt;$F137,"OVER","OK")))</f>
        <v/>
      </c>
      <c r="Q137" s="23" t="str">
        <f aca="false">IF($A137="","",IFERROR(VLOOKUP($B137,Dim_Team!$A:$G,7,0),""))</f>
        <v/>
      </c>
    </row>
    <row r="138" customFormat="false" ht="15" hidden="false" customHeight="true" outlineLevel="0" collapsed="false">
      <c r="D138" s="4" t="str">
        <f aca="false">IF($A138="","",IFERROR(VLOOKUP($B138,Dim_Team!$A:$B,2,0),"external"))</f>
        <v/>
      </c>
      <c r="E138" s="22" t="str">
        <f aca="false">IF($A138="","",IFERROR(VLOOKUP($B138,Dim_Team!$A:$F,6,0),""))</f>
        <v/>
      </c>
      <c r="F138" s="31" t="str">
        <f aca="false">IF($A138="","",IFERROR(VLOOKUP($B138,Dim_Team!$A:$E,5,0),0))</f>
        <v/>
      </c>
      <c r="G138" s="4" t="str">
        <f aca="false">IF($A138="","",COUNTIF(Dim_Fund!$G:$G,$A138))</f>
        <v/>
      </c>
      <c r="H138" s="31" t="str">
        <f aca="false">IF($A138="","",IFERROR(ROUND(SUMIF(Fact_Work!$N:$N,$A138,Fact_Work!$Q:$Q)/Constants!$B$13,0),0))</f>
        <v/>
      </c>
      <c r="I138" s="31" t="str">
        <f aca="false">IF($A138="","",IFERROR(ROUND(SUMIF(Fact_Work!$L:$L,$A138,Fact_Work!$Q:$Q)/Constants!$B$13,0),0))</f>
        <v/>
      </c>
      <c r="J138" s="49" t="str">
        <f aca="false">IF($A138="","",IFERROR($I138/$F138,""))</f>
        <v/>
      </c>
      <c r="K138" s="4" t="str">
        <f aca="false">IF($A138="","",IFERROR(ROUND(COUNTIF(Fact_Work!$M:$M,$A138)/Constants!$B$13,1),0))</f>
        <v/>
      </c>
      <c r="L138" s="31" t="str">
        <f aca="false">IF($A138="","",IFERROR(ROUND(SUMIF(Fact_Work!$M:$M,$A138,Fact_Work!$AE:$AE)/Constants!$B$13,0),0))</f>
        <v/>
      </c>
      <c r="M138" s="31" t="str">
        <f aca="false">IF($A138="","",$I138+$L138)</f>
        <v/>
      </c>
      <c r="N138" s="49" t="str">
        <f aca="false">IF($A138="","",IFERROR($M138/$F138,""))</f>
        <v/>
      </c>
      <c r="O138" s="4" t="str">
        <f aca="false">IF($A138="","",COUNTIFS(Fact_Work!$L:$L,$A138,Fact_Work!$O:$O,"Yes"))</f>
        <v/>
      </c>
      <c r="P138" s="4" t="str">
        <f aca="false">IF($A138="","",IF($C138&lt;&gt;"Yes","n/a",IF($M138&gt;$F138,"OVER","OK")))</f>
        <v/>
      </c>
      <c r="Q138" s="23" t="str">
        <f aca="false">IF($A138="","",IFERROR(VLOOKUP($B138,Dim_Team!$A:$G,7,0),""))</f>
        <v/>
      </c>
    </row>
    <row r="139" customFormat="false" ht="15" hidden="false" customHeight="true" outlineLevel="0" collapsed="false">
      <c r="D139" s="4" t="str">
        <f aca="false">IF($A139="","",IFERROR(VLOOKUP($B139,Dim_Team!$A:$B,2,0),"external"))</f>
        <v/>
      </c>
      <c r="E139" s="22" t="str">
        <f aca="false">IF($A139="","",IFERROR(VLOOKUP($B139,Dim_Team!$A:$F,6,0),""))</f>
        <v/>
      </c>
      <c r="F139" s="31" t="str">
        <f aca="false">IF($A139="","",IFERROR(VLOOKUP($B139,Dim_Team!$A:$E,5,0),0))</f>
        <v/>
      </c>
      <c r="G139" s="4" t="str">
        <f aca="false">IF($A139="","",COUNTIF(Dim_Fund!$G:$G,$A139))</f>
        <v/>
      </c>
      <c r="H139" s="31" t="str">
        <f aca="false">IF($A139="","",IFERROR(ROUND(SUMIF(Fact_Work!$N:$N,$A139,Fact_Work!$Q:$Q)/Constants!$B$13,0),0))</f>
        <v/>
      </c>
      <c r="I139" s="31" t="str">
        <f aca="false">IF($A139="","",IFERROR(ROUND(SUMIF(Fact_Work!$L:$L,$A139,Fact_Work!$Q:$Q)/Constants!$B$13,0),0))</f>
        <v/>
      </c>
      <c r="J139" s="49" t="str">
        <f aca="false">IF($A139="","",IFERROR($I139/$F139,""))</f>
        <v/>
      </c>
      <c r="K139" s="4" t="str">
        <f aca="false">IF($A139="","",IFERROR(ROUND(COUNTIF(Fact_Work!$M:$M,$A139)/Constants!$B$13,1),0))</f>
        <v/>
      </c>
      <c r="L139" s="31" t="str">
        <f aca="false">IF($A139="","",IFERROR(ROUND(SUMIF(Fact_Work!$M:$M,$A139,Fact_Work!$AE:$AE)/Constants!$B$13,0),0))</f>
        <v/>
      </c>
      <c r="M139" s="31" t="str">
        <f aca="false">IF($A139="","",$I139+$L139)</f>
        <v/>
      </c>
      <c r="N139" s="49" t="str">
        <f aca="false">IF($A139="","",IFERROR($M139/$F139,""))</f>
        <v/>
      </c>
      <c r="O139" s="4" t="str">
        <f aca="false">IF($A139="","",COUNTIFS(Fact_Work!$L:$L,$A139,Fact_Work!$O:$O,"Yes"))</f>
        <v/>
      </c>
      <c r="P139" s="4" t="str">
        <f aca="false">IF($A139="","",IF($C139&lt;&gt;"Yes","n/a",IF($M139&gt;$F139,"OVER","OK")))</f>
        <v/>
      </c>
      <c r="Q139" s="23" t="str">
        <f aca="false">IF($A139="","",IFERROR(VLOOKUP($B139,Dim_Team!$A:$G,7,0),""))</f>
        <v/>
      </c>
    </row>
    <row r="140" customFormat="false" ht="15" hidden="false" customHeight="true" outlineLevel="0" collapsed="false">
      <c r="D140" s="4" t="str">
        <f aca="false">IF($A140="","",IFERROR(VLOOKUP($B140,Dim_Team!$A:$B,2,0),"external"))</f>
        <v/>
      </c>
      <c r="E140" s="22" t="str">
        <f aca="false">IF($A140="","",IFERROR(VLOOKUP($B140,Dim_Team!$A:$F,6,0),""))</f>
        <v/>
      </c>
      <c r="F140" s="31" t="str">
        <f aca="false">IF($A140="","",IFERROR(VLOOKUP($B140,Dim_Team!$A:$E,5,0),0))</f>
        <v/>
      </c>
      <c r="G140" s="4" t="str">
        <f aca="false">IF($A140="","",COUNTIF(Dim_Fund!$G:$G,$A140))</f>
        <v/>
      </c>
      <c r="H140" s="31" t="str">
        <f aca="false">IF($A140="","",IFERROR(ROUND(SUMIF(Fact_Work!$N:$N,$A140,Fact_Work!$Q:$Q)/Constants!$B$13,0),0))</f>
        <v/>
      </c>
      <c r="I140" s="31" t="str">
        <f aca="false">IF($A140="","",IFERROR(ROUND(SUMIF(Fact_Work!$L:$L,$A140,Fact_Work!$Q:$Q)/Constants!$B$13,0),0))</f>
        <v/>
      </c>
      <c r="J140" s="49" t="str">
        <f aca="false">IF($A140="","",IFERROR($I140/$F140,""))</f>
        <v/>
      </c>
      <c r="K140" s="4" t="str">
        <f aca="false">IF($A140="","",IFERROR(ROUND(COUNTIF(Fact_Work!$M:$M,$A140)/Constants!$B$13,1),0))</f>
        <v/>
      </c>
      <c r="L140" s="31" t="str">
        <f aca="false">IF($A140="","",IFERROR(ROUND(SUMIF(Fact_Work!$M:$M,$A140,Fact_Work!$AE:$AE)/Constants!$B$13,0),0))</f>
        <v/>
      </c>
      <c r="M140" s="31" t="str">
        <f aca="false">IF($A140="","",$I140+$L140)</f>
        <v/>
      </c>
      <c r="N140" s="49" t="str">
        <f aca="false">IF($A140="","",IFERROR($M140/$F140,""))</f>
        <v/>
      </c>
      <c r="O140" s="4" t="str">
        <f aca="false">IF($A140="","",COUNTIFS(Fact_Work!$L:$L,$A140,Fact_Work!$O:$O,"Yes"))</f>
        <v/>
      </c>
      <c r="P140" s="4" t="str">
        <f aca="false">IF($A140="","",IF($C140&lt;&gt;"Yes","n/a",IF($M140&gt;$F140,"OVER","OK")))</f>
        <v/>
      </c>
      <c r="Q140" s="23" t="str">
        <f aca="false">IF($A140="","",IFERROR(VLOOKUP($B140,Dim_Team!$A:$G,7,0),""))</f>
        <v/>
      </c>
    </row>
    <row r="141" customFormat="false" ht="15" hidden="false" customHeight="true" outlineLevel="0" collapsed="false">
      <c r="D141" s="4" t="str">
        <f aca="false">IF($A141="","",IFERROR(VLOOKUP($B141,Dim_Team!$A:$B,2,0),"external"))</f>
        <v/>
      </c>
      <c r="E141" s="22" t="str">
        <f aca="false">IF($A141="","",IFERROR(VLOOKUP($B141,Dim_Team!$A:$F,6,0),""))</f>
        <v/>
      </c>
      <c r="F141" s="31" t="str">
        <f aca="false">IF($A141="","",IFERROR(VLOOKUP($B141,Dim_Team!$A:$E,5,0),0))</f>
        <v/>
      </c>
      <c r="G141" s="4" t="str">
        <f aca="false">IF($A141="","",COUNTIF(Dim_Fund!$G:$G,$A141))</f>
        <v/>
      </c>
      <c r="H141" s="31" t="str">
        <f aca="false">IF($A141="","",IFERROR(ROUND(SUMIF(Fact_Work!$N:$N,$A141,Fact_Work!$Q:$Q)/Constants!$B$13,0),0))</f>
        <v/>
      </c>
      <c r="I141" s="31" t="str">
        <f aca="false">IF($A141="","",IFERROR(ROUND(SUMIF(Fact_Work!$L:$L,$A141,Fact_Work!$Q:$Q)/Constants!$B$13,0),0))</f>
        <v/>
      </c>
      <c r="J141" s="49" t="str">
        <f aca="false">IF($A141="","",IFERROR($I141/$F141,""))</f>
        <v/>
      </c>
      <c r="K141" s="4" t="str">
        <f aca="false">IF($A141="","",IFERROR(ROUND(COUNTIF(Fact_Work!$M:$M,$A141)/Constants!$B$13,1),0))</f>
        <v/>
      </c>
      <c r="L141" s="31" t="str">
        <f aca="false">IF($A141="","",IFERROR(ROUND(SUMIF(Fact_Work!$M:$M,$A141,Fact_Work!$AE:$AE)/Constants!$B$13,0),0))</f>
        <v/>
      </c>
      <c r="M141" s="31" t="str">
        <f aca="false">IF($A141="","",$I141+$L141)</f>
        <v/>
      </c>
      <c r="N141" s="49" t="str">
        <f aca="false">IF($A141="","",IFERROR($M141/$F141,""))</f>
        <v/>
      </c>
      <c r="O141" s="4" t="str">
        <f aca="false">IF($A141="","",COUNTIFS(Fact_Work!$L:$L,$A141,Fact_Work!$O:$O,"Yes"))</f>
        <v/>
      </c>
      <c r="P141" s="4" t="str">
        <f aca="false">IF($A141="","",IF($C141&lt;&gt;"Yes","n/a",IF($M141&gt;$F141,"OVER","OK")))</f>
        <v/>
      </c>
      <c r="Q141" s="23" t="str">
        <f aca="false">IF($A141="","",IFERROR(VLOOKUP($B141,Dim_Team!$A:$G,7,0),""))</f>
        <v/>
      </c>
    </row>
    <row r="142" customFormat="false" ht="15" hidden="false" customHeight="true" outlineLevel="0" collapsed="false">
      <c r="D142" s="4" t="str">
        <f aca="false">IF($A142="","",IFERROR(VLOOKUP($B142,Dim_Team!$A:$B,2,0),"external"))</f>
        <v/>
      </c>
      <c r="E142" s="22" t="str">
        <f aca="false">IF($A142="","",IFERROR(VLOOKUP($B142,Dim_Team!$A:$F,6,0),""))</f>
        <v/>
      </c>
      <c r="F142" s="31" t="str">
        <f aca="false">IF($A142="","",IFERROR(VLOOKUP($B142,Dim_Team!$A:$E,5,0),0))</f>
        <v/>
      </c>
      <c r="G142" s="4" t="str">
        <f aca="false">IF($A142="","",COUNTIF(Dim_Fund!$G:$G,$A142))</f>
        <v/>
      </c>
      <c r="H142" s="31" t="str">
        <f aca="false">IF($A142="","",IFERROR(ROUND(SUMIF(Fact_Work!$N:$N,$A142,Fact_Work!$Q:$Q)/Constants!$B$13,0),0))</f>
        <v/>
      </c>
      <c r="I142" s="31" t="str">
        <f aca="false">IF($A142="","",IFERROR(ROUND(SUMIF(Fact_Work!$L:$L,$A142,Fact_Work!$Q:$Q)/Constants!$B$13,0),0))</f>
        <v/>
      </c>
      <c r="J142" s="49" t="str">
        <f aca="false">IF($A142="","",IFERROR($I142/$F142,""))</f>
        <v/>
      </c>
      <c r="K142" s="4" t="str">
        <f aca="false">IF($A142="","",IFERROR(ROUND(COUNTIF(Fact_Work!$M:$M,$A142)/Constants!$B$13,1),0))</f>
        <v/>
      </c>
      <c r="L142" s="31" t="str">
        <f aca="false">IF($A142="","",IFERROR(ROUND(SUMIF(Fact_Work!$M:$M,$A142,Fact_Work!$AE:$AE)/Constants!$B$13,0),0))</f>
        <v/>
      </c>
      <c r="M142" s="31" t="str">
        <f aca="false">IF($A142="","",$I142+$L142)</f>
        <v/>
      </c>
      <c r="N142" s="49" t="str">
        <f aca="false">IF($A142="","",IFERROR($M142/$F142,""))</f>
        <v/>
      </c>
      <c r="O142" s="4" t="str">
        <f aca="false">IF($A142="","",COUNTIFS(Fact_Work!$L:$L,$A142,Fact_Work!$O:$O,"Yes"))</f>
        <v/>
      </c>
      <c r="P142" s="4" t="str">
        <f aca="false">IF($A142="","",IF($C142&lt;&gt;"Yes","n/a",IF($M142&gt;$F142,"OVER","OK")))</f>
        <v/>
      </c>
      <c r="Q142" s="23" t="str">
        <f aca="false">IF($A142="","",IFERROR(VLOOKUP($B142,Dim_Team!$A:$G,7,0),""))</f>
        <v/>
      </c>
    </row>
    <row r="143" customFormat="false" ht="15" hidden="false" customHeight="true" outlineLevel="0" collapsed="false">
      <c r="D143" s="4" t="str">
        <f aca="false">IF($A143="","",IFERROR(VLOOKUP($B143,Dim_Team!$A:$B,2,0),"external"))</f>
        <v/>
      </c>
      <c r="E143" s="22" t="str">
        <f aca="false">IF($A143="","",IFERROR(VLOOKUP($B143,Dim_Team!$A:$F,6,0),""))</f>
        <v/>
      </c>
      <c r="F143" s="31" t="str">
        <f aca="false">IF($A143="","",IFERROR(VLOOKUP($B143,Dim_Team!$A:$E,5,0),0))</f>
        <v/>
      </c>
      <c r="G143" s="4" t="str">
        <f aca="false">IF($A143="","",COUNTIF(Dim_Fund!$G:$G,$A143))</f>
        <v/>
      </c>
      <c r="H143" s="31" t="str">
        <f aca="false">IF($A143="","",IFERROR(ROUND(SUMIF(Fact_Work!$N:$N,$A143,Fact_Work!$Q:$Q)/Constants!$B$13,0),0))</f>
        <v/>
      </c>
      <c r="I143" s="31" t="str">
        <f aca="false">IF($A143="","",IFERROR(ROUND(SUMIF(Fact_Work!$L:$L,$A143,Fact_Work!$Q:$Q)/Constants!$B$13,0),0))</f>
        <v/>
      </c>
      <c r="J143" s="49" t="str">
        <f aca="false">IF($A143="","",IFERROR($I143/$F143,""))</f>
        <v/>
      </c>
      <c r="K143" s="4" t="str">
        <f aca="false">IF($A143="","",IFERROR(ROUND(COUNTIF(Fact_Work!$M:$M,$A143)/Constants!$B$13,1),0))</f>
        <v/>
      </c>
      <c r="L143" s="31" t="str">
        <f aca="false">IF($A143="","",IFERROR(ROUND(SUMIF(Fact_Work!$M:$M,$A143,Fact_Work!$AE:$AE)/Constants!$B$13,0),0))</f>
        <v/>
      </c>
      <c r="M143" s="31" t="str">
        <f aca="false">IF($A143="","",$I143+$L143)</f>
        <v/>
      </c>
      <c r="N143" s="49" t="str">
        <f aca="false">IF($A143="","",IFERROR($M143/$F143,""))</f>
        <v/>
      </c>
      <c r="O143" s="4" t="str">
        <f aca="false">IF($A143="","",COUNTIFS(Fact_Work!$L:$L,$A143,Fact_Work!$O:$O,"Yes"))</f>
        <v/>
      </c>
      <c r="P143" s="4" t="str">
        <f aca="false">IF($A143="","",IF($C143&lt;&gt;"Yes","n/a",IF($M143&gt;$F143,"OVER","OK")))</f>
        <v/>
      </c>
      <c r="Q143" s="23" t="str">
        <f aca="false">IF($A143="","",IFERROR(VLOOKUP($B143,Dim_Team!$A:$G,7,0),""))</f>
        <v/>
      </c>
    </row>
    <row r="144" customFormat="false" ht="15" hidden="false" customHeight="true" outlineLevel="0" collapsed="false">
      <c r="D144" s="4" t="str">
        <f aca="false">IF($A144="","",IFERROR(VLOOKUP($B144,Dim_Team!$A:$B,2,0),"external"))</f>
        <v/>
      </c>
      <c r="E144" s="22" t="str">
        <f aca="false">IF($A144="","",IFERROR(VLOOKUP($B144,Dim_Team!$A:$F,6,0),""))</f>
        <v/>
      </c>
      <c r="F144" s="31" t="str">
        <f aca="false">IF($A144="","",IFERROR(VLOOKUP($B144,Dim_Team!$A:$E,5,0),0))</f>
        <v/>
      </c>
      <c r="G144" s="4" t="str">
        <f aca="false">IF($A144="","",COUNTIF(Dim_Fund!$G:$G,$A144))</f>
        <v/>
      </c>
      <c r="H144" s="31" t="str">
        <f aca="false">IF($A144="","",IFERROR(ROUND(SUMIF(Fact_Work!$N:$N,$A144,Fact_Work!$Q:$Q)/Constants!$B$13,0),0))</f>
        <v/>
      </c>
      <c r="I144" s="31" t="str">
        <f aca="false">IF($A144="","",IFERROR(ROUND(SUMIF(Fact_Work!$L:$L,$A144,Fact_Work!$Q:$Q)/Constants!$B$13,0),0))</f>
        <v/>
      </c>
      <c r="J144" s="49" t="str">
        <f aca="false">IF($A144="","",IFERROR($I144/$F144,""))</f>
        <v/>
      </c>
      <c r="K144" s="4" t="str">
        <f aca="false">IF($A144="","",IFERROR(ROUND(COUNTIF(Fact_Work!$M:$M,$A144)/Constants!$B$13,1),0))</f>
        <v/>
      </c>
      <c r="L144" s="31" t="str">
        <f aca="false">IF($A144="","",IFERROR(ROUND(SUMIF(Fact_Work!$M:$M,$A144,Fact_Work!$AE:$AE)/Constants!$B$13,0),0))</f>
        <v/>
      </c>
      <c r="M144" s="31" t="str">
        <f aca="false">IF($A144="","",$I144+$L144)</f>
        <v/>
      </c>
      <c r="N144" s="49" t="str">
        <f aca="false">IF($A144="","",IFERROR($M144/$F144,""))</f>
        <v/>
      </c>
      <c r="O144" s="4" t="str">
        <f aca="false">IF($A144="","",COUNTIFS(Fact_Work!$L:$L,$A144,Fact_Work!$O:$O,"Yes"))</f>
        <v/>
      </c>
      <c r="P144" s="4" t="str">
        <f aca="false">IF($A144="","",IF($C144&lt;&gt;"Yes","n/a",IF($M144&gt;$F144,"OVER","OK")))</f>
        <v/>
      </c>
      <c r="Q144" s="23" t="str">
        <f aca="false">IF($A144="","",IFERROR(VLOOKUP($B144,Dim_Team!$A:$G,7,0),""))</f>
        <v/>
      </c>
    </row>
    <row r="145" customFormat="false" ht="15" hidden="false" customHeight="true" outlineLevel="0" collapsed="false">
      <c r="D145" s="4" t="str">
        <f aca="false">IF($A145="","",IFERROR(VLOOKUP($B145,Dim_Team!$A:$B,2,0),"external"))</f>
        <v/>
      </c>
      <c r="E145" s="22" t="str">
        <f aca="false">IF($A145="","",IFERROR(VLOOKUP($B145,Dim_Team!$A:$F,6,0),""))</f>
        <v/>
      </c>
      <c r="F145" s="31" t="str">
        <f aca="false">IF($A145="","",IFERROR(VLOOKUP($B145,Dim_Team!$A:$E,5,0),0))</f>
        <v/>
      </c>
      <c r="G145" s="4" t="str">
        <f aca="false">IF($A145="","",COUNTIF(Dim_Fund!$G:$G,$A145))</f>
        <v/>
      </c>
      <c r="H145" s="31" t="str">
        <f aca="false">IF($A145="","",IFERROR(ROUND(SUMIF(Fact_Work!$N:$N,$A145,Fact_Work!$Q:$Q)/Constants!$B$13,0),0))</f>
        <v/>
      </c>
      <c r="I145" s="31" t="str">
        <f aca="false">IF($A145="","",IFERROR(ROUND(SUMIF(Fact_Work!$L:$L,$A145,Fact_Work!$Q:$Q)/Constants!$B$13,0),0))</f>
        <v/>
      </c>
      <c r="J145" s="49" t="str">
        <f aca="false">IF($A145="","",IFERROR($I145/$F145,""))</f>
        <v/>
      </c>
      <c r="K145" s="4" t="str">
        <f aca="false">IF($A145="","",IFERROR(ROUND(COUNTIF(Fact_Work!$M:$M,$A145)/Constants!$B$13,1),0))</f>
        <v/>
      </c>
      <c r="L145" s="31" t="str">
        <f aca="false">IF($A145="","",IFERROR(ROUND(SUMIF(Fact_Work!$M:$M,$A145,Fact_Work!$AE:$AE)/Constants!$B$13,0),0))</f>
        <v/>
      </c>
      <c r="M145" s="31" t="str">
        <f aca="false">IF($A145="","",$I145+$L145)</f>
        <v/>
      </c>
      <c r="N145" s="49" t="str">
        <f aca="false">IF($A145="","",IFERROR($M145/$F145,""))</f>
        <v/>
      </c>
      <c r="O145" s="4" t="str">
        <f aca="false">IF($A145="","",COUNTIFS(Fact_Work!$L:$L,$A145,Fact_Work!$O:$O,"Yes"))</f>
        <v/>
      </c>
      <c r="P145" s="4" t="str">
        <f aca="false">IF($A145="","",IF($C145&lt;&gt;"Yes","n/a",IF($M145&gt;$F145,"OVER","OK")))</f>
        <v/>
      </c>
      <c r="Q145" s="23" t="str">
        <f aca="false">IF($A145="","",IFERROR(VLOOKUP($B145,Dim_Team!$A:$G,7,0),""))</f>
        <v/>
      </c>
    </row>
    <row r="146" customFormat="false" ht="15" hidden="false" customHeight="true" outlineLevel="0" collapsed="false">
      <c r="D146" s="4" t="str">
        <f aca="false">IF($A146="","",IFERROR(VLOOKUP($B146,Dim_Team!$A:$B,2,0),"external"))</f>
        <v/>
      </c>
      <c r="E146" s="22" t="str">
        <f aca="false">IF($A146="","",IFERROR(VLOOKUP($B146,Dim_Team!$A:$F,6,0),""))</f>
        <v/>
      </c>
      <c r="F146" s="31" t="str">
        <f aca="false">IF($A146="","",IFERROR(VLOOKUP($B146,Dim_Team!$A:$E,5,0),0))</f>
        <v/>
      </c>
      <c r="G146" s="4" t="str">
        <f aca="false">IF($A146="","",COUNTIF(Dim_Fund!$G:$G,$A146))</f>
        <v/>
      </c>
      <c r="H146" s="31" t="str">
        <f aca="false">IF($A146="","",IFERROR(ROUND(SUMIF(Fact_Work!$N:$N,$A146,Fact_Work!$Q:$Q)/Constants!$B$13,0),0))</f>
        <v/>
      </c>
      <c r="I146" s="31" t="str">
        <f aca="false">IF($A146="","",IFERROR(ROUND(SUMIF(Fact_Work!$L:$L,$A146,Fact_Work!$Q:$Q)/Constants!$B$13,0),0))</f>
        <v/>
      </c>
      <c r="J146" s="49" t="str">
        <f aca="false">IF($A146="","",IFERROR($I146/$F146,""))</f>
        <v/>
      </c>
      <c r="K146" s="4" t="str">
        <f aca="false">IF($A146="","",IFERROR(ROUND(COUNTIF(Fact_Work!$M:$M,$A146)/Constants!$B$13,1),0))</f>
        <v/>
      </c>
      <c r="L146" s="31" t="str">
        <f aca="false">IF($A146="","",IFERROR(ROUND(SUMIF(Fact_Work!$M:$M,$A146,Fact_Work!$AE:$AE)/Constants!$B$13,0),0))</f>
        <v/>
      </c>
      <c r="M146" s="31" t="str">
        <f aca="false">IF($A146="","",$I146+$L146)</f>
        <v/>
      </c>
      <c r="N146" s="49" t="str">
        <f aca="false">IF($A146="","",IFERROR($M146/$F146,""))</f>
        <v/>
      </c>
      <c r="O146" s="4" t="str">
        <f aca="false">IF($A146="","",COUNTIFS(Fact_Work!$L:$L,$A146,Fact_Work!$O:$O,"Yes"))</f>
        <v/>
      </c>
      <c r="P146" s="4" t="str">
        <f aca="false">IF($A146="","",IF($C146&lt;&gt;"Yes","n/a",IF($M146&gt;$F146,"OVER","OK")))</f>
        <v/>
      </c>
      <c r="Q146" s="23" t="str">
        <f aca="false">IF($A146="","",IFERROR(VLOOKUP($B146,Dim_Team!$A:$G,7,0),""))</f>
        <v/>
      </c>
    </row>
    <row r="147" customFormat="false" ht="15" hidden="false" customHeight="true" outlineLevel="0" collapsed="false">
      <c r="D147" s="4" t="str">
        <f aca="false">IF($A147="","",IFERROR(VLOOKUP($B147,Dim_Team!$A:$B,2,0),"external"))</f>
        <v/>
      </c>
      <c r="E147" s="22" t="str">
        <f aca="false">IF($A147="","",IFERROR(VLOOKUP($B147,Dim_Team!$A:$F,6,0),""))</f>
        <v/>
      </c>
      <c r="F147" s="31" t="str">
        <f aca="false">IF($A147="","",IFERROR(VLOOKUP($B147,Dim_Team!$A:$E,5,0),0))</f>
        <v/>
      </c>
      <c r="G147" s="4" t="str">
        <f aca="false">IF($A147="","",COUNTIF(Dim_Fund!$G:$G,$A147))</f>
        <v/>
      </c>
      <c r="H147" s="31" t="str">
        <f aca="false">IF($A147="","",IFERROR(ROUND(SUMIF(Fact_Work!$N:$N,$A147,Fact_Work!$Q:$Q)/Constants!$B$13,0),0))</f>
        <v/>
      </c>
      <c r="I147" s="31" t="str">
        <f aca="false">IF($A147="","",IFERROR(ROUND(SUMIF(Fact_Work!$L:$L,$A147,Fact_Work!$Q:$Q)/Constants!$B$13,0),0))</f>
        <v/>
      </c>
      <c r="J147" s="49" t="str">
        <f aca="false">IF($A147="","",IFERROR($I147/$F147,""))</f>
        <v/>
      </c>
      <c r="K147" s="4" t="str">
        <f aca="false">IF($A147="","",IFERROR(ROUND(COUNTIF(Fact_Work!$M:$M,$A147)/Constants!$B$13,1),0))</f>
        <v/>
      </c>
      <c r="L147" s="31" t="str">
        <f aca="false">IF($A147="","",IFERROR(ROUND(SUMIF(Fact_Work!$M:$M,$A147,Fact_Work!$AE:$AE)/Constants!$B$13,0),0))</f>
        <v/>
      </c>
      <c r="M147" s="31" t="str">
        <f aca="false">IF($A147="","",$I147+$L147)</f>
        <v/>
      </c>
      <c r="N147" s="49" t="str">
        <f aca="false">IF($A147="","",IFERROR($M147/$F147,""))</f>
        <v/>
      </c>
      <c r="O147" s="4" t="str">
        <f aca="false">IF($A147="","",COUNTIFS(Fact_Work!$L:$L,$A147,Fact_Work!$O:$O,"Yes"))</f>
        <v/>
      </c>
      <c r="P147" s="4" t="str">
        <f aca="false">IF($A147="","",IF($C147&lt;&gt;"Yes","n/a",IF($M147&gt;$F147,"OVER","OK")))</f>
        <v/>
      </c>
      <c r="Q147" s="23" t="str">
        <f aca="false">IF($A147="","",IFERROR(VLOOKUP($B147,Dim_Team!$A:$G,7,0),""))</f>
        <v/>
      </c>
    </row>
    <row r="148" customFormat="false" ht="15" hidden="false" customHeight="true" outlineLevel="0" collapsed="false">
      <c r="D148" s="4" t="str">
        <f aca="false">IF($A148="","",IFERROR(VLOOKUP($B148,Dim_Team!$A:$B,2,0),"external"))</f>
        <v/>
      </c>
      <c r="E148" s="22" t="str">
        <f aca="false">IF($A148="","",IFERROR(VLOOKUP($B148,Dim_Team!$A:$F,6,0),""))</f>
        <v/>
      </c>
      <c r="F148" s="31" t="str">
        <f aca="false">IF($A148="","",IFERROR(VLOOKUP($B148,Dim_Team!$A:$E,5,0),0))</f>
        <v/>
      </c>
      <c r="G148" s="4" t="str">
        <f aca="false">IF($A148="","",COUNTIF(Dim_Fund!$G:$G,$A148))</f>
        <v/>
      </c>
      <c r="H148" s="31" t="str">
        <f aca="false">IF($A148="","",IFERROR(ROUND(SUMIF(Fact_Work!$N:$N,$A148,Fact_Work!$Q:$Q)/Constants!$B$13,0),0))</f>
        <v/>
      </c>
      <c r="I148" s="31" t="str">
        <f aca="false">IF($A148="","",IFERROR(ROUND(SUMIF(Fact_Work!$L:$L,$A148,Fact_Work!$Q:$Q)/Constants!$B$13,0),0))</f>
        <v/>
      </c>
      <c r="J148" s="49" t="str">
        <f aca="false">IF($A148="","",IFERROR($I148/$F148,""))</f>
        <v/>
      </c>
      <c r="K148" s="4" t="str">
        <f aca="false">IF($A148="","",IFERROR(ROUND(COUNTIF(Fact_Work!$M:$M,$A148)/Constants!$B$13,1),0))</f>
        <v/>
      </c>
      <c r="L148" s="31" t="str">
        <f aca="false">IF($A148="","",IFERROR(ROUND(SUMIF(Fact_Work!$M:$M,$A148,Fact_Work!$AE:$AE)/Constants!$B$13,0),0))</f>
        <v/>
      </c>
      <c r="M148" s="31" t="str">
        <f aca="false">IF($A148="","",$I148+$L148)</f>
        <v/>
      </c>
      <c r="N148" s="49" t="str">
        <f aca="false">IF($A148="","",IFERROR($M148/$F148,""))</f>
        <v/>
      </c>
      <c r="O148" s="4" t="str">
        <f aca="false">IF($A148="","",COUNTIFS(Fact_Work!$L:$L,$A148,Fact_Work!$O:$O,"Yes"))</f>
        <v/>
      </c>
      <c r="P148" s="4" t="str">
        <f aca="false">IF($A148="","",IF($C148&lt;&gt;"Yes","n/a",IF($M148&gt;$F148,"OVER","OK")))</f>
        <v/>
      </c>
      <c r="Q148" s="23" t="str">
        <f aca="false">IF($A148="","",IFERROR(VLOOKUP($B148,Dim_Team!$A:$G,7,0),""))</f>
        <v/>
      </c>
    </row>
    <row r="149" customFormat="false" ht="15" hidden="false" customHeight="true" outlineLevel="0" collapsed="false">
      <c r="D149" s="4" t="str">
        <f aca="false">IF($A149="","",IFERROR(VLOOKUP($B149,Dim_Team!$A:$B,2,0),"external"))</f>
        <v/>
      </c>
      <c r="E149" s="22" t="str">
        <f aca="false">IF($A149="","",IFERROR(VLOOKUP($B149,Dim_Team!$A:$F,6,0),""))</f>
        <v/>
      </c>
      <c r="F149" s="31" t="str">
        <f aca="false">IF($A149="","",IFERROR(VLOOKUP($B149,Dim_Team!$A:$E,5,0),0))</f>
        <v/>
      </c>
      <c r="G149" s="4" t="str">
        <f aca="false">IF($A149="","",COUNTIF(Dim_Fund!$G:$G,$A149))</f>
        <v/>
      </c>
      <c r="H149" s="31" t="str">
        <f aca="false">IF($A149="","",IFERROR(ROUND(SUMIF(Fact_Work!$N:$N,$A149,Fact_Work!$Q:$Q)/Constants!$B$13,0),0))</f>
        <v/>
      </c>
      <c r="I149" s="31" t="str">
        <f aca="false">IF($A149="","",IFERROR(ROUND(SUMIF(Fact_Work!$L:$L,$A149,Fact_Work!$Q:$Q)/Constants!$B$13,0),0))</f>
        <v/>
      </c>
      <c r="J149" s="49" t="str">
        <f aca="false">IF($A149="","",IFERROR($I149/$F149,""))</f>
        <v/>
      </c>
      <c r="K149" s="4" t="str">
        <f aca="false">IF($A149="","",IFERROR(ROUND(COUNTIF(Fact_Work!$M:$M,$A149)/Constants!$B$13,1),0))</f>
        <v/>
      </c>
      <c r="L149" s="31" t="str">
        <f aca="false">IF($A149="","",IFERROR(ROUND(SUMIF(Fact_Work!$M:$M,$A149,Fact_Work!$AE:$AE)/Constants!$B$13,0),0))</f>
        <v/>
      </c>
      <c r="M149" s="31" t="str">
        <f aca="false">IF($A149="","",$I149+$L149)</f>
        <v/>
      </c>
      <c r="N149" s="49" t="str">
        <f aca="false">IF($A149="","",IFERROR($M149/$F149,""))</f>
        <v/>
      </c>
      <c r="O149" s="4" t="str">
        <f aca="false">IF($A149="","",COUNTIFS(Fact_Work!$L:$L,$A149,Fact_Work!$O:$O,"Yes"))</f>
        <v/>
      </c>
      <c r="P149" s="4" t="str">
        <f aca="false">IF($A149="","",IF($C149&lt;&gt;"Yes","n/a",IF($M149&gt;$F149,"OVER","OK")))</f>
        <v/>
      </c>
      <c r="Q149" s="23" t="str">
        <f aca="false">IF($A149="","",IFERROR(VLOOKUP($B149,Dim_Team!$A:$G,7,0),""))</f>
        <v/>
      </c>
    </row>
    <row r="150" customFormat="false" ht="15" hidden="false" customHeight="true" outlineLevel="0" collapsed="false">
      <c r="D150" s="4" t="str">
        <f aca="false">IF($A150="","",IFERROR(VLOOKUP($B150,Dim_Team!$A:$B,2,0),"external"))</f>
        <v/>
      </c>
      <c r="E150" s="22" t="str">
        <f aca="false">IF($A150="","",IFERROR(VLOOKUP($B150,Dim_Team!$A:$F,6,0),""))</f>
        <v/>
      </c>
      <c r="F150" s="31" t="str">
        <f aca="false">IF($A150="","",IFERROR(VLOOKUP($B150,Dim_Team!$A:$E,5,0),0))</f>
        <v/>
      </c>
      <c r="G150" s="4" t="str">
        <f aca="false">IF($A150="","",COUNTIF(Dim_Fund!$G:$G,$A150))</f>
        <v/>
      </c>
      <c r="H150" s="31" t="str">
        <f aca="false">IF($A150="","",IFERROR(ROUND(SUMIF(Fact_Work!$N:$N,$A150,Fact_Work!$Q:$Q)/Constants!$B$13,0),0))</f>
        <v/>
      </c>
      <c r="I150" s="31" t="str">
        <f aca="false">IF($A150="","",IFERROR(ROUND(SUMIF(Fact_Work!$L:$L,$A150,Fact_Work!$Q:$Q)/Constants!$B$13,0),0))</f>
        <v/>
      </c>
      <c r="J150" s="49" t="str">
        <f aca="false">IF($A150="","",IFERROR($I150/$F150,""))</f>
        <v/>
      </c>
      <c r="K150" s="4" t="str">
        <f aca="false">IF($A150="","",IFERROR(ROUND(COUNTIF(Fact_Work!$M:$M,$A150)/Constants!$B$13,1),0))</f>
        <v/>
      </c>
      <c r="L150" s="31" t="str">
        <f aca="false">IF($A150="","",IFERROR(ROUND(SUMIF(Fact_Work!$M:$M,$A150,Fact_Work!$AE:$AE)/Constants!$B$13,0),0))</f>
        <v/>
      </c>
      <c r="M150" s="31" t="str">
        <f aca="false">IF($A150="","",$I150+$L150)</f>
        <v/>
      </c>
      <c r="N150" s="49" t="str">
        <f aca="false">IF($A150="","",IFERROR($M150/$F150,""))</f>
        <v/>
      </c>
      <c r="O150" s="4" t="str">
        <f aca="false">IF($A150="","",COUNTIFS(Fact_Work!$L:$L,$A150,Fact_Work!$O:$O,"Yes"))</f>
        <v/>
      </c>
      <c r="P150" s="4" t="str">
        <f aca="false">IF($A150="","",IF($C150&lt;&gt;"Yes","n/a",IF($M150&gt;$F150,"OVER","OK")))</f>
        <v/>
      </c>
      <c r="Q150" s="23" t="str">
        <f aca="false">IF($A150="","",IFERROR(VLOOKUP($B150,Dim_Team!$A:$G,7,0),""))</f>
        <v/>
      </c>
    </row>
    <row r="151" customFormat="false" ht="15" hidden="false" customHeight="true" outlineLevel="0" collapsed="false">
      <c r="D151" s="4" t="str">
        <f aca="false">IF($A151="","",IFERROR(VLOOKUP($B151,Dim_Team!$A:$B,2,0),"external"))</f>
        <v/>
      </c>
      <c r="E151" s="22" t="str">
        <f aca="false">IF($A151="","",IFERROR(VLOOKUP($B151,Dim_Team!$A:$F,6,0),""))</f>
        <v/>
      </c>
      <c r="F151" s="31" t="str">
        <f aca="false">IF($A151="","",IFERROR(VLOOKUP($B151,Dim_Team!$A:$E,5,0),0))</f>
        <v/>
      </c>
      <c r="G151" s="4" t="str">
        <f aca="false">IF($A151="","",COUNTIF(Dim_Fund!$G:$G,$A151))</f>
        <v/>
      </c>
      <c r="H151" s="31" t="str">
        <f aca="false">IF($A151="","",IFERROR(ROUND(SUMIF(Fact_Work!$N:$N,$A151,Fact_Work!$Q:$Q)/Constants!$B$13,0),0))</f>
        <v/>
      </c>
      <c r="I151" s="31" t="str">
        <f aca="false">IF($A151="","",IFERROR(ROUND(SUMIF(Fact_Work!$L:$L,$A151,Fact_Work!$Q:$Q)/Constants!$B$13,0),0))</f>
        <v/>
      </c>
      <c r="J151" s="49" t="str">
        <f aca="false">IF($A151="","",IFERROR($I151/$F151,""))</f>
        <v/>
      </c>
      <c r="K151" s="4" t="str">
        <f aca="false">IF($A151="","",IFERROR(ROUND(COUNTIF(Fact_Work!$M:$M,$A151)/Constants!$B$13,1),0))</f>
        <v/>
      </c>
      <c r="L151" s="31" t="str">
        <f aca="false">IF($A151="","",IFERROR(ROUND(SUMIF(Fact_Work!$M:$M,$A151,Fact_Work!$AE:$AE)/Constants!$B$13,0),0))</f>
        <v/>
      </c>
      <c r="M151" s="31" t="str">
        <f aca="false">IF($A151="","",$I151+$L151)</f>
        <v/>
      </c>
      <c r="N151" s="49" t="str">
        <f aca="false">IF($A151="","",IFERROR($M151/$F151,""))</f>
        <v/>
      </c>
      <c r="O151" s="4" t="str">
        <f aca="false">IF($A151="","",COUNTIFS(Fact_Work!$L:$L,$A151,Fact_Work!$O:$O,"Yes"))</f>
        <v/>
      </c>
      <c r="P151" s="4" t="str">
        <f aca="false">IF($A151="","",IF($C151&lt;&gt;"Yes","n/a",IF($M151&gt;$F151,"OVER","OK")))</f>
        <v/>
      </c>
      <c r="Q151" s="23" t="str">
        <f aca="false">IF($A151="","",IFERROR(VLOOKUP($B151,Dim_Team!$A:$G,7,0),""))</f>
        <v/>
      </c>
    </row>
    <row r="152" customFormat="false" ht="15" hidden="false" customHeight="true" outlineLevel="0" collapsed="false">
      <c r="D152" s="4" t="str">
        <f aca="false">IF($A152="","",IFERROR(VLOOKUP($B152,Dim_Team!$A:$B,2,0),"external"))</f>
        <v/>
      </c>
      <c r="E152" s="22" t="str">
        <f aca="false">IF($A152="","",IFERROR(VLOOKUP($B152,Dim_Team!$A:$F,6,0),""))</f>
        <v/>
      </c>
      <c r="F152" s="31" t="str">
        <f aca="false">IF($A152="","",IFERROR(VLOOKUP($B152,Dim_Team!$A:$E,5,0),0))</f>
        <v/>
      </c>
      <c r="G152" s="4" t="str">
        <f aca="false">IF($A152="","",COUNTIF(Dim_Fund!$G:$G,$A152))</f>
        <v/>
      </c>
      <c r="H152" s="31" t="str">
        <f aca="false">IF($A152="","",IFERROR(ROUND(SUMIF(Fact_Work!$N:$N,$A152,Fact_Work!$Q:$Q)/Constants!$B$13,0),0))</f>
        <v/>
      </c>
      <c r="I152" s="31" t="str">
        <f aca="false">IF($A152="","",IFERROR(ROUND(SUMIF(Fact_Work!$L:$L,$A152,Fact_Work!$Q:$Q)/Constants!$B$13,0),0))</f>
        <v/>
      </c>
      <c r="J152" s="49" t="str">
        <f aca="false">IF($A152="","",IFERROR($I152/$F152,""))</f>
        <v/>
      </c>
      <c r="K152" s="4" t="str">
        <f aca="false">IF($A152="","",IFERROR(ROUND(COUNTIF(Fact_Work!$M:$M,$A152)/Constants!$B$13,1),0))</f>
        <v/>
      </c>
      <c r="L152" s="31" t="str">
        <f aca="false">IF($A152="","",IFERROR(ROUND(SUMIF(Fact_Work!$M:$M,$A152,Fact_Work!$AE:$AE)/Constants!$B$13,0),0))</f>
        <v/>
      </c>
      <c r="M152" s="31" t="str">
        <f aca="false">IF($A152="","",$I152+$L152)</f>
        <v/>
      </c>
      <c r="N152" s="49" t="str">
        <f aca="false">IF($A152="","",IFERROR($M152/$F152,""))</f>
        <v/>
      </c>
      <c r="O152" s="4" t="str">
        <f aca="false">IF($A152="","",COUNTIFS(Fact_Work!$L:$L,$A152,Fact_Work!$O:$O,"Yes"))</f>
        <v/>
      </c>
      <c r="P152" s="4" t="str">
        <f aca="false">IF($A152="","",IF($C152&lt;&gt;"Yes","n/a",IF($M152&gt;$F152,"OVER","OK")))</f>
        <v/>
      </c>
      <c r="Q152" s="23" t="str">
        <f aca="false">IF($A152="","",IFERROR(VLOOKUP($B152,Dim_Team!$A:$G,7,0),""))</f>
        <v/>
      </c>
    </row>
    <row r="153" customFormat="false" ht="15" hidden="false" customHeight="true" outlineLevel="0" collapsed="false">
      <c r="D153" s="4" t="str">
        <f aca="false">IF($A153="","",IFERROR(VLOOKUP($B153,Dim_Team!$A:$B,2,0),"external"))</f>
        <v/>
      </c>
      <c r="E153" s="22" t="str">
        <f aca="false">IF($A153="","",IFERROR(VLOOKUP($B153,Dim_Team!$A:$F,6,0),""))</f>
        <v/>
      </c>
      <c r="F153" s="31" t="str">
        <f aca="false">IF($A153="","",IFERROR(VLOOKUP($B153,Dim_Team!$A:$E,5,0),0))</f>
        <v/>
      </c>
      <c r="G153" s="4" t="str">
        <f aca="false">IF($A153="","",COUNTIF(Dim_Fund!$G:$G,$A153))</f>
        <v/>
      </c>
      <c r="H153" s="31" t="str">
        <f aca="false">IF($A153="","",IFERROR(ROUND(SUMIF(Fact_Work!$N:$N,$A153,Fact_Work!$Q:$Q)/Constants!$B$13,0),0))</f>
        <v/>
      </c>
      <c r="I153" s="31" t="str">
        <f aca="false">IF($A153="","",IFERROR(ROUND(SUMIF(Fact_Work!$L:$L,$A153,Fact_Work!$Q:$Q)/Constants!$B$13,0),0))</f>
        <v/>
      </c>
      <c r="J153" s="49" t="str">
        <f aca="false">IF($A153="","",IFERROR($I153/$F153,""))</f>
        <v/>
      </c>
      <c r="K153" s="4" t="str">
        <f aca="false">IF($A153="","",IFERROR(ROUND(COUNTIF(Fact_Work!$M:$M,$A153)/Constants!$B$13,1),0))</f>
        <v/>
      </c>
      <c r="L153" s="31" t="str">
        <f aca="false">IF($A153="","",IFERROR(ROUND(SUMIF(Fact_Work!$M:$M,$A153,Fact_Work!$AE:$AE)/Constants!$B$13,0),0))</f>
        <v/>
      </c>
      <c r="M153" s="31" t="str">
        <f aca="false">IF($A153="","",$I153+$L153)</f>
        <v/>
      </c>
      <c r="N153" s="49" t="str">
        <f aca="false">IF($A153="","",IFERROR($M153/$F153,""))</f>
        <v/>
      </c>
      <c r="O153" s="4" t="str">
        <f aca="false">IF($A153="","",COUNTIFS(Fact_Work!$L:$L,$A153,Fact_Work!$O:$O,"Yes"))</f>
        <v/>
      </c>
      <c r="P153" s="4" t="str">
        <f aca="false">IF($A153="","",IF($C153&lt;&gt;"Yes","n/a",IF($M153&gt;$F153,"OVER","OK")))</f>
        <v/>
      </c>
      <c r="Q153" s="23" t="str">
        <f aca="false">IF($A153="","",IFERROR(VLOOKUP($B153,Dim_Team!$A:$G,7,0),""))</f>
        <v/>
      </c>
    </row>
    <row r="154" customFormat="false" ht="15" hidden="false" customHeight="true" outlineLevel="0" collapsed="false">
      <c r="D154" s="4" t="str">
        <f aca="false">IF($A154="","",IFERROR(VLOOKUP($B154,Dim_Team!$A:$B,2,0),"external"))</f>
        <v/>
      </c>
      <c r="E154" s="22" t="str">
        <f aca="false">IF($A154="","",IFERROR(VLOOKUP($B154,Dim_Team!$A:$F,6,0),""))</f>
        <v/>
      </c>
      <c r="F154" s="31" t="str">
        <f aca="false">IF($A154="","",IFERROR(VLOOKUP($B154,Dim_Team!$A:$E,5,0),0))</f>
        <v/>
      </c>
      <c r="G154" s="4" t="str">
        <f aca="false">IF($A154="","",COUNTIF(Dim_Fund!$G:$G,$A154))</f>
        <v/>
      </c>
      <c r="H154" s="31" t="str">
        <f aca="false">IF($A154="","",IFERROR(ROUND(SUMIF(Fact_Work!$N:$N,$A154,Fact_Work!$Q:$Q)/Constants!$B$13,0),0))</f>
        <v/>
      </c>
      <c r="I154" s="31" t="str">
        <f aca="false">IF($A154="","",IFERROR(ROUND(SUMIF(Fact_Work!$L:$L,$A154,Fact_Work!$Q:$Q)/Constants!$B$13,0),0))</f>
        <v/>
      </c>
      <c r="J154" s="49" t="str">
        <f aca="false">IF($A154="","",IFERROR($I154/$F154,""))</f>
        <v/>
      </c>
      <c r="K154" s="4" t="str">
        <f aca="false">IF($A154="","",IFERROR(ROUND(COUNTIF(Fact_Work!$M:$M,$A154)/Constants!$B$13,1),0))</f>
        <v/>
      </c>
      <c r="L154" s="31" t="str">
        <f aca="false">IF($A154="","",IFERROR(ROUND(SUMIF(Fact_Work!$M:$M,$A154,Fact_Work!$AE:$AE)/Constants!$B$13,0),0))</f>
        <v/>
      </c>
      <c r="M154" s="31" t="str">
        <f aca="false">IF($A154="","",$I154+$L154)</f>
        <v/>
      </c>
      <c r="N154" s="49" t="str">
        <f aca="false">IF($A154="","",IFERROR($M154/$F154,""))</f>
        <v/>
      </c>
      <c r="O154" s="4" t="str">
        <f aca="false">IF($A154="","",COUNTIFS(Fact_Work!$L:$L,$A154,Fact_Work!$O:$O,"Yes"))</f>
        <v/>
      </c>
      <c r="P154" s="4" t="str">
        <f aca="false">IF($A154="","",IF($C154&lt;&gt;"Yes","n/a",IF($M154&gt;$F154,"OVER","OK")))</f>
        <v/>
      </c>
      <c r="Q154" s="23" t="str">
        <f aca="false">IF($A154="","",IFERROR(VLOOKUP($B154,Dim_Team!$A:$G,7,0),""))</f>
        <v/>
      </c>
    </row>
    <row r="155" customFormat="false" ht="15" hidden="false" customHeight="true" outlineLevel="0" collapsed="false">
      <c r="D155" s="4" t="str">
        <f aca="false">IF($A155="","",IFERROR(VLOOKUP($B155,Dim_Team!$A:$B,2,0),"external"))</f>
        <v/>
      </c>
      <c r="E155" s="22" t="str">
        <f aca="false">IF($A155="","",IFERROR(VLOOKUP($B155,Dim_Team!$A:$F,6,0),""))</f>
        <v/>
      </c>
      <c r="F155" s="31" t="str">
        <f aca="false">IF($A155="","",IFERROR(VLOOKUP($B155,Dim_Team!$A:$E,5,0),0))</f>
        <v/>
      </c>
      <c r="G155" s="4" t="str">
        <f aca="false">IF($A155="","",COUNTIF(Dim_Fund!$G:$G,$A155))</f>
        <v/>
      </c>
      <c r="H155" s="31" t="str">
        <f aca="false">IF($A155="","",IFERROR(ROUND(SUMIF(Fact_Work!$N:$N,$A155,Fact_Work!$Q:$Q)/Constants!$B$13,0),0))</f>
        <v/>
      </c>
      <c r="I155" s="31" t="str">
        <f aca="false">IF($A155="","",IFERROR(ROUND(SUMIF(Fact_Work!$L:$L,$A155,Fact_Work!$Q:$Q)/Constants!$B$13,0),0))</f>
        <v/>
      </c>
      <c r="J155" s="49" t="str">
        <f aca="false">IF($A155="","",IFERROR($I155/$F155,""))</f>
        <v/>
      </c>
      <c r="K155" s="4" t="str">
        <f aca="false">IF($A155="","",IFERROR(ROUND(COUNTIF(Fact_Work!$M:$M,$A155)/Constants!$B$13,1),0))</f>
        <v/>
      </c>
      <c r="L155" s="31" t="str">
        <f aca="false">IF($A155="","",IFERROR(ROUND(SUMIF(Fact_Work!$M:$M,$A155,Fact_Work!$AE:$AE)/Constants!$B$13,0),0))</f>
        <v/>
      </c>
      <c r="M155" s="31" t="str">
        <f aca="false">IF($A155="","",$I155+$L155)</f>
        <v/>
      </c>
      <c r="N155" s="49" t="str">
        <f aca="false">IF($A155="","",IFERROR($M155/$F155,""))</f>
        <v/>
      </c>
      <c r="O155" s="4" t="str">
        <f aca="false">IF($A155="","",COUNTIFS(Fact_Work!$L:$L,$A155,Fact_Work!$O:$O,"Yes"))</f>
        <v/>
      </c>
      <c r="P155" s="4" t="str">
        <f aca="false">IF($A155="","",IF($C155&lt;&gt;"Yes","n/a",IF($M155&gt;$F155,"OVER","OK")))</f>
        <v/>
      </c>
      <c r="Q155" s="23" t="str">
        <f aca="false">IF($A155="","",IFERROR(VLOOKUP($B155,Dim_Team!$A:$G,7,0),""))</f>
        <v/>
      </c>
    </row>
    <row r="156" customFormat="false" ht="15" hidden="false" customHeight="true" outlineLevel="0" collapsed="false">
      <c r="D156" s="4" t="str">
        <f aca="false">IF($A156="","",IFERROR(VLOOKUP($B156,Dim_Team!$A:$B,2,0),"external"))</f>
        <v/>
      </c>
      <c r="E156" s="22" t="str">
        <f aca="false">IF($A156="","",IFERROR(VLOOKUP($B156,Dim_Team!$A:$F,6,0),""))</f>
        <v/>
      </c>
      <c r="F156" s="31" t="str">
        <f aca="false">IF($A156="","",IFERROR(VLOOKUP($B156,Dim_Team!$A:$E,5,0),0))</f>
        <v/>
      </c>
      <c r="G156" s="4" t="str">
        <f aca="false">IF($A156="","",COUNTIF(Dim_Fund!$G:$G,$A156))</f>
        <v/>
      </c>
      <c r="H156" s="31" t="str">
        <f aca="false">IF($A156="","",IFERROR(ROUND(SUMIF(Fact_Work!$N:$N,$A156,Fact_Work!$Q:$Q)/Constants!$B$13,0),0))</f>
        <v/>
      </c>
      <c r="I156" s="31" t="str">
        <f aca="false">IF($A156="","",IFERROR(ROUND(SUMIF(Fact_Work!$L:$L,$A156,Fact_Work!$Q:$Q)/Constants!$B$13,0),0))</f>
        <v/>
      </c>
      <c r="J156" s="49" t="str">
        <f aca="false">IF($A156="","",IFERROR($I156/$F156,""))</f>
        <v/>
      </c>
      <c r="K156" s="4" t="str">
        <f aca="false">IF($A156="","",IFERROR(ROUND(COUNTIF(Fact_Work!$M:$M,$A156)/Constants!$B$13,1),0))</f>
        <v/>
      </c>
      <c r="L156" s="31" t="str">
        <f aca="false">IF($A156="","",IFERROR(ROUND(SUMIF(Fact_Work!$M:$M,$A156,Fact_Work!$AE:$AE)/Constants!$B$13,0),0))</f>
        <v/>
      </c>
      <c r="M156" s="31" t="str">
        <f aca="false">IF($A156="","",$I156+$L156)</f>
        <v/>
      </c>
      <c r="N156" s="49" t="str">
        <f aca="false">IF($A156="","",IFERROR($M156/$F156,""))</f>
        <v/>
      </c>
      <c r="O156" s="4" t="str">
        <f aca="false">IF($A156="","",COUNTIFS(Fact_Work!$L:$L,$A156,Fact_Work!$O:$O,"Yes"))</f>
        <v/>
      </c>
      <c r="P156" s="4" t="str">
        <f aca="false">IF($A156="","",IF($C156&lt;&gt;"Yes","n/a",IF($M156&gt;$F156,"OVER","OK")))</f>
        <v/>
      </c>
      <c r="Q156" s="23" t="str">
        <f aca="false">IF($A156="","",IFERROR(VLOOKUP($B156,Dim_Team!$A:$G,7,0),""))</f>
        <v/>
      </c>
    </row>
    <row r="157" customFormat="false" ht="15" hidden="false" customHeight="true" outlineLevel="0" collapsed="false">
      <c r="D157" s="4" t="str">
        <f aca="false">IF($A157="","",IFERROR(VLOOKUP($B157,Dim_Team!$A:$B,2,0),"external"))</f>
        <v/>
      </c>
      <c r="E157" s="22" t="str">
        <f aca="false">IF($A157="","",IFERROR(VLOOKUP($B157,Dim_Team!$A:$F,6,0),""))</f>
        <v/>
      </c>
      <c r="F157" s="31" t="str">
        <f aca="false">IF($A157="","",IFERROR(VLOOKUP($B157,Dim_Team!$A:$E,5,0),0))</f>
        <v/>
      </c>
      <c r="G157" s="4" t="str">
        <f aca="false">IF($A157="","",COUNTIF(Dim_Fund!$G:$G,$A157))</f>
        <v/>
      </c>
      <c r="H157" s="31" t="str">
        <f aca="false">IF($A157="","",IFERROR(ROUND(SUMIF(Fact_Work!$N:$N,$A157,Fact_Work!$Q:$Q)/Constants!$B$13,0),0))</f>
        <v/>
      </c>
      <c r="I157" s="31" t="str">
        <f aca="false">IF($A157="","",IFERROR(ROUND(SUMIF(Fact_Work!$L:$L,$A157,Fact_Work!$Q:$Q)/Constants!$B$13,0),0))</f>
        <v/>
      </c>
      <c r="J157" s="49" t="str">
        <f aca="false">IF($A157="","",IFERROR($I157/$F157,""))</f>
        <v/>
      </c>
      <c r="K157" s="4" t="str">
        <f aca="false">IF($A157="","",IFERROR(ROUND(COUNTIF(Fact_Work!$M:$M,$A157)/Constants!$B$13,1),0))</f>
        <v/>
      </c>
      <c r="L157" s="31" t="str">
        <f aca="false">IF($A157="","",IFERROR(ROUND(SUMIF(Fact_Work!$M:$M,$A157,Fact_Work!$AE:$AE)/Constants!$B$13,0),0))</f>
        <v/>
      </c>
      <c r="M157" s="31" t="str">
        <f aca="false">IF($A157="","",$I157+$L157)</f>
        <v/>
      </c>
      <c r="N157" s="49" t="str">
        <f aca="false">IF($A157="","",IFERROR($M157/$F157,""))</f>
        <v/>
      </c>
      <c r="O157" s="4" t="str">
        <f aca="false">IF($A157="","",COUNTIFS(Fact_Work!$L:$L,$A157,Fact_Work!$O:$O,"Yes"))</f>
        <v/>
      </c>
      <c r="P157" s="4" t="str">
        <f aca="false">IF($A157="","",IF($C157&lt;&gt;"Yes","n/a",IF($M157&gt;$F157,"OVER","OK")))</f>
        <v/>
      </c>
      <c r="Q157" s="23" t="str">
        <f aca="false">IF($A157="","",IFERROR(VLOOKUP($B157,Dim_Team!$A:$G,7,0),""))</f>
        <v/>
      </c>
    </row>
    <row r="158" customFormat="false" ht="15" hidden="false" customHeight="true" outlineLevel="0" collapsed="false">
      <c r="D158" s="4" t="str">
        <f aca="false">IF($A158="","",IFERROR(VLOOKUP($B158,Dim_Team!$A:$B,2,0),"external"))</f>
        <v/>
      </c>
      <c r="E158" s="22" t="str">
        <f aca="false">IF($A158="","",IFERROR(VLOOKUP($B158,Dim_Team!$A:$F,6,0),""))</f>
        <v/>
      </c>
      <c r="F158" s="31" t="str">
        <f aca="false">IF($A158="","",IFERROR(VLOOKUP($B158,Dim_Team!$A:$E,5,0),0))</f>
        <v/>
      </c>
      <c r="G158" s="4" t="str">
        <f aca="false">IF($A158="","",COUNTIF(Dim_Fund!$G:$G,$A158))</f>
        <v/>
      </c>
      <c r="H158" s="31" t="str">
        <f aca="false">IF($A158="","",IFERROR(ROUND(SUMIF(Fact_Work!$N:$N,$A158,Fact_Work!$Q:$Q)/Constants!$B$13,0),0))</f>
        <v/>
      </c>
      <c r="I158" s="31" t="str">
        <f aca="false">IF($A158="","",IFERROR(ROUND(SUMIF(Fact_Work!$L:$L,$A158,Fact_Work!$Q:$Q)/Constants!$B$13,0),0))</f>
        <v/>
      </c>
      <c r="J158" s="49" t="str">
        <f aca="false">IF($A158="","",IFERROR($I158/$F158,""))</f>
        <v/>
      </c>
      <c r="K158" s="4" t="str">
        <f aca="false">IF($A158="","",IFERROR(ROUND(COUNTIF(Fact_Work!$M:$M,$A158)/Constants!$B$13,1),0))</f>
        <v/>
      </c>
      <c r="L158" s="31" t="str">
        <f aca="false">IF($A158="","",IFERROR(ROUND(SUMIF(Fact_Work!$M:$M,$A158,Fact_Work!$AE:$AE)/Constants!$B$13,0),0))</f>
        <v/>
      </c>
      <c r="M158" s="31" t="str">
        <f aca="false">IF($A158="","",$I158+$L158)</f>
        <v/>
      </c>
      <c r="N158" s="49" t="str">
        <f aca="false">IF($A158="","",IFERROR($M158/$F158,""))</f>
        <v/>
      </c>
      <c r="O158" s="4" t="str">
        <f aca="false">IF($A158="","",COUNTIFS(Fact_Work!$L:$L,$A158,Fact_Work!$O:$O,"Yes"))</f>
        <v/>
      </c>
      <c r="P158" s="4" t="str">
        <f aca="false">IF($A158="","",IF($C158&lt;&gt;"Yes","n/a",IF($M158&gt;$F158,"OVER","OK")))</f>
        <v/>
      </c>
      <c r="Q158" s="23" t="str">
        <f aca="false">IF($A158="","",IFERROR(VLOOKUP($B158,Dim_Team!$A:$G,7,0),""))</f>
        <v/>
      </c>
    </row>
    <row r="159" customFormat="false" ht="15" hidden="false" customHeight="true" outlineLevel="0" collapsed="false">
      <c r="D159" s="4" t="str">
        <f aca="false">IF($A159="","",IFERROR(VLOOKUP($B159,Dim_Team!$A:$B,2,0),"external"))</f>
        <v/>
      </c>
      <c r="E159" s="22" t="str">
        <f aca="false">IF($A159="","",IFERROR(VLOOKUP($B159,Dim_Team!$A:$F,6,0),""))</f>
        <v/>
      </c>
      <c r="F159" s="31" t="str">
        <f aca="false">IF($A159="","",IFERROR(VLOOKUP($B159,Dim_Team!$A:$E,5,0),0))</f>
        <v/>
      </c>
      <c r="G159" s="4" t="str">
        <f aca="false">IF($A159="","",COUNTIF(Dim_Fund!$G:$G,$A159))</f>
        <v/>
      </c>
      <c r="H159" s="31" t="str">
        <f aca="false">IF($A159="","",IFERROR(ROUND(SUMIF(Fact_Work!$N:$N,$A159,Fact_Work!$Q:$Q)/Constants!$B$13,0),0))</f>
        <v/>
      </c>
      <c r="I159" s="31" t="str">
        <f aca="false">IF($A159="","",IFERROR(ROUND(SUMIF(Fact_Work!$L:$L,$A159,Fact_Work!$Q:$Q)/Constants!$B$13,0),0))</f>
        <v/>
      </c>
      <c r="J159" s="49" t="str">
        <f aca="false">IF($A159="","",IFERROR($I159/$F159,""))</f>
        <v/>
      </c>
      <c r="K159" s="4" t="str">
        <f aca="false">IF($A159="","",IFERROR(ROUND(COUNTIF(Fact_Work!$M:$M,$A159)/Constants!$B$13,1),0))</f>
        <v/>
      </c>
      <c r="L159" s="31" t="str">
        <f aca="false">IF($A159="","",IFERROR(ROUND(SUMIF(Fact_Work!$M:$M,$A159,Fact_Work!$AE:$AE)/Constants!$B$13,0),0))</f>
        <v/>
      </c>
      <c r="M159" s="31" t="str">
        <f aca="false">IF($A159="","",$I159+$L159)</f>
        <v/>
      </c>
      <c r="N159" s="49" t="str">
        <f aca="false">IF($A159="","",IFERROR($M159/$F159,""))</f>
        <v/>
      </c>
      <c r="O159" s="4" t="str">
        <f aca="false">IF($A159="","",COUNTIFS(Fact_Work!$L:$L,$A159,Fact_Work!$O:$O,"Yes"))</f>
        <v/>
      </c>
      <c r="P159" s="4" t="str">
        <f aca="false">IF($A159="","",IF($C159&lt;&gt;"Yes","n/a",IF($M159&gt;$F159,"OVER","OK")))</f>
        <v/>
      </c>
      <c r="Q159" s="23" t="str">
        <f aca="false">IF($A159="","",IFERROR(VLOOKUP($B159,Dim_Team!$A:$G,7,0),""))</f>
        <v/>
      </c>
    </row>
    <row r="160" customFormat="false" ht="15" hidden="false" customHeight="true" outlineLevel="0" collapsed="false">
      <c r="D160" s="4" t="str">
        <f aca="false">IF($A160="","",IFERROR(VLOOKUP($B160,Dim_Team!$A:$B,2,0),"external"))</f>
        <v/>
      </c>
      <c r="E160" s="22" t="str">
        <f aca="false">IF($A160="","",IFERROR(VLOOKUP($B160,Dim_Team!$A:$F,6,0),""))</f>
        <v/>
      </c>
      <c r="F160" s="31" t="str">
        <f aca="false">IF($A160="","",IFERROR(VLOOKUP($B160,Dim_Team!$A:$E,5,0),0))</f>
        <v/>
      </c>
      <c r="G160" s="4" t="str">
        <f aca="false">IF($A160="","",COUNTIF(Dim_Fund!$G:$G,$A160))</f>
        <v/>
      </c>
      <c r="H160" s="31" t="str">
        <f aca="false">IF($A160="","",IFERROR(ROUND(SUMIF(Fact_Work!$N:$N,$A160,Fact_Work!$Q:$Q)/Constants!$B$13,0),0))</f>
        <v/>
      </c>
      <c r="I160" s="31" t="str">
        <f aca="false">IF($A160="","",IFERROR(ROUND(SUMIF(Fact_Work!$L:$L,$A160,Fact_Work!$Q:$Q)/Constants!$B$13,0),0))</f>
        <v/>
      </c>
      <c r="J160" s="49" t="str">
        <f aca="false">IF($A160="","",IFERROR($I160/$F160,""))</f>
        <v/>
      </c>
      <c r="K160" s="4" t="str">
        <f aca="false">IF($A160="","",IFERROR(ROUND(COUNTIF(Fact_Work!$M:$M,$A160)/Constants!$B$13,1),0))</f>
        <v/>
      </c>
      <c r="L160" s="31" t="str">
        <f aca="false">IF($A160="","",IFERROR(ROUND(SUMIF(Fact_Work!$M:$M,$A160,Fact_Work!$AE:$AE)/Constants!$B$13,0),0))</f>
        <v/>
      </c>
      <c r="M160" s="31" t="str">
        <f aca="false">IF($A160="","",$I160+$L160)</f>
        <v/>
      </c>
      <c r="N160" s="49" t="str">
        <f aca="false">IF($A160="","",IFERROR($M160/$F160,""))</f>
        <v/>
      </c>
      <c r="O160" s="4" t="str">
        <f aca="false">IF($A160="","",COUNTIFS(Fact_Work!$L:$L,$A160,Fact_Work!$O:$O,"Yes"))</f>
        <v/>
      </c>
      <c r="P160" s="4" t="str">
        <f aca="false">IF($A160="","",IF($C160&lt;&gt;"Yes","n/a",IF($M160&gt;$F160,"OVER","OK")))</f>
        <v/>
      </c>
      <c r="Q160" s="23" t="str">
        <f aca="false">IF($A160="","",IFERROR(VLOOKUP($B160,Dim_Team!$A:$G,7,0),""))</f>
        <v/>
      </c>
    </row>
    <row r="161" customFormat="false" ht="15" hidden="false" customHeight="true" outlineLevel="0" collapsed="false">
      <c r="D161" s="4" t="str">
        <f aca="false">IF($A161="","",IFERROR(VLOOKUP($B161,Dim_Team!$A:$B,2,0),"external"))</f>
        <v/>
      </c>
      <c r="E161" s="22" t="str">
        <f aca="false">IF($A161="","",IFERROR(VLOOKUP($B161,Dim_Team!$A:$F,6,0),""))</f>
        <v/>
      </c>
      <c r="F161" s="31" t="str">
        <f aca="false">IF($A161="","",IFERROR(VLOOKUP($B161,Dim_Team!$A:$E,5,0),0))</f>
        <v/>
      </c>
      <c r="G161" s="4" t="str">
        <f aca="false">IF($A161="","",COUNTIF(Dim_Fund!$G:$G,$A161))</f>
        <v/>
      </c>
      <c r="H161" s="31" t="str">
        <f aca="false">IF($A161="","",IFERROR(ROUND(SUMIF(Fact_Work!$N:$N,$A161,Fact_Work!$Q:$Q)/Constants!$B$13,0),0))</f>
        <v/>
      </c>
      <c r="I161" s="31" t="str">
        <f aca="false">IF($A161="","",IFERROR(ROUND(SUMIF(Fact_Work!$L:$L,$A161,Fact_Work!$Q:$Q)/Constants!$B$13,0),0))</f>
        <v/>
      </c>
      <c r="J161" s="49" t="str">
        <f aca="false">IF($A161="","",IFERROR($I161/$F161,""))</f>
        <v/>
      </c>
      <c r="K161" s="4" t="str">
        <f aca="false">IF($A161="","",IFERROR(ROUND(COUNTIF(Fact_Work!$M:$M,$A161)/Constants!$B$13,1),0))</f>
        <v/>
      </c>
      <c r="L161" s="31" t="str">
        <f aca="false">IF($A161="","",IFERROR(ROUND(SUMIF(Fact_Work!$M:$M,$A161,Fact_Work!$AE:$AE)/Constants!$B$13,0),0))</f>
        <v/>
      </c>
      <c r="M161" s="31" t="str">
        <f aca="false">IF($A161="","",$I161+$L161)</f>
        <v/>
      </c>
      <c r="N161" s="49" t="str">
        <f aca="false">IF($A161="","",IFERROR($M161/$F161,""))</f>
        <v/>
      </c>
      <c r="O161" s="4" t="str">
        <f aca="false">IF($A161="","",COUNTIFS(Fact_Work!$L:$L,$A161,Fact_Work!$O:$O,"Yes"))</f>
        <v/>
      </c>
      <c r="P161" s="4" t="str">
        <f aca="false">IF($A161="","",IF($C161&lt;&gt;"Yes","n/a",IF($M161&gt;$F161,"OVER","OK")))</f>
        <v/>
      </c>
      <c r="Q161" s="23" t="str">
        <f aca="false">IF($A161="","",IFERROR(VLOOKUP($B161,Dim_Team!$A:$G,7,0),""))</f>
        <v/>
      </c>
    </row>
    <row r="162" customFormat="false" ht="15" hidden="false" customHeight="true" outlineLevel="0" collapsed="false">
      <c r="D162" s="4" t="str">
        <f aca="false">IF($A162="","",IFERROR(VLOOKUP($B162,Dim_Team!$A:$B,2,0),"external"))</f>
        <v/>
      </c>
      <c r="E162" s="22" t="str">
        <f aca="false">IF($A162="","",IFERROR(VLOOKUP($B162,Dim_Team!$A:$F,6,0),""))</f>
        <v/>
      </c>
      <c r="F162" s="31" t="str">
        <f aca="false">IF($A162="","",IFERROR(VLOOKUP($B162,Dim_Team!$A:$E,5,0),0))</f>
        <v/>
      </c>
      <c r="G162" s="4" t="str">
        <f aca="false">IF($A162="","",COUNTIF(Dim_Fund!$G:$G,$A162))</f>
        <v/>
      </c>
      <c r="H162" s="31" t="str">
        <f aca="false">IF($A162="","",IFERROR(ROUND(SUMIF(Fact_Work!$N:$N,$A162,Fact_Work!$Q:$Q)/Constants!$B$13,0),0))</f>
        <v/>
      </c>
      <c r="I162" s="31" t="str">
        <f aca="false">IF($A162="","",IFERROR(ROUND(SUMIF(Fact_Work!$L:$L,$A162,Fact_Work!$Q:$Q)/Constants!$B$13,0),0))</f>
        <v/>
      </c>
      <c r="J162" s="49" t="str">
        <f aca="false">IF($A162="","",IFERROR($I162/$F162,""))</f>
        <v/>
      </c>
      <c r="K162" s="4" t="str">
        <f aca="false">IF($A162="","",IFERROR(ROUND(COUNTIF(Fact_Work!$M:$M,$A162)/Constants!$B$13,1),0))</f>
        <v/>
      </c>
      <c r="L162" s="31" t="str">
        <f aca="false">IF($A162="","",IFERROR(ROUND(SUMIF(Fact_Work!$M:$M,$A162,Fact_Work!$AE:$AE)/Constants!$B$13,0),0))</f>
        <v/>
      </c>
      <c r="M162" s="31" t="str">
        <f aca="false">IF($A162="","",$I162+$L162)</f>
        <v/>
      </c>
      <c r="N162" s="49" t="str">
        <f aca="false">IF($A162="","",IFERROR($M162/$F162,""))</f>
        <v/>
      </c>
      <c r="O162" s="4" t="str">
        <f aca="false">IF($A162="","",COUNTIFS(Fact_Work!$L:$L,$A162,Fact_Work!$O:$O,"Yes"))</f>
        <v/>
      </c>
      <c r="P162" s="4" t="str">
        <f aca="false">IF($A162="","",IF($C162&lt;&gt;"Yes","n/a",IF($M162&gt;$F162,"OVER","OK")))</f>
        <v/>
      </c>
      <c r="Q162" s="23" t="str">
        <f aca="false">IF($A162="","",IFERROR(VLOOKUP($B162,Dim_Team!$A:$G,7,0),""))</f>
        <v/>
      </c>
    </row>
    <row r="163" customFormat="false" ht="15" hidden="false" customHeight="true" outlineLevel="0" collapsed="false">
      <c r="D163" s="4" t="str">
        <f aca="false">IF($A163="","",IFERROR(VLOOKUP($B163,Dim_Team!$A:$B,2,0),"external"))</f>
        <v/>
      </c>
      <c r="E163" s="22" t="str">
        <f aca="false">IF($A163="","",IFERROR(VLOOKUP($B163,Dim_Team!$A:$F,6,0),""))</f>
        <v/>
      </c>
      <c r="F163" s="31" t="str">
        <f aca="false">IF($A163="","",IFERROR(VLOOKUP($B163,Dim_Team!$A:$E,5,0),0))</f>
        <v/>
      </c>
      <c r="G163" s="4" t="str">
        <f aca="false">IF($A163="","",COUNTIF(Dim_Fund!$G:$G,$A163))</f>
        <v/>
      </c>
      <c r="H163" s="31" t="str">
        <f aca="false">IF($A163="","",IFERROR(ROUND(SUMIF(Fact_Work!$N:$N,$A163,Fact_Work!$Q:$Q)/Constants!$B$13,0),0))</f>
        <v/>
      </c>
      <c r="I163" s="31" t="str">
        <f aca="false">IF($A163="","",IFERROR(ROUND(SUMIF(Fact_Work!$L:$L,$A163,Fact_Work!$Q:$Q)/Constants!$B$13,0),0))</f>
        <v/>
      </c>
      <c r="J163" s="49" t="str">
        <f aca="false">IF($A163="","",IFERROR($I163/$F163,""))</f>
        <v/>
      </c>
      <c r="K163" s="4" t="str">
        <f aca="false">IF($A163="","",IFERROR(ROUND(COUNTIF(Fact_Work!$M:$M,$A163)/Constants!$B$13,1),0))</f>
        <v/>
      </c>
      <c r="L163" s="31" t="str">
        <f aca="false">IF($A163="","",IFERROR(ROUND(SUMIF(Fact_Work!$M:$M,$A163,Fact_Work!$AE:$AE)/Constants!$B$13,0),0))</f>
        <v/>
      </c>
      <c r="M163" s="31" t="str">
        <f aca="false">IF($A163="","",$I163+$L163)</f>
        <v/>
      </c>
      <c r="N163" s="49" t="str">
        <f aca="false">IF($A163="","",IFERROR($M163/$F163,""))</f>
        <v/>
      </c>
      <c r="O163" s="4" t="str">
        <f aca="false">IF($A163="","",COUNTIFS(Fact_Work!$L:$L,$A163,Fact_Work!$O:$O,"Yes"))</f>
        <v/>
      </c>
      <c r="P163" s="4" t="str">
        <f aca="false">IF($A163="","",IF($C163&lt;&gt;"Yes","n/a",IF($M163&gt;$F163,"OVER","OK")))</f>
        <v/>
      </c>
      <c r="Q163" s="23" t="str">
        <f aca="false">IF($A163="","",IFERROR(VLOOKUP($B163,Dim_Team!$A:$G,7,0),""))</f>
        <v/>
      </c>
    </row>
    <row r="164" customFormat="false" ht="15" hidden="false" customHeight="true" outlineLevel="0" collapsed="false">
      <c r="D164" s="4" t="str">
        <f aca="false">IF($A164="","",IFERROR(VLOOKUP($B164,Dim_Team!$A:$B,2,0),"external"))</f>
        <v/>
      </c>
      <c r="E164" s="22" t="str">
        <f aca="false">IF($A164="","",IFERROR(VLOOKUP($B164,Dim_Team!$A:$F,6,0),""))</f>
        <v/>
      </c>
      <c r="F164" s="31" t="str">
        <f aca="false">IF($A164="","",IFERROR(VLOOKUP($B164,Dim_Team!$A:$E,5,0),0))</f>
        <v/>
      </c>
      <c r="G164" s="4" t="str">
        <f aca="false">IF($A164="","",COUNTIF(Dim_Fund!$G:$G,$A164))</f>
        <v/>
      </c>
      <c r="H164" s="31" t="str">
        <f aca="false">IF($A164="","",IFERROR(ROUND(SUMIF(Fact_Work!$N:$N,$A164,Fact_Work!$Q:$Q)/Constants!$B$13,0),0))</f>
        <v/>
      </c>
      <c r="I164" s="31" t="str">
        <f aca="false">IF($A164="","",IFERROR(ROUND(SUMIF(Fact_Work!$L:$L,$A164,Fact_Work!$Q:$Q)/Constants!$B$13,0),0))</f>
        <v/>
      </c>
      <c r="J164" s="49" t="str">
        <f aca="false">IF($A164="","",IFERROR($I164/$F164,""))</f>
        <v/>
      </c>
      <c r="K164" s="4" t="str">
        <f aca="false">IF($A164="","",IFERROR(ROUND(COUNTIF(Fact_Work!$M:$M,$A164)/Constants!$B$13,1),0))</f>
        <v/>
      </c>
      <c r="L164" s="31" t="str">
        <f aca="false">IF($A164="","",IFERROR(ROUND(SUMIF(Fact_Work!$M:$M,$A164,Fact_Work!$AE:$AE)/Constants!$B$13,0),0))</f>
        <v/>
      </c>
      <c r="M164" s="31" t="str">
        <f aca="false">IF($A164="","",$I164+$L164)</f>
        <v/>
      </c>
      <c r="N164" s="49" t="str">
        <f aca="false">IF($A164="","",IFERROR($M164/$F164,""))</f>
        <v/>
      </c>
      <c r="O164" s="4" t="str">
        <f aca="false">IF($A164="","",COUNTIFS(Fact_Work!$L:$L,$A164,Fact_Work!$O:$O,"Yes"))</f>
        <v/>
      </c>
      <c r="P164" s="4" t="str">
        <f aca="false">IF($A164="","",IF($C164&lt;&gt;"Yes","n/a",IF($M164&gt;$F164,"OVER","OK")))</f>
        <v/>
      </c>
      <c r="Q164" s="23" t="str">
        <f aca="false">IF($A164="","",IFERROR(VLOOKUP($B164,Dim_Team!$A:$G,7,0),""))</f>
        <v/>
      </c>
    </row>
    <row r="165" customFormat="false" ht="15" hidden="false" customHeight="true" outlineLevel="0" collapsed="false">
      <c r="D165" s="4" t="str">
        <f aca="false">IF($A165="","",IFERROR(VLOOKUP($B165,Dim_Team!$A:$B,2,0),"external"))</f>
        <v/>
      </c>
      <c r="E165" s="22" t="str">
        <f aca="false">IF($A165="","",IFERROR(VLOOKUP($B165,Dim_Team!$A:$F,6,0),""))</f>
        <v/>
      </c>
      <c r="F165" s="31" t="str">
        <f aca="false">IF($A165="","",IFERROR(VLOOKUP($B165,Dim_Team!$A:$E,5,0),0))</f>
        <v/>
      </c>
      <c r="G165" s="4" t="str">
        <f aca="false">IF($A165="","",COUNTIF(Dim_Fund!$G:$G,$A165))</f>
        <v/>
      </c>
      <c r="H165" s="31" t="str">
        <f aca="false">IF($A165="","",IFERROR(ROUND(SUMIF(Fact_Work!$N:$N,$A165,Fact_Work!$Q:$Q)/Constants!$B$13,0),0))</f>
        <v/>
      </c>
      <c r="I165" s="31" t="str">
        <f aca="false">IF($A165="","",IFERROR(ROUND(SUMIF(Fact_Work!$L:$L,$A165,Fact_Work!$Q:$Q)/Constants!$B$13,0),0))</f>
        <v/>
      </c>
      <c r="J165" s="49" t="str">
        <f aca="false">IF($A165="","",IFERROR($I165/$F165,""))</f>
        <v/>
      </c>
      <c r="K165" s="4" t="str">
        <f aca="false">IF($A165="","",IFERROR(ROUND(COUNTIF(Fact_Work!$M:$M,$A165)/Constants!$B$13,1),0))</f>
        <v/>
      </c>
      <c r="L165" s="31" t="str">
        <f aca="false">IF($A165="","",IFERROR(ROUND(SUMIF(Fact_Work!$M:$M,$A165,Fact_Work!$AE:$AE)/Constants!$B$13,0),0))</f>
        <v/>
      </c>
      <c r="M165" s="31" t="str">
        <f aca="false">IF($A165="","",$I165+$L165)</f>
        <v/>
      </c>
      <c r="N165" s="49" t="str">
        <f aca="false">IF($A165="","",IFERROR($M165/$F165,""))</f>
        <v/>
      </c>
      <c r="O165" s="4" t="str">
        <f aca="false">IF($A165="","",COUNTIFS(Fact_Work!$L:$L,$A165,Fact_Work!$O:$O,"Yes"))</f>
        <v/>
      </c>
      <c r="P165" s="4" t="str">
        <f aca="false">IF($A165="","",IF($C165&lt;&gt;"Yes","n/a",IF($M165&gt;$F165,"OVER","OK")))</f>
        <v/>
      </c>
      <c r="Q165" s="23" t="str">
        <f aca="false">IF($A165="","",IFERROR(VLOOKUP($B165,Dim_Team!$A:$G,7,0),""))</f>
        <v/>
      </c>
    </row>
    <row r="166" customFormat="false" ht="15" hidden="false" customHeight="true" outlineLevel="0" collapsed="false">
      <c r="D166" s="4" t="str">
        <f aca="false">IF($A166="","",IFERROR(VLOOKUP($B166,Dim_Team!$A:$B,2,0),"external"))</f>
        <v/>
      </c>
      <c r="E166" s="22" t="str">
        <f aca="false">IF($A166="","",IFERROR(VLOOKUP($B166,Dim_Team!$A:$F,6,0),""))</f>
        <v/>
      </c>
      <c r="F166" s="31" t="str">
        <f aca="false">IF($A166="","",IFERROR(VLOOKUP($B166,Dim_Team!$A:$E,5,0),0))</f>
        <v/>
      </c>
      <c r="G166" s="4" t="str">
        <f aca="false">IF($A166="","",COUNTIF(Dim_Fund!$G:$G,$A166))</f>
        <v/>
      </c>
      <c r="H166" s="31" t="str">
        <f aca="false">IF($A166="","",IFERROR(ROUND(SUMIF(Fact_Work!$N:$N,$A166,Fact_Work!$Q:$Q)/Constants!$B$13,0),0))</f>
        <v/>
      </c>
      <c r="I166" s="31" t="str">
        <f aca="false">IF($A166="","",IFERROR(ROUND(SUMIF(Fact_Work!$L:$L,$A166,Fact_Work!$Q:$Q)/Constants!$B$13,0),0))</f>
        <v/>
      </c>
      <c r="J166" s="49" t="str">
        <f aca="false">IF($A166="","",IFERROR($I166/$F166,""))</f>
        <v/>
      </c>
      <c r="K166" s="4" t="str">
        <f aca="false">IF($A166="","",IFERROR(ROUND(COUNTIF(Fact_Work!$M:$M,$A166)/Constants!$B$13,1),0))</f>
        <v/>
      </c>
      <c r="L166" s="31" t="str">
        <f aca="false">IF($A166="","",IFERROR(ROUND(SUMIF(Fact_Work!$M:$M,$A166,Fact_Work!$AE:$AE)/Constants!$B$13,0),0))</f>
        <v/>
      </c>
      <c r="M166" s="31" t="str">
        <f aca="false">IF($A166="","",$I166+$L166)</f>
        <v/>
      </c>
      <c r="N166" s="49" t="str">
        <f aca="false">IF($A166="","",IFERROR($M166/$F166,""))</f>
        <v/>
      </c>
      <c r="O166" s="4" t="str">
        <f aca="false">IF($A166="","",COUNTIFS(Fact_Work!$L:$L,$A166,Fact_Work!$O:$O,"Yes"))</f>
        <v/>
      </c>
      <c r="P166" s="4" t="str">
        <f aca="false">IF($A166="","",IF($C166&lt;&gt;"Yes","n/a",IF($M166&gt;$F166,"OVER","OK")))</f>
        <v/>
      </c>
      <c r="Q166" s="23" t="str">
        <f aca="false">IF($A166="","",IFERROR(VLOOKUP($B166,Dim_Team!$A:$G,7,0),""))</f>
        <v/>
      </c>
    </row>
    <row r="167" customFormat="false" ht="15" hidden="false" customHeight="true" outlineLevel="0" collapsed="false">
      <c r="D167" s="4" t="str">
        <f aca="false">IF($A167="","",IFERROR(VLOOKUP($B167,Dim_Team!$A:$B,2,0),"external"))</f>
        <v/>
      </c>
      <c r="E167" s="22" t="str">
        <f aca="false">IF($A167="","",IFERROR(VLOOKUP($B167,Dim_Team!$A:$F,6,0),""))</f>
        <v/>
      </c>
      <c r="F167" s="31" t="str">
        <f aca="false">IF($A167="","",IFERROR(VLOOKUP($B167,Dim_Team!$A:$E,5,0),0))</f>
        <v/>
      </c>
      <c r="G167" s="4" t="str">
        <f aca="false">IF($A167="","",COUNTIF(Dim_Fund!$G:$G,$A167))</f>
        <v/>
      </c>
      <c r="H167" s="31" t="str">
        <f aca="false">IF($A167="","",IFERROR(ROUND(SUMIF(Fact_Work!$N:$N,$A167,Fact_Work!$Q:$Q)/Constants!$B$13,0),0))</f>
        <v/>
      </c>
      <c r="I167" s="31" t="str">
        <f aca="false">IF($A167="","",IFERROR(ROUND(SUMIF(Fact_Work!$L:$L,$A167,Fact_Work!$Q:$Q)/Constants!$B$13,0),0))</f>
        <v/>
      </c>
      <c r="J167" s="49" t="str">
        <f aca="false">IF($A167="","",IFERROR($I167/$F167,""))</f>
        <v/>
      </c>
      <c r="K167" s="4" t="str">
        <f aca="false">IF($A167="","",IFERROR(ROUND(COUNTIF(Fact_Work!$M:$M,$A167)/Constants!$B$13,1),0))</f>
        <v/>
      </c>
      <c r="L167" s="31" t="str">
        <f aca="false">IF($A167="","",IFERROR(ROUND(SUMIF(Fact_Work!$M:$M,$A167,Fact_Work!$AE:$AE)/Constants!$B$13,0),0))</f>
        <v/>
      </c>
      <c r="M167" s="31" t="str">
        <f aca="false">IF($A167="","",$I167+$L167)</f>
        <v/>
      </c>
      <c r="N167" s="49" t="str">
        <f aca="false">IF($A167="","",IFERROR($M167/$F167,""))</f>
        <v/>
      </c>
      <c r="O167" s="4" t="str">
        <f aca="false">IF($A167="","",COUNTIFS(Fact_Work!$L:$L,$A167,Fact_Work!$O:$O,"Yes"))</f>
        <v/>
      </c>
      <c r="P167" s="4" t="str">
        <f aca="false">IF($A167="","",IF($C167&lt;&gt;"Yes","n/a",IF($M167&gt;$F167,"OVER","OK")))</f>
        <v/>
      </c>
      <c r="Q167" s="23" t="str">
        <f aca="false">IF($A167="","",IFERROR(VLOOKUP($B167,Dim_Team!$A:$G,7,0),""))</f>
        <v/>
      </c>
    </row>
    <row r="168" customFormat="false" ht="15" hidden="false" customHeight="true" outlineLevel="0" collapsed="false">
      <c r="D168" s="4" t="str">
        <f aca="false">IF($A168="","",IFERROR(VLOOKUP($B168,Dim_Team!$A:$B,2,0),"external"))</f>
        <v/>
      </c>
      <c r="E168" s="22" t="str">
        <f aca="false">IF($A168="","",IFERROR(VLOOKUP($B168,Dim_Team!$A:$F,6,0),""))</f>
        <v/>
      </c>
      <c r="F168" s="31" t="str">
        <f aca="false">IF($A168="","",IFERROR(VLOOKUP($B168,Dim_Team!$A:$E,5,0),0))</f>
        <v/>
      </c>
      <c r="G168" s="4" t="str">
        <f aca="false">IF($A168="","",COUNTIF(Dim_Fund!$G:$G,$A168))</f>
        <v/>
      </c>
      <c r="H168" s="31" t="str">
        <f aca="false">IF($A168="","",IFERROR(ROUND(SUMIF(Fact_Work!$N:$N,$A168,Fact_Work!$Q:$Q)/Constants!$B$13,0),0))</f>
        <v/>
      </c>
      <c r="I168" s="31" t="str">
        <f aca="false">IF($A168="","",IFERROR(ROUND(SUMIF(Fact_Work!$L:$L,$A168,Fact_Work!$Q:$Q)/Constants!$B$13,0),0))</f>
        <v/>
      </c>
      <c r="J168" s="49" t="str">
        <f aca="false">IF($A168="","",IFERROR($I168/$F168,""))</f>
        <v/>
      </c>
      <c r="K168" s="4" t="str">
        <f aca="false">IF($A168="","",IFERROR(ROUND(COUNTIF(Fact_Work!$M:$M,$A168)/Constants!$B$13,1),0))</f>
        <v/>
      </c>
      <c r="L168" s="31" t="str">
        <f aca="false">IF($A168="","",IFERROR(ROUND(SUMIF(Fact_Work!$M:$M,$A168,Fact_Work!$AE:$AE)/Constants!$B$13,0),0))</f>
        <v/>
      </c>
      <c r="M168" s="31" t="str">
        <f aca="false">IF($A168="","",$I168+$L168)</f>
        <v/>
      </c>
      <c r="N168" s="49" t="str">
        <f aca="false">IF($A168="","",IFERROR($M168/$F168,""))</f>
        <v/>
      </c>
      <c r="O168" s="4" t="str">
        <f aca="false">IF($A168="","",COUNTIFS(Fact_Work!$L:$L,$A168,Fact_Work!$O:$O,"Yes"))</f>
        <v/>
      </c>
      <c r="P168" s="4" t="str">
        <f aca="false">IF($A168="","",IF($C168&lt;&gt;"Yes","n/a",IF($M168&gt;$F168,"OVER","OK")))</f>
        <v/>
      </c>
      <c r="Q168" s="23" t="str">
        <f aca="false">IF($A168="","",IFERROR(VLOOKUP($B168,Dim_Team!$A:$G,7,0),""))</f>
        <v/>
      </c>
    </row>
    <row r="169" customFormat="false" ht="15" hidden="false" customHeight="true" outlineLevel="0" collapsed="false">
      <c r="D169" s="4" t="str">
        <f aca="false">IF($A169="","",IFERROR(VLOOKUP($B169,Dim_Team!$A:$B,2,0),"external"))</f>
        <v/>
      </c>
      <c r="E169" s="22" t="str">
        <f aca="false">IF($A169="","",IFERROR(VLOOKUP($B169,Dim_Team!$A:$F,6,0),""))</f>
        <v/>
      </c>
      <c r="F169" s="31" t="str">
        <f aca="false">IF($A169="","",IFERROR(VLOOKUP($B169,Dim_Team!$A:$E,5,0),0))</f>
        <v/>
      </c>
      <c r="G169" s="4" t="str">
        <f aca="false">IF($A169="","",COUNTIF(Dim_Fund!$G:$G,$A169))</f>
        <v/>
      </c>
      <c r="H169" s="31" t="str">
        <f aca="false">IF($A169="","",IFERROR(ROUND(SUMIF(Fact_Work!$N:$N,$A169,Fact_Work!$Q:$Q)/Constants!$B$13,0),0))</f>
        <v/>
      </c>
      <c r="I169" s="31" t="str">
        <f aca="false">IF($A169="","",IFERROR(ROUND(SUMIF(Fact_Work!$L:$L,$A169,Fact_Work!$Q:$Q)/Constants!$B$13,0),0))</f>
        <v/>
      </c>
      <c r="J169" s="49" t="str">
        <f aca="false">IF($A169="","",IFERROR($I169/$F169,""))</f>
        <v/>
      </c>
      <c r="K169" s="4" t="str">
        <f aca="false">IF($A169="","",IFERROR(ROUND(COUNTIF(Fact_Work!$M:$M,$A169)/Constants!$B$13,1),0))</f>
        <v/>
      </c>
      <c r="L169" s="31" t="str">
        <f aca="false">IF($A169="","",IFERROR(ROUND(SUMIF(Fact_Work!$M:$M,$A169,Fact_Work!$AE:$AE)/Constants!$B$13,0),0))</f>
        <v/>
      </c>
      <c r="M169" s="31" t="str">
        <f aca="false">IF($A169="","",$I169+$L169)</f>
        <v/>
      </c>
      <c r="N169" s="49" t="str">
        <f aca="false">IF($A169="","",IFERROR($M169/$F169,""))</f>
        <v/>
      </c>
      <c r="O169" s="4" t="str">
        <f aca="false">IF($A169="","",COUNTIFS(Fact_Work!$L:$L,$A169,Fact_Work!$O:$O,"Yes"))</f>
        <v/>
      </c>
      <c r="P169" s="4" t="str">
        <f aca="false">IF($A169="","",IF($C169&lt;&gt;"Yes","n/a",IF($M169&gt;$F169,"OVER","OK")))</f>
        <v/>
      </c>
      <c r="Q169" s="23" t="str">
        <f aca="false">IF($A169="","",IFERROR(VLOOKUP($B169,Dim_Team!$A:$G,7,0),""))</f>
        <v/>
      </c>
    </row>
    <row r="170" customFormat="false" ht="15" hidden="false" customHeight="true" outlineLevel="0" collapsed="false">
      <c r="D170" s="4" t="str">
        <f aca="false">IF($A170="","",IFERROR(VLOOKUP($B170,Dim_Team!$A:$B,2,0),"external"))</f>
        <v/>
      </c>
      <c r="E170" s="22" t="str">
        <f aca="false">IF($A170="","",IFERROR(VLOOKUP($B170,Dim_Team!$A:$F,6,0),""))</f>
        <v/>
      </c>
      <c r="F170" s="31" t="str">
        <f aca="false">IF($A170="","",IFERROR(VLOOKUP($B170,Dim_Team!$A:$E,5,0),0))</f>
        <v/>
      </c>
      <c r="G170" s="4" t="str">
        <f aca="false">IF($A170="","",COUNTIF(Dim_Fund!$G:$G,$A170))</f>
        <v/>
      </c>
      <c r="H170" s="31" t="str">
        <f aca="false">IF($A170="","",IFERROR(ROUND(SUMIF(Fact_Work!$N:$N,$A170,Fact_Work!$Q:$Q)/Constants!$B$13,0),0))</f>
        <v/>
      </c>
      <c r="I170" s="31" t="str">
        <f aca="false">IF($A170="","",IFERROR(ROUND(SUMIF(Fact_Work!$L:$L,$A170,Fact_Work!$Q:$Q)/Constants!$B$13,0),0))</f>
        <v/>
      </c>
      <c r="J170" s="49" t="str">
        <f aca="false">IF($A170="","",IFERROR($I170/$F170,""))</f>
        <v/>
      </c>
      <c r="K170" s="4" t="str">
        <f aca="false">IF($A170="","",IFERROR(ROUND(COUNTIF(Fact_Work!$M:$M,$A170)/Constants!$B$13,1),0))</f>
        <v/>
      </c>
      <c r="L170" s="31" t="str">
        <f aca="false">IF($A170="","",IFERROR(ROUND(SUMIF(Fact_Work!$M:$M,$A170,Fact_Work!$AE:$AE)/Constants!$B$13,0),0))</f>
        <v/>
      </c>
      <c r="M170" s="31" t="str">
        <f aca="false">IF($A170="","",$I170+$L170)</f>
        <v/>
      </c>
      <c r="N170" s="49" t="str">
        <f aca="false">IF($A170="","",IFERROR($M170/$F170,""))</f>
        <v/>
      </c>
      <c r="O170" s="4" t="str">
        <f aca="false">IF($A170="","",COUNTIFS(Fact_Work!$L:$L,$A170,Fact_Work!$O:$O,"Yes"))</f>
        <v/>
      </c>
      <c r="P170" s="4" t="str">
        <f aca="false">IF($A170="","",IF($C170&lt;&gt;"Yes","n/a",IF($M170&gt;$F170,"OVER","OK")))</f>
        <v/>
      </c>
      <c r="Q170" s="23" t="str">
        <f aca="false">IF($A170="","",IFERROR(VLOOKUP($B170,Dim_Team!$A:$G,7,0),""))</f>
        <v/>
      </c>
    </row>
    <row r="171" customFormat="false" ht="15" hidden="false" customHeight="true" outlineLevel="0" collapsed="false">
      <c r="D171" s="4" t="str">
        <f aca="false">IF($A171="","",IFERROR(VLOOKUP($B171,Dim_Team!$A:$B,2,0),"external"))</f>
        <v/>
      </c>
      <c r="E171" s="22" t="str">
        <f aca="false">IF($A171="","",IFERROR(VLOOKUP($B171,Dim_Team!$A:$F,6,0),""))</f>
        <v/>
      </c>
      <c r="F171" s="31" t="str">
        <f aca="false">IF($A171="","",IFERROR(VLOOKUP($B171,Dim_Team!$A:$E,5,0),0))</f>
        <v/>
      </c>
      <c r="G171" s="4" t="str">
        <f aca="false">IF($A171="","",COUNTIF(Dim_Fund!$G:$G,$A171))</f>
        <v/>
      </c>
      <c r="H171" s="31" t="str">
        <f aca="false">IF($A171="","",IFERROR(ROUND(SUMIF(Fact_Work!$N:$N,$A171,Fact_Work!$Q:$Q)/Constants!$B$13,0),0))</f>
        <v/>
      </c>
      <c r="I171" s="31" t="str">
        <f aca="false">IF($A171="","",IFERROR(ROUND(SUMIF(Fact_Work!$L:$L,$A171,Fact_Work!$Q:$Q)/Constants!$B$13,0),0))</f>
        <v/>
      </c>
      <c r="J171" s="49" t="str">
        <f aca="false">IF($A171="","",IFERROR($I171/$F171,""))</f>
        <v/>
      </c>
      <c r="K171" s="4" t="str">
        <f aca="false">IF($A171="","",IFERROR(ROUND(COUNTIF(Fact_Work!$M:$M,$A171)/Constants!$B$13,1),0))</f>
        <v/>
      </c>
      <c r="L171" s="31" t="str">
        <f aca="false">IF($A171="","",IFERROR(ROUND(SUMIF(Fact_Work!$M:$M,$A171,Fact_Work!$AE:$AE)/Constants!$B$13,0),0))</f>
        <v/>
      </c>
      <c r="M171" s="31" t="str">
        <f aca="false">IF($A171="","",$I171+$L171)</f>
        <v/>
      </c>
      <c r="N171" s="49" t="str">
        <f aca="false">IF($A171="","",IFERROR($M171/$F171,""))</f>
        <v/>
      </c>
      <c r="O171" s="4" t="str">
        <f aca="false">IF($A171="","",COUNTIFS(Fact_Work!$L:$L,$A171,Fact_Work!$O:$O,"Yes"))</f>
        <v/>
      </c>
      <c r="P171" s="4" t="str">
        <f aca="false">IF($A171="","",IF($C171&lt;&gt;"Yes","n/a",IF($M171&gt;$F171,"OVER","OK")))</f>
        <v/>
      </c>
      <c r="Q171" s="23" t="str">
        <f aca="false">IF($A171="","",IFERROR(VLOOKUP($B171,Dim_Team!$A:$G,7,0),""))</f>
        <v/>
      </c>
    </row>
    <row r="172" customFormat="false" ht="15" hidden="false" customHeight="true" outlineLevel="0" collapsed="false">
      <c r="D172" s="4" t="str">
        <f aca="false">IF($A172="","",IFERROR(VLOOKUP($B172,Dim_Team!$A:$B,2,0),"external"))</f>
        <v/>
      </c>
      <c r="E172" s="22" t="str">
        <f aca="false">IF($A172="","",IFERROR(VLOOKUP($B172,Dim_Team!$A:$F,6,0),""))</f>
        <v/>
      </c>
      <c r="F172" s="31" t="str">
        <f aca="false">IF($A172="","",IFERROR(VLOOKUP($B172,Dim_Team!$A:$E,5,0),0))</f>
        <v/>
      </c>
      <c r="G172" s="4" t="str">
        <f aca="false">IF($A172="","",COUNTIF(Dim_Fund!$G:$G,$A172))</f>
        <v/>
      </c>
      <c r="H172" s="31" t="str">
        <f aca="false">IF($A172="","",IFERROR(ROUND(SUMIF(Fact_Work!$N:$N,$A172,Fact_Work!$Q:$Q)/Constants!$B$13,0),0))</f>
        <v/>
      </c>
      <c r="I172" s="31" t="str">
        <f aca="false">IF($A172="","",IFERROR(ROUND(SUMIF(Fact_Work!$L:$L,$A172,Fact_Work!$Q:$Q)/Constants!$B$13,0),0))</f>
        <v/>
      </c>
      <c r="J172" s="49" t="str">
        <f aca="false">IF($A172="","",IFERROR($I172/$F172,""))</f>
        <v/>
      </c>
      <c r="K172" s="4" t="str">
        <f aca="false">IF($A172="","",IFERROR(ROUND(COUNTIF(Fact_Work!$M:$M,$A172)/Constants!$B$13,1),0))</f>
        <v/>
      </c>
      <c r="L172" s="31" t="str">
        <f aca="false">IF($A172="","",IFERROR(ROUND(SUMIF(Fact_Work!$M:$M,$A172,Fact_Work!$AE:$AE)/Constants!$B$13,0),0))</f>
        <v/>
      </c>
      <c r="M172" s="31" t="str">
        <f aca="false">IF($A172="","",$I172+$L172)</f>
        <v/>
      </c>
      <c r="N172" s="49" t="str">
        <f aca="false">IF($A172="","",IFERROR($M172/$F172,""))</f>
        <v/>
      </c>
      <c r="O172" s="4" t="str">
        <f aca="false">IF($A172="","",COUNTIFS(Fact_Work!$L:$L,$A172,Fact_Work!$O:$O,"Yes"))</f>
        <v/>
      </c>
      <c r="P172" s="4" t="str">
        <f aca="false">IF($A172="","",IF($C172&lt;&gt;"Yes","n/a",IF($M172&gt;$F172,"OVER","OK")))</f>
        <v/>
      </c>
      <c r="Q172" s="23" t="str">
        <f aca="false">IF($A172="","",IFERROR(VLOOKUP($B172,Dim_Team!$A:$G,7,0),""))</f>
        <v/>
      </c>
    </row>
    <row r="173" customFormat="false" ht="15" hidden="false" customHeight="true" outlineLevel="0" collapsed="false">
      <c r="D173" s="4" t="str">
        <f aca="false">IF($A173="","",IFERROR(VLOOKUP($B173,Dim_Team!$A:$B,2,0),"external"))</f>
        <v/>
      </c>
      <c r="E173" s="22" t="str">
        <f aca="false">IF($A173="","",IFERROR(VLOOKUP($B173,Dim_Team!$A:$F,6,0),""))</f>
        <v/>
      </c>
      <c r="F173" s="31" t="str">
        <f aca="false">IF($A173="","",IFERROR(VLOOKUP($B173,Dim_Team!$A:$E,5,0),0))</f>
        <v/>
      </c>
      <c r="G173" s="4" t="str">
        <f aca="false">IF($A173="","",COUNTIF(Dim_Fund!$G:$G,$A173))</f>
        <v/>
      </c>
      <c r="H173" s="31" t="str">
        <f aca="false">IF($A173="","",IFERROR(ROUND(SUMIF(Fact_Work!$N:$N,$A173,Fact_Work!$Q:$Q)/Constants!$B$13,0),0))</f>
        <v/>
      </c>
      <c r="I173" s="31" t="str">
        <f aca="false">IF($A173="","",IFERROR(ROUND(SUMIF(Fact_Work!$L:$L,$A173,Fact_Work!$Q:$Q)/Constants!$B$13,0),0))</f>
        <v/>
      </c>
      <c r="J173" s="49" t="str">
        <f aca="false">IF($A173="","",IFERROR($I173/$F173,""))</f>
        <v/>
      </c>
      <c r="K173" s="4" t="str">
        <f aca="false">IF($A173="","",IFERROR(ROUND(COUNTIF(Fact_Work!$M:$M,$A173)/Constants!$B$13,1),0))</f>
        <v/>
      </c>
      <c r="L173" s="31" t="str">
        <f aca="false">IF($A173="","",IFERROR(ROUND(SUMIF(Fact_Work!$M:$M,$A173,Fact_Work!$AE:$AE)/Constants!$B$13,0),0))</f>
        <v/>
      </c>
      <c r="M173" s="31" t="str">
        <f aca="false">IF($A173="","",$I173+$L173)</f>
        <v/>
      </c>
      <c r="N173" s="49" t="str">
        <f aca="false">IF($A173="","",IFERROR($M173/$F173,""))</f>
        <v/>
      </c>
      <c r="O173" s="4" t="str">
        <f aca="false">IF($A173="","",COUNTIFS(Fact_Work!$L:$L,$A173,Fact_Work!$O:$O,"Yes"))</f>
        <v/>
      </c>
      <c r="P173" s="4" t="str">
        <f aca="false">IF($A173="","",IF($C173&lt;&gt;"Yes","n/a",IF($M173&gt;$F173,"OVER","OK")))</f>
        <v/>
      </c>
      <c r="Q173" s="23" t="str">
        <f aca="false">IF($A173="","",IFERROR(VLOOKUP($B173,Dim_Team!$A:$G,7,0),""))</f>
        <v/>
      </c>
    </row>
    <row r="174" customFormat="false" ht="15" hidden="false" customHeight="true" outlineLevel="0" collapsed="false">
      <c r="D174" s="4" t="str">
        <f aca="false">IF($A174="","",IFERROR(VLOOKUP($B174,Dim_Team!$A:$B,2,0),"external"))</f>
        <v/>
      </c>
      <c r="E174" s="22" t="str">
        <f aca="false">IF($A174="","",IFERROR(VLOOKUP($B174,Dim_Team!$A:$F,6,0),""))</f>
        <v/>
      </c>
      <c r="F174" s="31" t="str">
        <f aca="false">IF($A174="","",IFERROR(VLOOKUP($B174,Dim_Team!$A:$E,5,0),0))</f>
        <v/>
      </c>
      <c r="G174" s="4" t="str">
        <f aca="false">IF($A174="","",COUNTIF(Dim_Fund!$G:$G,$A174))</f>
        <v/>
      </c>
      <c r="H174" s="31" t="str">
        <f aca="false">IF($A174="","",IFERROR(ROUND(SUMIF(Fact_Work!$N:$N,$A174,Fact_Work!$Q:$Q)/Constants!$B$13,0),0))</f>
        <v/>
      </c>
      <c r="I174" s="31" t="str">
        <f aca="false">IF($A174="","",IFERROR(ROUND(SUMIF(Fact_Work!$L:$L,$A174,Fact_Work!$Q:$Q)/Constants!$B$13,0),0))</f>
        <v/>
      </c>
      <c r="J174" s="49" t="str">
        <f aca="false">IF($A174="","",IFERROR($I174/$F174,""))</f>
        <v/>
      </c>
      <c r="K174" s="4" t="str">
        <f aca="false">IF($A174="","",IFERROR(ROUND(COUNTIF(Fact_Work!$M:$M,$A174)/Constants!$B$13,1),0))</f>
        <v/>
      </c>
      <c r="L174" s="31" t="str">
        <f aca="false">IF($A174="","",IFERROR(ROUND(SUMIF(Fact_Work!$M:$M,$A174,Fact_Work!$AE:$AE)/Constants!$B$13,0),0))</f>
        <v/>
      </c>
      <c r="M174" s="31" t="str">
        <f aca="false">IF($A174="","",$I174+$L174)</f>
        <v/>
      </c>
      <c r="N174" s="49" t="str">
        <f aca="false">IF($A174="","",IFERROR($M174/$F174,""))</f>
        <v/>
      </c>
      <c r="O174" s="4" t="str">
        <f aca="false">IF($A174="","",COUNTIFS(Fact_Work!$L:$L,$A174,Fact_Work!$O:$O,"Yes"))</f>
        <v/>
      </c>
      <c r="P174" s="4" t="str">
        <f aca="false">IF($A174="","",IF($C174&lt;&gt;"Yes","n/a",IF($M174&gt;$F174,"OVER","OK")))</f>
        <v/>
      </c>
      <c r="Q174" s="23" t="str">
        <f aca="false">IF($A174="","",IFERROR(VLOOKUP($B174,Dim_Team!$A:$G,7,0),""))</f>
        <v/>
      </c>
    </row>
    <row r="175" customFormat="false" ht="15" hidden="false" customHeight="true" outlineLevel="0" collapsed="false">
      <c r="D175" s="4" t="str">
        <f aca="false">IF($A175="","",IFERROR(VLOOKUP($B175,Dim_Team!$A:$B,2,0),"external"))</f>
        <v/>
      </c>
      <c r="E175" s="22" t="str">
        <f aca="false">IF($A175="","",IFERROR(VLOOKUP($B175,Dim_Team!$A:$F,6,0),""))</f>
        <v/>
      </c>
      <c r="F175" s="31" t="str">
        <f aca="false">IF($A175="","",IFERROR(VLOOKUP($B175,Dim_Team!$A:$E,5,0),0))</f>
        <v/>
      </c>
      <c r="G175" s="4" t="str">
        <f aca="false">IF($A175="","",COUNTIF(Dim_Fund!$G:$G,$A175))</f>
        <v/>
      </c>
      <c r="H175" s="31" t="str">
        <f aca="false">IF($A175="","",IFERROR(ROUND(SUMIF(Fact_Work!$N:$N,$A175,Fact_Work!$Q:$Q)/Constants!$B$13,0),0))</f>
        <v/>
      </c>
      <c r="I175" s="31" t="str">
        <f aca="false">IF($A175="","",IFERROR(ROUND(SUMIF(Fact_Work!$L:$L,$A175,Fact_Work!$Q:$Q)/Constants!$B$13,0),0))</f>
        <v/>
      </c>
      <c r="J175" s="49" t="str">
        <f aca="false">IF($A175="","",IFERROR($I175/$F175,""))</f>
        <v/>
      </c>
      <c r="K175" s="4" t="str">
        <f aca="false">IF($A175="","",IFERROR(ROUND(COUNTIF(Fact_Work!$M:$M,$A175)/Constants!$B$13,1),0))</f>
        <v/>
      </c>
      <c r="L175" s="31" t="str">
        <f aca="false">IF($A175="","",IFERROR(ROUND(SUMIF(Fact_Work!$M:$M,$A175,Fact_Work!$AE:$AE)/Constants!$B$13,0),0))</f>
        <v/>
      </c>
      <c r="M175" s="31" t="str">
        <f aca="false">IF($A175="","",$I175+$L175)</f>
        <v/>
      </c>
      <c r="N175" s="49" t="str">
        <f aca="false">IF($A175="","",IFERROR($M175/$F175,""))</f>
        <v/>
      </c>
      <c r="O175" s="4" t="str">
        <f aca="false">IF($A175="","",COUNTIFS(Fact_Work!$L:$L,$A175,Fact_Work!$O:$O,"Yes"))</f>
        <v/>
      </c>
      <c r="P175" s="4" t="str">
        <f aca="false">IF($A175="","",IF($C175&lt;&gt;"Yes","n/a",IF($M175&gt;$F175,"OVER","OK")))</f>
        <v/>
      </c>
      <c r="Q175" s="23" t="str">
        <f aca="false">IF($A175="","",IFERROR(VLOOKUP($B175,Dim_Team!$A:$G,7,0),""))</f>
        <v/>
      </c>
    </row>
    <row r="176" customFormat="false" ht="15" hidden="false" customHeight="true" outlineLevel="0" collapsed="false">
      <c r="D176" s="4" t="str">
        <f aca="false">IF($A176="","",IFERROR(VLOOKUP($B176,Dim_Team!$A:$B,2,0),"external"))</f>
        <v/>
      </c>
      <c r="E176" s="22" t="str">
        <f aca="false">IF($A176="","",IFERROR(VLOOKUP($B176,Dim_Team!$A:$F,6,0),""))</f>
        <v/>
      </c>
      <c r="F176" s="31" t="str">
        <f aca="false">IF($A176="","",IFERROR(VLOOKUP($B176,Dim_Team!$A:$E,5,0),0))</f>
        <v/>
      </c>
      <c r="G176" s="4" t="str">
        <f aca="false">IF($A176="","",COUNTIF(Dim_Fund!$G:$G,$A176))</f>
        <v/>
      </c>
      <c r="H176" s="31" t="str">
        <f aca="false">IF($A176="","",IFERROR(ROUND(SUMIF(Fact_Work!$N:$N,$A176,Fact_Work!$Q:$Q)/Constants!$B$13,0),0))</f>
        <v/>
      </c>
      <c r="I176" s="31" t="str">
        <f aca="false">IF($A176="","",IFERROR(ROUND(SUMIF(Fact_Work!$L:$L,$A176,Fact_Work!$Q:$Q)/Constants!$B$13,0),0))</f>
        <v/>
      </c>
      <c r="J176" s="49" t="str">
        <f aca="false">IF($A176="","",IFERROR($I176/$F176,""))</f>
        <v/>
      </c>
      <c r="K176" s="4" t="str">
        <f aca="false">IF($A176="","",IFERROR(ROUND(COUNTIF(Fact_Work!$M:$M,$A176)/Constants!$B$13,1),0))</f>
        <v/>
      </c>
      <c r="L176" s="31" t="str">
        <f aca="false">IF($A176="","",IFERROR(ROUND(SUMIF(Fact_Work!$M:$M,$A176,Fact_Work!$AE:$AE)/Constants!$B$13,0),0))</f>
        <v/>
      </c>
      <c r="M176" s="31" t="str">
        <f aca="false">IF($A176="","",$I176+$L176)</f>
        <v/>
      </c>
      <c r="N176" s="49" t="str">
        <f aca="false">IF($A176="","",IFERROR($M176/$F176,""))</f>
        <v/>
      </c>
      <c r="O176" s="4" t="str">
        <f aca="false">IF($A176="","",COUNTIFS(Fact_Work!$L:$L,$A176,Fact_Work!$O:$O,"Yes"))</f>
        <v/>
      </c>
      <c r="P176" s="4" t="str">
        <f aca="false">IF($A176="","",IF($C176&lt;&gt;"Yes","n/a",IF($M176&gt;$F176,"OVER","OK")))</f>
        <v/>
      </c>
      <c r="Q176" s="23" t="str">
        <f aca="false">IF($A176="","",IFERROR(VLOOKUP($B176,Dim_Team!$A:$G,7,0),""))</f>
        <v/>
      </c>
    </row>
    <row r="177" customFormat="false" ht="15" hidden="false" customHeight="true" outlineLevel="0" collapsed="false">
      <c r="D177" s="4" t="str">
        <f aca="false">IF($A177="","",IFERROR(VLOOKUP($B177,Dim_Team!$A:$B,2,0),"external"))</f>
        <v/>
      </c>
      <c r="E177" s="22" t="str">
        <f aca="false">IF($A177="","",IFERROR(VLOOKUP($B177,Dim_Team!$A:$F,6,0),""))</f>
        <v/>
      </c>
      <c r="F177" s="31" t="str">
        <f aca="false">IF($A177="","",IFERROR(VLOOKUP($B177,Dim_Team!$A:$E,5,0),0))</f>
        <v/>
      </c>
      <c r="G177" s="4" t="str">
        <f aca="false">IF($A177="","",COUNTIF(Dim_Fund!$G:$G,$A177))</f>
        <v/>
      </c>
      <c r="H177" s="31" t="str">
        <f aca="false">IF($A177="","",IFERROR(ROUND(SUMIF(Fact_Work!$N:$N,$A177,Fact_Work!$Q:$Q)/Constants!$B$13,0),0))</f>
        <v/>
      </c>
      <c r="I177" s="31" t="str">
        <f aca="false">IF($A177="","",IFERROR(ROUND(SUMIF(Fact_Work!$L:$L,$A177,Fact_Work!$Q:$Q)/Constants!$B$13,0),0))</f>
        <v/>
      </c>
      <c r="J177" s="49" t="str">
        <f aca="false">IF($A177="","",IFERROR($I177/$F177,""))</f>
        <v/>
      </c>
      <c r="K177" s="4" t="str">
        <f aca="false">IF($A177="","",IFERROR(ROUND(COUNTIF(Fact_Work!$M:$M,$A177)/Constants!$B$13,1),0))</f>
        <v/>
      </c>
      <c r="L177" s="31" t="str">
        <f aca="false">IF($A177="","",IFERROR(ROUND(SUMIF(Fact_Work!$M:$M,$A177,Fact_Work!$AE:$AE)/Constants!$B$13,0),0))</f>
        <v/>
      </c>
      <c r="M177" s="31" t="str">
        <f aca="false">IF($A177="","",$I177+$L177)</f>
        <v/>
      </c>
      <c r="N177" s="49" t="str">
        <f aca="false">IF($A177="","",IFERROR($M177/$F177,""))</f>
        <v/>
      </c>
      <c r="O177" s="4" t="str">
        <f aca="false">IF($A177="","",COUNTIFS(Fact_Work!$L:$L,$A177,Fact_Work!$O:$O,"Yes"))</f>
        <v/>
      </c>
      <c r="P177" s="4" t="str">
        <f aca="false">IF($A177="","",IF($C177&lt;&gt;"Yes","n/a",IF($M177&gt;$F177,"OVER","OK")))</f>
        <v/>
      </c>
      <c r="Q177" s="23" t="str">
        <f aca="false">IF($A177="","",IFERROR(VLOOKUP($B177,Dim_Team!$A:$G,7,0),""))</f>
        <v/>
      </c>
    </row>
    <row r="178" customFormat="false" ht="15" hidden="false" customHeight="true" outlineLevel="0" collapsed="false">
      <c r="D178" s="4" t="str">
        <f aca="false">IF($A178="","",IFERROR(VLOOKUP($B178,Dim_Team!$A:$B,2,0),"external"))</f>
        <v/>
      </c>
      <c r="E178" s="22" t="str">
        <f aca="false">IF($A178="","",IFERROR(VLOOKUP($B178,Dim_Team!$A:$F,6,0),""))</f>
        <v/>
      </c>
      <c r="F178" s="31" t="str">
        <f aca="false">IF($A178="","",IFERROR(VLOOKUP($B178,Dim_Team!$A:$E,5,0),0))</f>
        <v/>
      </c>
      <c r="G178" s="4" t="str">
        <f aca="false">IF($A178="","",COUNTIF(Dim_Fund!$G:$G,$A178))</f>
        <v/>
      </c>
      <c r="H178" s="31" t="str">
        <f aca="false">IF($A178="","",IFERROR(ROUND(SUMIF(Fact_Work!$N:$N,$A178,Fact_Work!$Q:$Q)/Constants!$B$13,0),0))</f>
        <v/>
      </c>
      <c r="I178" s="31" t="str">
        <f aca="false">IF($A178="","",IFERROR(ROUND(SUMIF(Fact_Work!$L:$L,$A178,Fact_Work!$Q:$Q)/Constants!$B$13,0),0))</f>
        <v/>
      </c>
      <c r="J178" s="49" t="str">
        <f aca="false">IF($A178="","",IFERROR($I178/$F178,""))</f>
        <v/>
      </c>
      <c r="K178" s="4" t="str">
        <f aca="false">IF($A178="","",IFERROR(ROUND(COUNTIF(Fact_Work!$M:$M,$A178)/Constants!$B$13,1),0))</f>
        <v/>
      </c>
      <c r="L178" s="31" t="str">
        <f aca="false">IF($A178="","",IFERROR(ROUND(SUMIF(Fact_Work!$M:$M,$A178,Fact_Work!$AE:$AE)/Constants!$B$13,0),0))</f>
        <v/>
      </c>
      <c r="M178" s="31" t="str">
        <f aca="false">IF($A178="","",$I178+$L178)</f>
        <v/>
      </c>
      <c r="N178" s="49" t="str">
        <f aca="false">IF($A178="","",IFERROR($M178/$F178,""))</f>
        <v/>
      </c>
      <c r="O178" s="4" t="str">
        <f aca="false">IF($A178="","",COUNTIFS(Fact_Work!$L:$L,$A178,Fact_Work!$O:$O,"Yes"))</f>
        <v/>
      </c>
      <c r="P178" s="4" t="str">
        <f aca="false">IF($A178="","",IF($C178&lt;&gt;"Yes","n/a",IF($M178&gt;$F178,"OVER","OK")))</f>
        <v/>
      </c>
      <c r="Q178" s="23" t="str">
        <f aca="false">IF($A178="","",IFERROR(VLOOKUP($B178,Dim_Team!$A:$G,7,0),""))</f>
        <v/>
      </c>
    </row>
    <row r="179" customFormat="false" ht="15" hidden="false" customHeight="true" outlineLevel="0" collapsed="false">
      <c r="D179" s="4" t="str">
        <f aca="false">IF($A179="","",IFERROR(VLOOKUP($B179,Dim_Team!$A:$B,2,0),"external"))</f>
        <v/>
      </c>
      <c r="E179" s="22" t="str">
        <f aca="false">IF($A179="","",IFERROR(VLOOKUP($B179,Dim_Team!$A:$F,6,0),""))</f>
        <v/>
      </c>
      <c r="F179" s="31" t="str">
        <f aca="false">IF($A179="","",IFERROR(VLOOKUP($B179,Dim_Team!$A:$E,5,0),0))</f>
        <v/>
      </c>
      <c r="G179" s="4" t="str">
        <f aca="false">IF($A179="","",COUNTIF(Dim_Fund!$G:$G,$A179))</f>
        <v/>
      </c>
      <c r="H179" s="31" t="str">
        <f aca="false">IF($A179="","",IFERROR(ROUND(SUMIF(Fact_Work!$N:$N,$A179,Fact_Work!$Q:$Q)/Constants!$B$13,0),0))</f>
        <v/>
      </c>
      <c r="I179" s="31" t="str">
        <f aca="false">IF($A179="","",IFERROR(ROUND(SUMIF(Fact_Work!$L:$L,$A179,Fact_Work!$Q:$Q)/Constants!$B$13,0),0))</f>
        <v/>
      </c>
      <c r="J179" s="49" t="str">
        <f aca="false">IF($A179="","",IFERROR($I179/$F179,""))</f>
        <v/>
      </c>
      <c r="K179" s="4" t="str">
        <f aca="false">IF($A179="","",IFERROR(ROUND(COUNTIF(Fact_Work!$M:$M,$A179)/Constants!$B$13,1),0))</f>
        <v/>
      </c>
      <c r="L179" s="31" t="str">
        <f aca="false">IF($A179="","",IFERROR(ROUND(SUMIF(Fact_Work!$M:$M,$A179,Fact_Work!$AE:$AE)/Constants!$B$13,0),0))</f>
        <v/>
      </c>
      <c r="M179" s="31" t="str">
        <f aca="false">IF($A179="","",$I179+$L179)</f>
        <v/>
      </c>
      <c r="N179" s="49" t="str">
        <f aca="false">IF($A179="","",IFERROR($M179/$F179,""))</f>
        <v/>
      </c>
      <c r="O179" s="4" t="str">
        <f aca="false">IF($A179="","",COUNTIFS(Fact_Work!$L:$L,$A179,Fact_Work!$O:$O,"Yes"))</f>
        <v/>
      </c>
      <c r="P179" s="4" t="str">
        <f aca="false">IF($A179="","",IF($C179&lt;&gt;"Yes","n/a",IF($M179&gt;$F179,"OVER","OK")))</f>
        <v/>
      </c>
      <c r="Q179" s="23" t="str">
        <f aca="false">IF($A179="","",IFERROR(VLOOKUP($B179,Dim_Team!$A:$G,7,0),""))</f>
        <v/>
      </c>
    </row>
    <row r="180" customFormat="false" ht="15" hidden="false" customHeight="true" outlineLevel="0" collapsed="false">
      <c r="D180" s="4" t="str">
        <f aca="false">IF($A180="","",IFERROR(VLOOKUP($B180,Dim_Team!$A:$B,2,0),"external"))</f>
        <v/>
      </c>
      <c r="E180" s="22" t="str">
        <f aca="false">IF($A180="","",IFERROR(VLOOKUP($B180,Dim_Team!$A:$F,6,0),""))</f>
        <v/>
      </c>
      <c r="F180" s="31" t="str">
        <f aca="false">IF($A180="","",IFERROR(VLOOKUP($B180,Dim_Team!$A:$E,5,0),0))</f>
        <v/>
      </c>
      <c r="G180" s="4" t="str">
        <f aca="false">IF($A180="","",COUNTIF(Dim_Fund!$G:$G,$A180))</f>
        <v/>
      </c>
      <c r="H180" s="31" t="str">
        <f aca="false">IF($A180="","",IFERROR(ROUND(SUMIF(Fact_Work!$N:$N,$A180,Fact_Work!$Q:$Q)/Constants!$B$13,0),0))</f>
        <v/>
      </c>
      <c r="I180" s="31" t="str">
        <f aca="false">IF($A180="","",IFERROR(ROUND(SUMIF(Fact_Work!$L:$L,$A180,Fact_Work!$Q:$Q)/Constants!$B$13,0),0))</f>
        <v/>
      </c>
      <c r="J180" s="49" t="str">
        <f aca="false">IF($A180="","",IFERROR($I180/$F180,""))</f>
        <v/>
      </c>
      <c r="K180" s="4" t="str">
        <f aca="false">IF($A180="","",IFERROR(ROUND(COUNTIF(Fact_Work!$M:$M,$A180)/Constants!$B$13,1),0))</f>
        <v/>
      </c>
      <c r="L180" s="31" t="str">
        <f aca="false">IF($A180="","",IFERROR(ROUND(SUMIF(Fact_Work!$M:$M,$A180,Fact_Work!$AE:$AE)/Constants!$B$13,0),0))</f>
        <v/>
      </c>
      <c r="M180" s="31" t="str">
        <f aca="false">IF($A180="","",$I180+$L180)</f>
        <v/>
      </c>
      <c r="N180" s="49" t="str">
        <f aca="false">IF($A180="","",IFERROR($M180/$F180,""))</f>
        <v/>
      </c>
      <c r="O180" s="4" t="str">
        <f aca="false">IF($A180="","",COUNTIFS(Fact_Work!$L:$L,$A180,Fact_Work!$O:$O,"Yes"))</f>
        <v/>
      </c>
      <c r="P180" s="4" t="str">
        <f aca="false">IF($A180="","",IF($C180&lt;&gt;"Yes","n/a",IF($M180&gt;$F180,"OVER","OK")))</f>
        <v/>
      </c>
      <c r="Q180" s="23" t="str">
        <f aca="false">IF($A180="","",IFERROR(VLOOKUP($B180,Dim_Team!$A:$G,7,0),""))</f>
        <v/>
      </c>
    </row>
    <row r="181" customFormat="false" ht="15" hidden="false" customHeight="true" outlineLevel="0" collapsed="false">
      <c r="D181" s="4" t="str">
        <f aca="false">IF($A181="","",IFERROR(VLOOKUP($B181,Dim_Team!$A:$B,2,0),"external"))</f>
        <v/>
      </c>
      <c r="E181" s="22" t="str">
        <f aca="false">IF($A181="","",IFERROR(VLOOKUP($B181,Dim_Team!$A:$F,6,0),""))</f>
        <v/>
      </c>
      <c r="F181" s="31" t="str">
        <f aca="false">IF($A181="","",IFERROR(VLOOKUP($B181,Dim_Team!$A:$E,5,0),0))</f>
        <v/>
      </c>
      <c r="G181" s="4" t="str">
        <f aca="false">IF($A181="","",COUNTIF(Dim_Fund!$G:$G,$A181))</f>
        <v/>
      </c>
      <c r="H181" s="31" t="str">
        <f aca="false">IF($A181="","",IFERROR(ROUND(SUMIF(Fact_Work!$N:$N,$A181,Fact_Work!$Q:$Q)/Constants!$B$13,0),0))</f>
        <v/>
      </c>
      <c r="I181" s="31" t="str">
        <f aca="false">IF($A181="","",IFERROR(ROUND(SUMIF(Fact_Work!$L:$L,$A181,Fact_Work!$Q:$Q)/Constants!$B$13,0),0))</f>
        <v/>
      </c>
      <c r="J181" s="49" t="str">
        <f aca="false">IF($A181="","",IFERROR($I181/$F181,""))</f>
        <v/>
      </c>
      <c r="K181" s="4" t="str">
        <f aca="false">IF($A181="","",IFERROR(ROUND(COUNTIF(Fact_Work!$M:$M,$A181)/Constants!$B$13,1),0))</f>
        <v/>
      </c>
      <c r="L181" s="31" t="str">
        <f aca="false">IF($A181="","",IFERROR(ROUND(SUMIF(Fact_Work!$M:$M,$A181,Fact_Work!$AE:$AE)/Constants!$B$13,0),0))</f>
        <v/>
      </c>
      <c r="M181" s="31" t="str">
        <f aca="false">IF($A181="","",$I181+$L181)</f>
        <v/>
      </c>
      <c r="N181" s="49" t="str">
        <f aca="false">IF($A181="","",IFERROR($M181/$F181,""))</f>
        <v/>
      </c>
      <c r="O181" s="4" t="str">
        <f aca="false">IF($A181="","",COUNTIFS(Fact_Work!$L:$L,$A181,Fact_Work!$O:$O,"Yes"))</f>
        <v/>
      </c>
      <c r="P181" s="4" t="str">
        <f aca="false">IF($A181="","",IF($C181&lt;&gt;"Yes","n/a",IF($M181&gt;$F181,"OVER","OK")))</f>
        <v/>
      </c>
      <c r="Q181" s="23" t="str">
        <f aca="false">IF($A181="","",IFERROR(VLOOKUP($B181,Dim_Team!$A:$G,7,0),""))</f>
        <v/>
      </c>
    </row>
    <row r="182" customFormat="false" ht="15" hidden="false" customHeight="true" outlineLevel="0" collapsed="false">
      <c r="D182" s="4" t="str">
        <f aca="false">IF($A182="","",IFERROR(VLOOKUP($B182,Dim_Team!$A:$B,2,0),"external"))</f>
        <v/>
      </c>
      <c r="E182" s="22" t="str">
        <f aca="false">IF($A182="","",IFERROR(VLOOKUP($B182,Dim_Team!$A:$F,6,0),""))</f>
        <v/>
      </c>
      <c r="F182" s="31" t="str">
        <f aca="false">IF($A182="","",IFERROR(VLOOKUP($B182,Dim_Team!$A:$E,5,0),0))</f>
        <v/>
      </c>
      <c r="G182" s="4" t="str">
        <f aca="false">IF($A182="","",COUNTIF(Dim_Fund!$G:$G,$A182))</f>
        <v/>
      </c>
      <c r="H182" s="31" t="str">
        <f aca="false">IF($A182="","",IFERROR(ROUND(SUMIF(Fact_Work!$N:$N,$A182,Fact_Work!$Q:$Q)/Constants!$B$13,0),0))</f>
        <v/>
      </c>
      <c r="I182" s="31" t="str">
        <f aca="false">IF($A182="","",IFERROR(ROUND(SUMIF(Fact_Work!$L:$L,$A182,Fact_Work!$Q:$Q)/Constants!$B$13,0),0))</f>
        <v/>
      </c>
      <c r="J182" s="49" t="str">
        <f aca="false">IF($A182="","",IFERROR($I182/$F182,""))</f>
        <v/>
      </c>
      <c r="K182" s="4" t="str">
        <f aca="false">IF($A182="","",IFERROR(ROUND(COUNTIF(Fact_Work!$M:$M,$A182)/Constants!$B$13,1),0))</f>
        <v/>
      </c>
      <c r="L182" s="31" t="str">
        <f aca="false">IF($A182="","",IFERROR(ROUND(SUMIF(Fact_Work!$M:$M,$A182,Fact_Work!$AE:$AE)/Constants!$B$13,0),0))</f>
        <v/>
      </c>
      <c r="M182" s="31" t="str">
        <f aca="false">IF($A182="","",$I182+$L182)</f>
        <v/>
      </c>
      <c r="N182" s="49" t="str">
        <f aca="false">IF($A182="","",IFERROR($M182/$F182,""))</f>
        <v/>
      </c>
      <c r="O182" s="4" t="str">
        <f aca="false">IF($A182="","",COUNTIFS(Fact_Work!$L:$L,$A182,Fact_Work!$O:$O,"Yes"))</f>
        <v/>
      </c>
      <c r="P182" s="4" t="str">
        <f aca="false">IF($A182="","",IF($C182&lt;&gt;"Yes","n/a",IF($M182&gt;$F182,"OVER","OK")))</f>
        <v/>
      </c>
      <c r="Q182" s="23" t="str">
        <f aca="false">IF($A182="","",IFERROR(VLOOKUP($B182,Dim_Team!$A:$G,7,0),""))</f>
        <v/>
      </c>
    </row>
    <row r="183" customFormat="false" ht="15" hidden="false" customHeight="true" outlineLevel="0" collapsed="false">
      <c r="D183" s="4" t="str">
        <f aca="false">IF($A183="","",IFERROR(VLOOKUP($B183,Dim_Team!$A:$B,2,0),"external"))</f>
        <v/>
      </c>
      <c r="E183" s="22" t="str">
        <f aca="false">IF($A183="","",IFERROR(VLOOKUP($B183,Dim_Team!$A:$F,6,0),""))</f>
        <v/>
      </c>
      <c r="F183" s="31" t="str">
        <f aca="false">IF($A183="","",IFERROR(VLOOKUP($B183,Dim_Team!$A:$E,5,0),0))</f>
        <v/>
      </c>
      <c r="G183" s="4" t="str">
        <f aca="false">IF($A183="","",COUNTIF(Dim_Fund!$G:$G,$A183))</f>
        <v/>
      </c>
      <c r="H183" s="31" t="str">
        <f aca="false">IF($A183="","",IFERROR(ROUND(SUMIF(Fact_Work!$N:$N,$A183,Fact_Work!$Q:$Q)/Constants!$B$13,0),0))</f>
        <v/>
      </c>
      <c r="I183" s="31" t="str">
        <f aca="false">IF($A183="","",IFERROR(ROUND(SUMIF(Fact_Work!$L:$L,$A183,Fact_Work!$Q:$Q)/Constants!$B$13,0),0))</f>
        <v/>
      </c>
      <c r="J183" s="49" t="str">
        <f aca="false">IF($A183="","",IFERROR($I183/$F183,""))</f>
        <v/>
      </c>
      <c r="K183" s="4" t="str">
        <f aca="false">IF($A183="","",IFERROR(ROUND(COUNTIF(Fact_Work!$M:$M,$A183)/Constants!$B$13,1),0))</f>
        <v/>
      </c>
      <c r="L183" s="31" t="str">
        <f aca="false">IF($A183="","",IFERROR(ROUND(SUMIF(Fact_Work!$M:$M,$A183,Fact_Work!$AE:$AE)/Constants!$B$13,0),0))</f>
        <v/>
      </c>
      <c r="M183" s="31" t="str">
        <f aca="false">IF($A183="","",$I183+$L183)</f>
        <v/>
      </c>
      <c r="N183" s="49" t="str">
        <f aca="false">IF($A183="","",IFERROR($M183/$F183,""))</f>
        <v/>
      </c>
      <c r="O183" s="4" t="str">
        <f aca="false">IF($A183="","",COUNTIFS(Fact_Work!$L:$L,$A183,Fact_Work!$O:$O,"Yes"))</f>
        <v/>
      </c>
      <c r="P183" s="4" t="str">
        <f aca="false">IF($A183="","",IF($C183&lt;&gt;"Yes","n/a",IF($M183&gt;$F183,"OVER","OK")))</f>
        <v/>
      </c>
      <c r="Q183" s="23" t="str">
        <f aca="false">IF($A183="","",IFERROR(VLOOKUP($B183,Dim_Team!$A:$G,7,0),""))</f>
        <v/>
      </c>
    </row>
    <row r="184" customFormat="false" ht="15" hidden="false" customHeight="true" outlineLevel="0" collapsed="false">
      <c r="D184" s="4" t="str">
        <f aca="false">IF($A184="","",IFERROR(VLOOKUP($B184,Dim_Team!$A:$B,2,0),"external"))</f>
        <v/>
      </c>
      <c r="E184" s="22" t="str">
        <f aca="false">IF($A184="","",IFERROR(VLOOKUP($B184,Dim_Team!$A:$F,6,0),""))</f>
        <v/>
      </c>
      <c r="F184" s="31" t="str">
        <f aca="false">IF($A184="","",IFERROR(VLOOKUP($B184,Dim_Team!$A:$E,5,0),0))</f>
        <v/>
      </c>
      <c r="G184" s="4" t="str">
        <f aca="false">IF($A184="","",COUNTIF(Dim_Fund!$G:$G,$A184))</f>
        <v/>
      </c>
      <c r="H184" s="31" t="str">
        <f aca="false">IF($A184="","",IFERROR(ROUND(SUMIF(Fact_Work!$N:$N,$A184,Fact_Work!$Q:$Q)/Constants!$B$13,0),0))</f>
        <v/>
      </c>
      <c r="I184" s="31" t="str">
        <f aca="false">IF($A184="","",IFERROR(ROUND(SUMIF(Fact_Work!$L:$L,$A184,Fact_Work!$Q:$Q)/Constants!$B$13,0),0))</f>
        <v/>
      </c>
      <c r="J184" s="49" t="str">
        <f aca="false">IF($A184="","",IFERROR($I184/$F184,""))</f>
        <v/>
      </c>
      <c r="K184" s="4" t="str">
        <f aca="false">IF($A184="","",IFERROR(ROUND(COUNTIF(Fact_Work!$M:$M,$A184)/Constants!$B$13,1),0))</f>
        <v/>
      </c>
      <c r="L184" s="31" t="str">
        <f aca="false">IF($A184="","",IFERROR(ROUND(SUMIF(Fact_Work!$M:$M,$A184,Fact_Work!$AE:$AE)/Constants!$B$13,0),0))</f>
        <v/>
      </c>
      <c r="M184" s="31" t="str">
        <f aca="false">IF($A184="","",$I184+$L184)</f>
        <v/>
      </c>
      <c r="N184" s="49" t="str">
        <f aca="false">IF($A184="","",IFERROR($M184/$F184,""))</f>
        <v/>
      </c>
      <c r="O184" s="4" t="str">
        <f aca="false">IF($A184="","",COUNTIFS(Fact_Work!$L:$L,$A184,Fact_Work!$O:$O,"Yes"))</f>
        <v/>
      </c>
      <c r="P184" s="4" t="str">
        <f aca="false">IF($A184="","",IF($C184&lt;&gt;"Yes","n/a",IF($M184&gt;$F184,"OVER","OK")))</f>
        <v/>
      </c>
      <c r="Q184" s="23" t="str">
        <f aca="false">IF($A184="","",IFERROR(VLOOKUP($B184,Dim_Team!$A:$G,7,0),""))</f>
        <v/>
      </c>
    </row>
    <row r="185" customFormat="false" ht="15" hidden="false" customHeight="true" outlineLevel="0" collapsed="false">
      <c r="D185" s="4" t="str">
        <f aca="false">IF($A185="","",IFERROR(VLOOKUP($B185,Dim_Team!$A:$B,2,0),"external"))</f>
        <v/>
      </c>
      <c r="E185" s="22" t="str">
        <f aca="false">IF($A185="","",IFERROR(VLOOKUP($B185,Dim_Team!$A:$F,6,0),""))</f>
        <v/>
      </c>
      <c r="F185" s="31" t="str">
        <f aca="false">IF($A185="","",IFERROR(VLOOKUP($B185,Dim_Team!$A:$E,5,0),0))</f>
        <v/>
      </c>
      <c r="G185" s="4" t="str">
        <f aca="false">IF($A185="","",COUNTIF(Dim_Fund!$G:$G,$A185))</f>
        <v/>
      </c>
      <c r="H185" s="31" t="str">
        <f aca="false">IF($A185="","",IFERROR(ROUND(SUMIF(Fact_Work!$N:$N,$A185,Fact_Work!$Q:$Q)/Constants!$B$13,0),0))</f>
        <v/>
      </c>
      <c r="I185" s="31" t="str">
        <f aca="false">IF($A185="","",IFERROR(ROUND(SUMIF(Fact_Work!$L:$L,$A185,Fact_Work!$Q:$Q)/Constants!$B$13,0),0))</f>
        <v/>
      </c>
      <c r="J185" s="49" t="str">
        <f aca="false">IF($A185="","",IFERROR($I185/$F185,""))</f>
        <v/>
      </c>
      <c r="K185" s="4" t="str">
        <f aca="false">IF($A185="","",IFERROR(ROUND(COUNTIF(Fact_Work!$M:$M,$A185)/Constants!$B$13,1),0))</f>
        <v/>
      </c>
      <c r="L185" s="31" t="str">
        <f aca="false">IF($A185="","",IFERROR(ROUND(SUMIF(Fact_Work!$M:$M,$A185,Fact_Work!$AE:$AE)/Constants!$B$13,0),0))</f>
        <v/>
      </c>
      <c r="M185" s="31" t="str">
        <f aca="false">IF($A185="","",$I185+$L185)</f>
        <v/>
      </c>
      <c r="N185" s="49" t="str">
        <f aca="false">IF($A185="","",IFERROR($M185/$F185,""))</f>
        <v/>
      </c>
      <c r="O185" s="4" t="str">
        <f aca="false">IF($A185="","",COUNTIFS(Fact_Work!$L:$L,$A185,Fact_Work!$O:$O,"Yes"))</f>
        <v/>
      </c>
      <c r="P185" s="4" t="str">
        <f aca="false">IF($A185="","",IF($C185&lt;&gt;"Yes","n/a",IF($M185&gt;$F185,"OVER","OK")))</f>
        <v/>
      </c>
      <c r="Q185" s="23" t="str">
        <f aca="false">IF($A185="","",IFERROR(VLOOKUP($B185,Dim_Team!$A:$G,7,0),""))</f>
        <v/>
      </c>
    </row>
    <row r="186" customFormat="false" ht="15" hidden="false" customHeight="true" outlineLevel="0" collapsed="false">
      <c r="D186" s="4" t="str">
        <f aca="false">IF($A186="","",IFERROR(VLOOKUP($B186,Dim_Team!$A:$B,2,0),"external"))</f>
        <v/>
      </c>
      <c r="E186" s="22" t="str">
        <f aca="false">IF($A186="","",IFERROR(VLOOKUP($B186,Dim_Team!$A:$F,6,0),""))</f>
        <v/>
      </c>
      <c r="F186" s="31" t="str">
        <f aca="false">IF($A186="","",IFERROR(VLOOKUP($B186,Dim_Team!$A:$E,5,0),0))</f>
        <v/>
      </c>
      <c r="G186" s="4" t="str">
        <f aca="false">IF($A186="","",COUNTIF(Dim_Fund!$G:$G,$A186))</f>
        <v/>
      </c>
      <c r="H186" s="31" t="str">
        <f aca="false">IF($A186="","",IFERROR(ROUND(SUMIF(Fact_Work!$N:$N,$A186,Fact_Work!$Q:$Q)/Constants!$B$13,0),0))</f>
        <v/>
      </c>
      <c r="I186" s="31" t="str">
        <f aca="false">IF($A186="","",IFERROR(ROUND(SUMIF(Fact_Work!$L:$L,$A186,Fact_Work!$Q:$Q)/Constants!$B$13,0),0))</f>
        <v/>
      </c>
      <c r="J186" s="49" t="str">
        <f aca="false">IF($A186="","",IFERROR($I186/$F186,""))</f>
        <v/>
      </c>
      <c r="K186" s="4" t="str">
        <f aca="false">IF($A186="","",IFERROR(ROUND(COUNTIF(Fact_Work!$M:$M,$A186)/Constants!$B$13,1),0))</f>
        <v/>
      </c>
      <c r="L186" s="31" t="str">
        <f aca="false">IF($A186="","",IFERROR(ROUND(SUMIF(Fact_Work!$M:$M,$A186,Fact_Work!$AE:$AE)/Constants!$B$13,0),0))</f>
        <v/>
      </c>
      <c r="M186" s="31" t="str">
        <f aca="false">IF($A186="","",$I186+$L186)</f>
        <v/>
      </c>
      <c r="N186" s="49" t="str">
        <f aca="false">IF($A186="","",IFERROR($M186/$F186,""))</f>
        <v/>
      </c>
      <c r="O186" s="4" t="str">
        <f aca="false">IF($A186="","",COUNTIFS(Fact_Work!$L:$L,$A186,Fact_Work!$O:$O,"Yes"))</f>
        <v/>
      </c>
      <c r="P186" s="4" t="str">
        <f aca="false">IF($A186="","",IF($C186&lt;&gt;"Yes","n/a",IF($M186&gt;$F186,"OVER","OK")))</f>
        <v/>
      </c>
      <c r="Q186" s="23" t="str">
        <f aca="false">IF($A186="","",IFERROR(VLOOKUP($B186,Dim_Team!$A:$G,7,0),""))</f>
        <v/>
      </c>
    </row>
    <row r="187" customFormat="false" ht="15" hidden="false" customHeight="true" outlineLevel="0" collapsed="false">
      <c r="D187" s="4" t="str">
        <f aca="false">IF($A187="","",IFERROR(VLOOKUP($B187,Dim_Team!$A:$B,2,0),"external"))</f>
        <v/>
      </c>
      <c r="E187" s="22" t="str">
        <f aca="false">IF($A187="","",IFERROR(VLOOKUP($B187,Dim_Team!$A:$F,6,0),""))</f>
        <v/>
      </c>
      <c r="F187" s="31" t="str">
        <f aca="false">IF($A187="","",IFERROR(VLOOKUP($B187,Dim_Team!$A:$E,5,0),0))</f>
        <v/>
      </c>
      <c r="G187" s="4" t="str">
        <f aca="false">IF($A187="","",COUNTIF(Dim_Fund!$G:$G,$A187))</f>
        <v/>
      </c>
      <c r="H187" s="31" t="str">
        <f aca="false">IF($A187="","",IFERROR(ROUND(SUMIF(Fact_Work!$N:$N,$A187,Fact_Work!$Q:$Q)/Constants!$B$13,0),0))</f>
        <v/>
      </c>
      <c r="I187" s="31" t="str">
        <f aca="false">IF($A187="","",IFERROR(ROUND(SUMIF(Fact_Work!$L:$L,$A187,Fact_Work!$Q:$Q)/Constants!$B$13,0),0))</f>
        <v/>
      </c>
      <c r="J187" s="49" t="str">
        <f aca="false">IF($A187="","",IFERROR($I187/$F187,""))</f>
        <v/>
      </c>
      <c r="K187" s="4" t="str">
        <f aca="false">IF($A187="","",IFERROR(ROUND(COUNTIF(Fact_Work!$M:$M,$A187)/Constants!$B$13,1),0))</f>
        <v/>
      </c>
      <c r="L187" s="31" t="str">
        <f aca="false">IF($A187="","",IFERROR(ROUND(SUMIF(Fact_Work!$M:$M,$A187,Fact_Work!$AE:$AE)/Constants!$B$13,0),0))</f>
        <v/>
      </c>
      <c r="M187" s="31" t="str">
        <f aca="false">IF($A187="","",$I187+$L187)</f>
        <v/>
      </c>
      <c r="N187" s="49" t="str">
        <f aca="false">IF($A187="","",IFERROR($M187/$F187,""))</f>
        <v/>
      </c>
      <c r="O187" s="4" t="str">
        <f aca="false">IF($A187="","",COUNTIFS(Fact_Work!$L:$L,$A187,Fact_Work!$O:$O,"Yes"))</f>
        <v/>
      </c>
      <c r="P187" s="4" t="str">
        <f aca="false">IF($A187="","",IF($C187&lt;&gt;"Yes","n/a",IF($M187&gt;$F187,"OVER","OK")))</f>
        <v/>
      </c>
      <c r="Q187" s="23" t="str">
        <f aca="false">IF($A187="","",IFERROR(VLOOKUP($B187,Dim_Team!$A:$G,7,0),""))</f>
        <v/>
      </c>
    </row>
    <row r="188" customFormat="false" ht="15" hidden="false" customHeight="true" outlineLevel="0" collapsed="false">
      <c r="D188" s="4" t="str">
        <f aca="false">IF($A188="","",IFERROR(VLOOKUP($B188,Dim_Team!$A:$B,2,0),"external"))</f>
        <v/>
      </c>
      <c r="E188" s="22" t="str">
        <f aca="false">IF($A188="","",IFERROR(VLOOKUP($B188,Dim_Team!$A:$F,6,0),""))</f>
        <v/>
      </c>
      <c r="F188" s="31" t="str">
        <f aca="false">IF($A188="","",IFERROR(VLOOKUP($B188,Dim_Team!$A:$E,5,0),0))</f>
        <v/>
      </c>
      <c r="G188" s="4" t="str">
        <f aca="false">IF($A188="","",COUNTIF(Dim_Fund!$G:$G,$A188))</f>
        <v/>
      </c>
      <c r="H188" s="31" t="str">
        <f aca="false">IF($A188="","",IFERROR(ROUND(SUMIF(Fact_Work!$N:$N,$A188,Fact_Work!$Q:$Q)/Constants!$B$13,0),0))</f>
        <v/>
      </c>
      <c r="I188" s="31" t="str">
        <f aca="false">IF($A188="","",IFERROR(ROUND(SUMIF(Fact_Work!$L:$L,$A188,Fact_Work!$Q:$Q)/Constants!$B$13,0),0))</f>
        <v/>
      </c>
      <c r="J188" s="49" t="str">
        <f aca="false">IF($A188="","",IFERROR($I188/$F188,""))</f>
        <v/>
      </c>
      <c r="K188" s="4" t="str">
        <f aca="false">IF($A188="","",IFERROR(ROUND(COUNTIF(Fact_Work!$M:$M,$A188)/Constants!$B$13,1),0))</f>
        <v/>
      </c>
      <c r="L188" s="31" t="str">
        <f aca="false">IF($A188="","",IFERROR(ROUND(SUMIF(Fact_Work!$M:$M,$A188,Fact_Work!$AE:$AE)/Constants!$B$13,0),0))</f>
        <v/>
      </c>
      <c r="M188" s="31" t="str">
        <f aca="false">IF($A188="","",$I188+$L188)</f>
        <v/>
      </c>
      <c r="N188" s="49" t="str">
        <f aca="false">IF($A188="","",IFERROR($M188/$F188,""))</f>
        <v/>
      </c>
      <c r="O188" s="4" t="str">
        <f aca="false">IF($A188="","",COUNTIFS(Fact_Work!$L:$L,$A188,Fact_Work!$O:$O,"Yes"))</f>
        <v/>
      </c>
      <c r="P188" s="4" t="str">
        <f aca="false">IF($A188="","",IF($C188&lt;&gt;"Yes","n/a",IF($M188&gt;$F188,"OVER","OK")))</f>
        <v/>
      </c>
      <c r="Q188" s="23" t="str">
        <f aca="false">IF($A188="","",IFERROR(VLOOKUP($B188,Dim_Team!$A:$G,7,0),""))</f>
        <v/>
      </c>
    </row>
    <row r="189" customFormat="false" ht="15" hidden="false" customHeight="true" outlineLevel="0" collapsed="false">
      <c r="D189" s="4" t="str">
        <f aca="false">IF($A189="","",IFERROR(VLOOKUP($B189,Dim_Team!$A:$B,2,0),"external"))</f>
        <v/>
      </c>
      <c r="E189" s="22" t="str">
        <f aca="false">IF($A189="","",IFERROR(VLOOKUP($B189,Dim_Team!$A:$F,6,0),""))</f>
        <v/>
      </c>
      <c r="F189" s="31" t="str">
        <f aca="false">IF($A189="","",IFERROR(VLOOKUP($B189,Dim_Team!$A:$E,5,0),0))</f>
        <v/>
      </c>
      <c r="G189" s="4" t="str">
        <f aca="false">IF($A189="","",COUNTIF(Dim_Fund!$G:$G,$A189))</f>
        <v/>
      </c>
      <c r="H189" s="31" t="str">
        <f aca="false">IF($A189="","",IFERROR(ROUND(SUMIF(Fact_Work!$N:$N,$A189,Fact_Work!$Q:$Q)/Constants!$B$13,0),0))</f>
        <v/>
      </c>
      <c r="I189" s="31" t="str">
        <f aca="false">IF($A189="","",IFERROR(ROUND(SUMIF(Fact_Work!$L:$L,$A189,Fact_Work!$Q:$Q)/Constants!$B$13,0),0))</f>
        <v/>
      </c>
      <c r="J189" s="49" t="str">
        <f aca="false">IF($A189="","",IFERROR($I189/$F189,""))</f>
        <v/>
      </c>
      <c r="K189" s="4" t="str">
        <f aca="false">IF($A189="","",IFERROR(ROUND(COUNTIF(Fact_Work!$M:$M,$A189)/Constants!$B$13,1),0))</f>
        <v/>
      </c>
      <c r="L189" s="31" t="str">
        <f aca="false">IF($A189="","",IFERROR(ROUND(SUMIF(Fact_Work!$M:$M,$A189,Fact_Work!$AE:$AE)/Constants!$B$13,0),0))</f>
        <v/>
      </c>
      <c r="M189" s="31" t="str">
        <f aca="false">IF($A189="","",$I189+$L189)</f>
        <v/>
      </c>
      <c r="N189" s="49" t="str">
        <f aca="false">IF($A189="","",IFERROR($M189/$F189,""))</f>
        <v/>
      </c>
      <c r="O189" s="4" t="str">
        <f aca="false">IF($A189="","",COUNTIFS(Fact_Work!$L:$L,$A189,Fact_Work!$O:$O,"Yes"))</f>
        <v/>
      </c>
      <c r="P189" s="4" t="str">
        <f aca="false">IF($A189="","",IF($C189&lt;&gt;"Yes","n/a",IF($M189&gt;$F189,"OVER","OK")))</f>
        <v/>
      </c>
      <c r="Q189" s="23" t="str">
        <f aca="false">IF($A189="","",IFERROR(VLOOKUP($B189,Dim_Team!$A:$G,7,0),""))</f>
        <v/>
      </c>
    </row>
    <row r="190" customFormat="false" ht="15" hidden="false" customHeight="true" outlineLevel="0" collapsed="false">
      <c r="D190" s="4" t="str">
        <f aca="false">IF($A190="","",IFERROR(VLOOKUP($B190,Dim_Team!$A:$B,2,0),"external"))</f>
        <v/>
      </c>
      <c r="E190" s="22" t="str">
        <f aca="false">IF($A190="","",IFERROR(VLOOKUP($B190,Dim_Team!$A:$F,6,0),""))</f>
        <v/>
      </c>
      <c r="F190" s="31" t="str">
        <f aca="false">IF($A190="","",IFERROR(VLOOKUP($B190,Dim_Team!$A:$E,5,0),0))</f>
        <v/>
      </c>
      <c r="G190" s="4" t="str">
        <f aca="false">IF($A190="","",COUNTIF(Dim_Fund!$G:$G,$A190))</f>
        <v/>
      </c>
      <c r="H190" s="31" t="str">
        <f aca="false">IF($A190="","",IFERROR(ROUND(SUMIF(Fact_Work!$N:$N,$A190,Fact_Work!$Q:$Q)/Constants!$B$13,0),0))</f>
        <v/>
      </c>
      <c r="I190" s="31" t="str">
        <f aca="false">IF($A190="","",IFERROR(ROUND(SUMIF(Fact_Work!$L:$L,$A190,Fact_Work!$Q:$Q)/Constants!$B$13,0),0))</f>
        <v/>
      </c>
      <c r="J190" s="49" t="str">
        <f aca="false">IF($A190="","",IFERROR($I190/$F190,""))</f>
        <v/>
      </c>
      <c r="K190" s="4" t="str">
        <f aca="false">IF($A190="","",IFERROR(ROUND(COUNTIF(Fact_Work!$M:$M,$A190)/Constants!$B$13,1),0))</f>
        <v/>
      </c>
      <c r="L190" s="31" t="str">
        <f aca="false">IF($A190="","",IFERROR(ROUND(SUMIF(Fact_Work!$M:$M,$A190,Fact_Work!$AE:$AE)/Constants!$B$13,0),0))</f>
        <v/>
      </c>
      <c r="M190" s="31" t="str">
        <f aca="false">IF($A190="","",$I190+$L190)</f>
        <v/>
      </c>
      <c r="N190" s="49" t="str">
        <f aca="false">IF($A190="","",IFERROR($M190/$F190,""))</f>
        <v/>
      </c>
      <c r="O190" s="4" t="str">
        <f aca="false">IF($A190="","",COUNTIFS(Fact_Work!$L:$L,$A190,Fact_Work!$O:$O,"Yes"))</f>
        <v/>
      </c>
      <c r="P190" s="4" t="str">
        <f aca="false">IF($A190="","",IF($C190&lt;&gt;"Yes","n/a",IF($M190&gt;$F190,"OVER","OK")))</f>
        <v/>
      </c>
      <c r="Q190" s="23" t="str">
        <f aca="false">IF($A190="","",IFERROR(VLOOKUP($B190,Dim_Team!$A:$G,7,0),""))</f>
        <v/>
      </c>
    </row>
    <row r="191" customFormat="false" ht="15" hidden="false" customHeight="true" outlineLevel="0" collapsed="false">
      <c r="D191" s="4" t="str">
        <f aca="false">IF($A191="","",IFERROR(VLOOKUP($B191,Dim_Team!$A:$B,2,0),"external"))</f>
        <v/>
      </c>
      <c r="E191" s="22" t="str">
        <f aca="false">IF($A191="","",IFERROR(VLOOKUP($B191,Dim_Team!$A:$F,6,0),""))</f>
        <v/>
      </c>
      <c r="F191" s="31" t="str">
        <f aca="false">IF($A191="","",IFERROR(VLOOKUP($B191,Dim_Team!$A:$E,5,0),0))</f>
        <v/>
      </c>
      <c r="G191" s="4" t="str">
        <f aca="false">IF($A191="","",COUNTIF(Dim_Fund!$G:$G,$A191))</f>
        <v/>
      </c>
      <c r="H191" s="31" t="str">
        <f aca="false">IF($A191="","",IFERROR(ROUND(SUMIF(Fact_Work!$N:$N,$A191,Fact_Work!$Q:$Q)/Constants!$B$13,0),0))</f>
        <v/>
      </c>
      <c r="I191" s="31" t="str">
        <f aca="false">IF($A191="","",IFERROR(ROUND(SUMIF(Fact_Work!$L:$L,$A191,Fact_Work!$Q:$Q)/Constants!$B$13,0),0))</f>
        <v/>
      </c>
      <c r="J191" s="49" t="str">
        <f aca="false">IF($A191="","",IFERROR($I191/$F191,""))</f>
        <v/>
      </c>
      <c r="K191" s="4" t="str">
        <f aca="false">IF($A191="","",IFERROR(ROUND(COUNTIF(Fact_Work!$M:$M,$A191)/Constants!$B$13,1),0))</f>
        <v/>
      </c>
      <c r="L191" s="31" t="str">
        <f aca="false">IF($A191="","",IFERROR(ROUND(SUMIF(Fact_Work!$M:$M,$A191,Fact_Work!$AE:$AE)/Constants!$B$13,0),0))</f>
        <v/>
      </c>
      <c r="M191" s="31" t="str">
        <f aca="false">IF($A191="","",$I191+$L191)</f>
        <v/>
      </c>
      <c r="N191" s="49" t="str">
        <f aca="false">IF($A191="","",IFERROR($M191/$F191,""))</f>
        <v/>
      </c>
      <c r="O191" s="4" t="str">
        <f aca="false">IF($A191="","",COUNTIFS(Fact_Work!$L:$L,$A191,Fact_Work!$O:$O,"Yes"))</f>
        <v/>
      </c>
      <c r="P191" s="4" t="str">
        <f aca="false">IF($A191="","",IF($C191&lt;&gt;"Yes","n/a",IF($M191&gt;$F191,"OVER","OK")))</f>
        <v/>
      </c>
      <c r="Q191" s="23" t="str">
        <f aca="false">IF($A191="","",IFERROR(VLOOKUP($B191,Dim_Team!$A:$G,7,0),""))</f>
        <v/>
      </c>
    </row>
    <row r="192" customFormat="false" ht="15" hidden="false" customHeight="true" outlineLevel="0" collapsed="false">
      <c r="D192" s="4" t="str">
        <f aca="false">IF($A192="","",IFERROR(VLOOKUP($B192,Dim_Team!$A:$B,2,0),"external"))</f>
        <v/>
      </c>
      <c r="E192" s="22" t="str">
        <f aca="false">IF($A192="","",IFERROR(VLOOKUP($B192,Dim_Team!$A:$F,6,0),""))</f>
        <v/>
      </c>
      <c r="F192" s="31" t="str">
        <f aca="false">IF($A192="","",IFERROR(VLOOKUP($B192,Dim_Team!$A:$E,5,0),0))</f>
        <v/>
      </c>
      <c r="G192" s="4" t="str">
        <f aca="false">IF($A192="","",COUNTIF(Dim_Fund!$G:$G,$A192))</f>
        <v/>
      </c>
      <c r="H192" s="31" t="str">
        <f aca="false">IF($A192="","",IFERROR(ROUND(SUMIF(Fact_Work!$N:$N,$A192,Fact_Work!$Q:$Q)/Constants!$B$13,0),0))</f>
        <v/>
      </c>
      <c r="I192" s="31" t="str">
        <f aca="false">IF($A192="","",IFERROR(ROUND(SUMIF(Fact_Work!$L:$L,$A192,Fact_Work!$Q:$Q)/Constants!$B$13,0),0))</f>
        <v/>
      </c>
      <c r="J192" s="49" t="str">
        <f aca="false">IF($A192="","",IFERROR($I192/$F192,""))</f>
        <v/>
      </c>
      <c r="K192" s="4" t="str">
        <f aca="false">IF($A192="","",IFERROR(ROUND(COUNTIF(Fact_Work!$M:$M,$A192)/Constants!$B$13,1),0))</f>
        <v/>
      </c>
      <c r="L192" s="31" t="str">
        <f aca="false">IF($A192="","",IFERROR(ROUND(SUMIF(Fact_Work!$M:$M,$A192,Fact_Work!$AE:$AE)/Constants!$B$13,0),0))</f>
        <v/>
      </c>
      <c r="M192" s="31" t="str">
        <f aca="false">IF($A192="","",$I192+$L192)</f>
        <v/>
      </c>
      <c r="N192" s="49" t="str">
        <f aca="false">IF($A192="","",IFERROR($M192/$F192,""))</f>
        <v/>
      </c>
      <c r="O192" s="4" t="str">
        <f aca="false">IF($A192="","",COUNTIFS(Fact_Work!$L:$L,$A192,Fact_Work!$O:$O,"Yes"))</f>
        <v/>
      </c>
      <c r="P192" s="4" t="str">
        <f aca="false">IF($A192="","",IF($C192&lt;&gt;"Yes","n/a",IF($M192&gt;$F192,"OVER","OK")))</f>
        <v/>
      </c>
      <c r="Q192" s="23" t="str">
        <f aca="false">IF($A192="","",IFERROR(VLOOKUP($B192,Dim_Team!$A:$G,7,0),""))</f>
        <v/>
      </c>
    </row>
    <row r="193" customFormat="false" ht="15" hidden="false" customHeight="true" outlineLevel="0" collapsed="false">
      <c r="D193" s="4" t="str">
        <f aca="false">IF($A193="","",IFERROR(VLOOKUP($B193,Dim_Team!$A:$B,2,0),"external"))</f>
        <v/>
      </c>
      <c r="E193" s="22" t="str">
        <f aca="false">IF($A193="","",IFERROR(VLOOKUP($B193,Dim_Team!$A:$F,6,0),""))</f>
        <v/>
      </c>
      <c r="F193" s="31" t="str">
        <f aca="false">IF($A193="","",IFERROR(VLOOKUP($B193,Dim_Team!$A:$E,5,0),0))</f>
        <v/>
      </c>
      <c r="G193" s="4" t="str">
        <f aca="false">IF($A193="","",COUNTIF(Dim_Fund!$G:$G,$A193))</f>
        <v/>
      </c>
      <c r="H193" s="31" t="str">
        <f aca="false">IF($A193="","",IFERROR(ROUND(SUMIF(Fact_Work!$N:$N,$A193,Fact_Work!$Q:$Q)/Constants!$B$13,0),0))</f>
        <v/>
      </c>
      <c r="I193" s="31" t="str">
        <f aca="false">IF($A193="","",IFERROR(ROUND(SUMIF(Fact_Work!$L:$L,$A193,Fact_Work!$Q:$Q)/Constants!$B$13,0),0))</f>
        <v/>
      </c>
      <c r="J193" s="49" t="str">
        <f aca="false">IF($A193="","",IFERROR($I193/$F193,""))</f>
        <v/>
      </c>
      <c r="K193" s="4" t="str">
        <f aca="false">IF($A193="","",IFERROR(ROUND(COUNTIF(Fact_Work!$M:$M,$A193)/Constants!$B$13,1),0))</f>
        <v/>
      </c>
      <c r="L193" s="31" t="str">
        <f aca="false">IF($A193="","",IFERROR(ROUND(SUMIF(Fact_Work!$M:$M,$A193,Fact_Work!$AE:$AE)/Constants!$B$13,0),0))</f>
        <v/>
      </c>
      <c r="M193" s="31" t="str">
        <f aca="false">IF($A193="","",$I193+$L193)</f>
        <v/>
      </c>
      <c r="N193" s="49" t="str">
        <f aca="false">IF($A193="","",IFERROR($M193/$F193,""))</f>
        <v/>
      </c>
      <c r="O193" s="4" t="str">
        <f aca="false">IF($A193="","",COUNTIFS(Fact_Work!$L:$L,$A193,Fact_Work!$O:$O,"Yes"))</f>
        <v/>
      </c>
      <c r="P193" s="4" t="str">
        <f aca="false">IF($A193="","",IF($C193&lt;&gt;"Yes","n/a",IF($M193&gt;$F193,"OVER","OK")))</f>
        <v/>
      </c>
      <c r="Q193" s="23" t="str">
        <f aca="false">IF($A193="","",IFERROR(VLOOKUP($B193,Dim_Team!$A:$G,7,0),""))</f>
        <v/>
      </c>
    </row>
    <row r="194" customFormat="false" ht="15" hidden="false" customHeight="true" outlineLevel="0" collapsed="false">
      <c r="D194" s="4" t="str">
        <f aca="false">IF($A194="","",IFERROR(VLOOKUP($B194,Dim_Team!$A:$B,2,0),"external"))</f>
        <v/>
      </c>
      <c r="E194" s="22" t="str">
        <f aca="false">IF($A194="","",IFERROR(VLOOKUP($B194,Dim_Team!$A:$F,6,0),""))</f>
        <v/>
      </c>
      <c r="F194" s="31" t="str">
        <f aca="false">IF($A194="","",IFERROR(VLOOKUP($B194,Dim_Team!$A:$E,5,0),0))</f>
        <v/>
      </c>
      <c r="G194" s="4" t="str">
        <f aca="false">IF($A194="","",COUNTIF(Dim_Fund!$G:$G,$A194))</f>
        <v/>
      </c>
      <c r="H194" s="31" t="str">
        <f aca="false">IF($A194="","",IFERROR(ROUND(SUMIF(Fact_Work!$N:$N,$A194,Fact_Work!$Q:$Q)/Constants!$B$13,0),0))</f>
        <v/>
      </c>
      <c r="I194" s="31" t="str">
        <f aca="false">IF($A194="","",IFERROR(ROUND(SUMIF(Fact_Work!$L:$L,$A194,Fact_Work!$Q:$Q)/Constants!$B$13,0),0))</f>
        <v/>
      </c>
      <c r="J194" s="49" t="str">
        <f aca="false">IF($A194="","",IFERROR($I194/$F194,""))</f>
        <v/>
      </c>
      <c r="K194" s="4" t="str">
        <f aca="false">IF($A194="","",IFERROR(ROUND(COUNTIF(Fact_Work!$M:$M,$A194)/Constants!$B$13,1),0))</f>
        <v/>
      </c>
      <c r="L194" s="31" t="str">
        <f aca="false">IF($A194="","",IFERROR(ROUND(SUMIF(Fact_Work!$M:$M,$A194,Fact_Work!$AE:$AE)/Constants!$B$13,0),0))</f>
        <v/>
      </c>
      <c r="M194" s="31" t="str">
        <f aca="false">IF($A194="","",$I194+$L194)</f>
        <v/>
      </c>
      <c r="N194" s="49" t="str">
        <f aca="false">IF($A194="","",IFERROR($M194/$F194,""))</f>
        <v/>
      </c>
      <c r="O194" s="4" t="str">
        <f aca="false">IF($A194="","",COUNTIFS(Fact_Work!$L:$L,$A194,Fact_Work!$O:$O,"Yes"))</f>
        <v/>
      </c>
      <c r="P194" s="4" t="str">
        <f aca="false">IF($A194="","",IF($C194&lt;&gt;"Yes","n/a",IF($M194&gt;$F194,"OVER","OK")))</f>
        <v/>
      </c>
      <c r="Q194" s="23" t="str">
        <f aca="false">IF($A194="","",IFERROR(VLOOKUP($B194,Dim_Team!$A:$G,7,0),""))</f>
        <v/>
      </c>
    </row>
    <row r="195" customFormat="false" ht="15" hidden="false" customHeight="true" outlineLevel="0" collapsed="false">
      <c r="D195" s="4" t="str">
        <f aca="false">IF($A195="","",IFERROR(VLOOKUP($B195,Dim_Team!$A:$B,2,0),"external"))</f>
        <v/>
      </c>
      <c r="E195" s="22" t="str">
        <f aca="false">IF($A195="","",IFERROR(VLOOKUP($B195,Dim_Team!$A:$F,6,0),""))</f>
        <v/>
      </c>
      <c r="F195" s="31" t="str">
        <f aca="false">IF($A195="","",IFERROR(VLOOKUP($B195,Dim_Team!$A:$E,5,0),0))</f>
        <v/>
      </c>
      <c r="G195" s="4" t="str">
        <f aca="false">IF($A195="","",COUNTIF(Dim_Fund!$G:$G,$A195))</f>
        <v/>
      </c>
      <c r="H195" s="31" t="str">
        <f aca="false">IF($A195="","",IFERROR(ROUND(SUMIF(Fact_Work!$N:$N,$A195,Fact_Work!$Q:$Q)/Constants!$B$13,0),0))</f>
        <v/>
      </c>
      <c r="I195" s="31" t="str">
        <f aca="false">IF($A195="","",IFERROR(ROUND(SUMIF(Fact_Work!$L:$L,$A195,Fact_Work!$Q:$Q)/Constants!$B$13,0),0))</f>
        <v/>
      </c>
      <c r="J195" s="49" t="str">
        <f aca="false">IF($A195="","",IFERROR($I195/$F195,""))</f>
        <v/>
      </c>
      <c r="K195" s="4" t="str">
        <f aca="false">IF($A195="","",IFERROR(ROUND(COUNTIF(Fact_Work!$M:$M,$A195)/Constants!$B$13,1),0))</f>
        <v/>
      </c>
      <c r="L195" s="31" t="str">
        <f aca="false">IF($A195="","",IFERROR(ROUND(SUMIF(Fact_Work!$M:$M,$A195,Fact_Work!$AE:$AE)/Constants!$B$13,0),0))</f>
        <v/>
      </c>
      <c r="M195" s="31" t="str">
        <f aca="false">IF($A195="","",$I195+$L195)</f>
        <v/>
      </c>
      <c r="N195" s="49" t="str">
        <f aca="false">IF($A195="","",IFERROR($M195/$F195,""))</f>
        <v/>
      </c>
      <c r="O195" s="4" t="str">
        <f aca="false">IF($A195="","",COUNTIFS(Fact_Work!$L:$L,$A195,Fact_Work!$O:$O,"Yes"))</f>
        <v/>
      </c>
      <c r="P195" s="4" t="str">
        <f aca="false">IF($A195="","",IF($C195&lt;&gt;"Yes","n/a",IF($M195&gt;$F195,"OVER","OK")))</f>
        <v/>
      </c>
      <c r="Q195" s="23" t="str">
        <f aca="false">IF($A195="","",IFERROR(VLOOKUP($B195,Dim_Team!$A:$G,7,0),""))</f>
        <v/>
      </c>
    </row>
    <row r="196" customFormat="false" ht="15" hidden="false" customHeight="true" outlineLevel="0" collapsed="false">
      <c r="D196" s="4" t="str">
        <f aca="false">IF($A196="","",IFERROR(VLOOKUP($B196,Dim_Team!$A:$B,2,0),"external"))</f>
        <v/>
      </c>
      <c r="E196" s="22" t="str">
        <f aca="false">IF($A196="","",IFERROR(VLOOKUP($B196,Dim_Team!$A:$F,6,0),""))</f>
        <v/>
      </c>
      <c r="F196" s="31" t="str">
        <f aca="false">IF($A196="","",IFERROR(VLOOKUP($B196,Dim_Team!$A:$E,5,0),0))</f>
        <v/>
      </c>
      <c r="G196" s="4" t="str">
        <f aca="false">IF($A196="","",COUNTIF(Dim_Fund!$G:$G,$A196))</f>
        <v/>
      </c>
      <c r="H196" s="31" t="str">
        <f aca="false">IF($A196="","",IFERROR(ROUND(SUMIF(Fact_Work!$N:$N,$A196,Fact_Work!$Q:$Q)/Constants!$B$13,0),0))</f>
        <v/>
      </c>
      <c r="I196" s="31" t="str">
        <f aca="false">IF($A196="","",IFERROR(ROUND(SUMIF(Fact_Work!$L:$L,$A196,Fact_Work!$Q:$Q)/Constants!$B$13,0),0))</f>
        <v/>
      </c>
      <c r="J196" s="49" t="str">
        <f aca="false">IF($A196="","",IFERROR($I196/$F196,""))</f>
        <v/>
      </c>
      <c r="K196" s="4" t="str">
        <f aca="false">IF($A196="","",IFERROR(ROUND(COUNTIF(Fact_Work!$M:$M,$A196)/Constants!$B$13,1),0))</f>
        <v/>
      </c>
      <c r="L196" s="31" t="str">
        <f aca="false">IF($A196="","",IFERROR(ROUND(SUMIF(Fact_Work!$M:$M,$A196,Fact_Work!$AE:$AE)/Constants!$B$13,0),0))</f>
        <v/>
      </c>
      <c r="M196" s="31" t="str">
        <f aca="false">IF($A196="","",$I196+$L196)</f>
        <v/>
      </c>
      <c r="N196" s="49" t="str">
        <f aca="false">IF($A196="","",IFERROR($M196/$F196,""))</f>
        <v/>
      </c>
      <c r="O196" s="4" t="str">
        <f aca="false">IF($A196="","",COUNTIFS(Fact_Work!$L:$L,$A196,Fact_Work!$O:$O,"Yes"))</f>
        <v/>
      </c>
      <c r="P196" s="4" t="str">
        <f aca="false">IF($A196="","",IF($C196&lt;&gt;"Yes","n/a",IF($M196&gt;$F196,"OVER","OK")))</f>
        <v/>
      </c>
      <c r="Q196" s="23" t="str">
        <f aca="false">IF($A196="","",IFERROR(VLOOKUP($B196,Dim_Team!$A:$G,7,0),""))</f>
        <v/>
      </c>
    </row>
    <row r="197" customFormat="false" ht="15" hidden="false" customHeight="true" outlineLevel="0" collapsed="false">
      <c r="D197" s="4" t="str">
        <f aca="false">IF($A197="","",IFERROR(VLOOKUP($B197,Dim_Team!$A:$B,2,0),"external"))</f>
        <v/>
      </c>
      <c r="E197" s="22" t="str">
        <f aca="false">IF($A197="","",IFERROR(VLOOKUP($B197,Dim_Team!$A:$F,6,0),""))</f>
        <v/>
      </c>
      <c r="F197" s="31" t="str">
        <f aca="false">IF($A197="","",IFERROR(VLOOKUP($B197,Dim_Team!$A:$E,5,0),0))</f>
        <v/>
      </c>
      <c r="G197" s="4" t="str">
        <f aca="false">IF($A197="","",COUNTIF(Dim_Fund!$G:$G,$A197))</f>
        <v/>
      </c>
      <c r="H197" s="31" t="str">
        <f aca="false">IF($A197="","",IFERROR(ROUND(SUMIF(Fact_Work!$N:$N,$A197,Fact_Work!$Q:$Q)/Constants!$B$13,0),0))</f>
        <v/>
      </c>
      <c r="I197" s="31" t="str">
        <f aca="false">IF($A197="","",IFERROR(ROUND(SUMIF(Fact_Work!$L:$L,$A197,Fact_Work!$Q:$Q)/Constants!$B$13,0),0))</f>
        <v/>
      </c>
      <c r="J197" s="49" t="str">
        <f aca="false">IF($A197="","",IFERROR($I197/$F197,""))</f>
        <v/>
      </c>
      <c r="K197" s="4" t="str">
        <f aca="false">IF($A197="","",IFERROR(ROUND(COUNTIF(Fact_Work!$M:$M,$A197)/Constants!$B$13,1),0))</f>
        <v/>
      </c>
      <c r="L197" s="31" t="str">
        <f aca="false">IF($A197="","",IFERROR(ROUND(SUMIF(Fact_Work!$M:$M,$A197,Fact_Work!$AE:$AE)/Constants!$B$13,0),0))</f>
        <v/>
      </c>
      <c r="M197" s="31" t="str">
        <f aca="false">IF($A197="","",$I197+$L197)</f>
        <v/>
      </c>
      <c r="N197" s="49" t="str">
        <f aca="false">IF($A197="","",IFERROR($M197/$F197,""))</f>
        <v/>
      </c>
      <c r="O197" s="4" t="str">
        <f aca="false">IF($A197="","",COUNTIFS(Fact_Work!$L:$L,$A197,Fact_Work!$O:$O,"Yes"))</f>
        <v/>
      </c>
      <c r="P197" s="4" t="str">
        <f aca="false">IF($A197="","",IF($C197&lt;&gt;"Yes","n/a",IF($M197&gt;$F197,"OVER","OK")))</f>
        <v/>
      </c>
      <c r="Q197" s="23" t="str">
        <f aca="false">IF($A197="","",IFERROR(VLOOKUP($B197,Dim_Team!$A:$G,7,0),""))</f>
        <v/>
      </c>
    </row>
    <row r="198" customFormat="false" ht="15" hidden="false" customHeight="true" outlineLevel="0" collapsed="false">
      <c r="D198" s="4" t="str">
        <f aca="false">IF($A198="","",IFERROR(VLOOKUP($B198,Dim_Team!$A:$B,2,0),"external"))</f>
        <v/>
      </c>
      <c r="E198" s="22" t="str">
        <f aca="false">IF($A198="","",IFERROR(VLOOKUP($B198,Dim_Team!$A:$F,6,0),""))</f>
        <v/>
      </c>
      <c r="F198" s="31" t="str">
        <f aca="false">IF($A198="","",IFERROR(VLOOKUP($B198,Dim_Team!$A:$E,5,0),0))</f>
        <v/>
      </c>
      <c r="G198" s="4" t="str">
        <f aca="false">IF($A198="","",COUNTIF(Dim_Fund!$G:$G,$A198))</f>
        <v/>
      </c>
      <c r="H198" s="31" t="str">
        <f aca="false">IF($A198="","",IFERROR(ROUND(SUMIF(Fact_Work!$N:$N,$A198,Fact_Work!$Q:$Q)/Constants!$B$13,0),0))</f>
        <v/>
      </c>
      <c r="I198" s="31" t="str">
        <f aca="false">IF($A198="","",IFERROR(ROUND(SUMIF(Fact_Work!$L:$L,$A198,Fact_Work!$Q:$Q)/Constants!$B$13,0),0))</f>
        <v/>
      </c>
      <c r="J198" s="49" t="str">
        <f aca="false">IF($A198="","",IFERROR($I198/$F198,""))</f>
        <v/>
      </c>
      <c r="K198" s="4" t="str">
        <f aca="false">IF($A198="","",IFERROR(ROUND(COUNTIF(Fact_Work!$M:$M,$A198)/Constants!$B$13,1),0))</f>
        <v/>
      </c>
      <c r="L198" s="31" t="str">
        <f aca="false">IF($A198="","",IFERROR(ROUND(SUMIF(Fact_Work!$M:$M,$A198,Fact_Work!$AE:$AE)/Constants!$B$13,0),0))</f>
        <v/>
      </c>
      <c r="M198" s="31" t="str">
        <f aca="false">IF($A198="","",$I198+$L198)</f>
        <v/>
      </c>
      <c r="N198" s="49" t="str">
        <f aca="false">IF($A198="","",IFERROR($M198/$F198,""))</f>
        <v/>
      </c>
      <c r="O198" s="4" t="str">
        <f aca="false">IF($A198="","",COUNTIFS(Fact_Work!$L:$L,$A198,Fact_Work!$O:$O,"Yes"))</f>
        <v/>
      </c>
      <c r="P198" s="4" t="str">
        <f aca="false">IF($A198="","",IF($C198&lt;&gt;"Yes","n/a",IF($M198&gt;$F198,"OVER","OK")))</f>
        <v/>
      </c>
      <c r="Q198" s="23" t="str">
        <f aca="false">IF($A198="","",IFERROR(VLOOKUP($B198,Dim_Team!$A:$G,7,0),""))</f>
        <v/>
      </c>
    </row>
    <row r="199" customFormat="false" ht="15" hidden="false" customHeight="true" outlineLevel="0" collapsed="false">
      <c r="D199" s="4" t="str">
        <f aca="false">IF($A199="","",IFERROR(VLOOKUP($B199,Dim_Team!$A:$B,2,0),"external"))</f>
        <v/>
      </c>
      <c r="E199" s="22" t="str">
        <f aca="false">IF($A199="","",IFERROR(VLOOKUP($B199,Dim_Team!$A:$F,6,0),""))</f>
        <v/>
      </c>
      <c r="F199" s="31" t="str">
        <f aca="false">IF($A199="","",IFERROR(VLOOKUP($B199,Dim_Team!$A:$E,5,0),0))</f>
        <v/>
      </c>
      <c r="G199" s="4" t="str">
        <f aca="false">IF($A199="","",COUNTIF(Dim_Fund!$G:$G,$A199))</f>
        <v/>
      </c>
      <c r="H199" s="31" t="str">
        <f aca="false">IF($A199="","",IFERROR(ROUND(SUMIF(Fact_Work!$N:$N,$A199,Fact_Work!$Q:$Q)/Constants!$B$13,0),0))</f>
        <v/>
      </c>
      <c r="I199" s="31" t="str">
        <f aca="false">IF($A199="","",IFERROR(ROUND(SUMIF(Fact_Work!$L:$L,$A199,Fact_Work!$Q:$Q)/Constants!$B$13,0),0))</f>
        <v/>
      </c>
      <c r="J199" s="49" t="str">
        <f aca="false">IF($A199="","",IFERROR($I199/$F199,""))</f>
        <v/>
      </c>
      <c r="K199" s="4" t="str">
        <f aca="false">IF($A199="","",IFERROR(ROUND(COUNTIF(Fact_Work!$M:$M,$A199)/Constants!$B$13,1),0))</f>
        <v/>
      </c>
      <c r="L199" s="31" t="str">
        <f aca="false">IF($A199="","",IFERROR(ROUND(SUMIF(Fact_Work!$M:$M,$A199,Fact_Work!$AE:$AE)/Constants!$B$13,0),0))</f>
        <v/>
      </c>
      <c r="M199" s="31" t="str">
        <f aca="false">IF($A199="","",$I199+$L199)</f>
        <v/>
      </c>
      <c r="N199" s="49" t="str">
        <f aca="false">IF($A199="","",IFERROR($M199/$F199,""))</f>
        <v/>
      </c>
      <c r="O199" s="4" t="str">
        <f aca="false">IF($A199="","",COUNTIFS(Fact_Work!$L:$L,$A199,Fact_Work!$O:$O,"Yes"))</f>
        <v/>
      </c>
      <c r="P199" s="4" t="str">
        <f aca="false">IF($A199="","",IF($C199&lt;&gt;"Yes","n/a",IF($M199&gt;$F199,"OVER","OK")))</f>
        <v/>
      </c>
      <c r="Q199" s="23" t="str">
        <f aca="false">IF($A199="","",IFERROR(VLOOKUP($B199,Dim_Team!$A:$G,7,0),""))</f>
        <v/>
      </c>
    </row>
    <row r="200" customFormat="false" ht="15" hidden="false" customHeight="true" outlineLevel="0" collapsed="false">
      <c r="D200" s="4" t="str">
        <f aca="false">IF($A200="","",IFERROR(VLOOKUP($B200,Dim_Team!$A:$B,2,0),"external"))</f>
        <v/>
      </c>
      <c r="E200" s="22" t="str">
        <f aca="false">IF($A200="","",IFERROR(VLOOKUP($B200,Dim_Team!$A:$F,6,0),""))</f>
        <v/>
      </c>
      <c r="F200" s="31" t="str">
        <f aca="false">IF($A200="","",IFERROR(VLOOKUP($B200,Dim_Team!$A:$E,5,0),0))</f>
        <v/>
      </c>
      <c r="G200" s="4" t="str">
        <f aca="false">IF($A200="","",COUNTIF(Dim_Fund!$G:$G,$A200))</f>
        <v/>
      </c>
      <c r="H200" s="31" t="str">
        <f aca="false">IF($A200="","",IFERROR(ROUND(SUMIF(Fact_Work!$N:$N,$A200,Fact_Work!$Q:$Q)/Constants!$B$13,0),0))</f>
        <v/>
      </c>
      <c r="I200" s="31" t="str">
        <f aca="false">IF($A200="","",IFERROR(ROUND(SUMIF(Fact_Work!$L:$L,$A200,Fact_Work!$Q:$Q)/Constants!$B$13,0),0))</f>
        <v/>
      </c>
      <c r="J200" s="49" t="str">
        <f aca="false">IF($A200="","",IFERROR($I200/$F200,""))</f>
        <v/>
      </c>
      <c r="K200" s="4" t="str">
        <f aca="false">IF($A200="","",IFERROR(ROUND(COUNTIF(Fact_Work!$M:$M,$A200)/Constants!$B$13,1),0))</f>
        <v/>
      </c>
      <c r="L200" s="31" t="str">
        <f aca="false">IF($A200="","",IFERROR(ROUND(SUMIF(Fact_Work!$M:$M,$A200,Fact_Work!$AE:$AE)/Constants!$B$13,0),0))</f>
        <v/>
      </c>
      <c r="M200" s="31" t="str">
        <f aca="false">IF($A200="","",$I200+$L200)</f>
        <v/>
      </c>
      <c r="N200" s="49" t="str">
        <f aca="false">IF($A200="","",IFERROR($M200/$F200,""))</f>
        <v/>
      </c>
      <c r="O200" s="4" t="str">
        <f aca="false">IF($A200="","",COUNTIFS(Fact_Work!$L:$L,$A200,Fact_Work!$O:$O,"Yes"))</f>
        <v/>
      </c>
      <c r="P200" s="4" t="str">
        <f aca="false">IF($A200="","",IF($C200&lt;&gt;"Yes","n/a",IF($M200&gt;$F200,"OVER","OK")))</f>
        <v/>
      </c>
      <c r="Q200" s="23" t="str">
        <f aca="false">IF($A200="","",IFERROR(VLOOKUP($B200,Dim_Team!$A:$G,7,0),""))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8"/>
    <col collapsed="false" customWidth="true" hidden="false" outlineLevel="0" max="3" min="3" style="1" width="16"/>
    <col collapsed="false" customWidth="true" hidden="false" outlineLevel="0" max="8" min="4" style="1" width="18"/>
  </cols>
  <sheetData>
    <row r="1" customFormat="false" ht="23.25" hidden="false" customHeight="true" outlineLevel="0" collapsed="false">
      <c r="A1" s="17" t="s">
        <v>643</v>
      </c>
      <c r="B1" s="18" t="s">
        <v>644</v>
      </c>
      <c r="C1" s="18" t="s">
        <v>645</v>
      </c>
      <c r="D1" s="18" t="s">
        <v>646</v>
      </c>
      <c r="E1" s="18" t="s">
        <v>647</v>
      </c>
      <c r="F1" s="18" t="s">
        <v>648</v>
      </c>
      <c r="G1" s="18" t="s">
        <v>649</v>
      </c>
      <c r="H1" s="18" t="s">
        <v>650</v>
      </c>
    </row>
    <row r="2" customFormat="false" ht="15" hidden="false" customHeight="true" outlineLevel="0" collapsed="false">
      <c r="A2" s="13" t="n">
        <v>6</v>
      </c>
      <c r="B2" s="52" t="n">
        <f aca="false">A2+0.5</f>
        <v>6.5</v>
      </c>
      <c r="C2" s="4" t="str">
        <f aca="false">TEXT(INT(A2),"00")&amp;":"&amp;TEXT(ROUND(MOD(A2,1)*60,0),"00")&amp;"–"&amp;TEXT(INT(B2),"00")&amp;":"&amp;TEXT(ROUND(MOD(B2,1)*60,0),"00")</f>
        <v>06:00–06:30</v>
      </c>
      <c r="D2" s="4" t="n">
        <f aca="false">ROW()-1</f>
        <v>1</v>
      </c>
      <c r="E2" s="4" t="n">
        <f aca="false">COUNTIFS(Fact_Work!$AO:$AO,$A2)</f>
        <v>0</v>
      </c>
      <c r="F2" s="4" t="n">
        <f aca="false">IF(Constants!$B$13=0,0,ROUND(E2/Constants!$B$13,2))</f>
        <v>0</v>
      </c>
      <c r="G2" s="4" t="str">
        <f aca="false">IF(F2&gt;0,F2,"")</f>
        <v/>
      </c>
      <c r="H2" s="4" t="str">
        <f aca="false">IF(F2=0,"Off-peak",IF(F2&gt;=PERCENTILE($G$2:$G$33,Constants!$B$15),"Peak","Off-peak"))</f>
        <v>Off-peak</v>
      </c>
    </row>
    <row r="3" customFormat="false" ht="15" hidden="false" customHeight="true" outlineLevel="0" collapsed="false">
      <c r="A3" s="13" t="n">
        <v>6.5</v>
      </c>
      <c r="B3" s="52" t="n">
        <f aca="false">A3+0.5</f>
        <v>7</v>
      </c>
      <c r="C3" s="4" t="str">
        <f aca="false">TEXT(INT(A3),"00")&amp;":"&amp;TEXT(ROUND(MOD(A3,1)*60,0),"00")&amp;"–"&amp;TEXT(INT(B3),"00")&amp;":"&amp;TEXT(ROUND(MOD(B3,1)*60,0),"00")</f>
        <v>06:30–07:00</v>
      </c>
      <c r="D3" s="4" t="n">
        <f aca="false">ROW()-1</f>
        <v>2</v>
      </c>
      <c r="E3" s="4" t="n">
        <f aca="false">COUNTIFS(Fact_Work!$AO:$AO,$A3)</f>
        <v>0</v>
      </c>
      <c r="F3" s="4" t="n">
        <f aca="false">IF(Constants!$B$13=0,0,ROUND(E3/Constants!$B$13,2))</f>
        <v>0</v>
      </c>
      <c r="G3" s="4" t="str">
        <f aca="false">IF(F3&gt;0,F3,"")</f>
        <v/>
      </c>
      <c r="H3" s="4" t="str">
        <f aca="false">IF(F3=0,"Off-peak",IF(F3&gt;=PERCENTILE($G$2:$G$33,Constants!$B$15),"Peak","Off-peak"))</f>
        <v>Off-peak</v>
      </c>
    </row>
    <row r="4" customFormat="false" ht="15" hidden="false" customHeight="true" outlineLevel="0" collapsed="false">
      <c r="A4" s="13" t="n">
        <v>7</v>
      </c>
      <c r="B4" s="52" t="n">
        <f aca="false">A4+0.5</f>
        <v>7.5</v>
      </c>
      <c r="C4" s="4" t="str">
        <f aca="false">TEXT(INT(A4),"00")&amp;":"&amp;TEXT(ROUND(MOD(A4,1)*60,0),"00")&amp;"–"&amp;TEXT(INT(B4),"00")&amp;":"&amp;TEXT(ROUND(MOD(B4,1)*60,0),"00")</f>
        <v>07:00–07:30</v>
      </c>
      <c r="D4" s="4" t="n">
        <f aca="false">ROW()-1</f>
        <v>3</v>
      </c>
      <c r="E4" s="4" t="n">
        <f aca="false">COUNTIFS(Fact_Work!$AO:$AO,$A4)</f>
        <v>0</v>
      </c>
      <c r="F4" s="4" t="n">
        <f aca="false">IF(Constants!$B$13=0,0,ROUND(E4/Constants!$B$13,2))</f>
        <v>0</v>
      </c>
      <c r="G4" s="4" t="str">
        <f aca="false">IF(F4&gt;0,F4,"")</f>
        <v/>
      </c>
      <c r="H4" s="4" t="str">
        <f aca="false">IF(F4=0,"Off-peak",IF(F4&gt;=PERCENTILE($G$2:$G$33,Constants!$B$15),"Peak","Off-peak"))</f>
        <v>Off-peak</v>
      </c>
    </row>
    <row r="5" customFormat="false" ht="15" hidden="false" customHeight="true" outlineLevel="0" collapsed="false">
      <c r="A5" s="13" t="n">
        <v>7.5</v>
      </c>
      <c r="B5" s="52" t="n">
        <f aca="false">A5+0.5</f>
        <v>8</v>
      </c>
      <c r="C5" s="4" t="str">
        <f aca="false">TEXT(INT(A5),"00")&amp;":"&amp;TEXT(ROUND(MOD(A5,1)*60,0),"00")&amp;"–"&amp;TEXT(INT(B5),"00")&amp;":"&amp;TEXT(ROUND(MOD(B5,1)*60,0),"00")</f>
        <v>07:30–08:00</v>
      </c>
      <c r="D5" s="4" t="n">
        <f aca="false">ROW()-1</f>
        <v>4</v>
      </c>
      <c r="E5" s="4" t="n">
        <f aca="false">COUNTIFS(Fact_Work!$AO:$AO,$A5)</f>
        <v>0</v>
      </c>
      <c r="F5" s="4" t="n">
        <f aca="false">IF(Constants!$B$13=0,0,ROUND(E5/Constants!$B$13,2))</f>
        <v>0</v>
      </c>
      <c r="G5" s="4" t="str">
        <f aca="false">IF(F5&gt;0,F5,"")</f>
        <v/>
      </c>
      <c r="H5" s="4" t="str">
        <f aca="false">IF(F5=0,"Off-peak",IF(F5&gt;=PERCENTILE($G$2:$G$33,Constants!$B$15),"Peak","Off-peak"))</f>
        <v>Off-peak</v>
      </c>
    </row>
    <row r="6" customFormat="false" ht="15" hidden="false" customHeight="true" outlineLevel="0" collapsed="false">
      <c r="A6" s="13" t="n">
        <v>8</v>
      </c>
      <c r="B6" s="52" t="n">
        <f aca="false">A6+0.5</f>
        <v>8.5</v>
      </c>
      <c r="C6" s="4" t="str">
        <f aca="false">TEXT(INT(A6),"00")&amp;":"&amp;TEXT(ROUND(MOD(A6,1)*60,0),"00")&amp;"–"&amp;TEXT(INT(B6),"00")&amp;":"&amp;TEXT(ROUND(MOD(B6,1)*60,0),"00")</f>
        <v>08:00–08:30</v>
      </c>
      <c r="D6" s="4" t="n">
        <f aca="false">ROW()-1</f>
        <v>5</v>
      </c>
      <c r="E6" s="4" t="n">
        <f aca="false">COUNTIFS(Fact_Work!$AO:$AO,$A6)</f>
        <v>0</v>
      </c>
      <c r="F6" s="4" t="n">
        <f aca="false">IF(Constants!$B$13=0,0,ROUND(E6/Constants!$B$13,2))</f>
        <v>0</v>
      </c>
      <c r="G6" s="4" t="str">
        <f aca="false">IF(F6&gt;0,F6,"")</f>
        <v/>
      </c>
      <c r="H6" s="4" t="str">
        <f aca="false">IF(F6=0,"Off-peak",IF(F6&gt;=PERCENTILE($G$2:$G$33,Constants!$B$15),"Peak","Off-peak"))</f>
        <v>Off-peak</v>
      </c>
    </row>
    <row r="7" customFormat="false" ht="15" hidden="false" customHeight="true" outlineLevel="0" collapsed="false">
      <c r="A7" s="13" t="n">
        <v>8.5</v>
      </c>
      <c r="B7" s="52" t="n">
        <f aca="false">A7+0.5</f>
        <v>9</v>
      </c>
      <c r="C7" s="4" t="str">
        <f aca="false">TEXT(INT(A7),"00")&amp;":"&amp;TEXT(ROUND(MOD(A7,1)*60,0),"00")&amp;"–"&amp;TEXT(INT(B7),"00")&amp;":"&amp;TEXT(ROUND(MOD(B7,1)*60,0),"00")</f>
        <v>08:30–09:00</v>
      </c>
      <c r="D7" s="4" t="n">
        <f aca="false">ROW()-1</f>
        <v>6</v>
      </c>
      <c r="E7" s="4" t="n">
        <f aca="false">COUNTIFS(Fact_Work!$AO:$AO,$A7)</f>
        <v>0</v>
      </c>
      <c r="F7" s="4" t="n">
        <f aca="false">IF(Constants!$B$13=0,0,ROUND(E7/Constants!$B$13,2))</f>
        <v>0</v>
      </c>
      <c r="G7" s="4" t="str">
        <f aca="false">IF(F7&gt;0,F7,"")</f>
        <v/>
      </c>
      <c r="H7" s="4" t="str">
        <f aca="false">IF(F7=0,"Off-peak",IF(F7&gt;=PERCENTILE($G$2:$G$33,Constants!$B$15),"Peak","Off-peak"))</f>
        <v>Off-peak</v>
      </c>
    </row>
    <row r="8" customFormat="false" ht="15" hidden="false" customHeight="true" outlineLevel="0" collapsed="false">
      <c r="A8" s="13" t="n">
        <v>9</v>
      </c>
      <c r="B8" s="52" t="n">
        <f aca="false">A8+0.5</f>
        <v>9.5</v>
      </c>
      <c r="C8" s="4" t="str">
        <f aca="false">TEXT(INT(A8),"00")&amp;":"&amp;TEXT(ROUND(MOD(A8,1)*60,0),"00")&amp;"–"&amp;TEXT(INT(B8),"00")&amp;":"&amp;TEXT(ROUND(MOD(B8,1)*60,0),"00")</f>
        <v>09:00–09:30</v>
      </c>
      <c r="D8" s="4" t="n">
        <f aca="false">ROW()-1</f>
        <v>7</v>
      </c>
      <c r="E8" s="4" t="n">
        <f aca="false">COUNTIFS(Fact_Work!$AO:$AO,$A8)</f>
        <v>0</v>
      </c>
      <c r="F8" s="4" t="n">
        <f aca="false">IF(Constants!$B$13=0,0,ROUND(E8/Constants!$B$13,2))</f>
        <v>0</v>
      </c>
      <c r="G8" s="4" t="str">
        <f aca="false">IF(F8&gt;0,F8,"")</f>
        <v/>
      </c>
      <c r="H8" s="4" t="str">
        <f aca="false">IF(F8=0,"Off-peak",IF(F8&gt;=PERCENTILE($G$2:$G$33,Constants!$B$15),"Peak","Off-peak"))</f>
        <v>Off-peak</v>
      </c>
    </row>
    <row r="9" customFormat="false" ht="15" hidden="false" customHeight="true" outlineLevel="0" collapsed="false">
      <c r="A9" s="13" t="n">
        <v>9.5</v>
      </c>
      <c r="B9" s="52" t="n">
        <f aca="false">A9+0.5</f>
        <v>10</v>
      </c>
      <c r="C9" s="4" t="str">
        <f aca="false">TEXT(INT(A9),"00")&amp;":"&amp;TEXT(ROUND(MOD(A9,1)*60,0),"00")&amp;"–"&amp;TEXT(INT(B9),"00")&amp;":"&amp;TEXT(ROUND(MOD(B9,1)*60,0),"00")</f>
        <v>09:30–10:00</v>
      </c>
      <c r="D9" s="4" t="n">
        <f aca="false">ROW()-1</f>
        <v>8</v>
      </c>
      <c r="E9" s="4" t="n">
        <f aca="false">COUNTIFS(Fact_Work!$AO:$AO,$A9)</f>
        <v>0</v>
      </c>
      <c r="F9" s="4" t="n">
        <f aca="false">IF(Constants!$B$13=0,0,ROUND(E9/Constants!$B$13,2))</f>
        <v>0</v>
      </c>
      <c r="G9" s="4" t="str">
        <f aca="false">IF(F9&gt;0,F9,"")</f>
        <v/>
      </c>
      <c r="H9" s="4" t="str">
        <f aca="false">IF(F9=0,"Off-peak",IF(F9&gt;=PERCENTILE($G$2:$G$33,Constants!$B$15),"Peak","Off-peak"))</f>
        <v>Off-peak</v>
      </c>
    </row>
    <row r="10" customFormat="false" ht="15" hidden="false" customHeight="true" outlineLevel="0" collapsed="false">
      <c r="A10" s="13" t="n">
        <v>10</v>
      </c>
      <c r="B10" s="52" t="n">
        <f aca="false">A10+0.5</f>
        <v>10.5</v>
      </c>
      <c r="C10" s="4" t="str">
        <f aca="false">TEXT(INT(A10),"00")&amp;":"&amp;TEXT(ROUND(MOD(A10,1)*60,0),"00")&amp;"–"&amp;TEXT(INT(B10),"00")&amp;":"&amp;TEXT(ROUND(MOD(B10,1)*60,0),"00")</f>
        <v>10:00–10:30</v>
      </c>
      <c r="D10" s="4" t="n">
        <f aca="false">ROW()-1</f>
        <v>9</v>
      </c>
      <c r="E10" s="4" t="n">
        <f aca="false">COUNTIFS(Fact_Work!$AO:$AO,$A10)</f>
        <v>0</v>
      </c>
      <c r="F10" s="4" t="n">
        <f aca="false">IF(Constants!$B$13=0,0,ROUND(E10/Constants!$B$13,2))</f>
        <v>0</v>
      </c>
      <c r="G10" s="4" t="str">
        <f aca="false">IF(F10&gt;0,F10,"")</f>
        <v/>
      </c>
      <c r="H10" s="4" t="str">
        <f aca="false">IF(F10=0,"Off-peak",IF(F10&gt;=PERCENTILE($G$2:$G$33,Constants!$B$15),"Peak","Off-peak"))</f>
        <v>Off-peak</v>
      </c>
    </row>
    <row r="11" customFormat="false" ht="15" hidden="false" customHeight="true" outlineLevel="0" collapsed="false">
      <c r="A11" s="13" t="n">
        <v>10.5</v>
      </c>
      <c r="B11" s="52" t="n">
        <f aca="false">A11+0.5</f>
        <v>11</v>
      </c>
      <c r="C11" s="4" t="str">
        <f aca="false">TEXT(INT(A11),"00")&amp;":"&amp;TEXT(ROUND(MOD(A11,1)*60,0),"00")&amp;"–"&amp;TEXT(INT(B11),"00")&amp;":"&amp;TEXT(ROUND(MOD(B11,1)*60,0),"00")</f>
        <v>10:30–11:00</v>
      </c>
      <c r="D11" s="4" t="n">
        <f aca="false">ROW()-1</f>
        <v>10</v>
      </c>
      <c r="E11" s="4" t="n">
        <f aca="false">COUNTIFS(Fact_Work!$AO:$AO,$A11)</f>
        <v>0</v>
      </c>
      <c r="F11" s="4" t="n">
        <f aca="false">IF(Constants!$B$13=0,0,ROUND(E11/Constants!$B$13,2))</f>
        <v>0</v>
      </c>
      <c r="G11" s="4" t="str">
        <f aca="false">IF(F11&gt;0,F11,"")</f>
        <v/>
      </c>
      <c r="H11" s="4" t="str">
        <f aca="false">IF(F11=0,"Off-peak",IF(F11&gt;=PERCENTILE($G$2:$G$33,Constants!$B$15),"Peak","Off-peak"))</f>
        <v>Off-peak</v>
      </c>
    </row>
    <row r="12" customFormat="false" ht="15" hidden="false" customHeight="true" outlineLevel="0" collapsed="false">
      <c r="A12" s="13" t="n">
        <v>11</v>
      </c>
      <c r="B12" s="52" t="n">
        <f aca="false">A12+0.5</f>
        <v>11.5</v>
      </c>
      <c r="C12" s="4" t="str">
        <f aca="false">TEXT(INT(A12),"00")&amp;":"&amp;TEXT(ROUND(MOD(A12,1)*60,0),"00")&amp;"–"&amp;TEXT(INT(B12),"00")&amp;":"&amp;TEXT(ROUND(MOD(B12,1)*60,0),"00")</f>
        <v>11:00–11:30</v>
      </c>
      <c r="D12" s="4" t="n">
        <f aca="false">ROW()-1</f>
        <v>11</v>
      </c>
      <c r="E12" s="4" t="n">
        <f aca="false">COUNTIFS(Fact_Work!$AO:$AO,$A12)</f>
        <v>0</v>
      </c>
      <c r="F12" s="4" t="n">
        <f aca="false">IF(Constants!$B$13=0,0,ROUND(E12/Constants!$B$13,2))</f>
        <v>0</v>
      </c>
      <c r="G12" s="4" t="str">
        <f aca="false">IF(F12&gt;0,F12,"")</f>
        <v/>
      </c>
      <c r="H12" s="4" t="str">
        <f aca="false">IF(F12=0,"Off-peak",IF(F12&gt;=PERCENTILE($G$2:$G$33,Constants!$B$15),"Peak","Off-peak"))</f>
        <v>Off-peak</v>
      </c>
    </row>
    <row r="13" customFormat="false" ht="15" hidden="false" customHeight="true" outlineLevel="0" collapsed="false">
      <c r="A13" s="13" t="n">
        <v>11.5</v>
      </c>
      <c r="B13" s="52" t="n">
        <f aca="false">A13+0.5</f>
        <v>12</v>
      </c>
      <c r="C13" s="4" t="str">
        <f aca="false">TEXT(INT(A13),"00")&amp;":"&amp;TEXT(ROUND(MOD(A13,1)*60,0),"00")&amp;"–"&amp;TEXT(INT(B13),"00")&amp;":"&amp;TEXT(ROUND(MOD(B13,1)*60,0),"00")</f>
        <v>11:30–12:00</v>
      </c>
      <c r="D13" s="4" t="n">
        <f aca="false">ROW()-1</f>
        <v>12</v>
      </c>
      <c r="E13" s="4" t="n">
        <f aca="false">COUNTIFS(Fact_Work!$AO:$AO,$A13)</f>
        <v>14</v>
      </c>
      <c r="F13" s="4" t="n">
        <f aca="false">IF(Constants!$B$13=0,0,ROUND(E13/Constants!$B$13,2))</f>
        <v>4.67</v>
      </c>
      <c r="G13" s="4" t="n">
        <f aca="false">IF(F13&gt;0,F13,"")</f>
        <v>4.67</v>
      </c>
      <c r="H13" s="4" t="str">
        <f aca="false">IF(F13=0,"Off-peak",IF(F13&gt;=PERCENTILE($G$2:$G$33,Constants!$B$15),"Peak","Off-peak"))</f>
        <v>Peak</v>
      </c>
    </row>
    <row r="14" customFormat="false" ht="15" hidden="false" customHeight="true" outlineLevel="0" collapsed="false">
      <c r="A14" s="13" t="n">
        <v>12</v>
      </c>
      <c r="B14" s="52" t="n">
        <f aca="false">A14+0.5</f>
        <v>12.5</v>
      </c>
      <c r="C14" s="4" t="str">
        <f aca="false">TEXT(INT(A14),"00")&amp;":"&amp;TEXT(ROUND(MOD(A14,1)*60,0),"00")&amp;"–"&amp;TEXT(INT(B14),"00")&amp;":"&amp;TEXT(ROUND(MOD(B14,1)*60,0),"00")</f>
        <v>12:00–12:30</v>
      </c>
      <c r="D14" s="4" t="n">
        <f aca="false">ROW()-1</f>
        <v>13</v>
      </c>
      <c r="E14" s="4" t="n">
        <f aca="false">COUNTIFS(Fact_Work!$AO:$AO,$A14)</f>
        <v>11</v>
      </c>
      <c r="F14" s="4" t="n">
        <f aca="false">IF(Constants!$B$13=0,0,ROUND(E14/Constants!$B$13,2))</f>
        <v>3.67</v>
      </c>
      <c r="G14" s="4" t="n">
        <f aca="false">IF(F14&gt;0,F14,"")</f>
        <v>3.67</v>
      </c>
      <c r="H14" s="4" t="str">
        <f aca="false">IF(F14=0,"Off-peak",IF(F14&gt;=PERCENTILE($G$2:$G$33,Constants!$B$15),"Peak","Off-peak"))</f>
        <v>Off-peak</v>
      </c>
    </row>
    <row r="15" customFormat="false" ht="15" hidden="false" customHeight="true" outlineLevel="0" collapsed="false">
      <c r="A15" s="13" t="n">
        <v>12.5</v>
      </c>
      <c r="B15" s="52" t="n">
        <f aca="false">A15+0.5</f>
        <v>13</v>
      </c>
      <c r="C15" s="4" t="str">
        <f aca="false">TEXT(INT(A15),"00")&amp;":"&amp;TEXT(ROUND(MOD(A15,1)*60,0),"00")&amp;"–"&amp;TEXT(INT(B15),"00")&amp;":"&amp;TEXT(ROUND(MOD(B15,1)*60,0),"00")</f>
        <v>12:30–13:00</v>
      </c>
      <c r="D15" s="4" t="n">
        <f aca="false">ROW()-1</f>
        <v>14</v>
      </c>
      <c r="E15" s="4" t="n">
        <f aca="false">COUNTIFS(Fact_Work!$AO:$AO,$A15)</f>
        <v>1</v>
      </c>
      <c r="F15" s="4" t="n">
        <f aca="false">IF(Constants!$B$13=0,0,ROUND(E15/Constants!$B$13,2))</f>
        <v>0.33</v>
      </c>
      <c r="G15" s="4" t="n">
        <f aca="false">IF(F15&gt;0,F15,"")</f>
        <v>0.33</v>
      </c>
      <c r="H15" s="4" t="str">
        <f aca="false">IF(F15=0,"Off-peak",IF(F15&gt;=PERCENTILE($G$2:$G$33,Constants!$B$15),"Peak","Off-peak"))</f>
        <v>Off-peak</v>
      </c>
    </row>
    <row r="16" customFormat="false" ht="15" hidden="false" customHeight="true" outlineLevel="0" collapsed="false">
      <c r="A16" s="13" t="n">
        <v>13</v>
      </c>
      <c r="B16" s="52" t="n">
        <f aca="false">A16+0.5</f>
        <v>13.5</v>
      </c>
      <c r="C16" s="4" t="str">
        <f aca="false">TEXT(INT(A16),"00")&amp;":"&amp;TEXT(ROUND(MOD(A16,1)*60,0),"00")&amp;"–"&amp;TEXT(INT(B16),"00")&amp;":"&amp;TEXT(ROUND(MOD(B16,1)*60,0),"00")</f>
        <v>13:00–13:30</v>
      </c>
      <c r="D16" s="4" t="n">
        <f aca="false">ROW()-1</f>
        <v>15</v>
      </c>
      <c r="E16" s="4" t="n">
        <f aca="false">COUNTIFS(Fact_Work!$AO:$AO,$A16)</f>
        <v>0</v>
      </c>
      <c r="F16" s="4" t="n">
        <f aca="false">IF(Constants!$B$13=0,0,ROUND(E16/Constants!$B$13,2))</f>
        <v>0</v>
      </c>
      <c r="G16" s="4" t="str">
        <f aca="false">IF(F16&gt;0,F16,"")</f>
        <v/>
      </c>
      <c r="H16" s="4" t="str">
        <f aca="false">IF(F16=0,"Off-peak",IF(F16&gt;=PERCENTILE($G$2:$G$33,Constants!$B$15),"Peak","Off-peak"))</f>
        <v>Off-peak</v>
      </c>
    </row>
    <row r="17" customFormat="false" ht="15" hidden="false" customHeight="true" outlineLevel="0" collapsed="false">
      <c r="A17" s="13" t="n">
        <v>13.5</v>
      </c>
      <c r="B17" s="52" t="n">
        <f aca="false">A17+0.5</f>
        <v>14</v>
      </c>
      <c r="C17" s="4" t="str">
        <f aca="false">TEXT(INT(A17),"00")&amp;":"&amp;TEXT(ROUND(MOD(A17,1)*60,0),"00")&amp;"–"&amp;TEXT(INT(B17),"00")&amp;":"&amp;TEXT(ROUND(MOD(B17,1)*60,0),"00")</f>
        <v>13:30–14:00</v>
      </c>
      <c r="D17" s="4" t="n">
        <f aca="false">ROW()-1</f>
        <v>16</v>
      </c>
      <c r="E17" s="4" t="n">
        <f aca="false">COUNTIFS(Fact_Work!$AO:$AO,$A17)</f>
        <v>0</v>
      </c>
      <c r="F17" s="4" t="n">
        <f aca="false">IF(Constants!$B$13=0,0,ROUND(E17/Constants!$B$13,2))</f>
        <v>0</v>
      </c>
      <c r="G17" s="4" t="str">
        <f aca="false">IF(F17&gt;0,F17,"")</f>
        <v/>
      </c>
      <c r="H17" s="4" t="str">
        <f aca="false">IF(F17=0,"Off-peak",IF(F17&gt;=PERCENTILE($G$2:$G$33,Constants!$B$15),"Peak","Off-peak"))</f>
        <v>Off-peak</v>
      </c>
    </row>
    <row r="18" customFormat="false" ht="15" hidden="false" customHeight="true" outlineLevel="0" collapsed="false">
      <c r="A18" s="13" t="n">
        <v>14</v>
      </c>
      <c r="B18" s="52" t="n">
        <f aca="false">A18+0.5</f>
        <v>14.5</v>
      </c>
      <c r="C18" s="4" t="str">
        <f aca="false">TEXT(INT(A18),"00")&amp;":"&amp;TEXT(ROUND(MOD(A18,1)*60,0),"00")&amp;"–"&amp;TEXT(INT(B18),"00")&amp;":"&amp;TEXT(ROUND(MOD(B18,1)*60,0),"00")</f>
        <v>14:00–14:30</v>
      </c>
      <c r="D18" s="4" t="n">
        <f aca="false">ROW()-1</f>
        <v>17</v>
      </c>
      <c r="E18" s="4" t="n">
        <f aca="false">COUNTIFS(Fact_Work!$AO:$AO,$A18)</f>
        <v>0</v>
      </c>
      <c r="F18" s="4" t="n">
        <f aca="false">IF(Constants!$B$13=0,0,ROUND(E18/Constants!$B$13,2))</f>
        <v>0</v>
      </c>
      <c r="G18" s="4" t="str">
        <f aca="false">IF(F18&gt;0,F18,"")</f>
        <v/>
      </c>
      <c r="H18" s="4" t="str">
        <f aca="false">IF(F18=0,"Off-peak",IF(F18&gt;=PERCENTILE($G$2:$G$33,Constants!$B$15),"Peak","Off-peak"))</f>
        <v>Off-peak</v>
      </c>
    </row>
    <row r="19" customFormat="false" ht="15" hidden="false" customHeight="true" outlineLevel="0" collapsed="false">
      <c r="A19" s="13" t="n">
        <v>14.5</v>
      </c>
      <c r="B19" s="52" t="n">
        <f aca="false">A19+0.5</f>
        <v>15</v>
      </c>
      <c r="C19" s="4" t="str">
        <f aca="false">TEXT(INT(A19),"00")&amp;":"&amp;TEXT(ROUND(MOD(A19,1)*60,0),"00")&amp;"–"&amp;TEXT(INT(B19),"00")&amp;":"&amp;TEXT(ROUND(MOD(B19,1)*60,0),"00")</f>
        <v>14:30–15:00</v>
      </c>
      <c r="D19" s="4" t="n">
        <f aca="false">ROW()-1</f>
        <v>18</v>
      </c>
      <c r="E19" s="4" t="n">
        <f aca="false">COUNTIFS(Fact_Work!$AO:$AO,$A19)</f>
        <v>0</v>
      </c>
      <c r="F19" s="4" t="n">
        <f aca="false">IF(Constants!$B$13=0,0,ROUND(E19/Constants!$B$13,2))</f>
        <v>0</v>
      </c>
      <c r="G19" s="4" t="str">
        <f aca="false">IF(F19&gt;0,F19,"")</f>
        <v/>
      </c>
      <c r="H19" s="4" t="str">
        <f aca="false">IF(F19=0,"Off-peak",IF(F19&gt;=PERCENTILE($G$2:$G$33,Constants!$B$15),"Peak","Off-peak"))</f>
        <v>Off-peak</v>
      </c>
    </row>
    <row r="20" customFormat="false" ht="15" hidden="false" customHeight="true" outlineLevel="0" collapsed="false">
      <c r="A20" s="13" t="n">
        <v>15</v>
      </c>
      <c r="B20" s="52" t="n">
        <f aca="false">A20+0.5</f>
        <v>15.5</v>
      </c>
      <c r="C20" s="4" t="str">
        <f aca="false">TEXT(INT(A20),"00")&amp;":"&amp;TEXT(ROUND(MOD(A20,1)*60,0),"00")&amp;"–"&amp;TEXT(INT(B20),"00")&amp;":"&amp;TEXT(ROUND(MOD(B20,1)*60,0),"00")</f>
        <v>15:00–15:30</v>
      </c>
      <c r="D20" s="4" t="n">
        <f aca="false">ROW()-1</f>
        <v>19</v>
      </c>
      <c r="E20" s="4" t="n">
        <f aca="false">COUNTIFS(Fact_Work!$AO:$AO,$A20)</f>
        <v>0</v>
      </c>
      <c r="F20" s="4" t="n">
        <f aca="false">IF(Constants!$B$13=0,0,ROUND(E20/Constants!$B$13,2))</f>
        <v>0</v>
      </c>
      <c r="G20" s="4" t="str">
        <f aca="false">IF(F20&gt;0,F20,"")</f>
        <v/>
      </c>
      <c r="H20" s="4" t="str">
        <f aca="false">IF(F20=0,"Off-peak",IF(F20&gt;=PERCENTILE($G$2:$G$33,Constants!$B$15),"Peak","Off-peak"))</f>
        <v>Off-peak</v>
      </c>
    </row>
    <row r="21" customFormat="false" ht="15" hidden="false" customHeight="true" outlineLevel="0" collapsed="false">
      <c r="A21" s="13" t="n">
        <v>15.5</v>
      </c>
      <c r="B21" s="52" t="n">
        <f aca="false">A21+0.5</f>
        <v>16</v>
      </c>
      <c r="C21" s="4" t="str">
        <f aca="false">TEXT(INT(A21),"00")&amp;":"&amp;TEXT(ROUND(MOD(A21,1)*60,0),"00")&amp;"–"&amp;TEXT(INT(B21),"00")&amp;":"&amp;TEXT(ROUND(MOD(B21,1)*60,0),"00")</f>
        <v>15:30–16:00</v>
      </c>
      <c r="D21" s="4" t="n">
        <f aca="false">ROW()-1</f>
        <v>20</v>
      </c>
      <c r="E21" s="4" t="n">
        <f aca="false">COUNTIFS(Fact_Work!$AO:$AO,$A21)</f>
        <v>0</v>
      </c>
      <c r="F21" s="4" t="n">
        <f aca="false">IF(Constants!$B$13=0,0,ROUND(E21/Constants!$B$13,2))</f>
        <v>0</v>
      </c>
      <c r="G21" s="4" t="str">
        <f aca="false">IF(F21&gt;0,F21,"")</f>
        <v/>
      </c>
      <c r="H21" s="4" t="str">
        <f aca="false">IF(F21=0,"Off-peak",IF(F21&gt;=PERCENTILE($G$2:$G$33,Constants!$B$15),"Peak","Off-peak"))</f>
        <v>Off-peak</v>
      </c>
    </row>
    <row r="22" customFormat="false" ht="15" hidden="false" customHeight="true" outlineLevel="0" collapsed="false">
      <c r="A22" s="13" t="n">
        <v>16</v>
      </c>
      <c r="B22" s="52" t="n">
        <f aca="false">A22+0.5</f>
        <v>16.5</v>
      </c>
      <c r="C22" s="4" t="str">
        <f aca="false">TEXT(INT(A22),"00")&amp;":"&amp;TEXT(ROUND(MOD(A22,1)*60,0),"00")&amp;"–"&amp;TEXT(INT(B22),"00")&amp;":"&amp;TEXT(ROUND(MOD(B22,1)*60,0),"00")</f>
        <v>16:00–16:30</v>
      </c>
      <c r="D22" s="4" t="n">
        <f aca="false">ROW()-1</f>
        <v>21</v>
      </c>
      <c r="E22" s="4" t="n">
        <f aca="false">COUNTIFS(Fact_Work!$AO:$AO,$A22)</f>
        <v>0</v>
      </c>
      <c r="F22" s="4" t="n">
        <f aca="false">IF(Constants!$B$13=0,0,ROUND(E22/Constants!$B$13,2))</f>
        <v>0</v>
      </c>
      <c r="G22" s="4" t="str">
        <f aca="false">IF(F22&gt;0,F22,"")</f>
        <v/>
      </c>
      <c r="H22" s="4" t="str">
        <f aca="false">IF(F22=0,"Off-peak",IF(F22&gt;=PERCENTILE($G$2:$G$33,Constants!$B$15),"Peak","Off-peak"))</f>
        <v>Off-peak</v>
      </c>
    </row>
    <row r="23" customFormat="false" ht="15" hidden="false" customHeight="true" outlineLevel="0" collapsed="false">
      <c r="A23" s="13" t="n">
        <v>16.5</v>
      </c>
      <c r="B23" s="52" t="n">
        <f aca="false">A23+0.5</f>
        <v>17</v>
      </c>
      <c r="C23" s="4" t="str">
        <f aca="false">TEXT(INT(A23),"00")&amp;":"&amp;TEXT(ROUND(MOD(A23,1)*60,0),"00")&amp;"–"&amp;TEXT(INT(B23),"00")&amp;":"&amp;TEXT(ROUND(MOD(B23,1)*60,0),"00")</f>
        <v>16:30–17:00</v>
      </c>
      <c r="D23" s="4" t="n">
        <f aca="false">ROW()-1</f>
        <v>22</v>
      </c>
      <c r="E23" s="4" t="n">
        <f aca="false">COUNTIFS(Fact_Work!$AO:$AO,$A23)</f>
        <v>0</v>
      </c>
      <c r="F23" s="4" t="n">
        <f aca="false">IF(Constants!$B$13=0,0,ROUND(E23/Constants!$B$13,2))</f>
        <v>0</v>
      </c>
      <c r="G23" s="4" t="str">
        <f aca="false">IF(F23&gt;0,F23,"")</f>
        <v/>
      </c>
      <c r="H23" s="4" t="str">
        <f aca="false">IF(F23=0,"Off-peak",IF(F23&gt;=PERCENTILE($G$2:$G$33,Constants!$B$15),"Peak","Off-peak"))</f>
        <v>Off-peak</v>
      </c>
    </row>
    <row r="24" customFormat="false" ht="15" hidden="false" customHeight="true" outlineLevel="0" collapsed="false">
      <c r="A24" s="13" t="n">
        <v>17</v>
      </c>
      <c r="B24" s="52" t="n">
        <f aca="false">A24+0.5</f>
        <v>17.5</v>
      </c>
      <c r="C24" s="4" t="str">
        <f aca="false">TEXT(INT(A24),"00")&amp;":"&amp;TEXT(ROUND(MOD(A24,1)*60,0),"00")&amp;"–"&amp;TEXT(INT(B24),"00")&amp;":"&amp;TEXT(ROUND(MOD(B24,1)*60,0),"00")</f>
        <v>17:00–17:30</v>
      </c>
      <c r="D24" s="4" t="n">
        <f aca="false">ROW()-1</f>
        <v>23</v>
      </c>
      <c r="E24" s="4" t="n">
        <f aca="false">COUNTIFS(Fact_Work!$AO:$AO,$A24)</f>
        <v>0</v>
      </c>
      <c r="F24" s="4" t="n">
        <f aca="false">IF(Constants!$B$13=0,0,ROUND(E24/Constants!$B$13,2))</f>
        <v>0</v>
      </c>
      <c r="G24" s="4" t="str">
        <f aca="false">IF(F24&gt;0,F24,"")</f>
        <v/>
      </c>
      <c r="H24" s="4" t="str">
        <f aca="false">IF(F24=0,"Off-peak",IF(F24&gt;=PERCENTILE($G$2:$G$33,Constants!$B$15),"Peak","Off-peak"))</f>
        <v>Off-peak</v>
      </c>
    </row>
    <row r="25" customFormat="false" ht="15" hidden="false" customHeight="true" outlineLevel="0" collapsed="false">
      <c r="A25" s="13" t="n">
        <v>17.5</v>
      </c>
      <c r="B25" s="52" t="n">
        <f aca="false">A25+0.5</f>
        <v>18</v>
      </c>
      <c r="C25" s="4" t="str">
        <f aca="false">TEXT(INT(A25),"00")&amp;":"&amp;TEXT(ROUND(MOD(A25,1)*60,0),"00")&amp;"–"&amp;TEXT(INT(B25),"00")&amp;":"&amp;TEXT(ROUND(MOD(B25,1)*60,0),"00")</f>
        <v>17:30–18:00</v>
      </c>
      <c r="D25" s="4" t="n">
        <f aca="false">ROW()-1</f>
        <v>24</v>
      </c>
      <c r="E25" s="4" t="n">
        <f aca="false">COUNTIFS(Fact_Work!$AO:$AO,$A25)</f>
        <v>0</v>
      </c>
      <c r="F25" s="4" t="n">
        <f aca="false">IF(Constants!$B$13=0,0,ROUND(E25/Constants!$B$13,2))</f>
        <v>0</v>
      </c>
      <c r="G25" s="4" t="str">
        <f aca="false">IF(F25&gt;0,F25,"")</f>
        <v/>
      </c>
      <c r="H25" s="4" t="str">
        <f aca="false">IF(F25=0,"Off-peak",IF(F25&gt;=PERCENTILE($G$2:$G$33,Constants!$B$15),"Peak","Off-peak"))</f>
        <v>Off-peak</v>
      </c>
    </row>
    <row r="26" customFormat="false" ht="15" hidden="false" customHeight="true" outlineLevel="0" collapsed="false">
      <c r="A26" s="13" t="n">
        <v>18</v>
      </c>
      <c r="B26" s="52" t="n">
        <f aca="false">A26+0.5</f>
        <v>18.5</v>
      </c>
      <c r="C26" s="4" t="str">
        <f aca="false">TEXT(INT(A26),"00")&amp;":"&amp;TEXT(ROUND(MOD(A26,1)*60,0),"00")&amp;"–"&amp;TEXT(INT(B26),"00")&amp;":"&amp;TEXT(ROUND(MOD(B26,1)*60,0),"00")</f>
        <v>18:00–18:30</v>
      </c>
      <c r="D26" s="4" t="n">
        <f aca="false">ROW()-1</f>
        <v>25</v>
      </c>
      <c r="E26" s="4" t="n">
        <f aca="false">COUNTIFS(Fact_Work!$AO:$AO,$A26)</f>
        <v>0</v>
      </c>
      <c r="F26" s="4" t="n">
        <f aca="false">IF(Constants!$B$13=0,0,ROUND(E26/Constants!$B$13,2))</f>
        <v>0</v>
      </c>
      <c r="G26" s="4" t="str">
        <f aca="false">IF(F26&gt;0,F26,"")</f>
        <v/>
      </c>
      <c r="H26" s="4" t="str">
        <f aca="false">IF(F26=0,"Off-peak",IF(F26&gt;=PERCENTILE($G$2:$G$33,Constants!$B$15),"Peak","Off-peak"))</f>
        <v>Off-peak</v>
      </c>
    </row>
    <row r="27" customFormat="false" ht="15" hidden="false" customHeight="true" outlineLevel="0" collapsed="false">
      <c r="A27" s="13" t="n">
        <v>18.5</v>
      </c>
      <c r="B27" s="52" t="n">
        <f aca="false">A27+0.5</f>
        <v>19</v>
      </c>
      <c r="C27" s="4" t="str">
        <f aca="false">TEXT(INT(A27),"00")&amp;":"&amp;TEXT(ROUND(MOD(A27,1)*60,0),"00")&amp;"–"&amp;TEXT(INT(B27),"00")&amp;":"&amp;TEXT(ROUND(MOD(B27,1)*60,0),"00")</f>
        <v>18:30–19:00</v>
      </c>
      <c r="D27" s="4" t="n">
        <f aca="false">ROW()-1</f>
        <v>26</v>
      </c>
      <c r="E27" s="4" t="n">
        <f aca="false">COUNTIFS(Fact_Work!$AO:$AO,$A27)</f>
        <v>0</v>
      </c>
      <c r="F27" s="4" t="n">
        <f aca="false">IF(Constants!$B$13=0,0,ROUND(E27/Constants!$B$13,2))</f>
        <v>0</v>
      </c>
      <c r="G27" s="4" t="str">
        <f aca="false">IF(F27&gt;0,F27,"")</f>
        <v/>
      </c>
      <c r="H27" s="4" t="str">
        <f aca="false">IF(F27=0,"Off-peak",IF(F27&gt;=PERCENTILE($G$2:$G$33,Constants!$B$15),"Peak","Off-peak"))</f>
        <v>Off-peak</v>
      </c>
    </row>
    <row r="28" customFormat="false" ht="15" hidden="false" customHeight="true" outlineLevel="0" collapsed="false">
      <c r="A28" s="13" t="n">
        <v>19</v>
      </c>
      <c r="B28" s="52" t="n">
        <f aca="false">A28+0.5</f>
        <v>19.5</v>
      </c>
      <c r="C28" s="4" t="str">
        <f aca="false">TEXT(INT(A28),"00")&amp;":"&amp;TEXT(ROUND(MOD(A28,1)*60,0),"00")&amp;"–"&amp;TEXT(INT(B28),"00")&amp;":"&amp;TEXT(ROUND(MOD(B28,1)*60,0),"00")</f>
        <v>19:00–19:30</v>
      </c>
      <c r="D28" s="4" t="n">
        <f aca="false">ROW()-1</f>
        <v>27</v>
      </c>
      <c r="E28" s="4" t="n">
        <f aca="false">COUNTIFS(Fact_Work!$AO:$AO,$A28)</f>
        <v>0</v>
      </c>
      <c r="F28" s="4" t="n">
        <f aca="false">IF(Constants!$B$13=0,0,ROUND(E28/Constants!$B$13,2))</f>
        <v>0</v>
      </c>
      <c r="G28" s="4" t="str">
        <f aca="false">IF(F28&gt;0,F28,"")</f>
        <v/>
      </c>
      <c r="H28" s="4" t="str">
        <f aca="false">IF(F28=0,"Off-peak",IF(F28&gt;=PERCENTILE($G$2:$G$33,Constants!$B$15),"Peak","Off-peak"))</f>
        <v>Off-peak</v>
      </c>
    </row>
    <row r="29" customFormat="false" ht="15" hidden="false" customHeight="true" outlineLevel="0" collapsed="false">
      <c r="A29" s="13" t="n">
        <v>19.5</v>
      </c>
      <c r="B29" s="52" t="n">
        <f aca="false">A29+0.5</f>
        <v>20</v>
      </c>
      <c r="C29" s="4" t="str">
        <f aca="false">TEXT(INT(A29),"00")&amp;":"&amp;TEXT(ROUND(MOD(A29,1)*60,0),"00")&amp;"–"&amp;TEXT(INT(B29),"00")&amp;":"&amp;TEXT(ROUND(MOD(B29,1)*60,0),"00")</f>
        <v>19:30–20:00</v>
      </c>
      <c r="D29" s="4" t="n">
        <f aca="false">ROW()-1</f>
        <v>28</v>
      </c>
      <c r="E29" s="4" t="n">
        <f aca="false">COUNTIFS(Fact_Work!$AO:$AO,$A29)</f>
        <v>0</v>
      </c>
      <c r="F29" s="4" t="n">
        <f aca="false">IF(Constants!$B$13=0,0,ROUND(E29/Constants!$B$13,2))</f>
        <v>0</v>
      </c>
      <c r="G29" s="4" t="str">
        <f aca="false">IF(F29&gt;0,F29,"")</f>
        <v/>
      </c>
      <c r="H29" s="4" t="str">
        <f aca="false">IF(F29=0,"Off-peak",IF(F29&gt;=PERCENTILE($G$2:$G$33,Constants!$B$15),"Peak","Off-peak"))</f>
        <v>Off-peak</v>
      </c>
    </row>
    <row r="30" customFormat="false" ht="15" hidden="false" customHeight="true" outlineLevel="0" collapsed="false">
      <c r="A30" s="13" t="n">
        <v>20</v>
      </c>
      <c r="B30" s="52" t="n">
        <f aca="false">A30+0.5</f>
        <v>20.5</v>
      </c>
      <c r="C30" s="4" t="str">
        <f aca="false">TEXT(INT(A30),"00")&amp;":"&amp;TEXT(ROUND(MOD(A30,1)*60,0),"00")&amp;"–"&amp;TEXT(INT(B30),"00")&amp;":"&amp;TEXT(ROUND(MOD(B30,1)*60,0),"00")</f>
        <v>20:00–20:30</v>
      </c>
      <c r="D30" s="4" t="n">
        <f aca="false">ROW()-1</f>
        <v>29</v>
      </c>
      <c r="E30" s="4" t="n">
        <f aca="false">COUNTIFS(Fact_Work!$AO:$AO,$A30)</f>
        <v>0</v>
      </c>
      <c r="F30" s="4" t="n">
        <f aca="false">IF(Constants!$B$13=0,0,ROUND(E30/Constants!$B$13,2))</f>
        <v>0</v>
      </c>
      <c r="G30" s="4" t="str">
        <f aca="false">IF(F30&gt;0,F30,"")</f>
        <v/>
      </c>
      <c r="H30" s="4" t="str">
        <f aca="false">IF(F30=0,"Off-peak",IF(F30&gt;=PERCENTILE($G$2:$G$33,Constants!$B$15),"Peak","Off-peak"))</f>
        <v>Off-peak</v>
      </c>
    </row>
    <row r="31" customFormat="false" ht="15" hidden="false" customHeight="true" outlineLevel="0" collapsed="false">
      <c r="A31" s="13" t="n">
        <v>20.5</v>
      </c>
      <c r="B31" s="52" t="n">
        <f aca="false">A31+0.5</f>
        <v>21</v>
      </c>
      <c r="C31" s="4" t="str">
        <f aca="false">TEXT(INT(A31),"00")&amp;":"&amp;TEXT(ROUND(MOD(A31,1)*60,0),"00")&amp;"–"&amp;TEXT(INT(B31),"00")&amp;":"&amp;TEXT(ROUND(MOD(B31,1)*60,0),"00")</f>
        <v>20:30–21:00</v>
      </c>
      <c r="D31" s="4" t="n">
        <f aca="false">ROW()-1</f>
        <v>30</v>
      </c>
      <c r="E31" s="4" t="n">
        <f aca="false">COUNTIFS(Fact_Work!$AO:$AO,$A31)</f>
        <v>0</v>
      </c>
      <c r="F31" s="4" t="n">
        <f aca="false">IF(Constants!$B$13=0,0,ROUND(E31/Constants!$B$13,2))</f>
        <v>0</v>
      </c>
      <c r="G31" s="4" t="str">
        <f aca="false">IF(F31&gt;0,F31,"")</f>
        <v/>
      </c>
      <c r="H31" s="4" t="str">
        <f aca="false">IF(F31=0,"Off-peak",IF(F31&gt;=PERCENTILE($G$2:$G$33,Constants!$B$15),"Peak","Off-peak"))</f>
        <v>Off-peak</v>
      </c>
    </row>
    <row r="32" customFormat="false" ht="15" hidden="false" customHeight="true" outlineLevel="0" collapsed="false">
      <c r="A32" s="13" t="n">
        <v>21</v>
      </c>
      <c r="B32" s="52" t="n">
        <f aca="false">A32+0.5</f>
        <v>21.5</v>
      </c>
      <c r="C32" s="4" t="str">
        <f aca="false">TEXT(INT(A32),"00")&amp;":"&amp;TEXT(ROUND(MOD(A32,1)*60,0),"00")&amp;"–"&amp;TEXT(INT(B32),"00")&amp;":"&amp;TEXT(ROUND(MOD(B32,1)*60,0),"00")</f>
        <v>21:00–21:30</v>
      </c>
      <c r="D32" s="4" t="n">
        <f aca="false">ROW()-1</f>
        <v>31</v>
      </c>
      <c r="E32" s="4" t="n">
        <f aca="false">COUNTIFS(Fact_Work!$AO:$AO,$A32)</f>
        <v>0</v>
      </c>
      <c r="F32" s="4" t="n">
        <f aca="false">IF(Constants!$B$13=0,0,ROUND(E32/Constants!$B$13,2))</f>
        <v>0</v>
      </c>
      <c r="G32" s="4" t="str">
        <f aca="false">IF(F32&gt;0,F32,"")</f>
        <v/>
      </c>
      <c r="H32" s="4" t="str">
        <f aca="false">IF(F32=0,"Off-peak",IF(F32&gt;=PERCENTILE($G$2:$G$33,Constants!$B$15),"Peak","Off-peak"))</f>
        <v>Off-peak</v>
      </c>
    </row>
    <row r="33" customFormat="false" ht="15" hidden="false" customHeight="true" outlineLevel="0" collapsed="false">
      <c r="A33" s="13" t="n">
        <v>21.5</v>
      </c>
      <c r="B33" s="52" t="n">
        <f aca="false">A33+0.5</f>
        <v>22</v>
      </c>
      <c r="C33" s="4" t="str">
        <f aca="false">TEXT(INT(A33),"00")&amp;":"&amp;TEXT(ROUND(MOD(A33,1)*60,0),"00")&amp;"–"&amp;TEXT(INT(B33),"00")&amp;":"&amp;TEXT(ROUND(MOD(B33,1)*60,0),"00")</f>
        <v>21:30–22:00</v>
      </c>
      <c r="D33" s="4" t="n">
        <f aca="false">ROW()-1</f>
        <v>32</v>
      </c>
      <c r="E33" s="4" t="n">
        <f aca="false">COUNTIFS(Fact_Work!$AO:$AO,$A33)</f>
        <v>0</v>
      </c>
      <c r="F33" s="4" t="n">
        <f aca="false">IF(Constants!$B$13=0,0,ROUND(E33/Constants!$B$13,2))</f>
        <v>0</v>
      </c>
      <c r="G33" s="4" t="str">
        <f aca="false">IF(F33&gt;0,F33,"")</f>
        <v/>
      </c>
      <c r="H33" s="4" t="str">
        <f aca="false">IF(F33=0,"Off-peak",IF(F33&gt;=PERCENTILE($G$2:$G$33,Constants!$B$15),"Peak","Off-peak"))</f>
        <v>Off-peak</v>
      </c>
    </row>
    <row r="35" customFormat="false" ht="15" hidden="false" customHeight="true" outlineLevel="0" collapsed="false">
      <c r="A35" s="2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4"/>
  </cols>
  <sheetData>
    <row r="1" customFormat="false" ht="15" hidden="false" customHeight="true" outlineLevel="0" collapsed="false">
      <c r="A1" s="17" t="s">
        <v>651</v>
      </c>
      <c r="B1" s="18" t="s">
        <v>652</v>
      </c>
    </row>
    <row r="2" customFormat="false" ht="15" hidden="false" customHeight="true" outlineLevel="0" collapsed="false">
      <c r="A2" s="13" t="n">
        <v>6.5</v>
      </c>
      <c r="B2" s="4" t="str">
        <f aca="false">TEXT(INT(A2),"00")&amp;":"&amp;TEXT(ROUND(MOD(A2,1)*60,0),"00")</f>
        <v>06:30</v>
      </c>
    </row>
    <row r="3" customFormat="false" ht="15" hidden="false" customHeight="true" outlineLevel="0" collapsed="false">
      <c r="A3" s="13" t="n">
        <v>7</v>
      </c>
      <c r="B3" s="4" t="str">
        <f aca="false">TEXT(INT(A3),"00")&amp;":"&amp;TEXT(ROUND(MOD(A3,1)*60,0),"00")</f>
        <v>07:00</v>
      </c>
    </row>
    <row r="4" customFormat="false" ht="15" hidden="false" customHeight="true" outlineLevel="0" collapsed="false">
      <c r="A4" s="13" t="n">
        <v>7.5</v>
      </c>
      <c r="B4" s="4" t="str">
        <f aca="false">TEXT(INT(A4),"00")&amp;":"&amp;TEXT(ROUND(MOD(A4,1)*60,0),"00")</f>
        <v>07:30</v>
      </c>
    </row>
    <row r="5" customFormat="false" ht="15" hidden="false" customHeight="true" outlineLevel="0" collapsed="false">
      <c r="A5" s="13" t="n">
        <v>8</v>
      </c>
      <c r="B5" s="4" t="str">
        <f aca="false">TEXT(INT(A5),"00")&amp;":"&amp;TEXT(ROUND(MOD(A5,1)*60,0),"00")</f>
        <v>08:00</v>
      </c>
    </row>
    <row r="6" customFormat="false" ht="15" hidden="false" customHeight="true" outlineLevel="0" collapsed="false">
      <c r="A6" s="13" t="n">
        <v>8.5</v>
      </c>
      <c r="B6" s="4" t="str">
        <f aca="false">TEXT(INT(A6),"00")&amp;":"&amp;TEXT(ROUND(MOD(A6,1)*60,0),"00")</f>
        <v>08:30</v>
      </c>
    </row>
    <row r="7" customFormat="false" ht="15" hidden="false" customHeight="true" outlineLevel="0" collapsed="false">
      <c r="A7" s="13" t="n">
        <v>9</v>
      </c>
      <c r="B7" s="4" t="str">
        <f aca="false">TEXT(INT(A7),"00")&amp;":"&amp;TEXT(ROUND(MOD(A7,1)*60,0),"00")</f>
        <v>09:00</v>
      </c>
    </row>
    <row r="8" customFormat="false" ht="15" hidden="false" customHeight="true" outlineLevel="0" collapsed="false">
      <c r="A8" s="13" t="n">
        <v>9.5</v>
      </c>
      <c r="B8" s="4" t="str">
        <f aca="false">TEXT(INT(A8),"00")&amp;":"&amp;TEXT(ROUND(MOD(A8,1)*60,0),"00")</f>
        <v>09:30</v>
      </c>
    </row>
    <row r="9" customFormat="false" ht="15" hidden="false" customHeight="true" outlineLevel="0" collapsed="false">
      <c r="A9" s="13" t="n">
        <v>10</v>
      </c>
      <c r="B9" s="4" t="str">
        <f aca="false">TEXT(INT(A9),"00")&amp;":"&amp;TEXT(ROUND(MOD(A9,1)*60,0),"00")</f>
        <v>10:00</v>
      </c>
    </row>
    <row r="10" customFormat="false" ht="15" hidden="false" customHeight="true" outlineLevel="0" collapsed="false">
      <c r="A10" s="13" t="n">
        <v>10.5</v>
      </c>
      <c r="B10" s="4" t="str">
        <f aca="false">TEXT(INT(A10),"00")&amp;":"&amp;TEXT(ROUND(MOD(A10,1)*60,0),"00")</f>
        <v>10:30</v>
      </c>
    </row>
    <row r="11" customFormat="false" ht="15" hidden="false" customHeight="true" outlineLevel="0" collapsed="false">
      <c r="A11" s="13" t="n">
        <v>11</v>
      </c>
      <c r="B11" s="4" t="str">
        <f aca="false">TEXT(INT(A11),"00")&amp;":"&amp;TEXT(ROUND(MOD(A11,1)*60,0),"00")</f>
        <v>11:00</v>
      </c>
    </row>
    <row r="12" customFormat="false" ht="15" hidden="false" customHeight="true" outlineLevel="0" collapsed="false">
      <c r="A12" s="13" t="n">
        <v>11.5</v>
      </c>
      <c r="B12" s="4" t="str">
        <f aca="false">TEXT(INT(A12),"00")&amp;":"&amp;TEXT(ROUND(MOD(A12,1)*60,0),"00")</f>
        <v>11:30</v>
      </c>
    </row>
    <row r="13" customFormat="false" ht="15" hidden="false" customHeight="true" outlineLevel="0" collapsed="false">
      <c r="A13" s="13" t="n">
        <v>12</v>
      </c>
      <c r="B13" s="4" t="str">
        <f aca="false">TEXT(INT(A13),"00")&amp;":"&amp;TEXT(ROUND(MOD(A13,1)*60,0),"00")</f>
        <v>12:00</v>
      </c>
    </row>
    <row r="14" customFormat="false" ht="15" hidden="false" customHeight="true" outlineLevel="0" collapsed="false">
      <c r="A14" s="13" t="n">
        <v>12.5</v>
      </c>
      <c r="B14" s="4" t="str">
        <f aca="false">TEXT(INT(A14),"00")&amp;":"&amp;TEXT(ROUND(MOD(A14,1)*60,0),"00")</f>
        <v>12:30</v>
      </c>
    </row>
    <row r="15" customFormat="false" ht="15" hidden="false" customHeight="true" outlineLevel="0" collapsed="false">
      <c r="A15" s="13" t="n">
        <v>13</v>
      </c>
      <c r="B15" s="4" t="str">
        <f aca="false">TEXT(INT(A15),"00")&amp;":"&amp;TEXT(ROUND(MOD(A15,1)*60,0),"00")</f>
        <v>13:00</v>
      </c>
    </row>
    <row r="16" customFormat="false" ht="15" hidden="false" customHeight="true" outlineLevel="0" collapsed="false">
      <c r="A16" s="13" t="n">
        <v>13.5</v>
      </c>
      <c r="B16" s="4" t="str">
        <f aca="false">TEXT(INT(A16),"00")&amp;":"&amp;TEXT(ROUND(MOD(A16,1)*60,0),"00")</f>
        <v>13:30</v>
      </c>
    </row>
    <row r="17" customFormat="false" ht="15" hidden="false" customHeight="true" outlineLevel="0" collapsed="false">
      <c r="A17" s="13" t="n">
        <v>14</v>
      </c>
      <c r="B17" s="4" t="str">
        <f aca="false">TEXT(INT(A17),"00")&amp;":"&amp;TEXT(ROUND(MOD(A17,1)*60,0),"00")</f>
        <v>14:00</v>
      </c>
    </row>
    <row r="18" customFormat="false" ht="15" hidden="false" customHeight="true" outlineLevel="0" collapsed="false">
      <c r="A18" s="13" t="n">
        <v>14.5</v>
      </c>
      <c r="B18" s="4" t="str">
        <f aca="false">TEXT(INT(A18),"00")&amp;":"&amp;TEXT(ROUND(MOD(A18,1)*60,0),"00")</f>
        <v>14:30</v>
      </c>
    </row>
    <row r="19" customFormat="false" ht="15" hidden="false" customHeight="true" outlineLevel="0" collapsed="false">
      <c r="A19" s="13" t="n">
        <v>15</v>
      </c>
      <c r="B19" s="4" t="str">
        <f aca="false">TEXT(INT(A19),"00")&amp;":"&amp;TEXT(ROUND(MOD(A19,1)*60,0),"00")</f>
        <v>15:00</v>
      </c>
    </row>
    <row r="20" customFormat="false" ht="15" hidden="false" customHeight="true" outlineLevel="0" collapsed="false">
      <c r="A20" s="13" t="n">
        <v>15.5</v>
      </c>
      <c r="B20" s="4" t="str">
        <f aca="false">TEXT(INT(A20),"00")&amp;":"&amp;TEXT(ROUND(MOD(A20,1)*60,0),"00")</f>
        <v>15:30</v>
      </c>
    </row>
    <row r="21" customFormat="false" ht="15" hidden="false" customHeight="true" outlineLevel="0" collapsed="false">
      <c r="A21" s="13" t="n">
        <v>16</v>
      </c>
      <c r="B21" s="4" t="str">
        <f aca="false">TEXT(INT(A21),"00")&amp;":"&amp;TEXT(ROUND(MOD(A21,1)*60,0),"00")</f>
        <v>16:00</v>
      </c>
    </row>
    <row r="22" customFormat="false" ht="15" hidden="false" customHeight="true" outlineLevel="0" collapsed="false">
      <c r="A22" s="13" t="n">
        <v>16.5</v>
      </c>
      <c r="B22" s="4" t="str">
        <f aca="false">TEXT(INT(A22),"00")&amp;":"&amp;TEXT(ROUND(MOD(A22,1)*60,0),"00")</f>
        <v>16:30</v>
      </c>
    </row>
    <row r="23" customFormat="false" ht="15" hidden="false" customHeight="true" outlineLevel="0" collapsed="false">
      <c r="A23" s="13" t="n">
        <v>17</v>
      </c>
      <c r="B23" s="4" t="str">
        <f aca="false">TEXT(INT(A23),"00")&amp;":"&amp;TEXT(ROUND(MOD(A23,1)*60,0),"00")</f>
        <v>17:00</v>
      </c>
    </row>
    <row r="24" customFormat="false" ht="15" hidden="false" customHeight="true" outlineLevel="0" collapsed="false">
      <c r="A24" s="13" t="n">
        <v>17.5</v>
      </c>
      <c r="B24" s="4" t="str">
        <f aca="false">TEXT(INT(A24),"00")&amp;":"&amp;TEXT(ROUND(MOD(A24,1)*60,0),"00")</f>
        <v>17:30</v>
      </c>
    </row>
    <row r="25" customFormat="false" ht="15" hidden="false" customHeight="true" outlineLevel="0" collapsed="false">
      <c r="A25" s="13" t="n">
        <v>18</v>
      </c>
      <c r="B25" s="4" t="str">
        <f aca="false">TEXT(INT(A25),"00")&amp;":"&amp;TEXT(ROUND(MOD(A25,1)*60,0),"00")</f>
        <v>18:00</v>
      </c>
    </row>
    <row r="26" customFormat="false" ht="15" hidden="false" customHeight="true" outlineLevel="0" collapsed="false">
      <c r="A26" s="13" t="n">
        <v>18.5</v>
      </c>
      <c r="B26" s="4" t="str">
        <f aca="false">TEXT(INT(A26),"00")&amp;":"&amp;TEXT(ROUND(MOD(A26,1)*60,0),"00")</f>
        <v>18:30</v>
      </c>
    </row>
    <row r="27" customFormat="false" ht="15" hidden="false" customHeight="true" outlineLevel="0" collapsed="false">
      <c r="A27" s="13" t="n">
        <v>19</v>
      </c>
      <c r="B27" s="4" t="str">
        <f aca="false">TEXT(INT(A27),"00")&amp;":"&amp;TEXT(ROUND(MOD(A27,1)*60,0),"00")</f>
        <v>19:00</v>
      </c>
    </row>
    <row r="28" customFormat="false" ht="15" hidden="false" customHeight="true" outlineLevel="0" collapsed="false">
      <c r="A28" s="13" t="n">
        <v>19.5</v>
      </c>
      <c r="B28" s="4" t="str">
        <f aca="false">TEXT(INT(A28),"00")&amp;":"&amp;TEXT(ROUND(MOD(A28,1)*60,0),"00")</f>
        <v>19:30</v>
      </c>
    </row>
    <row r="29" customFormat="false" ht="15" hidden="false" customHeight="true" outlineLevel="0" collapsed="false">
      <c r="A29" s="13" t="n">
        <v>20</v>
      </c>
      <c r="B29" s="4" t="str">
        <f aca="false">TEXT(INT(A29),"00")&amp;":"&amp;TEXT(ROUND(MOD(A29,1)*60,0),"00")</f>
        <v>20:00</v>
      </c>
    </row>
    <row r="30" customFormat="false" ht="15" hidden="false" customHeight="true" outlineLevel="0" collapsed="false">
      <c r="A30" s="13" t="n">
        <v>20.5</v>
      </c>
      <c r="B30" s="4" t="str">
        <f aca="false">TEXT(INT(A30),"00")&amp;":"&amp;TEXT(ROUND(MOD(A30,1)*60,0),"00")</f>
        <v>20:30</v>
      </c>
    </row>
    <row r="31" customFormat="false" ht="15" hidden="false" customHeight="true" outlineLevel="0" collapsed="false">
      <c r="A31" s="13" t="n">
        <v>21</v>
      </c>
      <c r="B31" s="4" t="str">
        <f aca="false">TEXT(INT(A31),"00")&amp;":"&amp;TEXT(ROUND(MOD(A31,1)*60,0),"00")</f>
        <v>21:00</v>
      </c>
    </row>
    <row r="32" customFormat="false" ht="15" hidden="false" customHeight="true" outlineLevel="0" collapsed="false">
      <c r="A32" s="13" t="n">
        <v>21.5</v>
      </c>
      <c r="B32" s="4" t="str">
        <f aca="false">TEXT(INT(A32),"00")&amp;":"&amp;TEXT(ROUND(MOD(A32,1)*60,0),"00")</f>
        <v>21:30</v>
      </c>
    </row>
    <row r="33" customFormat="false" ht="15" hidden="false" customHeight="true" outlineLevel="0" collapsed="false">
      <c r="A33" s="13" t="n">
        <v>22</v>
      </c>
      <c r="B33" s="4" t="str">
        <f aca="false">TEXT(INT(A33),"00")&amp;":"&amp;TEXT(ROUND(MOD(A33,1)*60,0),"00")</f>
        <v>22:00</v>
      </c>
    </row>
    <row r="35" customFormat="false" ht="15" hidden="false" customHeight="true" outlineLevel="0" collapsed="false">
      <c r="A35" s="2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s>
  <sheetData>
    <row r="1" customFormat="false" ht="15" hidden="false" customHeight="true" outlineLevel="0" collapsed="false">
      <c r="A1" s="17" t="s">
        <v>653</v>
      </c>
      <c r="B1" s="17" t="s">
        <v>654</v>
      </c>
    </row>
    <row r="2" customFormat="false" ht="15" hidden="false" customHeight="true" outlineLevel="0" collapsed="false">
      <c r="A2" s="13" t="s">
        <v>655</v>
      </c>
      <c r="B2" s="13" t="n">
        <v>1</v>
      </c>
    </row>
    <row r="3" customFormat="false" ht="15" hidden="false" customHeight="true" outlineLevel="0" collapsed="false">
      <c r="A3" s="13" t="s">
        <v>656</v>
      </c>
      <c r="B3" s="13" t="n">
        <v>2</v>
      </c>
    </row>
    <row r="4" customFormat="false" ht="15" hidden="false" customHeight="true" outlineLevel="0" collapsed="false">
      <c r="A4" s="13" t="s">
        <v>657</v>
      </c>
      <c r="B4" s="13" t="n">
        <v>3</v>
      </c>
    </row>
    <row r="5" customFormat="false" ht="15" hidden="false" customHeight="true" outlineLevel="0" collapsed="false">
      <c r="A5" s="13" t="s">
        <v>658</v>
      </c>
      <c r="B5" s="13" t="n">
        <v>4</v>
      </c>
    </row>
    <row r="6" customFormat="false" ht="15" hidden="false" customHeight="true" outlineLevel="0" collapsed="false">
      <c r="A6" s="13" t="s">
        <v>659</v>
      </c>
      <c r="B6" s="13" t="n">
        <v>5</v>
      </c>
    </row>
    <row r="7" customFormat="false" ht="15" hidden="false" customHeight="true" outlineLevel="0" collapsed="false">
      <c r="A7" s="13" t="s">
        <v>660</v>
      </c>
      <c r="B7" s="13" t="n">
        <v>6</v>
      </c>
    </row>
    <row r="9" customFormat="false" ht="15" hidden="false" customHeight="true" outlineLevel="0" collapsed="false">
      <c r="A9" s="2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s>
  <sheetData>
    <row r="1" customFormat="false" ht="15" hidden="false" customHeight="false" outlineLevel="0" collapsed="false">
      <c r="A1" s="53" t="s">
        <v>661</v>
      </c>
      <c r="B1" s="53" t="s">
        <v>662</v>
      </c>
    </row>
    <row r="2" customFormat="false" ht="15" hidden="false" customHeight="false" outlineLevel="0" collapsed="false">
      <c r="A2" s="54" t="s">
        <v>663</v>
      </c>
      <c r="B2" s="54" t="n">
        <v>1</v>
      </c>
    </row>
    <row r="3" customFormat="false" ht="15" hidden="false" customHeight="false" outlineLevel="0" collapsed="false">
      <c r="A3" s="54" t="s">
        <v>664</v>
      </c>
      <c r="B3" s="54" t="n">
        <v>2</v>
      </c>
    </row>
    <row r="4" customFormat="false" ht="15" hidden="false" customHeight="false" outlineLevel="0" collapsed="false">
      <c r="A4" s="54" t="s">
        <v>665</v>
      </c>
      <c r="B4" s="54" t="n">
        <v>3</v>
      </c>
    </row>
    <row r="5" customFormat="false" ht="15" hidden="false" customHeight="false" outlineLevel="0" collapsed="false">
      <c r="A5" s="54" t="s">
        <v>666</v>
      </c>
      <c r="B5" s="54"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s>
  <sheetData>
    <row r="1" customFormat="false" ht="15" hidden="false" customHeight="false" outlineLevel="0" collapsed="false">
      <c r="A1" s="53" t="s">
        <v>667</v>
      </c>
      <c r="B1" s="53" t="s">
        <v>668</v>
      </c>
    </row>
    <row r="2" customFormat="false" ht="15" hidden="false" customHeight="false" outlineLevel="0" collapsed="false">
      <c r="A2" s="54" t="s">
        <v>669</v>
      </c>
      <c r="B2" s="54" t="n">
        <v>1</v>
      </c>
    </row>
    <row r="3" customFormat="false" ht="15" hidden="false" customHeight="false" outlineLevel="0" collapsed="false">
      <c r="A3" s="54" t="s">
        <v>670</v>
      </c>
      <c r="B3" s="54" t="n">
        <v>2</v>
      </c>
    </row>
    <row r="4" customFormat="false" ht="15" hidden="false" customHeight="false" outlineLevel="0" collapsed="false">
      <c r="A4" s="54" t="s">
        <v>671</v>
      </c>
      <c r="B4" s="54" t="n">
        <v>3</v>
      </c>
    </row>
    <row r="5" customFormat="false" ht="15" hidden="false" customHeight="false" outlineLevel="0" collapsed="false">
      <c r="A5" s="54" t="s">
        <v>672</v>
      </c>
      <c r="B5" s="54"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s>
  <sheetData>
    <row r="1" customFormat="false" ht="15" hidden="false" customHeight="false" outlineLevel="0" collapsed="false">
      <c r="A1" s="53" t="s">
        <v>499</v>
      </c>
      <c r="B1" s="53" t="s">
        <v>673</v>
      </c>
    </row>
    <row r="2" customFormat="false" ht="15" hidden="false" customHeight="false" outlineLevel="0" collapsed="false">
      <c r="A2" s="54" t="s">
        <v>674</v>
      </c>
      <c r="B2" s="54" t="n">
        <v>1</v>
      </c>
    </row>
    <row r="3" customFormat="false" ht="15" hidden="false" customHeight="false" outlineLevel="0" collapsed="false">
      <c r="A3" s="54" t="s">
        <v>671</v>
      </c>
      <c r="B3" s="54" t="n">
        <v>2</v>
      </c>
    </row>
    <row r="4" customFormat="false" ht="15" hidden="false" customHeight="false" outlineLevel="0" collapsed="false">
      <c r="A4" s="54" t="s">
        <v>669</v>
      </c>
      <c r="B4" s="54" t="n">
        <v>3</v>
      </c>
    </row>
    <row r="5" customFormat="false" ht="15" hidden="false" customHeight="false" outlineLevel="0" collapsed="false">
      <c r="A5" s="54" t="s">
        <v>675</v>
      </c>
      <c r="B5" s="54" t="n">
        <v>4</v>
      </c>
    </row>
    <row r="6" customFormat="false" ht="15" hidden="false" customHeight="false" outlineLevel="0" collapsed="false">
      <c r="A6" s="54" t="s">
        <v>676</v>
      </c>
      <c r="B6" s="54"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s>
  <sheetData>
    <row r="1" customFormat="false" ht="15" hidden="false" customHeight="false" outlineLevel="0" collapsed="false">
      <c r="A1" s="53" t="s">
        <v>677</v>
      </c>
      <c r="B1" s="53" t="s">
        <v>678</v>
      </c>
    </row>
    <row r="2" customFormat="false" ht="15" hidden="false" customHeight="false" outlineLevel="0" collapsed="false">
      <c r="A2" s="54" t="s">
        <v>679</v>
      </c>
      <c r="B2" s="54" t="n">
        <v>1</v>
      </c>
    </row>
    <row r="3" customFormat="false" ht="15" hidden="false" customHeight="false" outlineLevel="0" collapsed="false">
      <c r="A3" s="54" t="s">
        <v>680</v>
      </c>
      <c r="B3" s="54" t="n">
        <v>2</v>
      </c>
    </row>
    <row r="4" customFormat="false" ht="15" hidden="false" customHeight="false" outlineLevel="0" collapsed="false">
      <c r="A4" s="54" t="s">
        <v>681</v>
      </c>
      <c r="B4" s="54" t="n">
        <v>3</v>
      </c>
    </row>
    <row r="5" customFormat="false" ht="15" hidden="false" customHeight="false" outlineLevel="0" collapsed="false">
      <c r="A5" s="54" t="s">
        <v>682</v>
      </c>
      <c r="B5" s="54" t="n">
        <v>4</v>
      </c>
    </row>
    <row r="6" customFormat="false" ht="15" hidden="false" customHeight="false" outlineLevel="0" collapsed="false">
      <c r="A6" s="54" t="s">
        <v>683</v>
      </c>
      <c r="B6" s="54" t="n">
        <v>5</v>
      </c>
    </row>
    <row r="7" customFormat="false" ht="15" hidden="false" customHeight="false" outlineLevel="0" collapsed="false">
      <c r="A7" s="54" t="s">
        <v>684</v>
      </c>
      <c r="B7" s="54" t="n">
        <v>6</v>
      </c>
    </row>
    <row r="8" customFormat="false" ht="15" hidden="false" customHeight="false" outlineLevel="0" collapsed="false">
      <c r="A8" s="54" t="s">
        <v>685</v>
      </c>
      <c r="B8" s="54" t="n">
        <v>7</v>
      </c>
    </row>
    <row r="9" customFormat="false" ht="15" hidden="false" customHeight="false" outlineLevel="0" collapsed="false">
      <c r="A9" s="54" t="s">
        <v>686</v>
      </c>
      <c r="B9" s="54" t="n">
        <v>8</v>
      </c>
    </row>
    <row r="10" customFormat="false" ht="15" hidden="false" customHeight="false" outlineLevel="0" collapsed="false">
      <c r="A10" s="54" t="s">
        <v>687</v>
      </c>
      <c r="B10" s="54" t="n">
        <v>9</v>
      </c>
    </row>
    <row r="11" customFormat="false" ht="15" hidden="false" customHeight="false" outlineLevel="0" collapsed="false">
      <c r="A11" s="54" t="s">
        <v>688</v>
      </c>
      <c r="B11" s="54"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2"/>
  </cols>
  <sheetData>
    <row r="1" customFormat="false" ht="15" hidden="false" customHeight="false" outlineLevel="0" collapsed="false">
      <c r="A1" s="53" t="s">
        <v>689</v>
      </c>
      <c r="B1" s="53" t="s">
        <v>690</v>
      </c>
      <c r="C1" s="53" t="s">
        <v>691</v>
      </c>
    </row>
    <row r="2" customFormat="false" ht="15" hidden="false" customHeight="false" outlineLevel="0" collapsed="false">
      <c r="A2" s="54" t="n">
        <v>7</v>
      </c>
      <c r="B2" s="10" t="n">
        <f aca="false">A2+1</f>
        <v>8</v>
      </c>
      <c r="C2" s="10" t="str">
        <f aca="false">TEXT(A2,"00")&amp;":00"</f>
        <v>07:00</v>
      </c>
    </row>
    <row r="3" customFormat="false" ht="15" hidden="false" customHeight="false" outlineLevel="0" collapsed="false">
      <c r="A3" s="54" t="n">
        <v>8</v>
      </c>
      <c r="B3" s="10" t="n">
        <f aca="false">A3+1</f>
        <v>9</v>
      </c>
      <c r="C3" s="10" t="str">
        <f aca="false">TEXT(A3,"00")&amp;":00"</f>
        <v>08:00</v>
      </c>
    </row>
    <row r="4" customFormat="false" ht="15" hidden="false" customHeight="false" outlineLevel="0" collapsed="false">
      <c r="A4" s="54" t="n">
        <v>9</v>
      </c>
      <c r="B4" s="10" t="n">
        <f aca="false">A4+1</f>
        <v>10</v>
      </c>
      <c r="C4" s="10" t="str">
        <f aca="false">TEXT(A4,"00")&amp;":00"</f>
        <v>09:00</v>
      </c>
    </row>
    <row r="5" customFormat="false" ht="15" hidden="false" customHeight="false" outlineLevel="0" collapsed="false">
      <c r="A5" s="54" t="n">
        <v>10</v>
      </c>
      <c r="B5" s="10" t="n">
        <f aca="false">A5+1</f>
        <v>11</v>
      </c>
      <c r="C5" s="10" t="str">
        <f aca="false">TEXT(A5,"00")&amp;":00"</f>
        <v>10:00</v>
      </c>
    </row>
    <row r="6" customFormat="false" ht="15" hidden="false" customHeight="false" outlineLevel="0" collapsed="false">
      <c r="A6" s="54" t="n">
        <v>11</v>
      </c>
      <c r="B6" s="10" t="n">
        <f aca="false">A6+1</f>
        <v>12</v>
      </c>
      <c r="C6" s="10" t="str">
        <f aca="false">TEXT(A6,"00")&amp;":00"</f>
        <v>11:00</v>
      </c>
    </row>
    <row r="7" customFormat="false" ht="15" hidden="false" customHeight="false" outlineLevel="0" collapsed="false">
      <c r="A7" s="54" t="n">
        <v>12</v>
      </c>
      <c r="B7" s="10" t="n">
        <f aca="false">A7+1</f>
        <v>13</v>
      </c>
      <c r="C7" s="10" t="str">
        <f aca="false">TEXT(A7,"00")&amp;":00"</f>
        <v>12:00</v>
      </c>
    </row>
    <row r="8" customFormat="false" ht="15" hidden="false" customHeight="false" outlineLevel="0" collapsed="false">
      <c r="A8" s="54" t="n">
        <v>13</v>
      </c>
      <c r="B8" s="10" t="n">
        <f aca="false">A8+1</f>
        <v>14</v>
      </c>
      <c r="C8" s="10" t="str">
        <f aca="false">TEXT(A8,"00")&amp;":00"</f>
        <v>13:00</v>
      </c>
    </row>
    <row r="9" customFormat="false" ht="15" hidden="false" customHeight="false" outlineLevel="0" collapsed="false">
      <c r="A9" s="54" t="n">
        <v>14</v>
      </c>
      <c r="B9" s="10" t="n">
        <f aca="false">A9+1</f>
        <v>15</v>
      </c>
      <c r="C9" s="10" t="str">
        <f aca="false">TEXT(A9,"00")&amp;":00"</f>
        <v>14:00</v>
      </c>
    </row>
    <row r="10" customFormat="false" ht="15" hidden="false" customHeight="false" outlineLevel="0" collapsed="false">
      <c r="A10" s="54" t="n">
        <v>15</v>
      </c>
      <c r="B10" s="10" t="n">
        <f aca="false">A10+1</f>
        <v>16</v>
      </c>
      <c r="C10" s="10" t="str">
        <f aca="false">TEXT(A10,"00")&amp;":00"</f>
        <v>15:00</v>
      </c>
    </row>
    <row r="11" customFormat="false" ht="15" hidden="false" customHeight="false" outlineLevel="0" collapsed="false">
      <c r="A11" s="54" t="n">
        <v>16</v>
      </c>
      <c r="B11" s="10" t="n">
        <f aca="false">A11+1</f>
        <v>17</v>
      </c>
      <c r="C11" s="10" t="str">
        <f aca="false">TEXT(A11,"00")&amp;":00"</f>
        <v>16:00</v>
      </c>
    </row>
    <row r="12" customFormat="false" ht="15" hidden="false" customHeight="false" outlineLevel="0" collapsed="false">
      <c r="A12" s="54" t="n">
        <v>17</v>
      </c>
      <c r="B12" s="10" t="n">
        <f aca="false">A12+1</f>
        <v>18</v>
      </c>
      <c r="C12" s="10" t="str">
        <f aca="false">TEXT(A12,"00")&amp;":00"</f>
        <v>17:00</v>
      </c>
    </row>
    <row r="13" customFormat="false" ht="15" hidden="false" customHeight="false" outlineLevel="0" collapsed="false">
      <c r="A13" s="54" t="n">
        <v>18</v>
      </c>
      <c r="B13" s="10" t="n">
        <f aca="false">A13+1</f>
        <v>19</v>
      </c>
      <c r="C13" s="10" t="str">
        <f aca="false">TEXT(A13,"00")&amp;":00"</f>
        <v>18:00</v>
      </c>
    </row>
    <row r="14" customFormat="false" ht="15" hidden="false" customHeight="false" outlineLevel="0" collapsed="false">
      <c r="A14" s="54" t="n">
        <v>19</v>
      </c>
      <c r="B14" s="10" t="n">
        <f aca="false">A14+1</f>
        <v>20</v>
      </c>
      <c r="C14" s="10" t="str">
        <f aca="false">TEXT(A14,"00")&amp;":00"</f>
        <v>19:00</v>
      </c>
    </row>
    <row r="15" customFormat="false" ht="15" hidden="false" customHeight="false" outlineLevel="0" collapsed="false">
      <c r="A15" s="54" t="n">
        <v>20</v>
      </c>
      <c r="B15" s="10" t="n">
        <f aca="false">A15+1</f>
        <v>21</v>
      </c>
      <c r="C15" s="10" t="str">
        <f aca="false">TEXT(A15,"00")&amp;":00"</f>
        <v>20:00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3A5E"/>
    <pageSetUpPr fitToPage="false"/>
  </sheetPr>
  <dimension ref="A1:G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22"/>
    <col collapsed="false" customWidth="true" hidden="false" outlineLevel="0" max="4" min="4" style="0" width="30"/>
    <col collapsed="false" customWidth="true" hidden="false" outlineLevel="0" max="5" min="5" style="0" width="60"/>
    <col collapsed="false" customWidth="true" hidden="false" outlineLevel="0" max="6" min="6" style="0" width="40"/>
    <col collapsed="false" customWidth="true" hidden="false" outlineLevel="0" max="7" min="7" style="0" width="50"/>
  </cols>
  <sheetData>
    <row r="1" customFormat="false" ht="15" hidden="false" customHeight="false" outlineLevel="0" collapsed="false">
      <c r="A1" s="8" t="s">
        <v>692</v>
      </c>
      <c r="B1" s="9"/>
      <c r="C1" s="9"/>
      <c r="D1" s="9"/>
      <c r="E1" s="9"/>
      <c r="F1" s="9"/>
      <c r="G1" s="9"/>
    </row>
    <row r="2" customFormat="false" ht="30" hidden="false" customHeight="true" outlineLevel="0" collapsed="false">
      <c r="A2" s="55" t="s">
        <v>693</v>
      </c>
      <c r="B2" s="55"/>
      <c r="C2" s="55"/>
      <c r="D2" s="55"/>
      <c r="E2" s="55"/>
      <c r="F2" s="55"/>
      <c r="G2" s="55"/>
    </row>
    <row r="4" customFormat="false" ht="15" hidden="false" customHeight="false" outlineLevel="0" collapsed="false">
      <c r="A4" s="8" t="s">
        <v>694</v>
      </c>
      <c r="B4" s="9"/>
      <c r="C4" s="9"/>
      <c r="D4" s="9"/>
      <c r="E4" s="9"/>
      <c r="F4" s="9"/>
      <c r="G4" s="9"/>
    </row>
    <row r="5" customFormat="false" ht="15" hidden="false" customHeight="false" outlineLevel="0" collapsed="false">
      <c r="A5" s="53" t="s">
        <v>695</v>
      </c>
      <c r="B5" s="53" t="s">
        <v>696</v>
      </c>
      <c r="C5" s="53" t="s">
        <v>697</v>
      </c>
      <c r="D5" s="53" t="s">
        <v>698</v>
      </c>
      <c r="E5" s="53" t="s">
        <v>699</v>
      </c>
      <c r="F5" s="53" t="s">
        <v>700</v>
      </c>
      <c r="G5" s="53" t="s">
        <v>701</v>
      </c>
    </row>
    <row r="6" customFormat="false" ht="15" hidden="false" customHeight="false" outlineLevel="0" collapsed="false">
      <c r="A6" s="5" t="s">
        <v>702</v>
      </c>
      <c r="B6" s="5" t="s">
        <v>703</v>
      </c>
      <c r="C6" s="5" t="s">
        <v>704</v>
      </c>
      <c r="D6" s="5"/>
      <c r="E6" s="5" t="s">
        <v>705</v>
      </c>
      <c r="F6" s="5" t="s">
        <v>706</v>
      </c>
      <c r="G6" s="5"/>
    </row>
    <row r="7" customFormat="false" ht="15" hidden="false" customHeight="false" outlineLevel="0" collapsed="false">
      <c r="A7" s="5" t="s">
        <v>702</v>
      </c>
      <c r="B7" s="5" t="s">
        <v>707</v>
      </c>
      <c r="C7" s="5" t="s">
        <v>704</v>
      </c>
      <c r="D7" s="5"/>
      <c r="E7" s="5" t="s">
        <v>708</v>
      </c>
      <c r="F7" s="5" t="s">
        <v>709</v>
      </c>
      <c r="G7" s="5"/>
    </row>
    <row r="8" customFormat="false" ht="15" hidden="false" customHeight="false" outlineLevel="0" collapsed="false">
      <c r="A8" s="5" t="s">
        <v>702</v>
      </c>
      <c r="B8" s="5" t="s">
        <v>710</v>
      </c>
      <c r="C8" s="5" t="s">
        <v>711</v>
      </c>
      <c r="D8" s="5"/>
      <c r="E8" s="5" t="s">
        <v>712</v>
      </c>
      <c r="F8" s="5"/>
      <c r="G8" s="5"/>
    </row>
    <row r="9" customFormat="false" ht="23.85" hidden="false" customHeight="false" outlineLevel="0" collapsed="false">
      <c r="A9" s="5" t="s">
        <v>702</v>
      </c>
      <c r="B9" s="5" t="s">
        <v>713</v>
      </c>
      <c r="C9" s="5" t="s">
        <v>711</v>
      </c>
      <c r="D9" s="5"/>
      <c r="E9" s="5" t="s">
        <v>714</v>
      </c>
      <c r="F9" s="5"/>
      <c r="G9" s="5" t="s">
        <v>715</v>
      </c>
    </row>
    <row r="10" customFormat="false" ht="15" hidden="false" customHeight="false" outlineLevel="0" collapsed="false">
      <c r="A10" s="5" t="s">
        <v>702</v>
      </c>
      <c r="B10" s="5" t="s">
        <v>716</v>
      </c>
      <c r="C10" s="5" t="s">
        <v>711</v>
      </c>
      <c r="D10" s="5"/>
      <c r="E10" s="5" t="s">
        <v>717</v>
      </c>
      <c r="F10" s="5"/>
      <c r="G10" s="5"/>
    </row>
    <row r="11" customFormat="false" ht="23.85" hidden="false" customHeight="false" outlineLevel="0" collapsed="false">
      <c r="A11" s="5" t="s">
        <v>702</v>
      </c>
      <c r="B11" s="5" t="s">
        <v>718</v>
      </c>
      <c r="C11" s="5" t="s">
        <v>711</v>
      </c>
      <c r="D11" s="5"/>
      <c r="E11" s="5" t="s">
        <v>719</v>
      </c>
      <c r="F11" s="5"/>
      <c r="G11" s="5" t="s">
        <v>720</v>
      </c>
    </row>
    <row r="12" customFormat="false" ht="23.85" hidden="false" customHeight="false" outlineLevel="0" collapsed="false">
      <c r="A12" s="5" t="s">
        <v>702</v>
      </c>
      <c r="B12" s="5" t="s">
        <v>721</v>
      </c>
      <c r="C12" s="5" t="s">
        <v>711</v>
      </c>
      <c r="D12" s="5"/>
      <c r="E12" s="5" t="s">
        <v>722</v>
      </c>
      <c r="F12" s="5"/>
      <c r="G12" s="5" t="s">
        <v>723</v>
      </c>
    </row>
    <row r="13" customFormat="false" ht="35.05" hidden="false" customHeight="false" outlineLevel="0" collapsed="false">
      <c r="A13" s="5" t="s">
        <v>702</v>
      </c>
      <c r="B13" s="5" t="s">
        <v>724</v>
      </c>
      <c r="C13" s="5" t="s">
        <v>725</v>
      </c>
      <c r="D13" s="5" t="s">
        <v>726</v>
      </c>
      <c r="E13" s="5" t="s">
        <v>727</v>
      </c>
      <c r="F13" s="5" t="s">
        <v>728</v>
      </c>
      <c r="G13" s="5" t="s">
        <v>729</v>
      </c>
    </row>
    <row r="14" customFormat="false" ht="23.85" hidden="false" customHeight="false" outlineLevel="0" collapsed="false">
      <c r="A14" s="5" t="s">
        <v>702</v>
      </c>
      <c r="B14" s="5" t="s">
        <v>730</v>
      </c>
      <c r="C14" s="5" t="s">
        <v>731</v>
      </c>
      <c r="D14" s="5" t="s">
        <v>732</v>
      </c>
      <c r="E14" s="5" t="s">
        <v>733</v>
      </c>
      <c r="F14" s="5" t="s">
        <v>734</v>
      </c>
      <c r="G14" s="5" t="s">
        <v>735</v>
      </c>
    </row>
    <row r="15" customFormat="false" ht="23.85" hidden="false" customHeight="false" outlineLevel="0" collapsed="false">
      <c r="A15" s="5" t="s">
        <v>702</v>
      </c>
      <c r="B15" s="5" t="s">
        <v>736</v>
      </c>
      <c r="C15" s="5" t="s">
        <v>725</v>
      </c>
      <c r="D15" s="5" t="s">
        <v>726</v>
      </c>
      <c r="E15" s="5" t="s">
        <v>737</v>
      </c>
      <c r="F15" s="5" t="s">
        <v>738</v>
      </c>
      <c r="G15" s="5" t="s">
        <v>739</v>
      </c>
    </row>
    <row r="16" customFormat="false" ht="23.85" hidden="false" customHeight="false" outlineLevel="0" collapsed="false">
      <c r="A16" s="5" t="s">
        <v>702</v>
      </c>
      <c r="B16" s="5" t="s">
        <v>740</v>
      </c>
      <c r="C16" s="5" t="s">
        <v>725</v>
      </c>
      <c r="D16" s="5" t="s">
        <v>726</v>
      </c>
      <c r="E16" s="5" t="s">
        <v>741</v>
      </c>
      <c r="F16" s="5" t="s">
        <v>742</v>
      </c>
      <c r="G16" s="5"/>
    </row>
    <row r="17" customFormat="false" ht="23.85" hidden="false" customHeight="false" outlineLevel="0" collapsed="false">
      <c r="A17" s="5" t="s">
        <v>702</v>
      </c>
      <c r="B17" s="5" t="s">
        <v>743</v>
      </c>
      <c r="C17" s="5" t="s">
        <v>744</v>
      </c>
      <c r="D17" s="5" t="s">
        <v>745</v>
      </c>
      <c r="E17" s="5" t="s">
        <v>746</v>
      </c>
      <c r="F17" s="5" t="s">
        <v>747</v>
      </c>
      <c r="G17" s="5" t="s">
        <v>748</v>
      </c>
    </row>
    <row r="18" customFormat="false" ht="46.25" hidden="false" customHeight="false" outlineLevel="0" collapsed="false">
      <c r="A18" s="5" t="s">
        <v>702</v>
      </c>
      <c r="B18" s="5" t="s">
        <v>749</v>
      </c>
      <c r="C18" s="5" t="s">
        <v>750</v>
      </c>
      <c r="D18" s="5" t="s">
        <v>751</v>
      </c>
      <c r="E18" s="5" t="s">
        <v>752</v>
      </c>
      <c r="F18" s="5" t="s">
        <v>753</v>
      </c>
      <c r="G18" s="5" t="s">
        <v>754</v>
      </c>
    </row>
    <row r="19" customFormat="false" ht="35.05" hidden="false" customHeight="false" outlineLevel="0" collapsed="false">
      <c r="A19" s="5" t="s">
        <v>755</v>
      </c>
      <c r="B19" s="5" t="s">
        <v>756</v>
      </c>
      <c r="C19" s="5" t="s">
        <v>757</v>
      </c>
      <c r="D19" s="5"/>
      <c r="E19" s="5" t="s">
        <v>758</v>
      </c>
      <c r="F19" s="5" t="s">
        <v>759</v>
      </c>
      <c r="G19" s="5"/>
    </row>
    <row r="20" customFormat="false" ht="15" hidden="false" customHeight="false" outlineLevel="0" collapsed="false">
      <c r="A20" s="5" t="s">
        <v>755</v>
      </c>
      <c r="B20" s="5" t="s">
        <v>760</v>
      </c>
      <c r="C20" s="5" t="s">
        <v>711</v>
      </c>
      <c r="D20" s="5"/>
      <c r="E20" s="5" t="s">
        <v>761</v>
      </c>
      <c r="F20" s="5"/>
      <c r="G20" s="5"/>
    </row>
    <row r="21" customFormat="false" ht="15" hidden="false" customHeight="false" outlineLevel="0" collapsed="false">
      <c r="A21" s="5" t="s">
        <v>755</v>
      </c>
      <c r="B21" s="5" t="s">
        <v>762</v>
      </c>
      <c r="C21" s="5" t="s">
        <v>711</v>
      </c>
      <c r="D21" s="5"/>
      <c r="E21" s="5" t="s">
        <v>763</v>
      </c>
      <c r="F21" s="5"/>
      <c r="G21" s="5"/>
    </row>
    <row r="22" customFormat="false" ht="15" hidden="false" customHeight="false" outlineLevel="0" collapsed="false">
      <c r="A22" s="5" t="s">
        <v>755</v>
      </c>
      <c r="B22" s="5" t="s">
        <v>764</v>
      </c>
      <c r="C22" s="5" t="s">
        <v>711</v>
      </c>
      <c r="D22" s="5"/>
      <c r="E22" s="5" t="s">
        <v>765</v>
      </c>
      <c r="F22" s="5"/>
      <c r="G22" s="5"/>
    </row>
    <row r="23" customFormat="false" ht="15" hidden="false" customHeight="false" outlineLevel="0" collapsed="false">
      <c r="A23" s="5" t="s">
        <v>755</v>
      </c>
      <c r="B23" s="5" t="s">
        <v>766</v>
      </c>
      <c r="C23" s="5" t="s">
        <v>711</v>
      </c>
      <c r="D23" s="5"/>
      <c r="E23" s="5" t="s">
        <v>767</v>
      </c>
      <c r="F23" s="5"/>
      <c r="G23" s="5"/>
    </row>
    <row r="24" customFormat="false" ht="15" hidden="false" customHeight="false" outlineLevel="0" collapsed="false">
      <c r="A24" s="5" t="s">
        <v>755</v>
      </c>
      <c r="B24" s="5" t="s">
        <v>768</v>
      </c>
      <c r="C24" s="5" t="s">
        <v>711</v>
      </c>
      <c r="D24" s="5"/>
      <c r="E24" s="5" t="s">
        <v>769</v>
      </c>
      <c r="F24" s="5"/>
      <c r="G24" s="5"/>
    </row>
    <row r="25" customFormat="false" ht="35.05" hidden="false" customHeight="false" outlineLevel="0" collapsed="false">
      <c r="A25" s="5" t="s">
        <v>755</v>
      </c>
      <c r="B25" s="5" t="s">
        <v>770</v>
      </c>
      <c r="C25" s="5" t="s">
        <v>744</v>
      </c>
      <c r="D25" s="5" t="s">
        <v>771</v>
      </c>
      <c r="E25" s="5" t="s">
        <v>772</v>
      </c>
      <c r="F25" s="5" t="s">
        <v>773</v>
      </c>
      <c r="G25" s="5" t="s">
        <v>774</v>
      </c>
    </row>
    <row r="26" customFormat="false" ht="46.25" hidden="false" customHeight="false" outlineLevel="0" collapsed="false">
      <c r="A26" s="5" t="s">
        <v>755</v>
      </c>
      <c r="B26" s="5" t="s">
        <v>186</v>
      </c>
      <c r="C26" s="5" t="s">
        <v>775</v>
      </c>
      <c r="D26" s="5" t="s">
        <v>776</v>
      </c>
      <c r="E26" s="5" t="s">
        <v>777</v>
      </c>
      <c r="F26" s="5" t="s">
        <v>778</v>
      </c>
      <c r="G26" s="5" t="s">
        <v>779</v>
      </c>
    </row>
    <row r="27" customFormat="false" ht="23.85" hidden="false" customHeight="false" outlineLevel="0" collapsed="false">
      <c r="A27" s="5" t="s">
        <v>755</v>
      </c>
      <c r="B27" s="5" t="s">
        <v>780</v>
      </c>
      <c r="C27" s="5" t="s">
        <v>731</v>
      </c>
      <c r="D27" s="5" t="s">
        <v>781</v>
      </c>
      <c r="E27" s="5" t="s">
        <v>782</v>
      </c>
      <c r="F27" s="5" t="s">
        <v>783</v>
      </c>
      <c r="G27" s="5" t="s">
        <v>784</v>
      </c>
    </row>
    <row r="29" customFormat="false" ht="15" hidden="false" customHeight="false" outlineLevel="0" collapsed="false">
      <c r="A29" s="8" t="s">
        <v>785</v>
      </c>
      <c r="B29" s="9"/>
      <c r="C29" s="9"/>
      <c r="D29" s="9"/>
      <c r="E29" s="9"/>
      <c r="F29" s="9"/>
      <c r="G29" s="9"/>
    </row>
    <row r="30" customFormat="false" ht="15" hidden="false" customHeight="false" outlineLevel="0" collapsed="false">
      <c r="A30" s="53" t="s">
        <v>786</v>
      </c>
      <c r="B30" s="53" t="s">
        <v>787</v>
      </c>
      <c r="C30" s="53" t="s">
        <v>701</v>
      </c>
    </row>
    <row r="31" customFormat="false" ht="35.05" hidden="false" customHeight="false" outlineLevel="0" collapsed="false">
      <c r="A31" s="10" t="s">
        <v>788</v>
      </c>
      <c r="B31" s="10" t="s">
        <v>789</v>
      </c>
      <c r="C31" s="5" t="s">
        <v>790</v>
      </c>
    </row>
    <row r="32" customFormat="false" ht="35.05" hidden="false" customHeight="false" outlineLevel="0" collapsed="false">
      <c r="A32" s="10" t="s">
        <v>791</v>
      </c>
      <c r="B32" s="10" t="s">
        <v>792</v>
      </c>
      <c r="C32" s="5" t="s">
        <v>793</v>
      </c>
    </row>
    <row r="33" customFormat="false" ht="23.85" hidden="false" customHeight="false" outlineLevel="0" collapsed="false">
      <c r="A33" s="10" t="s">
        <v>794</v>
      </c>
      <c r="B33" s="10" t="s">
        <v>792</v>
      </c>
      <c r="C33" s="5" t="s">
        <v>795</v>
      </c>
    </row>
    <row r="34" customFormat="false" ht="23.85" hidden="false" customHeight="false" outlineLevel="0" collapsed="false">
      <c r="A34" s="10" t="s">
        <v>796</v>
      </c>
      <c r="B34" s="10" t="s">
        <v>797</v>
      </c>
      <c r="C34" s="5" t="s">
        <v>798</v>
      </c>
    </row>
    <row r="36" customFormat="false" ht="15" hidden="false" customHeight="false" outlineLevel="0" collapsed="false">
      <c r="A36" s="8" t="s">
        <v>799</v>
      </c>
      <c r="B36" s="9"/>
      <c r="C36" s="9"/>
      <c r="D36" s="9"/>
      <c r="E36" s="9"/>
      <c r="F36" s="9"/>
      <c r="G36" s="9"/>
    </row>
    <row r="37" customFormat="false" ht="15" hidden="false" customHeight="false" outlineLevel="0" collapsed="false">
      <c r="A37" s="53" t="s">
        <v>800</v>
      </c>
      <c r="B37" s="53" t="s">
        <v>801</v>
      </c>
      <c r="C37" s="53" t="s">
        <v>802</v>
      </c>
      <c r="D37" s="53" t="s">
        <v>803</v>
      </c>
      <c r="E37" s="53" t="s">
        <v>804</v>
      </c>
      <c r="F37" s="53" t="s">
        <v>805</v>
      </c>
    </row>
    <row r="38" customFormat="false" ht="23.85" hidden="false" customHeight="false" outlineLevel="0" collapsed="false">
      <c r="A38" s="5" t="s">
        <v>806</v>
      </c>
      <c r="B38" s="5" t="s">
        <v>47</v>
      </c>
      <c r="C38" s="5" t="s">
        <v>807</v>
      </c>
      <c r="D38" s="5" t="s">
        <v>808</v>
      </c>
      <c r="E38" s="5" t="s">
        <v>809</v>
      </c>
      <c r="F38" s="5" t="s">
        <v>810</v>
      </c>
    </row>
    <row r="39" customFormat="false" ht="23.85" hidden="false" customHeight="false" outlineLevel="0" collapsed="false">
      <c r="A39" s="5" t="s">
        <v>811</v>
      </c>
      <c r="B39" s="5" t="s">
        <v>47</v>
      </c>
      <c r="C39" s="5" t="s">
        <v>807</v>
      </c>
      <c r="D39" s="5" t="s">
        <v>808</v>
      </c>
      <c r="E39" s="5" t="s">
        <v>812</v>
      </c>
      <c r="F39" s="5" t="s">
        <v>813</v>
      </c>
    </row>
    <row r="40" customFormat="false" ht="15" hidden="false" customHeight="false" outlineLevel="0" collapsed="false">
      <c r="A40" s="5" t="s">
        <v>814</v>
      </c>
      <c r="B40" s="5" t="s">
        <v>47</v>
      </c>
      <c r="C40" s="5" t="s">
        <v>807</v>
      </c>
      <c r="D40" s="5" t="s">
        <v>815</v>
      </c>
      <c r="E40" s="5" t="s">
        <v>816</v>
      </c>
      <c r="F40" s="5" t="s">
        <v>817</v>
      </c>
    </row>
    <row r="41" customFormat="false" ht="23.85" hidden="false" customHeight="false" outlineLevel="0" collapsed="false">
      <c r="A41" s="5" t="s">
        <v>818</v>
      </c>
      <c r="B41" s="5" t="s">
        <v>41</v>
      </c>
      <c r="C41" s="5" t="s">
        <v>807</v>
      </c>
      <c r="D41" s="5" t="s">
        <v>808</v>
      </c>
      <c r="E41" s="5" t="s">
        <v>819</v>
      </c>
      <c r="F41" s="5" t="s">
        <v>820</v>
      </c>
    </row>
    <row r="42" customFormat="false" ht="15" hidden="false" customHeight="false" outlineLevel="0" collapsed="false">
      <c r="A42" s="5" t="s">
        <v>821</v>
      </c>
      <c r="B42" s="5" t="s">
        <v>41</v>
      </c>
      <c r="C42" s="5" t="s">
        <v>807</v>
      </c>
      <c r="D42" s="5" t="s">
        <v>808</v>
      </c>
      <c r="E42" s="5" t="s">
        <v>822</v>
      </c>
      <c r="F42" s="5" t="s">
        <v>823</v>
      </c>
    </row>
    <row r="43" customFormat="false" ht="158.2" hidden="false" customHeight="false" outlineLevel="0" collapsed="false">
      <c r="A43" s="5" t="s">
        <v>824</v>
      </c>
      <c r="B43" s="5" t="s">
        <v>47</v>
      </c>
      <c r="C43" s="5" t="s">
        <v>807</v>
      </c>
      <c r="D43" s="5"/>
      <c r="E43" s="5" t="s">
        <v>825</v>
      </c>
      <c r="F43" s="5" t="s">
        <v>826</v>
      </c>
    </row>
    <row r="44" customFormat="false" ht="79.85" hidden="false" customHeight="false" outlineLevel="0" collapsed="false">
      <c r="A44" s="5" t="s">
        <v>827</v>
      </c>
      <c r="B44" s="5" t="s">
        <v>41</v>
      </c>
      <c r="C44" s="5" t="s">
        <v>807</v>
      </c>
      <c r="D44" s="5"/>
      <c r="E44" s="5" t="s">
        <v>828</v>
      </c>
      <c r="F44" s="5" t="s">
        <v>829</v>
      </c>
    </row>
    <row r="45" customFormat="false" ht="57.45" hidden="false" customHeight="false" outlineLevel="0" collapsed="false">
      <c r="A45" s="5" t="s">
        <v>830</v>
      </c>
      <c r="B45" s="5" t="s">
        <v>103</v>
      </c>
      <c r="C45" s="5" t="s">
        <v>831</v>
      </c>
      <c r="D45" s="5"/>
      <c r="E45" s="5" t="s">
        <v>832</v>
      </c>
      <c r="F45" s="5" t="s">
        <v>833</v>
      </c>
    </row>
    <row r="46" customFormat="false" ht="23.85" hidden="false" customHeight="false" outlineLevel="0" collapsed="false">
      <c r="A46" s="5" t="s">
        <v>834</v>
      </c>
      <c r="B46" s="5" t="s">
        <v>103</v>
      </c>
      <c r="C46" s="5" t="s">
        <v>831</v>
      </c>
      <c r="D46" s="5" t="s">
        <v>808</v>
      </c>
      <c r="E46" s="5" t="s">
        <v>835</v>
      </c>
      <c r="F46" s="5"/>
    </row>
    <row r="47" customFormat="false" ht="23.85" hidden="false" customHeight="false" outlineLevel="0" collapsed="false">
      <c r="A47" s="5" t="s">
        <v>836</v>
      </c>
      <c r="B47" s="5" t="s">
        <v>103</v>
      </c>
      <c r="C47" s="5" t="s">
        <v>831</v>
      </c>
      <c r="D47" s="5" t="s">
        <v>808</v>
      </c>
      <c r="E47" s="5" t="s">
        <v>837</v>
      </c>
      <c r="F47" s="5"/>
    </row>
    <row r="48" customFormat="false" ht="23.85" hidden="false" customHeight="false" outlineLevel="0" collapsed="false">
      <c r="A48" s="5" t="s">
        <v>838</v>
      </c>
      <c r="B48" s="5" t="s">
        <v>103</v>
      </c>
      <c r="C48" s="5" t="s">
        <v>831</v>
      </c>
      <c r="D48" s="5" t="s">
        <v>839</v>
      </c>
      <c r="E48" s="5" t="s">
        <v>840</v>
      </c>
      <c r="F48" s="5" t="s">
        <v>841</v>
      </c>
    </row>
    <row r="49" customFormat="false" ht="23.85" hidden="false" customHeight="false" outlineLevel="0" collapsed="false">
      <c r="A49" s="5" t="s">
        <v>842</v>
      </c>
      <c r="B49" s="5" t="s">
        <v>103</v>
      </c>
      <c r="C49" s="5" t="s">
        <v>831</v>
      </c>
      <c r="D49" s="5"/>
      <c r="E49" s="5" t="s">
        <v>843</v>
      </c>
      <c r="F49" s="5" t="s">
        <v>844</v>
      </c>
    </row>
    <row r="50" customFormat="false" ht="57.45" hidden="false" customHeight="false" outlineLevel="0" collapsed="false">
      <c r="A50" s="5" t="s">
        <v>845</v>
      </c>
      <c r="B50" s="5" t="s">
        <v>45</v>
      </c>
      <c r="C50" s="5" t="s">
        <v>831</v>
      </c>
      <c r="D50" s="5" t="s">
        <v>808</v>
      </c>
      <c r="E50" s="5" t="s">
        <v>846</v>
      </c>
      <c r="F50" s="5" t="s">
        <v>847</v>
      </c>
    </row>
    <row r="51" customFormat="false" ht="57.45" hidden="false" customHeight="false" outlineLevel="0" collapsed="false">
      <c r="A51" s="5" t="s">
        <v>848</v>
      </c>
      <c r="B51" s="5" t="s">
        <v>45</v>
      </c>
      <c r="C51" s="5" t="s">
        <v>831</v>
      </c>
      <c r="D51" s="5" t="s">
        <v>808</v>
      </c>
      <c r="E51" s="5" t="s">
        <v>849</v>
      </c>
      <c r="F51" s="5"/>
    </row>
    <row r="52" customFormat="false" ht="15" hidden="false" customHeight="false" outlineLevel="0" collapsed="false">
      <c r="A52" s="5" t="s">
        <v>850</v>
      </c>
      <c r="B52" s="5" t="s">
        <v>45</v>
      </c>
      <c r="C52" s="5" t="s">
        <v>831</v>
      </c>
      <c r="D52" s="5" t="s">
        <v>839</v>
      </c>
      <c r="E52" s="5" t="s">
        <v>851</v>
      </c>
      <c r="F52" s="5" t="s">
        <v>852</v>
      </c>
    </row>
    <row r="53" customFormat="false" ht="23.85" hidden="false" customHeight="false" outlineLevel="0" collapsed="false">
      <c r="A53" s="5" t="s">
        <v>853</v>
      </c>
      <c r="B53" s="5" t="s">
        <v>47</v>
      </c>
      <c r="C53" s="5" t="s">
        <v>831</v>
      </c>
      <c r="D53" s="5"/>
      <c r="E53" s="5" t="s">
        <v>854</v>
      </c>
      <c r="F53" s="5" t="s">
        <v>855</v>
      </c>
    </row>
    <row r="54" customFormat="false" ht="23.85" hidden="false" customHeight="false" outlineLevel="0" collapsed="false">
      <c r="A54" s="5" t="s">
        <v>856</v>
      </c>
      <c r="B54" s="5" t="s">
        <v>47</v>
      </c>
      <c r="C54" s="5" t="s">
        <v>831</v>
      </c>
      <c r="D54" s="5" t="s">
        <v>808</v>
      </c>
      <c r="E54" s="5" t="s">
        <v>857</v>
      </c>
      <c r="F54" s="5" t="s">
        <v>858</v>
      </c>
    </row>
    <row r="55" customFormat="false" ht="15" hidden="false" customHeight="false" outlineLevel="0" collapsed="false">
      <c r="A55" s="5" t="s">
        <v>859</v>
      </c>
      <c r="B55" s="5" t="s">
        <v>47</v>
      </c>
      <c r="C55" s="5" t="s">
        <v>831</v>
      </c>
      <c r="D55" s="5" t="s">
        <v>839</v>
      </c>
      <c r="E55" s="5" t="s">
        <v>860</v>
      </c>
      <c r="F55" s="5"/>
    </row>
    <row r="56" customFormat="false" ht="35.05" hidden="false" customHeight="false" outlineLevel="0" collapsed="false">
      <c r="A56" s="5" t="s">
        <v>861</v>
      </c>
      <c r="B56" s="5" t="s">
        <v>47</v>
      </c>
      <c r="C56" s="5" t="s">
        <v>831</v>
      </c>
      <c r="D56" s="5" t="s">
        <v>839</v>
      </c>
      <c r="E56" s="5" t="s">
        <v>862</v>
      </c>
      <c r="F56" s="5" t="s">
        <v>863</v>
      </c>
    </row>
    <row r="57" customFormat="false" ht="23.85" hidden="false" customHeight="false" outlineLevel="0" collapsed="false">
      <c r="A57" s="5" t="s">
        <v>864</v>
      </c>
      <c r="B57" s="5" t="s">
        <v>47</v>
      </c>
      <c r="C57" s="5" t="s">
        <v>831</v>
      </c>
      <c r="D57" s="5" t="s">
        <v>839</v>
      </c>
      <c r="E57" s="5" t="s">
        <v>865</v>
      </c>
      <c r="F57" s="5" t="s">
        <v>866</v>
      </c>
    </row>
    <row r="58" customFormat="false" ht="35.05" hidden="false" customHeight="false" outlineLevel="0" collapsed="false">
      <c r="A58" s="5" t="s">
        <v>867</v>
      </c>
      <c r="B58" s="5" t="s">
        <v>47</v>
      </c>
      <c r="C58" s="5" t="s">
        <v>831</v>
      </c>
      <c r="D58" s="5" t="s">
        <v>839</v>
      </c>
      <c r="E58" s="5" t="s">
        <v>868</v>
      </c>
      <c r="F58" s="5" t="s">
        <v>869</v>
      </c>
    </row>
    <row r="59" customFormat="false" ht="15" hidden="false" customHeight="false" outlineLevel="0" collapsed="false">
      <c r="A59" s="5" t="s">
        <v>870</v>
      </c>
      <c r="B59" s="5" t="s">
        <v>41</v>
      </c>
      <c r="C59" s="5" t="s">
        <v>871</v>
      </c>
      <c r="D59" s="5"/>
      <c r="E59" s="5" t="s">
        <v>872</v>
      </c>
      <c r="F59" s="5" t="s">
        <v>873</v>
      </c>
    </row>
    <row r="60" customFormat="false" ht="46.25" hidden="false" customHeight="false" outlineLevel="0" collapsed="false">
      <c r="A60" s="5" t="s">
        <v>874</v>
      </c>
      <c r="B60" s="5" t="s">
        <v>103</v>
      </c>
      <c r="C60" s="5" t="s">
        <v>871</v>
      </c>
      <c r="D60" s="5"/>
      <c r="E60" s="5" t="s">
        <v>875</v>
      </c>
      <c r="F60" s="5" t="s">
        <v>876</v>
      </c>
    </row>
    <row r="61" customFormat="false" ht="147" hidden="false" customHeight="false" outlineLevel="0" collapsed="false">
      <c r="A61" s="5" t="s">
        <v>877</v>
      </c>
      <c r="B61" s="5" t="s">
        <v>41</v>
      </c>
      <c r="C61" s="5" t="s">
        <v>878</v>
      </c>
      <c r="D61" s="5" t="s">
        <v>808</v>
      </c>
      <c r="E61" s="5" t="s">
        <v>879</v>
      </c>
      <c r="F61" s="5"/>
    </row>
    <row r="62" customFormat="false" ht="147" hidden="false" customHeight="false" outlineLevel="0" collapsed="false">
      <c r="A62" s="5" t="s">
        <v>880</v>
      </c>
      <c r="B62" s="5" t="s">
        <v>41</v>
      </c>
      <c r="C62" s="5" t="s">
        <v>878</v>
      </c>
      <c r="D62" s="5" t="s">
        <v>808</v>
      </c>
      <c r="E62" s="5" t="s">
        <v>881</v>
      </c>
      <c r="F62" s="5"/>
    </row>
    <row r="63" customFormat="false" ht="102.2" hidden="false" customHeight="false" outlineLevel="0" collapsed="false">
      <c r="A63" s="5" t="s">
        <v>882</v>
      </c>
      <c r="B63" s="5" t="s">
        <v>41</v>
      </c>
      <c r="C63" s="5" t="s">
        <v>878</v>
      </c>
      <c r="D63" s="5" t="s">
        <v>883</v>
      </c>
      <c r="E63" s="5" t="s">
        <v>884</v>
      </c>
      <c r="F63" s="5" t="s">
        <v>885</v>
      </c>
    </row>
    <row r="64" customFormat="false" ht="46.25" hidden="false" customHeight="false" outlineLevel="0" collapsed="false">
      <c r="A64" s="5" t="s">
        <v>886</v>
      </c>
      <c r="B64" s="5" t="s">
        <v>41</v>
      </c>
      <c r="C64" s="5" t="s">
        <v>878</v>
      </c>
      <c r="D64" s="5"/>
      <c r="E64" s="5" t="s">
        <v>887</v>
      </c>
      <c r="F64" s="5" t="s">
        <v>888</v>
      </c>
    </row>
    <row r="65" customFormat="false" ht="135.8" hidden="false" customHeight="false" outlineLevel="0" collapsed="false">
      <c r="A65" s="5" t="s">
        <v>889</v>
      </c>
      <c r="B65" s="5" t="s">
        <v>41</v>
      </c>
      <c r="C65" s="5" t="s">
        <v>878</v>
      </c>
      <c r="D65" s="5" t="s">
        <v>808</v>
      </c>
      <c r="E65" s="5" t="s">
        <v>890</v>
      </c>
      <c r="F65" s="5" t="s">
        <v>891</v>
      </c>
    </row>
    <row r="66" customFormat="false" ht="68.65" hidden="false" customHeight="false" outlineLevel="0" collapsed="false">
      <c r="A66" s="5" t="s">
        <v>892</v>
      </c>
      <c r="B66" s="5" t="s">
        <v>41</v>
      </c>
      <c r="C66" s="5" t="s">
        <v>878</v>
      </c>
      <c r="D66" s="5"/>
      <c r="E66" s="5" t="s">
        <v>893</v>
      </c>
      <c r="F66" s="5" t="s">
        <v>894</v>
      </c>
    </row>
    <row r="67" customFormat="false" ht="57.45" hidden="false" customHeight="false" outlineLevel="0" collapsed="false">
      <c r="A67" s="5" t="s">
        <v>895</v>
      </c>
      <c r="B67" s="5" t="s">
        <v>41</v>
      </c>
      <c r="C67" s="5" t="s">
        <v>878</v>
      </c>
      <c r="D67" s="5"/>
      <c r="E67" s="5" t="s">
        <v>896</v>
      </c>
      <c r="F67" s="5" t="s">
        <v>897</v>
      </c>
    </row>
    <row r="68" customFormat="false" ht="46.25" hidden="false" customHeight="false" outlineLevel="0" collapsed="false">
      <c r="A68" s="5" t="s">
        <v>898</v>
      </c>
      <c r="B68" s="5" t="s">
        <v>45</v>
      </c>
      <c r="C68" s="5" t="s">
        <v>899</v>
      </c>
      <c r="D68" s="5" t="s">
        <v>900</v>
      </c>
      <c r="E68" s="5" t="s">
        <v>901</v>
      </c>
      <c r="F68" s="5" t="s">
        <v>902</v>
      </c>
    </row>
    <row r="69" customFormat="false" ht="23.85" hidden="false" customHeight="false" outlineLevel="0" collapsed="false">
      <c r="A69" s="5" t="s">
        <v>903</v>
      </c>
      <c r="B69" s="5" t="s">
        <v>45</v>
      </c>
      <c r="C69" s="5" t="s">
        <v>899</v>
      </c>
      <c r="D69" s="5"/>
      <c r="E69" s="5" t="s">
        <v>904</v>
      </c>
      <c r="F69" s="5"/>
    </row>
    <row r="70" customFormat="false" ht="23.85" hidden="false" customHeight="false" outlineLevel="0" collapsed="false">
      <c r="A70" s="5" t="s">
        <v>905</v>
      </c>
      <c r="B70" s="5" t="s">
        <v>47</v>
      </c>
      <c r="C70" s="5" t="s">
        <v>899</v>
      </c>
      <c r="D70" s="5" t="s">
        <v>808</v>
      </c>
      <c r="E70" s="5" t="s">
        <v>906</v>
      </c>
      <c r="F70" s="5" t="s">
        <v>907</v>
      </c>
    </row>
    <row r="71" customFormat="false" ht="202.95" hidden="false" customHeight="false" outlineLevel="0" collapsed="false">
      <c r="A71" s="5" t="s">
        <v>908</v>
      </c>
      <c r="B71" s="5" t="s">
        <v>47</v>
      </c>
      <c r="C71" s="5" t="s">
        <v>909</v>
      </c>
      <c r="D71" s="5" t="s">
        <v>883</v>
      </c>
      <c r="E71" s="5" t="s">
        <v>910</v>
      </c>
      <c r="F71" s="5" t="s">
        <v>911</v>
      </c>
    </row>
    <row r="72" customFormat="false" ht="202.95" hidden="false" customHeight="false" outlineLevel="0" collapsed="false">
      <c r="A72" s="5" t="s">
        <v>912</v>
      </c>
      <c r="B72" s="5" t="s">
        <v>47</v>
      </c>
      <c r="C72" s="5" t="s">
        <v>909</v>
      </c>
      <c r="D72" s="5" t="s">
        <v>883</v>
      </c>
      <c r="E72" s="5" t="s">
        <v>913</v>
      </c>
      <c r="F72" s="5" t="s">
        <v>914</v>
      </c>
    </row>
    <row r="73" customFormat="false" ht="202.95" hidden="false" customHeight="false" outlineLevel="0" collapsed="false">
      <c r="A73" s="5" t="s">
        <v>915</v>
      </c>
      <c r="B73" s="5" t="s">
        <v>47</v>
      </c>
      <c r="C73" s="5" t="s">
        <v>909</v>
      </c>
      <c r="D73" s="5" t="s">
        <v>883</v>
      </c>
      <c r="E73" s="5" t="s">
        <v>916</v>
      </c>
      <c r="F73" s="5" t="s">
        <v>917</v>
      </c>
    </row>
    <row r="74" customFormat="false" ht="202.95" hidden="false" customHeight="false" outlineLevel="0" collapsed="false">
      <c r="A74" s="5" t="s">
        <v>918</v>
      </c>
      <c r="B74" s="5" t="s">
        <v>47</v>
      </c>
      <c r="C74" s="5" t="s">
        <v>909</v>
      </c>
      <c r="D74" s="5" t="s">
        <v>808</v>
      </c>
      <c r="E74" s="5" t="s">
        <v>919</v>
      </c>
      <c r="F74" s="5" t="s">
        <v>920</v>
      </c>
    </row>
    <row r="75" customFormat="false" ht="15" hidden="false" customHeight="false" outlineLevel="0" collapsed="false">
      <c r="A75" s="5" t="s">
        <v>921</v>
      </c>
      <c r="B75" s="5" t="s">
        <v>47</v>
      </c>
      <c r="C75" s="5" t="s">
        <v>909</v>
      </c>
      <c r="D75" s="5"/>
      <c r="E75" s="5" t="s">
        <v>922</v>
      </c>
      <c r="F75" s="5" t="s">
        <v>923</v>
      </c>
    </row>
    <row r="76" customFormat="false" ht="15" hidden="false" customHeight="false" outlineLevel="0" collapsed="false">
      <c r="A76" s="5" t="s">
        <v>924</v>
      </c>
      <c r="B76" s="5" t="s">
        <v>47</v>
      </c>
      <c r="C76" s="5" t="s">
        <v>925</v>
      </c>
      <c r="D76" s="5" t="s">
        <v>808</v>
      </c>
      <c r="E76" s="5" t="s">
        <v>926</v>
      </c>
      <c r="F76" s="5"/>
    </row>
    <row r="77" customFormat="false" ht="23.85" hidden="false" customHeight="false" outlineLevel="0" collapsed="false">
      <c r="A77" s="5" t="s">
        <v>927</v>
      </c>
      <c r="B77" s="5" t="s">
        <v>47</v>
      </c>
      <c r="C77" s="5" t="s">
        <v>925</v>
      </c>
      <c r="D77" s="5" t="s">
        <v>808</v>
      </c>
      <c r="E77" s="5" t="s">
        <v>928</v>
      </c>
      <c r="F77" s="5"/>
    </row>
    <row r="78" customFormat="false" ht="23.85" hidden="false" customHeight="false" outlineLevel="0" collapsed="false">
      <c r="A78" s="5" t="s">
        <v>929</v>
      </c>
      <c r="B78" s="5" t="s">
        <v>47</v>
      </c>
      <c r="C78" s="5" t="s">
        <v>925</v>
      </c>
      <c r="D78" s="5" t="s">
        <v>808</v>
      </c>
      <c r="E78" s="5" t="s">
        <v>930</v>
      </c>
      <c r="F78" s="5"/>
    </row>
    <row r="79" customFormat="false" ht="23.85" hidden="false" customHeight="false" outlineLevel="0" collapsed="false">
      <c r="A79" s="5" t="s">
        <v>931</v>
      </c>
      <c r="B79" s="5" t="s">
        <v>47</v>
      </c>
      <c r="C79" s="5" t="s">
        <v>925</v>
      </c>
      <c r="D79" s="5"/>
      <c r="E79" s="5" t="s">
        <v>932</v>
      </c>
      <c r="F79" s="5" t="s">
        <v>933</v>
      </c>
    </row>
    <row r="80" customFormat="false" ht="102.2" hidden="false" customHeight="false" outlineLevel="0" collapsed="false">
      <c r="A80" s="5" t="s">
        <v>934</v>
      </c>
      <c r="B80" s="5" t="s">
        <v>47</v>
      </c>
      <c r="C80" s="5" t="s">
        <v>925</v>
      </c>
      <c r="D80" s="5"/>
      <c r="E80" s="5" t="s">
        <v>935</v>
      </c>
      <c r="F80" s="5" t="s">
        <v>936</v>
      </c>
    </row>
    <row r="81" customFormat="false" ht="15" hidden="false" customHeight="false" outlineLevel="0" collapsed="false">
      <c r="A81" s="5" t="s">
        <v>937</v>
      </c>
      <c r="B81" s="5" t="s">
        <v>47</v>
      </c>
      <c r="C81" s="5" t="s">
        <v>925</v>
      </c>
      <c r="D81" s="5" t="s">
        <v>883</v>
      </c>
      <c r="E81" s="5" t="s">
        <v>938</v>
      </c>
      <c r="F81" s="5" t="s">
        <v>939</v>
      </c>
    </row>
    <row r="82" customFormat="false" ht="23.85" hidden="false" customHeight="false" outlineLevel="0" collapsed="false">
      <c r="A82" s="5" t="s">
        <v>940</v>
      </c>
      <c r="B82" s="5" t="s">
        <v>47</v>
      </c>
      <c r="C82" s="5" t="s">
        <v>925</v>
      </c>
      <c r="D82" s="5" t="s">
        <v>883</v>
      </c>
      <c r="E82" s="5" t="s">
        <v>941</v>
      </c>
      <c r="F82" s="5" t="s">
        <v>942</v>
      </c>
    </row>
    <row r="83" customFormat="false" ht="23.85" hidden="false" customHeight="false" outlineLevel="0" collapsed="false">
      <c r="A83" s="5" t="s">
        <v>943</v>
      </c>
      <c r="B83" s="5" t="s">
        <v>47</v>
      </c>
      <c r="C83" s="5" t="s">
        <v>925</v>
      </c>
      <c r="D83" s="5" t="s">
        <v>883</v>
      </c>
      <c r="E83" s="5" t="s">
        <v>944</v>
      </c>
      <c r="F83" s="5" t="s">
        <v>945</v>
      </c>
    </row>
    <row r="84" customFormat="false" ht="23.85" hidden="false" customHeight="false" outlineLevel="0" collapsed="false">
      <c r="A84" s="5" t="s">
        <v>946</v>
      </c>
      <c r="B84" s="5" t="s">
        <v>47</v>
      </c>
      <c r="C84" s="5" t="s">
        <v>925</v>
      </c>
      <c r="D84" s="5" t="s">
        <v>883</v>
      </c>
      <c r="E84" s="5" t="s">
        <v>947</v>
      </c>
      <c r="F84" s="5" t="s">
        <v>948</v>
      </c>
    </row>
    <row r="85" customFormat="false" ht="23.85" hidden="false" customHeight="false" outlineLevel="0" collapsed="false">
      <c r="A85" s="5" t="s">
        <v>949</v>
      </c>
      <c r="B85" s="5" t="s">
        <v>47</v>
      </c>
      <c r="C85" s="5" t="s">
        <v>950</v>
      </c>
      <c r="D85" s="5" t="s">
        <v>951</v>
      </c>
      <c r="E85" s="5" t="s">
        <v>952</v>
      </c>
      <c r="F85" s="5" t="s">
        <v>953</v>
      </c>
    </row>
    <row r="86" customFormat="false" ht="15" hidden="false" customHeight="false" outlineLevel="0" collapsed="false">
      <c r="A86" s="5" t="s">
        <v>954</v>
      </c>
      <c r="B86" s="5" t="s">
        <v>47</v>
      </c>
      <c r="C86" s="5" t="s">
        <v>950</v>
      </c>
      <c r="D86" s="5" t="s">
        <v>951</v>
      </c>
      <c r="E86" s="5" t="s">
        <v>955</v>
      </c>
      <c r="F86" s="5"/>
    </row>
    <row r="87" customFormat="false" ht="15" hidden="false" customHeight="false" outlineLevel="0" collapsed="false">
      <c r="A87" s="5" t="s">
        <v>956</v>
      </c>
      <c r="B87" s="5" t="s">
        <v>47</v>
      </c>
      <c r="C87" s="5" t="s">
        <v>950</v>
      </c>
      <c r="D87" s="5" t="s">
        <v>951</v>
      </c>
      <c r="E87" s="5" t="s">
        <v>957</v>
      </c>
      <c r="F87" s="5"/>
    </row>
    <row r="88" customFormat="false" ht="15" hidden="false" customHeight="false" outlineLevel="0" collapsed="false">
      <c r="A88" s="5" t="s">
        <v>958</v>
      </c>
      <c r="B88" s="5" t="s">
        <v>47</v>
      </c>
      <c r="C88" s="5" t="s">
        <v>950</v>
      </c>
      <c r="D88" s="5" t="s">
        <v>951</v>
      </c>
      <c r="E88" s="5" t="s">
        <v>959</v>
      </c>
      <c r="F88" s="5"/>
    </row>
    <row r="89" customFormat="false" ht="15" hidden="false" customHeight="false" outlineLevel="0" collapsed="false">
      <c r="A89" s="5" t="s">
        <v>960</v>
      </c>
      <c r="B89" s="5" t="s">
        <v>47</v>
      </c>
      <c r="C89" s="5" t="s">
        <v>950</v>
      </c>
      <c r="D89" s="5" t="s">
        <v>951</v>
      </c>
      <c r="E89" s="5" t="s">
        <v>961</v>
      </c>
      <c r="F89" s="5"/>
    </row>
    <row r="90" customFormat="false" ht="15" hidden="false" customHeight="false" outlineLevel="0" collapsed="false">
      <c r="A90" s="5" t="s">
        <v>962</v>
      </c>
      <c r="B90" s="5" t="s">
        <v>47</v>
      </c>
      <c r="C90" s="5" t="s">
        <v>950</v>
      </c>
      <c r="D90" s="5" t="s">
        <v>951</v>
      </c>
      <c r="E90" s="5" t="s">
        <v>963</v>
      </c>
      <c r="F90" s="5" t="s">
        <v>964</v>
      </c>
    </row>
    <row r="91" customFormat="false" ht="15" hidden="false" customHeight="false" outlineLevel="0" collapsed="false">
      <c r="A91" s="5" t="s">
        <v>965</v>
      </c>
      <c r="B91" s="5" t="s">
        <v>47</v>
      </c>
      <c r="C91" s="5" t="s">
        <v>950</v>
      </c>
      <c r="D91" s="5" t="s">
        <v>951</v>
      </c>
      <c r="E91" s="5" t="s">
        <v>966</v>
      </c>
      <c r="F91" s="5"/>
    </row>
    <row r="92" customFormat="false" ht="15" hidden="false" customHeight="false" outlineLevel="0" collapsed="false">
      <c r="A92" s="5" t="s">
        <v>967</v>
      </c>
      <c r="B92" s="5" t="s">
        <v>47</v>
      </c>
      <c r="C92" s="5" t="s">
        <v>950</v>
      </c>
      <c r="D92" s="5" t="s">
        <v>951</v>
      </c>
      <c r="E92" s="5" t="s">
        <v>968</v>
      </c>
      <c r="F92" s="5"/>
    </row>
    <row r="93" customFormat="false" ht="15" hidden="false" customHeight="false" outlineLevel="0" collapsed="false">
      <c r="A93" s="5" t="s">
        <v>969</v>
      </c>
      <c r="B93" s="5" t="s">
        <v>47</v>
      </c>
      <c r="C93" s="5" t="s">
        <v>950</v>
      </c>
      <c r="D93" s="5" t="s">
        <v>951</v>
      </c>
      <c r="E93" s="5" t="s">
        <v>970</v>
      </c>
      <c r="F93" s="5"/>
    </row>
    <row r="94" customFormat="false" ht="23.85" hidden="false" customHeight="false" outlineLevel="0" collapsed="false">
      <c r="A94" s="5" t="s">
        <v>971</v>
      </c>
      <c r="B94" s="5" t="s">
        <v>47</v>
      </c>
      <c r="C94" s="5" t="s">
        <v>972</v>
      </c>
      <c r="D94" s="5"/>
      <c r="E94" s="5" t="s">
        <v>973</v>
      </c>
      <c r="F94" s="5"/>
    </row>
    <row r="95" customFormat="false" ht="449.25" hidden="false" customHeight="false" outlineLevel="0" collapsed="false">
      <c r="A95" s="5" t="s">
        <v>974</v>
      </c>
      <c r="B95" s="5" t="s">
        <v>47</v>
      </c>
      <c r="C95" s="5" t="s">
        <v>972</v>
      </c>
      <c r="D95" s="5"/>
      <c r="E95" s="5" t="s">
        <v>975</v>
      </c>
      <c r="F95" s="5" t="s">
        <v>976</v>
      </c>
    </row>
    <row r="96" customFormat="false" ht="57.45" hidden="false" customHeight="false" outlineLevel="0" collapsed="false">
      <c r="A96" s="5" t="s">
        <v>977</v>
      </c>
      <c r="B96" s="5" t="s">
        <v>47</v>
      </c>
      <c r="C96" s="5" t="s">
        <v>972</v>
      </c>
      <c r="D96" s="5"/>
      <c r="E96" s="5" t="s">
        <v>978</v>
      </c>
      <c r="F96" s="5" t="s">
        <v>979</v>
      </c>
    </row>
    <row r="97" customFormat="false" ht="236.55" hidden="false" customHeight="false" outlineLevel="0" collapsed="false">
      <c r="A97" s="5" t="s">
        <v>980</v>
      </c>
      <c r="B97" s="5" t="s">
        <v>47</v>
      </c>
      <c r="C97" s="5" t="s">
        <v>981</v>
      </c>
      <c r="D97" s="5" t="s">
        <v>808</v>
      </c>
      <c r="E97" s="5" t="s">
        <v>982</v>
      </c>
      <c r="F97" s="5" t="s">
        <v>983</v>
      </c>
    </row>
    <row r="98" customFormat="false" ht="247.75" hidden="false" customHeight="false" outlineLevel="0" collapsed="false">
      <c r="A98" s="5" t="s">
        <v>984</v>
      </c>
      <c r="B98" s="5" t="s">
        <v>47</v>
      </c>
      <c r="C98" s="5" t="s">
        <v>981</v>
      </c>
      <c r="D98" s="5" t="s">
        <v>808</v>
      </c>
      <c r="E98" s="5" t="s">
        <v>985</v>
      </c>
      <c r="F98" s="5" t="s">
        <v>986</v>
      </c>
    </row>
    <row r="99" customFormat="false" ht="303.7" hidden="false" customHeight="false" outlineLevel="0" collapsed="false">
      <c r="A99" s="5" t="s">
        <v>987</v>
      </c>
      <c r="B99" s="5" t="s">
        <v>43</v>
      </c>
      <c r="C99" s="5" t="s">
        <v>981</v>
      </c>
      <c r="D99" s="5" t="s">
        <v>808</v>
      </c>
      <c r="E99" s="5" t="s">
        <v>988</v>
      </c>
      <c r="F99" s="5" t="s">
        <v>989</v>
      </c>
    </row>
    <row r="100" customFormat="false" ht="337.3" hidden="false" customHeight="false" outlineLevel="0" collapsed="false">
      <c r="A100" s="5" t="s">
        <v>990</v>
      </c>
      <c r="B100" s="5" t="s">
        <v>47</v>
      </c>
      <c r="C100" s="5" t="s">
        <v>981</v>
      </c>
      <c r="D100" s="5" t="s">
        <v>808</v>
      </c>
      <c r="E100" s="5" t="s">
        <v>991</v>
      </c>
      <c r="F100" s="5" t="s">
        <v>992</v>
      </c>
    </row>
    <row r="101" customFormat="false" ht="359.7" hidden="false" customHeight="false" outlineLevel="0" collapsed="false">
      <c r="A101" s="5" t="s">
        <v>993</v>
      </c>
      <c r="B101" s="5" t="s">
        <v>43</v>
      </c>
      <c r="C101" s="5" t="s">
        <v>981</v>
      </c>
      <c r="D101" s="5" t="s">
        <v>808</v>
      </c>
      <c r="E101" s="5" t="s">
        <v>994</v>
      </c>
      <c r="F101" s="5" t="s">
        <v>995</v>
      </c>
    </row>
    <row r="102" customFormat="false" ht="35.05" hidden="false" customHeight="false" outlineLevel="0" collapsed="false">
      <c r="A102" s="5" t="s">
        <v>996</v>
      </c>
      <c r="B102" s="5" t="s">
        <v>47</v>
      </c>
      <c r="C102" s="5" t="s">
        <v>981</v>
      </c>
      <c r="D102" s="5" t="s">
        <v>839</v>
      </c>
      <c r="E102" s="5" t="s">
        <v>997</v>
      </c>
      <c r="F102" s="5" t="s">
        <v>998</v>
      </c>
    </row>
    <row r="103" customFormat="false" ht="35.05" hidden="false" customHeight="false" outlineLevel="0" collapsed="false">
      <c r="A103" s="5" t="s">
        <v>999</v>
      </c>
      <c r="B103" s="5" t="s">
        <v>47</v>
      </c>
      <c r="C103" s="5" t="s">
        <v>981</v>
      </c>
      <c r="D103" s="5"/>
      <c r="E103" s="5" t="s">
        <v>1000</v>
      </c>
      <c r="F103" s="5" t="s">
        <v>1001</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2026-09-15T10:29:42Z</dcterms:created>
  <dc:creator>openpyxl</dc:creator>
  <dc:description/>
  <dc:language>en-US</dc:language>
  <cp:lastModifiedBy/>
  <dcterms:modified xsi:type="dcterms:W3CDTF">2026-10-12T15:36:52Z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